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010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4519" concurrentCalc="0" concurrentManualCount="1"/>
</workbook>
</file>

<file path=xl/calcChain.xml><?xml version="1.0" encoding="utf-8"?>
<calcChain xmlns="http://schemas.openxmlformats.org/spreadsheetml/2006/main">
  <c r="O36" i="10"/>
  <c r="N36"/>
  <c r="M36"/>
  <c r="L36"/>
  <c r="K36"/>
  <c r="J36"/>
  <c r="I36"/>
  <c r="I37"/>
  <c r="H36"/>
  <c r="DS246" i="6"/>
  <c r="DU246"/>
  <c r="DR246"/>
  <c r="DT246"/>
  <c r="DV246"/>
  <c r="DV224"/>
  <c r="DV268"/>
  <c r="DV265"/>
  <c r="DV262"/>
  <c r="DV256"/>
  <c r="DV239"/>
  <c r="DV234"/>
  <c r="DV225"/>
  <c r="R107" i="10"/>
  <c r="R108"/>
  <c r="R109"/>
  <c r="R110"/>
  <c r="R111"/>
  <c r="R112"/>
  <c r="R113"/>
  <c r="R114"/>
  <c r="R116"/>
  <c r="R117"/>
  <c r="R118"/>
  <c r="R119"/>
  <c r="R120"/>
  <c r="R121"/>
  <c r="R122"/>
  <c r="R123"/>
  <c r="R124"/>
  <c r="G107"/>
  <c r="G108"/>
  <c r="G109"/>
  <c r="G110"/>
  <c r="G111"/>
  <c r="G112"/>
  <c r="G113"/>
  <c r="G114"/>
  <c r="G106"/>
  <c r="G116"/>
  <c r="G117"/>
  <c r="G118"/>
  <c r="G119"/>
  <c r="G120"/>
  <c r="G121"/>
  <c r="G122"/>
  <c r="G123"/>
  <c r="G124"/>
  <c r="H107"/>
  <c r="H108"/>
  <c r="H109"/>
  <c r="H110"/>
  <c r="H111"/>
  <c r="H112"/>
  <c r="H113"/>
  <c r="H114"/>
  <c r="H116"/>
  <c r="H117"/>
  <c r="H118"/>
  <c r="H119"/>
  <c r="H120"/>
  <c r="H121"/>
  <c r="H122"/>
  <c r="H123"/>
  <c r="H124"/>
  <c r="I107"/>
  <c r="I108"/>
  <c r="I109"/>
  <c r="I110"/>
  <c r="I111"/>
  <c r="I112"/>
  <c r="I113"/>
  <c r="I114"/>
  <c r="I106"/>
  <c r="I116"/>
  <c r="I117"/>
  <c r="I118"/>
  <c r="I119"/>
  <c r="I120"/>
  <c r="I121"/>
  <c r="I122"/>
  <c r="I123"/>
  <c r="I124"/>
  <c r="J107"/>
  <c r="J108"/>
  <c r="J109"/>
  <c r="J110"/>
  <c r="J111"/>
  <c r="J112"/>
  <c r="J113"/>
  <c r="J114"/>
  <c r="J116"/>
  <c r="J117"/>
  <c r="J118"/>
  <c r="J119"/>
  <c r="J120"/>
  <c r="J121"/>
  <c r="J122"/>
  <c r="J123"/>
  <c r="J124"/>
  <c r="K107"/>
  <c r="K108"/>
  <c r="K109"/>
  <c r="K110"/>
  <c r="K111"/>
  <c r="K112"/>
  <c r="K113"/>
  <c r="K114"/>
  <c r="K106"/>
  <c r="K116"/>
  <c r="K117"/>
  <c r="K118"/>
  <c r="K119"/>
  <c r="K120"/>
  <c r="K121"/>
  <c r="K122"/>
  <c r="K123"/>
  <c r="K124"/>
  <c r="L107"/>
  <c r="L108"/>
  <c r="L109"/>
  <c r="L110"/>
  <c r="L111"/>
  <c r="L112"/>
  <c r="L113"/>
  <c r="L114"/>
  <c r="L116"/>
  <c r="L117"/>
  <c r="L118"/>
  <c r="L119"/>
  <c r="L120"/>
  <c r="L121"/>
  <c r="L122"/>
  <c r="L123"/>
  <c r="L124"/>
  <c r="M107"/>
  <c r="M108"/>
  <c r="M109"/>
  <c r="M110"/>
  <c r="M111"/>
  <c r="M112"/>
  <c r="M113"/>
  <c r="M114"/>
  <c r="M116"/>
  <c r="M117"/>
  <c r="M118"/>
  <c r="M119"/>
  <c r="M120"/>
  <c r="M121"/>
  <c r="M122"/>
  <c r="M123"/>
  <c r="M124"/>
  <c r="N107"/>
  <c r="N108"/>
  <c r="N109"/>
  <c r="N110"/>
  <c r="N111"/>
  <c r="N112"/>
  <c r="N113"/>
  <c r="N114"/>
  <c r="N116"/>
  <c r="N117"/>
  <c r="N118"/>
  <c r="N119"/>
  <c r="N120"/>
  <c r="N121"/>
  <c r="N122"/>
  <c r="N123"/>
  <c r="N124"/>
  <c r="O107"/>
  <c r="O108"/>
  <c r="O109"/>
  <c r="O110"/>
  <c r="O111"/>
  <c r="O112"/>
  <c r="O113"/>
  <c r="O114"/>
  <c r="O116"/>
  <c r="O117"/>
  <c r="O118"/>
  <c r="O119"/>
  <c r="O120"/>
  <c r="O121"/>
  <c r="O122"/>
  <c r="O123"/>
  <c r="O124"/>
  <c r="P107"/>
  <c r="P108"/>
  <c r="P109"/>
  <c r="P110"/>
  <c r="P111"/>
  <c r="P112"/>
  <c r="P113"/>
  <c r="P114"/>
  <c r="P116"/>
  <c r="P117"/>
  <c r="P118"/>
  <c r="P119"/>
  <c r="P120"/>
  <c r="P121"/>
  <c r="P122"/>
  <c r="P123"/>
  <c r="P124"/>
  <c r="Q107"/>
  <c r="Q108"/>
  <c r="Q109"/>
  <c r="Q110"/>
  <c r="Q111"/>
  <c r="Q112"/>
  <c r="Q113"/>
  <c r="Q114"/>
  <c r="Q116"/>
  <c r="Q117"/>
  <c r="Q118"/>
  <c r="Q119"/>
  <c r="Q120"/>
  <c r="Q121"/>
  <c r="Q122"/>
  <c r="Q123"/>
  <c r="Q124"/>
  <c r="N6" i="11"/>
  <c r="M12" i="10"/>
  <c r="M13"/>
  <c r="M14"/>
  <c r="M15"/>
  <c r="M16"/>
  <c r="M17"/>
  <c r="M18"/>
  <c r="M19"/>
  <c r="M20"/>
  <c r="M25"/>
  <c r="M26"/>
  <c r="M27"/>
  <c r="M28"/>
  <c r="M29"/>
  <c r="M33"/>
  <c r="M34"/>
  <c r="M35"/>
  <c r="M37"/>
  <c r="M38"/>
  <c r="M39"/>
  <c r="M40"/>
  <c r="M41"/>
  <c r="M42"/>
  <c r="M32"/>
  <c r="M44"/>
  <c r="M45"/>
  <c r="M46"/>
  <c r="M47"/>
  <c r="M48"/>
  <c r="M49"/>
  <c r="M51"/>
  <c r="M52"/>
  <c r="M53"/>
  <c r="M54"/>
  <c r="N12"/>
  <c r="N13"/>
  <c r="N14"/>
  <c r="N15"/>
  <c r="N16"/>
  <c r="N17"/>
  <c r="N18"/>
  <c r="N19"/>
  <c r="N20"/>
  <c r="N25"/>
  <c r="N26"/>
  <c r="N27"/>
  <c r="N28"/>
  <c r="N29"/>
  <c r="N33"/>
  <c r="N34"/>
  <c r="N35"/>
  <c r="N37"/>
  <c r="N38"/>
  <c r="N39"/>
  <c r="N40"/>
  <c r="N41"/>
  <c r="N42"/>
  <c r="N32"/>
  <c r="N44"/>
  <c r="N45"/>
  <c r="N46"/>
  <c r="N47"/>
  <c r="N48"/>
  <c r="N49"/>
  <c r="N51"/>
  <c r="N52"/>
  <c r="N53"/>
  <c r="N54"/>
  <c r="G273" i="2"/>
  <c r="G271"/>
  <c r="G269"/>
  <c r="G237"/>
  <c r="G263"/>
  <c r="D19" i="1"/>
  <c r="G260" i="2"/>
  <c r="G259"/>
  <c r="G254"/>
  <c r="G252"/>
  <c r="G250"/>
  <c r="G249"/>
  <c r="G245"/>
  <c r="G244"/>
  <c r="G241"/>
  <c r="G242"/>
  <c r="G235"/>
  <c r="G239"/>
  <c r="G234"/>
  <c r="G233"/>
  <c r="G232"/>
  <c r="G231"/>
  <c r="G230"/>
  <c r="G229"/>
  <c r="G228"/>
  <c r="G227"/>
  <c r="G226"/>
  <c r="G225"/>
  <c r="G224"/>
  <c r="G223"/>
  <c r="G222"/>
  <c r="G220"/>
  <c r="G218"/>
  <c r="G217"/>
  <c r="G216"/>
  <c r="G215"/>
  <c r="G214"/>
  <c r="G213"/>
  <c r="G212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"/>
  <c r="D409" i="6"/>
  <c r="D408"/>
  <c r="D407"/>
  <c r="DU406"/>
  <c r="DT406"/>
  <c r="DS406"/>
  <c r="DR406"/>
  <c r="DQ406"/>
  <c r="DP406"/>
  <c r="DO406"/>
  <c r="DN406"/>
  <c r="DM406"/>
  <c r="DL406"/>
  <c r="DK406"/>
  <c r="DJ406"/>
  <c r="DI406"/>
  <c r="DH406"/>
  <c r="DG406"/>
  <c r="DF406"/>
  <c r="DE406"/>
  <c r="DD406"/>
  <c r="DC406"/>
  <c r="DB406"/>
  <c r="DA406"/>
  <c r="CZ406"/>
  <c r="CY406"/>
  <c r="CX406"/>
  <c r="CW406"/>
  <c r="CV406"/>
  <c r="CU406"/>
  <c r="CT406"/>
  <c r="CS406"/>
  <c r="CR406"/>
  <c r="CQ406"/>
  <c r="CP406"/>
  <c r="CO406"/>
  <c r="CN406"/>
  <c r="CM406"/>
  <c r="CL406"/>
  <c r="D406"/>
  <c r="D405"/>
  <c r="D404"/>
  <c r="D403"/>
  <c r="DU402"/>
  <c r="DT402"/>
  <c r="DS402"/>
  <c r="DR402"/>
  <c r="DQ402"/>
  <c r="DP402"/>
  <c r="DO402"/>
  <c r="DN402"/>
  <c r="DM402"/>
  <c r="DL402"/>
  <c r="DK402"/>
  <c r="DJ402"/>
  <c r="DI402"/>
  <c r="DH402"/>
  <c r="DG402"/>
  <c r="DF402"/>
  <c r="DE402"/>
  <c r="DD402"/>
  <c r="DC402"/>
  <c r="DB402"/>
  <c r="DA402"/>
  <c r="CZ402"/>
  <c r="CY402"/>
  <c r="CX402"/>
  <c r="CW402"/>
  <c r="CV402"/>
  <c r="CU402"/>
  <c r="CT402"/>
  <c r="CS402"/>
  <c r="CR402"/>
  <c r="CQ402"/>
  <c r="CP402"/>
  <c r="CO402"/>
  <c r="CN402"/>
  <c r="CM402"/>
  <c r="CL402"/>
  <c r="D402"/>
  <c r="D401"/>
  <c r="D400"/>
  <c r="DU399"/>
  <c r="DT399"/>
  <c r="DS399"/>
  <c r="DR399"/>
  <c r="DQ399"/>
  <c r="DP399"/>
  <c r="DO399"/>
  <c r="DN399"/>
  <c r="DM399"/>
  <c r="DL399"/>
  <c r="DK399"/>
  <c r="DJ399"/>
  <c r="DI399"/>
  <c r="DH399"/>
  <c r="DG399"/>
  <c r="DF399"/>
  <c r="DE399"/>
  <c r="DD399"/>
  <c r="DC399"/>
  <c r="DB399"/>
  <c r="DA399"/>
  <c r="CZ399"/>
  <c r="CY399"/>
  <c r="CX399"/>
  <c r="CW399"/>
  <c r="CV399"/>
  <c r="CU399"/>
  <c r="CT399"/>
  <c r="CS399"/>
  <c r="CR399"/>
  <c r="CQ399"/>
  <c r="CP399"/>
  <c r="CO399"/>
  <c r="CN399"/>
  <c r="CM399"/>
  <c r="CL399"/>
  <c r="D399"/>
  <c r="DU398"/>
  <c r="DT398"/>
  <c r="DS398"/>
  <c r="DR398"/>
  <c r="DQ398"/>
  <c r="DP398"/>
  <c r="DO398"/>
  <c r="DN398"/>
  <c r="DM398"/>
  <c r="DL398"/>
  <c r="DK398"/>
  <c r="DJ398"/>
  <c r="DI398"/>
  <c r="DH398"/>
  <c r="DG398"/>
  <c r="DF398"/>
  <c r="DE398"/>
  <c r="DD398"/>
  <c r="DC398"/>
  <c r="DB398"/>
  <c r="DA398"/>
  <c r="CZ398"/>
  <c r="CY398"/>
  <c r="CX398"/>
  <c r="CW398"/>
  <c r="CV398"/>
  <c r="CU398"/>
  <c r="CT398"/>
  <c r="CS398"/>
  <c r="CR398"/>
  <c r="CQ398"/>
  <c r="CP398"/>
  <c r="CO398"/>
  <c r="CN398"/>
  <c r="CM398"/>
  <c r="CL398"/>
  <c r="D398"/>
  <c r="D397"/>
  <c r="D396"/>
  <c r="D395"/>
  <c r="D394"/>
  <c r="D393"/>
  <c r="DU392"/>
  <c r="DT392"/>
  <c r="DS392"/>
  <c r="DR392"/>
  <c r="DQ392"/>
  <c r="DP392"/>
  <c r="DO392"/>
  <c r="DN392"/>
  <c r="DM392"/>
  <c r="DL392"/>
  <c r="DK392"/>
  <c r="DJ392"/>
  <c r="DI392"/>
  <c r="DH392"/>
  <c r="DG392"/>
  <c r="DF392"/>
  <c r="DE392"/>
  <c r="DD392"/>
  <c r="DC392"/>
  <c r="DB392"/>
  <c r="DA392"/>
  <c r="CZ392"/>
  <c r="CY392"/>
  <c r="CX392"/>
  <c r="CW392"/>
  <c r="CV392"/>
  <c r="CU392"/>
  <c r="CT392"/>
  <c r="CS392"/>
  <c r="CR392"/>
  <c r="CQ392"/>
  <c r="CP392"/>
  <c r="CO392"/>
  <c r="CN392"/>
  <c r="CM392"/>
  <c r="CL392"/>
  <c r="D392"/>
  <c r="DU391"/>
  <c r="DT391"/>
  <c r="DS391"/>
  <c r="DR391"/>
  <c r="DQ391"/>
  <c r="DP391"/>
  <c r="DO391"/>
  <c r="DN391"/>
  <c r="DM391"/>
  <c r="DL391"/>
  <c r="DK391"/>
  <c r="DJ391"/>
  <c r="DI391"/>
  <c r="DH391"/>
  <c r="DG391"/>
  <c r="DF391"/>
  <c r="DE391"/>
  <c r="DD391"/>
  <c r="DC391"/>
  <c r="DB391"/>
  <c r="DA391"/>
  <c r="CZ391"/>
  <c r="CY391"/>
  <c r="CX391"/>
  <c r="CW391"/>
  <c r="CV391"/>
  <c r="CU391"/>
  <c r="CT391"/>
  <c r="CS391"/>
  <c r="CR391"/>
  <c r="CQ391"/>
  <c r="CP391"/>
  <c r="CO391"/>
  <c r="CN391"/>
  <c r="CM391"/>
  <c r="CL391"/>
  <c r="D391"/>
  <c r="D390"/>
  <c r="D389"/>
  <c r="D388"/>
  <c r="D387"/>
  <c r="D386"/>
  <c r="D385"/>
  <c r="D384"/>
  <c r="D383"/>
  <c r="D382"/>
  <c r="DU381"/>
  <c r="DT381"/>
  <c r="DS381"/>
  <c r="DR381"/>
  <c r="DQ381"/>
  <c r="DP381"/>
  <c r="DO381"/>
  <c r="DN381"/>
  <c r="DM381"/>
  <c r="DL381"/>
  <c r="DK381"/>
  <c r="DJ381"/>
  <c r="DI381"/>
  <c r="DH381"/>
  <c r="DG381"/>
  <c r="DF381"/>
  <c r="DE381"/>
  <c r="DD381"/>
  <c r="DC381"/>
  <c r="DB381"/>
  <c r="DA381"/>
  <c r="CZ381"/>
  <c r="CY381"/>
  <c r="CX381"/>
  <c r="CW381"/>
  <c r="CV381"/>
  <c r="CU381"/>
  <c r="CT381"/>
  <c r="CS381"/>
  <c r="CR381"/>
  <c r="CQ381"/>
  <c r="CP381"/>
  <c r="CO381"/>
  <c r="CN381"/>
  <c r="CM381"/>
  <c r="CL381"/>
  <c r="D381"/>
  <c r="D380"/>
  <c r="D379"/>
  <c r="D378"/>
  <c r="D377"/>
  <c r="D376"/>
  <c r="D375"/>
  <c r="D374"/>
  <c r="DU373"/>
  <c r="DT373"/>
  <c r="DS373"/>
  <c r="DR373"/>
  <c r="DQ373"/>
  <c r="DP373"/>
  <c r="DO373"/>
  <c r="DN373"/>
  <c r="DM373"/>
  <c r="DL373"/>
  <c r="DK373"/>
  <c r="DJ373"/>
  <c r="DI373"/>
  <c r="DH373"/>
  <c r="DG373"/>
  <c r="DF373"/>
  <c r="DE373"/>
  <c r="DD373"/>
  <c r="DC373"/>
  <c r="DB373"/>
  <c r="DA373"/>
  <c r="CZ373"/>
  <c r="CY373"/>
  <c r="CX373"/>
  <c r="CW373"/>
  <c r="CV373"/>
  <c r="CU373"/>
  <c r="CT373"/>
  <c r="CS373"/>
  <c r="CR373"/>
  <c r="CQ373"/>
  <c r="CP373"/>
  <c r="CO373"/>
  <c r="CN373"/>
  <c r="CM373"/>
  <c r="CL373"/>
  <c r="D373"/>
  <c r="D372"/>
  <c r="D371"/>
  <c r="D370"/>
  <c r="D369"/>
  <c r="D368"/>
  <c r="D367"/>
  <c r="D366"/>
  <c r="D365"/>
  <c r="D364"/>
  <c r="DU363"/>
  <c r="DT363"/>
  <c r="DS363"/>
  <c r="DR363"/>
  <c r="DQ363"/>
  <c r="DP363"/>
  <c r="DO363"/>
  <c r="DN363"/>
  <c r="DM363"/>
  <c r="DL363"/>
  <c r="DK363"/>
  <c r="DJ363"/>
  <c r="DI363"/>
  <c r="DH363"/>
  <c r="DG363"/>
  <c r="DF363"/>
  <c r="DE363"/>
  <c r="DD363"/>
  <c r="DC363"/>
  <c r="DB363"/>
  <c r="DA363"/>
  <c r="CZ363"/>
  <c r="CY363"/>
  <c r="CX363"/>
  <c r="CW363"/>
  <c r="CV363"/>
  <c r="CU363"/>
  <c r="CT363"/>
  <c r="CS363"/>
  <c r="CR363"/>
  <c r="CQ363"/>
  <c r="CP363"/>
  <c r="CO363"/>
  <c r="CN363"/>
  <c r="CM363"/>
  <c r="CL363"/>
  <c r="D363"/>
  <c r="DU362"/>
  <c r="DT362"/>
  <c r="DS362"/>
  <c r="DR362"/>
  <c r="DQ362"/>
  <c r="DP362"/>
  <c r="DO362"/>
  <c r="DN362"/>
  <c r="DM362"/>
  <c r="DL362"/>
  <c r="DK362"/>
  <c r="DJ362"/>
  <c r="DI362"/>
  <c r="DH362"/>
  <c r="DG362"/>
  <c r="DF362"/>
  <c r="DE362"/>
  <c r="DD362"/>
  <c r="DC362"/>
  <c r="DB362"/>
  <c r="DA362"/>
  <c r="CZ362"/>
  <c r="CY362"/>
  <c r="CX362"/>
  <c r="CW362"/>
  <c r="CV362"/>
  <c r="CU362"/>
  <c r="CT362"/>
  <c r="CS362"/>
  <c r="CR362"/>
  <c r="CQ362"/>
  <c r="CP362"/>
  <c r="CO362"/>
  <c r="CN362"/>
  <c r="CM362"/>
  <c r="CL362"/>
  <c r="D362"/>
  <c r="D361"/>
  <c r="D360"/>
  <c r="D359"/>
  <c r="DU358"/>
  <c r="DT358"/>
  <c r="DS358"/>
  <c r="DR358"/>
  <c r="DQ358"/>
  <c r="DP358"/>
  <c r="DO358"/>
  <c r="DN358"/>
  <c r="DM358"/>
  <c r="DL358"/>
  <c r="DK358"/>
  <c r="DJ358"/>
  <c r="DI358"/>
  <c r="DH358"/>
  <c r="DG358"/>
  <c r="DF358"/>
  <c r="DE358"/>
  <c r="DD358"/>
  <c r="DC358"/>
  <c r="DB358"/>
  <c r="DA358"/>
  <c r="CZ358"/>
  <c r="CY358"/>
  <c r="CX358"/>
  <c r="CW358"/>
  <c r="CV358"/>
  <c r="CU358"/>
  <c r="CT358"/>
  <c r="CS358"/>
  <c r="CR358"/>
  <c r="CQ358"/>
  <c r="CP358"/>
  <c r="CO358"/>
  <c r="CN358"/>
  <c r="CM358"/>
  <c r="CL358"/>
  <c r="D358"/>
  <c r="D357"/>
  <c r="DU356"/>
  <c r="DT356"/>
  <c r="DS356"/>
  <c r="DR356"/>
  <c r="DQ356"/>
  <c r="DP356"/>
  <c r="DO356"/>
  <c r="DN356"/>
  <c r="DM356"/>
  <c r="DL356"/>
  <c r="DK356"/>
  <c r="DJ356"/>
  <c r="DI356"/>
  <c r="DH356"/>
  <c r="DG356"/>
  <c r="DF356"/>
  <c r="DE356"/>
  <c r="DD356"/>
  <c r="DC356"/>
  <c r="DB356"/>
  <c r="DA356"/>
  <c r="CZ356"/>
  <c r="CY356"/>
  <c r="CX356"/>
  <c r="CW356"/>
  <c r="CV356"/>
  <c r="CU356"/>
  <c r="CT356"/>
  <c r="CS356"/>
  <c r="CR356"/>
  <c r="CQ356"/>
  <c r="CP356"/>
  <c r="CO356"/>
  <c r="CN356"/>
  <c r="CM356"/>
  <c r="CL356"/>
  <c r="D356"/>
  <c r="D355"/>
  <c r="D354"/>
  <c r="D353"/>
  <c r="D352"/>
  <c r="D351"/>
  <c r="D350"/>
  <c r="D349"/>
  <c r="DU348"/>
  <c r="DT348"/>
  <c r="DS348"/>
  <c r="DR348"/>
  <c r="DQ348"/>
  <c r="DP348"/>
  <c r="DO348"/>
  <c r="DN348"/>
  <c r="DM348"/>
  <c r="DL348"/>
  <c r="DK348"/>
  <c r="DJ348"/>
  <c r="DI348"/>
  <c r="DH348"/>
  <c r="DG348"/>
  <c r="DF348"/>
  <c r="DE348"/>
  <c r="DD348"/>
  <c r="DC348"/>
  <c r="DB348"/>
  <c r="DA348"/>
  <c r="CZ348"/>
  <c r="CY348"/>
  <c r="CX348"/>
  <c r="CW348"/>
  <c r="CV348"/>
  <c r="CU348"/>
  <c r="CT348"/>
  <c r="CS348"/>
  <c r="CR348"/>
  <c r="CQ348"/>
  <c r="CP348"/>
  <c r="CO348"/>
  <c r="CN348"/>
  <c r="CM348"/>
  <c r="CL348"/>
  <c r="D348"/>
  <c r="D347"/>
  <c r="D346"/>
  <c r="D345"/>
  <c r="D344"/>
  <c r="D343"/>
  <c r="DU342"/>
  <c r="DT342"/>
  <c r="DS342"/>
  <c r="DR342"/>
  <c r="DQ342"/>
  <c r="DP342"/>
  <c r="DO342"/>
  <c r="DN342"/>
  <c r="DM342"/>
  <c r="DL342"/>
  <c r="DK342"/>
  <c r="DJ342"/>
  <c r="DI342"/>
  <c r="DH342"/>
  <c r="DG342"/>
  <c r="DF342"/>
  <c r="DE342"/>
  <c r="DD342"/>
  <c r="DC342"/>
  <c r="DB342"/>
  <c r="DA342"/>
  <c r="CZ342"/>
  <c r="CY342"/>
  <c r="CX342"/>
  <c r="CW342"/>
  <c r="CV342"/>
  <c r="CU342"/>
  <c r="CT342"/>
  <c r="CS342"/>
  <c r="CR342"/>
  <c r="CQ342"/>
  <c r="CP342"/>
  <c r="CO342"/>
  <c r="CN342"/>
  <c r="CM342"/>
  <c r="CL342"/>
  <c r="D342"/>
  <c r="D341"/>
  <c r="D340"/>
  <c r="D339"/>
  <c r="D338"/>
  <c r="D337"/>
  <c r="D336"/>
  <c r="D335"/>
  <c r="DU334"/>
  <c r="DT334"/>
  <c r="DS334"/>
  <c r="DR334"/>
  <c r="DQ334"/>
  <c r="DP334"/>
  <c r="DO334"/>
  <c r="DN334"/>
  <c r="DM334"/>
  <c r="DL334"/>
  <c r="DK334"/>
  <c r="DJ334"/>
  <c r="DI334"/>
  <c r="DH334"/>
  <c r="DG334"/>
  <c r="DF334"/>
  <c r="DE334"/>
  <c r="DD334"/>
  <c r="DC334"/>
  <c r="DB334"/>
  <c r="DA334"/>
  <c r="CZ334"/>
  <c r="CY334"/>
  <c r="CX334"/>
  <c r="CW334"/>
  <c r="CV334"/>
  <c r="CU334"/>
  <c r="CT334"/>
  <c r="CS334"/>
  <c r="CR334"/>
  <c r="CQ334"/>
  <c r="CP334"/>
  <c r="CO334"/>
  <c r="CN334"/>
  <c r="CM334"/>
  <c r="CL334"/>
  <c r="D334"/>
  <c r="DU333"/>
  <c r="DT333"/>
  <c r="DS333"/>
  <c r="DR333"/>
  <c r="DQ333"/>
  <c r="DP333"/>
  <c r="DO333"/>
  <c r="DN333"/>
  <c r="DM333"/>
  <c r="DL333"/>
  <c r="DK333"/>
  <c r="DJ333"/>
  <c r="DI333"/>
  <c r="DH333"/>
  <c r="DG333"/>
  <c r="DF333"/>
  <c r="DE333"/>
  <c r="DD333"/>
  <c r="DC333"/>
  <c r="DB333"/>
  <c r="DA333"/>
  <c r="CZ333"/>
  <c r="CY333"/>
  <c r="CX333"/>
  <c r="CW333"/>
  <c r="CV333"/>
  <c r="CU333"/>
  <c r="CT333"/>
  <c r="CS333"/>
  <c r="CR333"/>
  <c r="CQ333"/>
  <c r="CP333"/>
  <c r="CO333"/>
  <c r="CN333"/>
  <c r="CM333"/>
  <c r="CL333"/>
  <c r="D333"/>
  <c r="D332"/>
  <c r="D331"/>
  <c r="D330"/>
  <c r="D329"/>
  <c r="D328"/>
  <c r="D327"/>
  <c r="D326"/>
  <c r="D325"/>
  <c r="D324"/>
  <c r="DU323"/>
  <c r="DT323"/>
  <c r="DS323"/>
  <c r="DR323"/>
  <c r="DQ323"/>
  <c r="DP323"/>
  <c r="DO323"/>
  <c r="DN323"/>
  <c r="DM323"/>
  <c r="DL323"/>
  <c r="DK323"/>
  <c r="DJ323"/>
  <c r="DI323"/>
  <c r="DH323"/>
  <c r="DG323"/>
  <c r="DF323"/>
  <c r="DE323"/>
  <c r="DD323"/>
  <c r="DC323"/>
  <c r="DB323"/>
  <c r="DA323"/>
  <c r="CZ323"/>
  <c r="CY323"/>
  <c r="CX323"/>
  <c r="CW323"/>
  <c r="CV323"/>
  <c r="CU323"/>
  <c r="CT323"/>
  <c r="CS323"/>
  <c r="CR323"/>
  <c r="CQ323"/>
  <c r="CP323"/>
  <c r="CO323"/>
  <c r="CN323"/>
  <c r="CM323"/>
  <c r="CL323"/>
  <c r="D323"/>
  <c r="D322"/>
  <c r="D321"/>
  <c r="D320"/>
  <c r="DU319"/>
  <c r="DT319"/>
  <c r="DS319"/>
  <c r="DR319"/>
  <c r="DQ319"/>
  <c r="DP319"/>
  <c r="DO319"/>
  <c r="DN319"/>
  <c r="DM319"/>
  <c r="DL319"/>
  <c r="DK319"/>
  <c r="DJ319"/>
  <c r="DI319"/>
  <c r="DH319"/>
  <c r="DG319"/>
  <c r="DF319"/>
  <c r="DE319"/>
  <c r="DD319"/>
  <c r="DC319"/>
  <c r="DB319"/>
  <c r="DA319"/>
  <c r="CZ319"/>
  <c r="CY319"/>
  <c r="CX319"/>
  <c r="CW319"/>
  <c r="CV319"/>
  <c r="CU319"/>
  <c r="CT319"/>
  <c r="CS319"/>
  <c r="CR319"/>
  <c r="CQ319"/>
  <c r="CP319"/>
  <c r="CO319"/>
  <c r="CN319"/>
  <c r="CM319"/>
  <c r="CL319"/>
  <c r="D319"/>
  <c r="D318"/>
  <c r="D317"/>
  <c r="D316"/>
  <c r="DU315"/>
  <c r="DT315"/>
  <c r="DS315"/>
  <c r="DR315"/>
  <c r="DQ315"/>
  <c r="DP315"/>
  <c r="DO315"/>
  <c r="DN315"/>
  <c r="DM315"/>
  <c r="DL315"/>
  <c r="DK315"/>
  <c r="DJ315"/>
  <c r="DI315"/>
  <c r="DH315"/>
  <c r="DG315"/>
  <c r="DF315"/>
  <c r="DE315"/>
  <c r="DD315"/>
  <c r="DC315"/>
  <c r="DB315"/>
  <c r="DA315"/>
  <c r="CZ315"/>
  <c r="CY315"/>
  <c r="CX315"/>
  <c r="CW315"/>
  <c r="CV315"/>
  <c r="CU315"/>
  <c r="CT315"/>
  <c r="CS315"/>
  <c r="CR315"/>
  <c r="CQ315"/>
  <c r="CP315"/>
  <c r="CO315"/>
  <c r="CN315"/>
  <c r="CM315"/>
  <c r="CL315"/>
  <c r="D315"/>
  <c r="D314"/>
  <c r="D313"/>
  <c r="DU312"/>
  <c r="DT312"/>
  <c r="DS312"/>
  <c r="DR312"/>
  <c r="DQ312"/>
  <c r="DP312"/>
  <c r="DO312"/>
  <c r="DN312"/>
  <c r="DM312"/>
  <c r="DL312"/>
  <c r="DK312"/>
  <c r="DJ312"/>
  <c r="DI312"/>
  <c r="DH312"/>
  <c r="DG312"/>
  <c r="DF312"/>
  <c r="DE312"/>
  <c r="DD312"/>
  <c r="DC312"/>
  <c r="DB312"/>
  <c r="DA312"/>
  <c r="CZ312"/>
  <c r="CY312"/>
  <c r="CX312"/>
  <c r="CW312"/>
  <c r="CV312"/>
  <c r="CU312"/>
  <c r="CT312"/>
  <c r="CS312"/>
  <c r="CR312"/>
  <c r="CQ312"/>
  <c r="CP312"/>
  <c r="CO312"/>
  <c r="CN312"/>
  <c r="CM312"/>
  <c r="CL312"/>
  <c r="D312"/>
  <c r="D311"/>
  <c r="D310"/>
  <c r="DI309"/>
  <c r="D309"/>
  <c r="DU308"/>
  <c r="DT308"/>
  <c r="DS308"/>
  <c r="DR308"/>
  <c r="DQ308"/>
  <c r="DP308"/>
  <c r="DO308"/>
  <c r="DN308"/>
  <c r="DM308"/>
  <c r="DL308"/>
  <c r="DK308"/>
  <c r="DJ308"/>
  <c r="DI308"/>
  <c r="DH308"/>
  <c r="DG308"/>
  <c r="DF308"/>
  <c r="DE308"/>
  <c r="DD308"/>
  <c r="DC308"/>
  <c r="DB308"/>
  <c r="DA308"/>
  <c r="CZ308"/>
  <c r="CY308"/>
  <c r="CX308"/>
  <c r="CW308"/>
  <c r="CV308"/>
  <c r="CU308"/>
  <c r="CT308"/>
  <c r="CS308"/>
  <c r="CR308"/>
  <c r="CQ308"/>
  <c r="CP308"/>
  <c r="CO308"/>
  <c r="CN308"/>
  <c r="CM308"/>
  <c r="CL308"/>
  <c r="D308"/>
  <c r="D307"/>
  <c r="D306"/>
  <c r="D305"/>
  <c r="D304"/>
  <c r="D303"/>
  <c r="D302"/>
  <c r="D301"/>
  <c r="D300"/>
  <c r="D299"/>
  <c r="DU298"/>
  <c r="DT298"/>
  <c r="DS298"/>
  <c r="DR298"/>
  <c r="DQ298"/>
  <c r="DP298"/>
  <c r="DO298"/>
  <c r="DN298"/>
  <c r="DM298"/>
  <c r="DL298"/>
  <c r="DK298"/>
  <c r="DJ298"/>
  <c r="DI298"/>
  <c r="DH298"/>
  <c r="DG298"/>
  <c r="DF298"/>
  <c r="DE298"/>
  <c r="DD298"/>
  <c r="DC298"/>
  <c r="DB298"/>
  <c r="DA298"/>
  <c r="CZ298"/>
  <c r="CY298"/>
  <c r="CX298"/>
  <c r="CW298"/>
  <c r="CV298"/>
  <c r="CU298"/>
  <c r="CT298"/>
  <c r="CS298"/>
  <c r="CR298"/>
  <c r="CQ298"/>
  <c r="CP298"/>
  <c r="CO298"/>
  <c r="CN298"/>
  <c r="CM298"/>
  <c r="CL298"/>
  <c r="D298"/>
  <c r="D297"/>
  <c r="D296"/>
  <c r="D295"/>
  <c r="D294"/>
  <c r="D293"/>
  <c r="D292"/>
  <c r="DU291"/>
  <c r="DT291"/>
  <c r="DS291"/>
  <c r="DR291"/>
  <c r="DQ291"/>
  <c r="DP291"/>
  <c r="DO291"/>
  <c r="DN291"/>
  <c r="DM291"/>
  <c r="DL291"/>
  <c r="DK291"/>
  <c r="DJ291"/>
  <c r="DI291"/>
  <c r="DH291"/>
  <c r="DG291"/>
  <c r="DF291"/>
  <c r="DE291"/>
  <c r="DD291"/>
  <c r="DC291"/>
  <c r="DB291"/>
  <c r="DA291"/>
  <c r="CZ291"/>
  <c r="CY291"/>
  <c r="CX291"/>
  <c r="CW291"/>
  <c r="CV291"/>
  <c r="CU291"/>
  <c r="CT291"/>
  <c r="CS291"/>
  <c r="CR291"/>
  <c r="CQ291"/>
  <c r="CP291"/>
  <c r="CO291"/>
  <c r="CN291"/>
  <c r="CM291"/>
  <c r="CL291"/>
  <c r="D291"/>
  <c r="D290"/>
  <c r="D289"/>
  <c r="D288"/>
  <c r="D287"/>
  <c r="D286"/>
  <c r="D285"/>
  <c r="D284"/>
  <c r="DU283"/>
  <c r="DT283"/>
  <c r="DS283"/>
  <c r="DR283"/>
  <c r="DQ283"/>
  <c r="DP283"/>
  <c r="DO283"/>
  <c r="DN283"/>
  <c r="DM283"/>
  <c r="DL283"/>
  <c r="DK283"/>
  <c r="DJ283"/>
  <c r="DI283"/>
  <c r="DH283"/>
  <c r="DG283"/>
  <c r="DF283"/>
  <c r="DE283"/>
  <c r="DD283"/>
  <c r="DC283"/>
  <c r="DB283"/>
  <c r="DA283"/>
  <c r="CZ283"/>
  <c r="CY283"/>
  <c r="CX283"/>
  <c r="CW283"/>
  <c r="CV283"/>
  <c r="CU283"/>
  <c r="CT283"/>
  <c r="CS283"/>
  <c r="CR283"/>
  <c r="CQ283"/>
  <c r="CP283"/>
  <c r="CO283"/>
  <c r="CN283"/>
  <c r="CM283"/>
  <c r="CL283"/>
  <c r="D283"/>
  <c r="D282"/>
  <c r="D281"/>
  <c r="D280"/>
  <c r="D279"/>
  <c r="D278"/>
  <c r="DU277"/>
  <c r="DT277"/>
  <c r="DS277"/>
  <c r="DR277"/>
  <c r="DQ277"/>
  <c r="DP277"/>
  <c r="DO277"/>
  <c r="DN277"/>
  <c r="DM277"/>
  <c r="DL277"/>
  <c r="DK277"/>
  <c r="DJ277"/>
  <c r="DI277"/>
  <c r="DH277"/>
  <c r="DG277"/>
  <c r="DF277"/>
  <c r="DE277"/>
  <c r="DD277"/>
  <c r="DC277"/>
  <c r="DB277"/>
  <c r="DA277"/>
  <c r="CZ277"/>
  <c r="CY277"/>
  <c r="CX277"/>
  <c r="CW277"/>
  <c r="CV277"/>
  <c r="CU277"/>
  <c r="CT277"/>
  <c r="CS277"/>
  <c r="CR277"/>
  <c r="CQ277"/>
  <c r="CP277"/>
  <c r="CO277"/>
  <c r="CN277"/>
  <c r="CM277"/>
  <c r="CL277"/>
  <c r="D277"/>
  <c r="D276"/>
  <c r="D275"/>
  <c r="D274"/>
  <c r="D273"/>
  <c r="DU272"/>
  <c r="DT272"/>
  <c r="DS272"/>
  <c r="DR272"/>
  <c r="DQ272"/>
  <c r="DP272"/>
  <c r="DO272"/>
  <c r="DN272"/>
  <c r="DM272"/>
  <c r="DL272"/>
  <c r="DK272"/>
  <c r="DJ272"/>
  <c r="DI272"/>
  <c r="DH272"/>
  <c r="DG272"/>
  <c r="DF272"/>
  <c r="DE272"/>
  <c r="DD272"/>
  <c r="DC272"/>
  <c r="DB272"/>
  <c r="DA272"/>
  <c r="CZ272"/>
  <c r="CY272"/>
  <c r="CX272"/>
  <c r="CW272"/>
  <c r="CV272"/>
  <c r="CU272"/>
  <c r="CT272"/>
  <c r="CS272"/>
  <c r="CR272"/>
  <c r="CQ272"/>
  <c r="CP272"/>
  <c r="CO272"/>
  <c r="CN272"/>
  <c r="CM272"/>
  <c r="CL272"/>
  <c r="D272"/>
  <c r="D271"/>
  <c r="D270"/>
  <c r="D269"/>
  <c r="D268"/>
  <c r="D267"/>
  <c r="D266"/>
  <c r="D265"/>
  <c r="D264"/>
  <c r="D263"/>
  <c r="D262"/>
  <c r="D261"/>
  <c r="D260"/>
  <c r="D259"/>
  <c r="D258"/>
  <c r="D257"/>
  <c r="DU256"/>
  <c r="DT256"/>
  <c r="DS256"/>
  <c r="DR256"/>
  <c r="DQ256"/>
  <c r="DP256"/>
  <c r="DO256"/>
  <c r="DN256"/>
  <c r="DM256"/>
  <c r="DL256"/>
  <c r="DK256"/>
  <c r="DJ256"/>
  <c r="DI256"/>
  <c r="DH256"/>
  <c r="DG256"/>
  <c r="DF256"/>
  <c r="DE256"/>
  <c r="DD256"/>
  <c r="DC256"/>
  <c r="DB256"/>
  <c r="DA256"/>
  <c r="CZ256"/>
  <c r="CY256"/>
  <c r="CX256"/>
  <c r="CW256"/>
  <c r="CV256"/>
  <c r="CU256"/>
  <c r="CT256"/>
  <c r="CS256"/>
  <c r="CR256"/>
  <c r="CQ256"/>
  <c r="CP256"/>
  <c r="CO256"/>
  <c r="CN256"/>
  <c r="CM256"/>
  <c r="CL256"/>
  <c r="D256"/>
  <c r="D255"/>
  <c r="D254"/>
  <c r="D253"/>
  <c r="D252"/>
  <c r="D251"/>
  <c r="D250"/>
  <c r="D249"/>
  <c r="D248"/>
  <c r="D247"/>
  <c r="DQ246"/>
  <c r="DP246"/>
  <c r="DO246"/>
  <c r="DN246"/>
  <c r="DM246"/>
  <c r="DL246"/>
  <c r="DK246"/>
  <c r="DJ246"/>
  <c r="DI246"/>
  <c r="DH246"/>
  <c r="DG246"/>
  <c r="DF246"/>
  <c r="DE246"/>
  <c r="DD246"/>
  <c r="DC246"/>
  <c r="DB246"/>
  <c r="DA246"/>
  <c r="CZ246"/>
  <c r="CY246"/>
  <c r="CX246"/>
  <c r="CW246"/>
  <c r="CV246"/>
  <c r="CU246"/>
  <c r="CT246"/>
  <c r="CS246"/>
  <c r="CR246"/>
  <c r="CQ246"/>
  <c r="CP246"/>
  <c r="CO246"/>
  <c r="CN246"/>
  <c r="CM246"/>
  <c r="CL246"/>
  <c r="D246"/>
  <c r="D245"/>
  <c r="D244"/>
  <c r="D243"/>
  <c r="D242"/>
  <c r="D241"/>
  <c r="D240"/>
  <c r="DU239"/>
  <c r="DT239"/>
  <c r="DS239"/>
  <c r="DR239"/>
  <c r="DQ239"/>
  <c r="DP239"/>
  <c r="DO239"/>
  <c r="DN239"/>
  <c r="DM239"/>
  <c r="DL239"/>
  <c r="DK239"/>
  <c r="DJ239"/>
  <c r="DI239"/>
  <c r="DH239"/>
  <c r="DG239"/>
  <c r="DF239"/>
  <c r="DE239"/>
  <c r="DD239"/>
  <c r="DC239"/>
  <c r="DB239"/>
  <c r="DA239"/>
  <c r="CZ239"/>
  <c r="CY239"/>
  <c r="CX239"/>
  <c r="CW239"/>
  <c r="CV239"/>
  <c r="CU239"/>
  <c r="CT239"/>
  <c r="CS239"/>
  <c r="CR239"/>
  <c r="CQ239"/>
  <c r="CP239"/>
  <c r="CO239"/>
  <c r="CN239"/>
  <c r="CM239"/>
  <c r="CL239"/>
  <c r="D239"/>
  <c r="D238"/>
  <c r="D237"/>
  <c r="D236"/>
  <c r="D235"/>
  <c r="DU234"/>
  <c r="DT234"/>
  <c r="DS234"/>
  <c r="DR234"/>
  <c r="DQ234"/>
  <c r="DP234"/>
  <c r="DO234"/>
  <c r="DN234"/>
  <c r="DM234"/>
  <c r="DL234"/>
  <c r="DK234"/>
  <c r="DJ234"/>
  <c r="DI234"/>
  <c r="DH234"/>
  <c r="DG234"/>
  <c r="DF234"/>
  <c r="DE234"/>
  <c r="DD234"/>
  <c r="DC234"/>
  <c r="DB234"/>
  <c r="DA234"/>
  <c r="CZ234"/>
  <c r="CY234"/>
  <c r="CX234"/>
  <c r="CW234"/>
  <c r="CV234"/>
  <c r="CU234"/>
  <c r="CT234"/>
  <c r="CS234"/>
  <c r="CR234"/>
  <c r="CQ234"/>
  <c r="CP234"/>
  <c r="CO234"/>
  <c r="CN234"/>
  <c r="CM234"/>
  <c r="CL234"/>
  <c r="D234"/>
  <c r="D233"/>
  <c r="D232"/>
  <c r="D231"/>
  <c r="D230"/>
  <c r="D229"/>
  <c r="D228"/>
  <c r="D227"/>
  <c r="D226"/>
  <c r="DU225"/>
  <c r="DT225"/>
  <c r="DS225"/>
  <c r="DR225"/>
  <c r="DQ225"/>
  <c r="DP225"/>
  <c r="DO225"/>
  <c r="DN225"/>
  <c r="DM225"/>
  <c r="DL225"/>
  <c r="DK225"/>
  <c r="DJ225"/>
  <c r="DI225"/>
  <c r="DH225"/>
  <c r="DG225"/>
  <c r="DF225"/>
  <c r="DE225"/>
  <c r="DD225"/>
  <c r="DC225"/>
  <c r="DB225"/>
  <c r="DA225"/>
  <c r="CZ225"/>
  <c r="CY225"/>
  <c r="CX225"/>
  <c r="CW225"/>
  <c r="CV225"/>
  <c r="CU225"/>
  <c r="CT225"/>
  <c r="CS225"/>
  <c r="CR225"/>
  <c r="CQ225"/>
  <c r="CP225"/>
  <c r="CO225"/>
  <c r="CN225"/>
  <c r="CM225"/>
  <c r="CL225"/>
  <c r="D225"/>
  <c r="DJ224"/>
  <c r="D224"/>
  <c r="DU223"/>
  <c r="DT223"/>
  <c r="DS223"/>
  <c r="DR223"/>
  <c r="DQ223"/>
  <c r="DP223"/>
  <c r="DO223"/>
  <c r="DN223"/>
  <c r="DM223"/>
  <c r="DL223"/>
  <c r="DK223"/>
  <c r="DJ223"/>
  <c r="D223"/>
  <c r="R12" i="4"/>
  <c r="R13"/>
  <c r="R14"/>
  <c r="R15"/>
  <c r="R16"/>
  <c r="R17"/>
  <c r="R18"/>
  <c r="R19"/>
  <c r="R20"/>
  <c r="DI24" i="6"/>
  <c r="R25" i="4"/>
  <c r="DI31" i="6"/>
  <c r="R26" i="4"/>
  <c r="DI41" i="6"/>
  <c r="R27" i="4"/>
  <c r="DI50" i="6"/>
  <c r="R28" i="4"/>
  <c r="DI53" i="6"/>
  <c r="R29" i="4"/>
  <c r="R33"/>
  <c r="R34"/>
  <c r="R35"/>
  <c r="R36"/>
  <c r="R37"/>
  <c r="R38"/>
  <c r="R39"/>
  <c r="R40"/>
  <c r="R41"/>
  <c r="R42"/>
  <c r="R44"/>
  <c r="R45"/>
  <c r="R46"/>
  <c r="R47"/>
  <c r="R48"/>
  <c r="R49"/>
  <c r="R50"/>
  <c r="R51"/>
  <c r="R52"/>
  <c r="R53"/>
  <c r="R54"/>
  <c r="Q12"/>
  <c r="Q13"/>
  <c r="Q14"/>
  <c r="Q15"/>
  <c r="Q16"/>
  <c r="Q17"/>
  <c r="Q18"/>
  <c r="Q19"/>
  <c r="Q20"/>
  <c r="DH24" i="6"/>
  <c r="Q25" i="4"/>
  <c r="DH31" i="6"/>
  <c r="Q26" i="4"/>
  <c r="DH41" i="6"/>
  <c r="Q27" i="4"/>
  <c r="DH50" i="6"/>
  <c r="Q28" i="4"/>
  <c r="DH53" i="6"/>
  <c r="Q29" i="4"/>
  <c r="Q33"/>
  <c r="Q34"/>
  <c r="Q35"/>
  <c r="Q36"/>
  <c r="Q37"/>
  <c r="Q38"/>
  <c r="Q39"/>
  <c r="Q40"/>
  <c r="Q41"/>
  <c r="Q42"/>
  <c r="Q44"/>
  <c r="Q45"/>
  <c r="Q46"/>
  <c r="Q47"/>
  <c r="Q48"/>
  <c r="Q49"/>
  <c r="Q50"/>
  <c r="Q51"/>
  <c r="Q52"/>
  <c r="Q53"/>
  <c r="Q54"/>
  <c r="P12"/>
  <c r="P13"/>
  <c r="P14"/>
  <c r="P15"/>
  <c r="P16"/>
  <c r="P17"/>
  <c r="P18"/>
  <c r="P19"/>
  <c r="P20"/>
  <c r="DG24" i="6"/>
  <c r="P25" i="4"/>
  <c r="DG31" i="6"/>
  <c r="P26" i="4"/>
  <c r="DG41" i="6"/>
  <c r="P27" i="4"/>
  <c r="DG50" i="6"/>
  <c r="P28" i="4"/>
  <c r="DG53" i="6"/>
  <c r="P29" i="4"/>
  <c r="P33"/>
  <c r="P34"/>
  <c r="P35"/>
  <c r="P36"/>
  <c r="P37"/>
  <c r="P38"/>
  <c r="P39"/>
  <c r="P40"/>
  <c r="P41"/>
  <c r="P42"/>
  <c r="P44"/>
  <c r="P45"/>
  <c r="P46"/>
  <c r="P47"/>
  <c r="P48"/>
  <c r="P49"/>
  <c r="P50"/>
  <c r="P51"/>
  <c r="P52"/>
  <c r="P53"/>
  <c r="P54"/>
  <c r="O12"/>
  <c r="O13"/>
  <c r="O14"/>
  <c r="O15"/>
  <c r="O16"/>
  <c r="O17"/>
  <c r="O18"/>
  <c r="O19"/>
  <c r="O20"/>
  <c r="DF24" i="6"/>
  <c r="O25" i="4"/>
  <c r="DF31" i="6"/>
  <c r="O26" i="4"/>
  <c r="DF41" i="6"/>
  <c r="O27" i="4"/>
  <c r="DF50" i="6"/>
  <c r="O28" i="4"/>
  <c r="DF53" i="6"/>
  <c r="O29" i="4"/>
  <c r="O33"/>
  <c r="O34"/>
  <c r="O35"/>
  <c r="O36"/>
  <c r="O37"/>
  <c r="O38"/>
  <c r="O39"/>
  <c r="O40"/>
  <c r="O41"/>
  <c r="O42"/>
  <c r="O44"/>
  <c r="O45"/>
  <c r="O46"/>
  <c r="O47"/>
  <c r="O48"/>
  <c r="O49"/>
  <c r="O50"/>
  <c r="O51"/>
  <c r="O52"/>
  <c r="O53"/>
  <c r="O54"/>
  <c r="N12"/>
  <c r="N13"/>
  <c r="N14"/>
  <c r="N15"/>
  <c r="N16"/>
  <c r="N17"/>
  <c r="N18"/>
  <c r="N19"/>
  <c r="N20"/>
  <c r="DE24" i="6"/>
  <c r="N25" i="4"/>
  <c r="DE31" i="6"/>
  <c r="N26" i="4"/>
  <c r="DE41" i="6"/>
  <c r="N27" i="4"/>
  <c r="DE50" i="6"/>
  <c r="N28" i="4"/>
  <c r="DE53" i="6"/>
  <c r="N29" i="4"/>
  <c r="N33"/>
  <c r="N34"/>
  <c r="N35"/>
  <c r="N36"/>
  <c r="N37"/>
  <c r="N38"/>
  <c r="N39"/>
  <c r="N40"/>
  <c r="N41"/>
  <c r="N42"/>
  <c r="N44"/>
  <c r="N45"/>
  <c r="N46"/>
  <c r="N47"/>
  <c r="N48"/>
  <c r="N49"/>
  <c r="N50"/>
  <c r="N51"/>
  <c r="N52"/>
  <c r="N53"/>
  <c r="N54"/>
  <c r="M12"/>
  <c r="M13"/>
  <c r="M14"/>
  <c r="M15"/>
  <c r="M16"/>
  <c r="M17"/>
  <c r="M18"/>
  <c r="M19"/>
  <c r="M20"/>
  <c r="DD24" i="6"/>
  <c r="M25" i="4"/>
  <c r="DD31" i="6"/>
  <c r="M26" i="4"/>
  <c r="DD41" i="6"/>
  <c r="M27" i="4"/>
  <c r="DD50" i="6"/>
  <c r="M28" i="4"/>
  <c r="DD53" i="6"/>
  <c r="M29" i="4"/>
  <c r="M33"/>
  <c r="M34"/>
  <c r="M35"/>
  <c r="M36"/>
  <c r="M37"/>
  <c r="M38"/>
  <c r="M39"/>
  <c r="M40"/>
  <c r="M41"/>
  <c r="M42"/>
  <c r="M44"/>
  <c r="M45"/>
  <c r="M46"/>
  <c r="M47"/>
  <c r="M48"/>
  <c r="M49"/>
  <c r="M50"/>
  <c r="M51"/>
  <c r="M52"/>
  <c r="M53"/>
  <c r="M54"/>
  <c r="L12"/>
  <c r="L13"/>
  <c r="L14"/>
  <c r="L15"/>
  <c r="L16"/>
  <c r="L17"/>
  <c r="L18"/>
  <c r="L19"/>
  <c r="L20"/>
  <c r="DC24" i="6"/>
  <c r="L25" i="4"/>
  <c r="DC31" i="6"/>
  <c r="L26" i="4"/>
  <c r="DC41" i="6"/>
  <c r="L27" i="4"/>
  <c r="DC50" i="6"/>
  <c r="L28" i="4"/>
  <c r="DC53" i="6"/>
  <c r="L29" i="4"/>
  <c r="L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4"/>
  <c r="K12"/>
  <c r="K13"/>
  <c r="K14"/>
  <c r="K15"/>
  <c r="K16"/>
  <c r="K17"/>
  <c r="K18"/>
  <c r="K19"/>
  <c r="K20"/>
  <c r="DB24" i="6"/>
  <c r="K25" i="4"/>
  <c r="DB31" i="6"/>
  <c r="K26" i="4"/>
  <c r="DB41" i="6"/>
  <c r="K27" i="4"/>
  <c r="DB50" i="6"/>
  <c r="K28" i="4"/>
  <c r="DB53" i="6"/>
  <c r="K29" i="4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4"/>
  <c r="J12"/>
  <c r="J13"/>
  <c r="J14"/>
  <c r="J15"/>
  <c r="J16"/>
  <c r="J17"/>
  <c r="J18"/>
  <c r="J19"/>
  <c r="J20"/>
  <c r="DA24" i="6"/>
  <c r="J25" i="4"/>
  <c r="DA31" i="6"/>
  <c r="J26" i="4"/>
  <c r="DA41" i="6"/>
  <c r="J27" i="4"/>
  <c r="DA50" i="6"/>
  <c r="J28" i="4"/>
  <c r="DA53" i="6"/>
  <c r="J29" i="4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4"/>
  <c r="I12"/>
  <c r="I13"/>
  <c r="I14"/>
  <c r="I15"/>
  <c r="I16"/>
  <c r="I17"/>
  <c r="I18"/>
  <c r="I19"/>
  <c r="I20"/>
  <c r="CZ24" i="6"/>
  <c r="I25" i="4"/>
  <c r="CZ31" i="6"/>
  <c r="I26" i="4"/>
  <c r="CZ41" i="6"/>
  <c r="I27" i="4"/>
  <c r="CZ50" i="6"/>
  <c r="I28" i="4"/>
  <c r="CZ53" i="6"/>
  <c r="I29" i="4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4"/>
  <c r="H12"/>
  <c r="H13"/>
  <c r="H14"/>
  <c r="H15"/>
  <c r="H16"/>
  <c r="H17"/>
  <c r="H18"/>
  <c r="H19"/>
  <c r="H20"/>
  <c r="CY24" i="6"/>
  <c r="H25" i="4"/>
  <c r="CY31" i="6"/>
  <c r="H26" i="4"/>
  <c r="CY41" i="6"/>
  <c r="H27" i="4"/>
  <c r="CY50" i="6"/>
  <c r="H28" i="4"/>
  <c r="CY53" i="6"/>
  <c r="H29" i="4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4"/>
  <c r="G12"/>
  <c r="G13"/>
  <c r="G14"/>
  <c r="G15"/>
  <c r="G16"/>
  <c r="G17"/>
  <c r="G18"/>
  <c r="G19"/>
  <c r="G20"/>
  <c r="CX24" i="6"/>
  <c r="G25" i="4"/>
  <c r="CX31" i="6"/>
  <c r="G26" i="4"/>
  <c r="CX41" i="6"/>
  <c r="G27" i="4"/>
  <c r="CX50" i="6"/>
  <c r="G28" i="4"/>
  <c r="CX53" i="6"/>
  <c r="G29" i="4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R12" i="8"/>
  <c r="R13"/>
  <c r="R14"/>
  <c r="R15"/>
  <c r="R16"/>
  <c r="R17"/>
  <c r="R18"/>
  <c r="R19"/>
  <c r="R20"/>
  <c r="R25"/>
  <c r="R26"/>
  <c r="R27"/>
  <c r="R28"/>
  <c r="R29"/>
  <c r="R33"/>
  <c r="R34"/>
  <c r="R35"/>
  <c r="R36"/>
  <c r="R37"/>
  <c r="R38"/>
  <c r="R39"/>
  <c r="R40"/>
  <c r="R41"/>
  <c r="R42"/>
  <c r="R44"/>
  <c r="R45"/>
  <c r="R46"/>
  <c r="R47"/>
  <c r="R48"/>
  <c r="R49"/>
  <c r="R50"/>
  <c r="R51"/>
  <c r="R52"/>
  <c r="R53"/>
  <c r="R54"/>
  <c r="R55"/>
  <c r="Q12"/>
  <c r="Q13"/>
  <c r="Q14"/>
  <c r="Q15"/>
  <c r="Q16"/>
  <c r="Q17"/>
  <c r="Q18"/>
  <c r="Q19"/>
  <c r="Q20"/>
  <c r="Q25"/>
  <c r="Q26"/>
  <c r="Q27"/>
  <c r="Q28"/>
  <c r="Q29"/>
  <c r="Q33"/>
  <c r="Q34"/>
  <c r="Q35"/>
  <c r="Q36"/>
  <c r="Q37"/>
  <c r="Q38"/>
  <c r="Q39"/>
  <c r="Q40"/>
  <c r="Q41"/>
  <c r="Q42"/>
  <c r="Q44"/>
  <c r="Q45"/>
  <c r="Q46"/>
  <c r="Q47"/>
  <c r="Q48"/>
  <c r="Q49"/>
  <c r="Q50"/>
  <c r="Q51"/>
  <c r="Q52"/>
  <c r="Q53"/>
  <c r="Q54"/>
  <c r="Q55"/>
  <c r="P12"/>
  <c r="P13"/>
  <c r="P14"/>
  <c r="P15"/>
  <c r="P16"/>
  <c r="P17"/>
  <c r="P18"/>
  <c r="P19"/>
  <c r="P20"/>
  <c r="P25"/>
  <c r="P26"/>
  <c r="P27"/>
  <c r="P28"/>
  <c r="P29"/>
  <c r="P33"/>
  <c r="P34"/>
  <c r="P35"/>
  <c r="P36"/>
  <c r="P37"/>
  <c r="P38"/>
  <c r="P39"/>
  <c r="P40"/>
  <c r="P41"/>
  <c r="P42"/>
  <c r="P44"/>
  <c r="P45"/>
  <c r="P46"/>
  <c r="P47"/>
  <c r="P48"/>
  <c r="P49"/>
  <c r="P50"/>
  <c r="P51"/>
  <c r="P52"/>
  <c r="P53"/>
  <c r="P54"/>
  <c r="P55"/>
  <c r="O12"/>
  <c r="O13"/>
  <c r="O14"/>
  <c r="O15"/>
  <c r="O16"/>
  <c r="O17"/>
  <c r="O18"/>
  <c r="O19"/>
  <c r="O11"/>
  <c r="O20"/>
  <c r="O25"/>
  <c r="O26"/>
  <c r="O27"/>
  <c r="O28"/>
  <c r="O29"/>
  <c r="O33"/>
  <c r="O34"/>
  <c r="O35"/>
  <c r="O36"/>
  <c r="O37"/>
  <c r="O38"/>
  <c r="O39"/>
  <c r="O40"/>
  <c r="O41"/>
  <c r="O42"/>
  <c r="O44"/>
  <c r="O45"/>
  <c r="O46"/>
  <c r="O47"/>
  <c r="O48"/>
  <c r="O49"/>
  <c r="O50"/>
  <c r="O51"/>
  <c r="O52"/>
  <c r="O53"/>
  <c r="O54"/>
  <c r="O55"/>
  <c r="N12"/>
  <c r="N13"/>
  <c r="N14"/>
  <c r="N15"/>
  <c r="N16"/>
  <c r="N17"/>
  <c r="N18"/>
  <c r="N19"/>
  <c r="N20"/>
  <c r="N25"/>
  <c r="N26"/>
  <c r="N27"/>
  <c r="N28"/>
  <c r="N29"/>
  <c r="N33"/>
  <c r="N34"/>
  <c r="N35"/>
  <c r="N36"/>
  <c r="N37"/>
  <c r="N38"/>
  <c r="N39"/>
  <c r="N40"/>
  <c r="N41"/>
  <c r="N42"/>
  <c r="N44"/>
  <c r="N45"/>
  <c r="N46"/>
  <c r="N47"/>
  <c r="N48"/>
  <c r="N49"/>
  <c r="N50"/>
  <c r="N51"/>
  <c r="N52"/>
  <c r="N53"/>
  <c r="N54"/>
  <c r="N55"/>
  <c r="M12"/>
  <c r="M13"/>
  <c r="M14"/>
  <c r="M15"/>
  <c r="M16"/>
  <c r="M17"/>
  <c r="M18"/>
  <c r="M19"/>
  <c r="M20"/>
  <c r="M25"/>
  <c r="M26"/>
  <c r="M27"/>
  <c r="M28"/>
  <c r="M29"/>
  <c r="M33"/>
  <c r="M34"/>
  <c r="M35"/>
  <c r="M36"/>
  <c r="M37"/>
  <c r="M38"/>
  <c r="M39"/>
  <c r="M40"/>
  <c r="M41"/>
  <c r="M42"/>
  <c r="M44"/>
  <c r="M45"/>
  <c r="M46"/>
  <c r="M47"/>
  <c r="M48"/>
  <c r="M43"/>
  <c r="M49"/>
  <c r="M50"/>
  <c r="M51"/>
  <c r="M52"/>
  <c r="M53"/>
  <c r="M54"/>
  <c r="M55"/>
  <c r="L12"/>
  <c r="L13"/>
  <c r="L14"/>
  <c r="L15"/>
  <c r="L16"/>
  <c r="L17"/>
  <c r="L18"/>
  <c r="L19"/>
  <c r="L20"/>
  <c r="L25"/>
  <c r="L26"/>
  <c r="L27"/>
  <c r="L28"/>
  <c r="L29"/>
  <c r="L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4"/>
  <c r="L55"/>
  <c r="K12"/>
  <c r="K13"/>
  <c r="K14"/>
  <c r="K15"/>
  <c r="K16"/>
  <c r="K17"/>
  <c r="K18"/>
  <c r="K19"/>
  <c r="K11"/>
  <c r="K20"/>
  <c r="K25"/>
  <c r="K26"/>
  <c r="K27"/>
  <c r="K28"/>
  <c r="K29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4"/>
  <c r="K55"/>
  <c r="J12"/>
  <c r="J13"/>
  <c r="J14"/>
  <c r="J15"/>
  <c r="J16"/>
  <c r="J17"/>
  <c r="J18"/>
  <c r="J19"/>
  <c r="J20"/>
  <c r="J25"/>
  <c r="J26"/>
  <c r="J27"/>
  <c r="J28"/>
  <c r="J29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4"/>
  <c r="J55"/>
  <c r="I12"/>
  <c r="I13"/>
  <c r="I14"/>
  <c r="I15"/>
  <c r="I16"/>
  <c r="I17"/>
  <c r="I18"/>
  <c r="I19"/>
  <c r="I20"/>
  <c r="I25"/>
  <c r="I26"/>
  <c r="I27"/>
  <c r="I28"/>
  <c r="I29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4"/>
  <c r="I55"/>
  <c r="H12"/>
  <c r="H13"/>
  <c r="H14"/>
  <c r="H15"/>
  <c r="H16"/>
  <c r="H17"/>
  <c r="H18"/>
  <c r="H19"/>
  <c r="H20"/>
  <c r="H25"/>
  <c r="H26"/>
  <c r="H27"/>
  <c r="H28"/>
  <c r="H29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4"/>
  <c r="H55"/>
  <c r="G12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3"/>
  <c r="G49"/>
  <c r="G50"/>
  <c r="G51"/>
  <c r="G52"/>
  <c r="G53"/>
  <c r="G54"/>
  <c r="G55"/>
  <c r="E199" i="6"/>
  <c r="E198"/>
  <c r="E197"/>
  <c r="DI57"/>
  <c r="DH57"/>
  <c r="DG57"/>
  <c r="DF57"/>
  <c r="DE57"/>
  <c r="DD57"/>
  <c r="DC57"/>
  <c r="DB57"/>
  <c r="DA57"/>
  <c r="CZ57"/>
  <c r="CY57"/>
  <c r="CX57"/>
  <c r="DI56"/>
  <c r="DH56"/>
  <c r="DG56"/>
  <c r="DF56"/>
  <c r="DE56"/>
  <c r="DD56"/>
  <c r="DC56"/>
  <c r="DB56"/>
  <c r="DA56"/>
  <c r="CZ56"/>
  <c r="CY56"/>
  <c r="CX56"/>
  <c r="DI47"/>
  <c r="DH47"/>
  <c r="DG47"/>
  <c r="DF47"/>
  <c r="DE47"/>
  <c r="DD47"/>
  <c r="DC47"/>
  <c r="DB47"/>
  <c r="DA47"/>
  <c r="CZ47"/>
  <c r="CY47"/>
  <c r="CX47"/>
  <c r="DI5"/>
  <c r="DH5"/>
  <c r="DG5"/>
  <c r="DF5"/>
  <c r="DE5"/>
  <c r="DD5"/>
  <c r="DC5"/>
  <c r="DB5"/>
  <c r="DA5"/>
  <c r="CZ5"/>
  <c r="CY5"/>
  <c r="CX5"/>
  <c r="DI4"/>
  <c r="DH4"/>
  <c r="DG4"/>
  <c r="DF4"/>
  <c r="DE4"/>
  <c r="DD4"/>
  <c r="DC4"/>
  <c r="DB4"/>
  <c r="DA4"/>
  <c r="CZ4"/>
  <c r="CY4"/>
  <c r="CX4"/>
  <c r="A106" i="9"/>
  <c r="G100"/>
  <c r="G106"/>
  <c r="A107"/>
  <c r="G107"/>
  <c r="A108"/>
  <c r="G108"/>
  <c r="A109"/>
  <c r="G109"/>
  <c r="A110"/>
  <c r="G110"/>
  <c r="A111"/>
  <c r="G111"/>
  <c r="A112"/>
  <c r="G112"/>
  <c r="A113"/>
  <c r="G113"/>
  <c r="A115"/>
  <c r="G115"/>
  <c r="A116"/>
  <c r="G116"/>
  <c r="A117"/>
  <c r="G117"/>
  <c r="A118"/>
  <c r="G118"/>
  <c r="A119"/>
  <c r="G119"/>
  <c r="A120"/>
  <c r="G120"/>
  <c r="A121"/>
  <c r="G121"/>
  <c r="A122"/>
  <c r="G122"/>
  <c r="A123"/>
  <c r="G123"/>
  <c r="A127"/>
  <c r="G127"/>
  <c r="A128"/>
  <c r="G128"/>
  <c r="A129"/>
  <c r="G129"/>
  <c r="A130"/>
  <c r="G130"/>
  <c r="A131"/>
  <c r="G131"/>
  <c r="A132"/>
  <c r="G132"/>
  <c r="A133"/>
  <c r="G133"/>
  <c r="A134"/>
  <c r="G134"/>
  <c r="A135"/>
  <c r="G135"/>
  <c r="A136"/>
  <c r="G136"/>
  <c r="A138"/>
  <c r="G138"/>
  <c r="A139"/>
  <c r="G139"/>
  <c r="A140"/>
  <c r="G140"/>
  <c r="A141"/>
  <c r="G141"/>
  <c r="A142"/>
  <c r="G142"/>
  <c r="A143"/>
  <c r="G143"/>
  <c r="A144"/>
  <c r="G144"/>
  <c r="A145"/>
  <c r="G145"/>
  <c r="A146"/>
  <c r="G146"/>
  <c r="A147"/>
  <c r="G147"/>
  <c r="A151"/>
  <c r="G151"/>
  <c r="A152"/>
  <c r="G152"/>
  <c r="A153"/>
  <c r="G153"/>
  <c r="A156"/>
  <c r="G156"/>
  <c r="A157"/>
  <c r="G157"/>
  <c r="A158"/>
  <c r="G158"/>
  <c r="H100"/>
  <c r="H106"/>
  <c r="H107"/>
  <c r="H108"/>
  <c r="H109"/>
  <c r="H110"/>
  <c r="H111"/>
  <c r="H112"/>
  <c r="H113"/>
  <c r="H115"/>
  <c r="H116"/>
  <c r="H117"/>
  <c r="H118"/>
  <c r="H119"/>
  <c r="H120"/>
  <c r="H121"/>
  <c r="H122"/>
  <c r="H123"/>
  <c r="H127"/>
  <c r="H128"/>
  <c r="H129"/>
  <c r="H130"/>
  <c r="H131"/>
  <c r="H132"/>
  <c r="H133"/>
  <c r="H134"/>
  <c r="H135"/>
  <c r="H136"/>
  <c r="H138"/>
  <c r="H139"/>
  <c r="H140"/>
  <c r="H141"/>
  <c r="H142"/>
  <c r="H143"/>
  <c r="H144"/>
  <c r="H145"/>
  <c r="H146"/>
  <c r="H147"/>
  <c r="H151"/>
  <c r="H152"/>
  <c r="H153"/>
  <c r="H156"/>
  <c r="H157"/>
  <c r="H158"/>
  <c r="I100"/>
  <c r="I106"/>
  <c r="I107"/>
  <c r="I108"/>
  <c r="I109"/>
  <c r="I110"/>
  <c r="I111"/>
  <c r="I112"/>
  <c r="I113"/>
  <c r="I115"/>
  <c r="I116"/>
  <c r="I117"/>
  <c r="I118"/>
  <c r="I119"/>
  <c r="I120"/>
  <c r="I121"/>
  <c r="I122"/>
  <c r="I123"/>
  <c r="I127"/>
  <c r="I128"/>
  <c r="I129"/>
  <c r="I130"/>
  <c r="I131"/>
  <c r="I132"/>
  <c r="I133"/>
  <c r="I134"/>
  <c r="I135"/>
  <c r="I136"/>
  <c r="I138"/>
  <c r="I139"/>
  <c r="I140"/>
  <c r="I141"/>
  <c r="I142"/>
  <c r="I143"/>
  <c r="I144"/>
  <c r="I145"/>
  <c r="I146"/>
  <c r="I147"/>
  <c r="I151"/>
  <c r="I152"/>
  <c r="I153"/>
  <c r="I156"/>
  <c r="I157"/>
  <c r="I158"/>
  <c r="J100"/>
  <c r="J106"/>
  <c r="J107"/>
  <c r="J108"/>
  <c r="J109"/>
  <c r="J110"/>
  <c r="J111"/>
  <c r="J112"/>
  <c r="J113"/>
  <c r="J115"/>
  <c r="J116"/>
  <c r="J117"/>
  <c r="J118"/>
  <c r="J119"/>
  <c r="J120"/>
  <c r="J121"/>
  <c r="J122"/>
  <c r="J123"/>
  <c r="J127"/>
  <c r="J128"/>
  <c r="J129"/>
  <c r="J130"/>
  <c r="J131"/>
  <c r="J132"/>
  <c r="J133"/>
  <c r="J134"/>
  <c r="J135"/>
  <c r="J136"/>
  <c r="J138"/>
  <c r="J139"/>
  <c r="J140"/>
  <c r="J141"/>
  <c r="J142"/>
  <c r="J143"/>
  <c r="J144"/>
  <c r="J145"/>
  <c r="J146"/>
  <c r="J147"/>
  <c r="J151"/>
  <c r="J152"/>
  <c r="J153"/>
  <c r="J156"/>
  <c r="J157"/>
  <c r="J158"/>
  <c r="K100"/>
  <c r="K106"/>
  <c r="K107"/>
  <c r="K108"/>
  <c r="K109"/>
  <c r="K110"/>
  <c r="K111"/>
  <c r="K112"/>
  <c r="K113"/>
  <c r="K105"/>
  <c r="K115"/>
  <c r="K116"/>
  <c r="K117"/>
  <c r="K118"/>
  <c r="K119"/>
  <c r="K120"/>
  <c r="K121"/>
  <c r="K122"/>
  <c r="K123"/>
  <c r="K127"/>
  <c r="K128"/>
  <c r="K129"/>
  <c r="K130"/>
  <c r="K131"/>
  <c r="K132"/>
  <c r="K133"/>
  <c r="K134"/>
  <c r="K135"/>
  <c r="K136"/>
  <c r="K138"/>
  <c r="K139"/>
  <c r="K140"/>
  <c r="K141"/>
  <c r="K142"/>
  <c r="K143"/>
  <c r="K144"/>
  <c r="K145"/>
  <c r="K146"/>
  <c r="K147"/>
  <c r="K151"/>
  <c r="K152"/>
  <c r="K153"/>
  <c r="K156"/>
  <c r="K157"/>
  <c r="K158"/>
  <c r="L100"/>
  <c r="L106"/>
  <c r="L107"/>
  <c r="L108"/>
  <c r="L109"/>
  <c r="L110"/>
  <c r="L111"/>
  <c r="L112"/>
  <c r="L113"/>
  <c r="L115"/>
  <c r="L116"/>
  <c r="L117"/>
  <c r="L118"/>
  <c r="L114"/>
  <c r="L119"/>
  <c r="L120"/>
  <c r="L121"/>
  <c r="L122"/>
  <c r="L123"/>
  <c r="L127"/>
  <c r="L128"/>
  <c r="L129"/>
  <c r="L130"/>
  <c r="L131"/>
  <c r="L132"/>
  <c r="L133"/>
  <c r="L134"/>
  <c r="L135"/>
  <c r="L136"/>
  <c r="L138"/>
  <c r="L139"/>
  <c r="L140"/>
  <c r="L141"/>
  <c r="L142"/>
  <c r="L143"/>
  <c r="L144"/>
  <c r="L145"/>
  <c r="L146"/>
  <c r="L147"/>
  <c r="L151"/>
  <c r="L152"/>
  <c r="L153"/>
  <c r="L150"/>
  <c r="L156"/>
  <c r="L157"/>
  <c r="L158"/>
  <c r="M100"/>
  <c r="M106"/>
  <c r="M107"/>
  <c r="M108"/>
  <c r="M109"/>
  <c r="M110"/>
  <c r="M111"/>
  <c r="M112"/>
  <c r="M113"/>
  <c r="M115"/>
  <c r="M116"/>
  <c r="M117"/>
  <c r="M118"/>
  <c r="M114"/>
  <c r="M119"/>
  <c r="M120"/>
  <c r="M121"/>
  <c r="M122"/>
  <c r="M123"/>
  <c r="M127"/>
  <c r="M128"/>
  <c r="M129"/>
  <c r="M130"/>
  <c r="M131"/>
  <c r="M132"/>
  <c r="M133"/>
  <c r="M134"/>
  <c r="M135"/>
  <c r="M136"/>
  <c r="M138"/>
  <c r="M139"/>
  <c r="M140"/>
  <c r="M141"/>
  <c r="M142"/>
  <c r="M143"/>
  <c r="M144"/>
  <c r="M145"/>
  <c r="M146"/>
  <c r="M147"/>
  <c r="M151"/>
  <c r="M152"/>
  <c r="M153"/>
  <c r="M156"/>
  <c r="M157"/>
  <c r="M158"/>
  <c r="N100"/>
  <c r="N106"/>
  <c r="N107"/>
  <c r="N108"/>
  <c r="N109"/>
  <c r="N110"/>
  <c r="N111"/>
  <c r="N112"/>
  <c r="N113"/>
  <c r="N115"/>
  <c r="N116"/>
  <c r="N117"/>
  <c r="N118"/>
  <c r="N119"/>
  <c r="N120"/>
  <c r="N121"/>
  <c r="N122"/>
  <c r="N123"/>
  <c r="N127"/>
  <c r="N128"/>
  <c r="N129"/>
  <c r="N130"/>
  <c r="N131"/>
  <c r="N132"/>
  <c r="N133"/>
  <c r="N134"/>
  <c r="N135"/>
  <c r="N136"/>
  <c r="N138"/>
  <c r="N139"/>
  <c r="N140"/>
  <c r="N141"/>
  <c r="N142"/>
  <c r="N143"/>
  <c r="N144"/>
  <c r="N145"/>
  <c r="N146"/>
  <c r="N147"/>
  <c r="N151"/>
  <c r="N152"/>
  <c r="N153"/>
  <c r="N156"/>
  <c r="N157"/>
  <c r="N158"/>
  <c r="O100"/>
  <c r="O106"/>
  <c r="O107"/>
  <c r="O108"/>
  <c r="O109"/>
  <c r="O110"/>
  <c r="O111"/>
  <c r="O112"/>
  <c r="O113"/>
  <c r="O115"/>
  <c r="O116"/>
  <c r="O117"/>
  <c r="O118"/>
  <c r="O119"/>
  <c r="O120"/>
  <c r="O121"/>
  <c r="O122"/>
  <c r="O123"/>
  <c r="O127"/>
  <c r="O128"/>
  <c r="O129"/>
  <c r="O130"/>
  <c r="O131"/>
  <c r="O132"/>
  <c r="O133"/>
  <c r="O134"/>
  <c r="O135"/>
  <c r="O136"/>
  <c r="O138"/>
  <c r="O139"/>
  <c r="O140"/>
  <c r="O141"/>
  <c r="O142"/>
  <c r="O143"/>
  <c r="O144"/>
  <c r="O145"/>
  <c r="O146"/>
  <c r="O147"/>
  <c r="O151"/>
  <c r="O152"/>
  <c r="O153"/>
  <c r="O150"/>
  <c r="O156"/>
  <c r="O157"/>
  <c r="O158"/>
  <c r="P100"/>
  <c r="P106"/>
  <c r="P107"/>
  <c r="P108"/>
  <c r="P109"/>
  <c r="P110"/>
  <c r="P111"/>
  <c r="P112"/>
  <c r="P113"/>
  <c r="P115"/>
  <c r="P116"/>
  <c r="P117"/>
  <c r="P118"/>
  <c r="P119"/>
  <c r="P120"/>
  <c r="P121"/>
  <c r="P122"/>
  <c r="P123"/>
  <c r="P127"/>
  <c r="P128"/>
  <c r="P129"/>
  <c r="P130"/>
  <c r="P131"/>
  <c r="P132"/>
  <c r="P133"/>
  <c r="P134"/>
  <c r="P135"/>
  <c r="P136"/>
  <c r="P138"/>
  <c r="P139"/>
  <c r="P140"/>
  <c r="P141"/>
  <c r="P142"/>
  <c r="P143"/>
  <c r="P144"/>
  <c r="P145"/>
  <c r="P146"/>
  <c r="P147"/>
  <c r="P151"/>
  <c r="P152"/>
  <c r="P153"/>
  <c r="P156"/>
  <c r="P157"/>
  <c r="P158"/>
  <c r="Q100"/>
  <c r="Q106"/>
  <c r="Q107"/>
  <c r="Q108"/>
  <c r="Q109"/>
  <c r="Q110"/>
  <c r="Q111"/>
  <c r="Q112"/>
  <c r="Q113"/>
  <c r="Q115"/>
  <c r="Q116"/>
  <c r="Q117"/>
  <c r="Q118"/>
  <c r="Q119"/>
  <c r="Q120"/>
  <c r="Q121"/>
  <c r="Q122"/>
  <c r="Q123"/>
  <c r="Q127"/>
  <c r="Q128"/>
  <c r="Q129"/>
  <c r="Q130"/>
  <c r="Q131"/>
  <c r="Q132"/>
  <c r="Q133"/>
  <c r="Q134"/>
  <c r="Q135"/>
  <c r="Q136"/>
  <c r="Q138"/>
  <c r="Q139"/>
  <c r="Q140"/>
  <c r="Q141"/>
  <c r="Q142"/>
  <c r="Q143"/>
  <c r="Q144"/>
  <c r="Q145"/>
  <c r="Q146"/>
  <c r="Q147"/>
  <c r="Q151"/>
  <c r="Q152"/>
  <c r="Q153"/>
  <c r="Q156"/>
  <c r="Q157"/>
  <c r="Q158"/>
  <c r="R100"/>
  <c r="R106"/>
  <c r="S106"/>
  <c r="T106"/>
  <c r="R107"/>
  <c r="R108"/>
  <c r="R109"/>
  <c r="R110"/>
  <c r="R111"/>
  <c r="S111"/>
  <c r="T111"/>
  <c r="R112"/>
  <c r="R113"/>
  <c r="R115"/>
  <c r="S115"/>
  <c r="T115"/>
  <c r="R116"/>
  <c r="R117"/>
  <c r="R118"/>
  <c r="R114"/>
  <c r="R119"/>
  <c r="R120"/>
  <c r="R121"/>
  <c r="R122"/>
  <c r="R123"/>
  <c r="R127"/>
  <c r="R128"/>
  <c r="R129"/>
  <c r="R130"/>
  <c r="R131"/>
  <c r="R132"/>
  <c r="R133"/>
  <c r="R134"/>
  <c r="R135"/>
  <c r="R136"/>
  <c r="S136"/>
  <c r="T136"/>
  <c r="R138"/>
  <c r="R139"/>
  <c r="R140"/>
  <c r="R141"/>
  <c r="R142"/>
  <c r="R143"/>
  <c r="R144"/>
  <c r="R145"/>
  <c r="R146"/>
  <c r="S146"/>
  <c r="T146"/>
  <c r="R147"/>
  <c r="R151"/>
  <c r="R152"/>
  <c r="R153"/>
  <c r="R156"/>
  <c r="R157"/>
  <c r="R158"/>
  <c r="A159"/>
  <c r="B159"/>
  <c r="B158"/>
  <c r="B157"/>
  <c r="B156"/>
  <c r="A155"/>
  <c r="B155"/>
  <c r="A154"/>
  <c r="B154"/>
  <c r="B153"/>
  <c r="B152"/>
  <c r="B151"/>
  <c r="A150"/>
  <c r="B150"/>
  <c r="A149"/>
  <c r="B149"/>
  <c r="A148"/>
  <c r="B148"/>
  <c r="B147"/>
  <c r="B146"/>
  <c r="B145"/>
  <c r="B144"/>
  <c r="B143"/>
  <c r="B142"/>
  <c r="B141"/>
  <c r="B140"/>
  <c r="B139"/>
  <c r="S138"/>
  <c r="T138"/>
  <c r="B138"/>
  <c r="A137"/>
  <c r="B137"/>
  <c r="B136"/>
  <c r="B135"/>
  <c r="B134"/>
  <c r="B133"/>
  <c r="S132"/>
  <c r="T132"/>
  <c r="B132"/>
  <c r="B131"/>
  <c r="B130"/>
  <c r="B129"/>
  <c r="S128"/>
  <c r="T128"/>
  <c r="B128"/>
  <c r="B127"/>
  <c r="A126"/>
  <c r="B126"/>
  <c r="A125"/>
  <c r="B125"/>
  <c r="A124"/>
  <c r="B124"/>
  <c r="B123"/>
  <c r="S122"/>
  <c r="T122"/>
  <c r="B122"/>
  <c r="B121"/>
  <c r="B120"/>
  <c r="B119"/>
  <c r="S118"/>
  <c r="T118"/>
  <c r="B118"/>
  <c r="B117"/>
  <c r="B116"/>
  <c r="B115"/>
  <c r="A114"/>
  <c r="B114"/>
  <c r="S113"/>
  <c r="T113"/>
  <c r="B113"/>
  <c r="B112"/>
  <c r="B111"/>
  <c r="S110"/>
  <c r="T110"/>
  <c r="B110"/>
  <c r="B109"/>
  <c r="S108"/>
  <c r="T108"/>
  <c r="B108"/>
  <c r="B107"/>
  <c r="B106"/>
  <c r="A105"/>
  <c r="B105"/>
  <c r="A104"/>
  <c r="B104"/>
  <c r="T9"/>
  <c r="T103"/>
  <c r="T102"/>
  <c r="S102"/>
  <c r="R8"/>
  <c r="R102"/>
  <c r="Q8"/>
  <c r="Q102"/>
  <c r="P8"/>
  <c r="P102"/>
  <c r="O8"/>
  <c r="O102"/>
  <c r="N8"/>
  <c r="N102"/>
  <c r="M8"/>
  <c r="M102"/>
  <c r="L8"/>
  <c r="L102"/>
  <c r="K8"/>
  <c r="K102"/>
  <c r="J8"/>
  <c r="J102"/>
  <c r="I8"/>
  <c r="I102"/>
  <c r="H8"/>
  <c r="H102"/>
  <c r="G8"/>
  <c r="G102"/>
  <c r="S7"/>
  <c r="S101"/>
  <c r="B101"/>
  <c r="G12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32"/>
  <c r="G44"/>
  <c r="G45"/>
  <c r="G46"/>
  <c r="G47"/>
  <c r="G48"/>
  <c r="G49"/>
  <c r="G50"/>
  <c r="G51"/>
  <c r="G52"/>
  <c r="G53"/>
  <c r="G57"/>
  <c r="G58"/>
  <c r="G59"/>
  <c r="G62"/>
  <c r="G63"/>
  <c r="G64"/>
  <c r="H12"/>
  <c r="H13"/>
  <c r="H14"/>
  <c r="H15"/>
  <c r="H16"/>
  <c r="H17"/>
  <c r="H18"/>
  <c r="H19"/>
  <c r="H20"/>
  <c r="H25"/>
  <c r="H26"/>
  <c r="H27"/>
  <c r="H28"/>
  <c r="H29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7"/>
  <c r="H58"/>
  <c r="H59"/>
  <c r="H62"/>
  <c r="H63"/>
  <c r="H64"/>
  <c r="I12"/>
  <c r="I13"/>
  <c r="I14"/>
  <c r="I15"/>
  <c r="I16"/>
  <c r="I17"/>
  <c r="I18"/>
  <c r="I19"/>
  <c r="I20"/>
  <c r="I25"/>
  <c r="I26"/>
  <c r="I27"/>
  <c r="I28"/>
  <c r="I29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7"/>
  <c r="I58"/>
  <c r="I59"/>
  <c r="I62"/>
  <c r="I63"/>
  <c r="I64"/>
  <c r="J12"/>
  <c r="J13"/>
  <c r="J14"/>
  <c r="J15"/>
  <c r="J16"/>
  <c r="J17"/>
  <c r="J18"/>
  <c r="J19"/>
  <c r="J20"/>
  <c r="J25"/>
  <c r="J26"/>
  <c r="J27"/>
  <c r="J28"/>
  <c r="J29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7"/>
  <c r="J58"/>
  <c r="J59"/>
  <c r="J62"/>
  <c r="J63"/>
  <c r="J64"/>
  <c r="K12"/>
  <c r="K13"/>
  <c r="K14"/>
  <c r="K15"/>
  <c r="K16"/>
  <c r="K17"/>
  <c r="K18"/>
  <c r="K19"/>
  <c r="K11"/>
  <c r="K20"/>
  <c r="K25"/>
  <c r="K26"/>
  <c r="K27"/>
  <c r="K28"/>
  <c r="K29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7"/>
  <c r="K58"/>
  <c r="K59"/>
  <c r="K62"/>
  <c r="K63"/>
  <c r="K64"/>
  <c r="L12"/>
  <c r="L13"/>
  <c r="L14"/>
  <c r="L15"/>
  <c r="L16"/>
  <c r="L17"/>
  <c r="L18"/>
  <c r="L19"/>
  <c r="L20"/>
  <c r="L25"/>
  <c r="L26"/>
  <c r="L27"/>
  <c r="L28"/>
  <c r="L29"/>
  <c r="L33"/>
  <c r="M33"/>
  <c r="N33"/>
  <c r="O33"/>
  <c r="P33"/>
  <c r="Q33"/>
  <c r="R33"/>
  <c r="S33"/>
  <c r="T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7"/>
  <c r="L58"/>
  <c r="L59"/>
  <c r="L62"/>
  <c r="L63"/>
  <c r="L64"/>
  <c r="M12"/>
  <c r="M13"/>
  <c r="M14"/>
  <c r="M15"/>
  <c r="M16"/>
  <c r="M17"/>
  <c r="M18"/>
  <c r="M19"/>
  <c r="M20"/>
  <c r="M25"/>
  <c r="M26"/>
  <c r="M27"/>
  <c r="M28"/>
  <c r="M29"/>
  <c r="M34"/>
  <c r="M35"/>
  <c r="M36"/>
  <c r="M37"/>
  <c r="M38"/>
  <c r="M39"/>
  <c r="M40"/>
  <c r="M41"/>
  <c r="M42"/>
  <c r="M44"/>
  <c r="M45"/>
  <c r="M46"/>
  <c r="M47"/>
  <c r="M48"/>
  <c r="M49"/>
  <c r="M50"/>
  <c r="M51"/>
  <c r="M52"/>
  <c r="M53"/>
  <c r="M57"/>
  <c r="M58"/>
  <c r="M59"/>
  <c r="M62"/>
  <c r="M63"/>
  <c r="N63"/>
  <c r="O63"/>
  <c r="P63"/>
  <c r="Q63"/>
  <c r="R63"/>
  <c r="S63"/>
  <c r="T63"/>
  <c r="M64"/>
  <c r="N12"/>
  <c r="N13"/>
  <c r="N14"/>
  <c r="N15"/>
  <c r="N16"/>
  <c r="N17"/>
  <c r="N18"/>
  <c r="N19"/>
  <c r="N20"/>
  <c r="N25"/>
  <c r="N26"/>
  <c r="N27"/>
  <c r="N28"/>
  <c r="N29"/>
  <c r="N34"/>
  <c r="N35"/>
  <c r="N36"/>
  <c r="N37"/>
  <c r="N38"/>
  <c r="N39"/>
  <c r="N40"/>
  <c r="N41"/>
  <c r="N42"/>
  <c r="N44"/>
  <c r="N45"/>
  <c r="N46"/>
  <c r="N47"/>
  <c r="N48"/>
  <c r="N49"/>
  <c r="N50"/>
  <c r="N51"/>
  <c r="N52"/>
  <c r="N53"/>
  <c r="N57"/>
  <c r="N58"/>
  <c r="N59"/>
  <c r="N62"/>
  <c r="N64"/>
  <c r="O12"/>
  <c r="O13"/>
  <c r="O14"/>
  <c r="O15"/>
  <c r="O16"/>
  <c r="O17"/>
  <c r="O18"/>
  <c r="O19"/>
  <c r="O11"/>
  <c r="O20"/>
  <c r="O25"/>
  <c r="O26"/>
  <c r="O27"/>
  <c r="O28"/>
  <c r="O29"/>
  <c r="O34"/>
  <c r="O35"/>
  <c r="O36"/>
  <c r="O37"/>
  <c r="O38"/>
  <c r="O39"/>
  <c r="O40"/>
  <c r="O41"/>
  <c r="O42"/>
  <c r="O44"/>
  <c r="O45"/>
  <c r="O46"/>
  <c r="O47"/>
  <c r="O48"/>
  <c r="O49"/>
  <c r="O50"/>
  <c r="O51"/>
  <c r="O52"/>
  <c r="O53"/>
  <c r="O57"/>
  <c r="O58"/>
  <c r="O59"/>
  <c r="O62"/>
  <c r="O64"/>
  <c r="P12"/>
  <c r="P13"/>
  <c r="P14"/>
  <c r="P15"/>
  <c r="P16"/>
  <c r="P17"/>
  <c r="P18"/>
  <c r="P19"/>
  <c r="P20"/>
  <c r="P25"/>
  <c r="P26"/>
  <c r="P27"/>
  <c r="P28"/>
  <c r="P29"/>
  <c r="P34"/>
  <c r="P35"/>
  <c r="P36"/>
  <c r="P37"/>
  <c r="P38"/>
  <c r="P39"/>
  <c r="P40"/>
  <c r="P41"/>
  <c r="P42"/>
  <c r="P44"/>
  <c r="P45"/>
  <c r="P46"/>
  <c r="P47"/>
  <c r="P48"/>
  <c r="P49"/>
  <c r="P50"/>
  <c r="P51"/>
  <c r="P52"/>
  <c r="P53"/>
  <c r="P57"/>
  <c r="P58"/>
  <c r="P59"/>
  <c r="P62"/>
  <c r="P64"/>
  <c r="Q12"/>
  <c r="Q13"/>
  <c r="Q14"/>
  <c r="Q15"/>
  <c r="Q16"/>
  <c r="Q17"/>
  <c r="Q18"/>
  <c r="Q19"/>
  <c r="Q20"/>
  <c r="Q25"/>
  <c r="Q26"/>
  <c r="Q27"/>
  <c r="Q28"/>
  <c r="Q29"/>
  <c r="Q34"/>
  <c r="Q35"/>
  <c r="Q36"/>
  <c r="R36"/>
  <c r="S36"/>
  <c r="T36"/>
  <c r="Q37"/>
  <c r="Q38"/>
  <c r="Q39"/>
  <c r="Q40"/>
  <c r="Q41"/>
  <c r="Q42"/>
  <c r="Q44"/>
  <c r="Q45"/>
  <c r="Q46"/>
  <c r="Q47"/>
  <c r="Q48"/>
  <c r="Q49"/>
  <c r="Q50"/>
  <c r="Q51"/>
  <c r="Q52"/>
  <c r="Q53"/>
  <c r="Q57"/>
  <c r="Q58"/>
  <c r="Q59"/>
  <c r="Q62"/>
  <c r="Q64"/>
  <c r="R12"/>
  <c r="R13"/>
  <c r="R14"/>
  <c r="R15"/>
  <c r="R16"/>
  <c r="R17"/>
  <c r="R18"/>
  <c r="R19"/>
  <c r="R20"/>
  <c r="R25"/>
  <c r="R26"/>
  <c r="R27"/>
  <c r="R28"/>
  <c r="R29"/>
  <c r="R34"/>
  <c r="R35"/>
  <c r="S35"/>
  <c r="T35"/>
  <c r="R37"/>
  <c r="R38"/>
  <c r="R39"/>
  <c r="R40"/>
  <c r="S40"/>
  <c r="T40"/>
  <c r="R41"/>
  <c r="R42"/>
  <c r="R44"/>
  <c r="S44"/>
  <c r="T44"/>
  <c r="R45"/>
  <c r="R46"/>
  <c r="R47"/>
  <c r="R48"/>
  <c r="R49"/>
  <c r="R50"/>
  <c r="R51"/>
  <c r="S51"/>
  <c r="T51"/>
  <c r="R52"/>
  <c r="S52"/>
  <c r="T52"/>
  <c r="R53"/>
  <c r="R57"/>
  <c r="R58"/>
  <c r="R59"/>
  <c r="R62"/>
  <c r="R64"/>
  <c r="B65"/>
  <c r="S64"/>
  <c r="T64"/>
  <c r="B64"/>
  <c r="B63"/>
  <c r="B62"/>
  <c r="B61"/>
  <c r="B60"/>
  <c r="B59"/>
  <c r="B58"/>
  <c r="B57"/>
  <c r="B56"/>
  <c r="B55"/>
  <c r="B54"/>
  <c r="B53"/>
  <c r="B52"/>
  <c r="B51"/>
  <c r="B50"/>
  <c r="B49"/>
  <c r="S48"/>
  <c r="T48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S29"/>
  <c r="T29"/>
  <c r="B29"/>
  <c r="B28"/>
  <c r="B27"/>
  <c r="B26"/>
  <c r="B25"/>
  <c r="G24"/>
  <c r="H24"/>
  <c r="I24"/>
  <c r="J24"/>
  <c r="K24"/>
  <c r="L24"/>
  <c r="M24"/>
  <c r="N24"/>
  <c r="O24"/>
  <c r="P24"/>
  <c r="Q24"/>
  <c r="R24"/>
  <c r="B24"/>
  <c r="G23"/>
  <c r="H23"/>
  <c r="I23"/>
  <c r="J23"/>
  <c r="K23"/>
  <c r="L23"/>
  <c r="M23"/>
  <c r="N23"/>
  <c r="O23"/>
  <c r="P23"/>
  <c r="Q23"/>
  <c r="R23"/>
  <c r="B23"/>
  <c r="G22"/>
  <c r="H22"/>
  <c r="I22"/>
  <c r="J22"/>
  <c r="K22"/>
  <c r="L22"/>
  <c r="M22"/>
  <c r="N22"/>
  <c r="O22"/>
  <c r="P22"/>
  <c r="Q22"/>
  <c r="R22"/>
  <c r="B22"/>
  <c r="G21"/>
  <c r="H21"/>
  <c r="I21"/>
  <c r="J21"/>
  <c r="K21"/>
  <c r="L21"/>
  <c r="M21"/>
  <c r="N21"/>
  <c r="O21"/>
  <c r="P21"/>
  <c r="Q21"/>
  <c r="R21"/>
  <c r="B21"/>
  <c r="S20"/>
  <c r="T20"/>
  <c r="B20"/>
  <c r="S19"/>
  <c r="T19"/>
  <c r="B19"/>
  <c r="B18"/>
  <c r="B17"/>
  <c r="S16"/>
  <c r="T16"/>
  <c r="B16"/>
  <c r="B15"/>
  <c r="B14"/>
  <c r="S13"/>
  <c r="T13"/>
  <c r="B13"/>
  <c r="B12"/>
  <c r="B11"/>
  <c r="B10"/>
  <c r="B7"/>
  <c r="R5"/>
  <c r="Q5"/>
  <c r="P5"/>
  <c r="O5"/>
  <c r="N5"/>
  <c r="M5"/>
  <c r="L5"/>
  <c r="K5"/>
  <c r="J5"/>
  <c r="I5"/>
  <c r="H5"/>
  <c r="G5"/>
  <c r="E4"/>
  <c r="E3"/>
  <c r="E2"/>
  <c r="A107" i="8"/>
  <c r="G101"/>
  <c r="G107"/>
  <c r="A108"/>
  <c r="G108"/>
  <c r="A109"/>
  <c r="G109"/>
  <c r="A110"/>
  <c r="G110"/>
  <c r="A111"/>
  <c r="G111"/>
  <c r="A112"/>
  <c r="G112"/>
  <c r="A113"/>
  <c r="G113"/>
  <c r="A114"/>
  <c r="G114"/>
  <c r="A116"/>
  <c r="G116"/>
  <c r="A117"/>
  <c r="G117"/>
  <c r="A118"/>
  <c r="G118"/>
  <c r="A119"/>
  <c r="G119"/>
  <c r="A120"/>
  <c r="G120"/>
  <c r="A121"/>
  <c r="G121"/>
  <c r="A122"/>
  <c r="G122"/>
  <c r="A123"/>
  <c r="G123"/>
  <c r="A124"/>
  <c r="G124"/>
  <c r="A128"/>
  <c r="G128"/>
  <c r="A129"/>
  <c r="G129"/>
  <c r="A130"/>
  <c r="G130"/>
  <c r="A131"/>
  <c r="G131"/>
  <c r="A132"/>
  <c r="G132"/>
  <c r="A133"/>
  <c r="G133"/>
  <c r="A134"/>
  <c r="G134"/>
  <c r="A135"/>
  <c r="G135"/>
  <c r="A136"/>
  <c r="G136"/>
  <c r="A137"/>
  <c r="G137"/>
  <c r="A139"/>
  <c r="G139"/>
  <c r="A140"/>
  <c r="G140"/>
  <c r="A141"/>
  <c r="G141"/>
  <c r="A142"/>
  <c r="G142"/>
  <c r="A143"/>
  <c r="G143"/>
  <c r="A144"/>
  <c r="G144"/>
  <c r="A145"/>
  <c r="G145"/>
  <c r="A146"/>
  <c r="G146"/>
  <c r="A147"/>
  <c r="G147"/>
  <c r="A148"/>
  <c r="G148"/>
  <c r="A152"/>
  <c r="G152"/>
  <c r="A153"/>
  <c r="G153"/>
  <c r="A154"/>
  <c r="G154"/>
  <c r="A157"/>
  <c r="G157"/>
  <c r="A158"/>
  <c r="G158"/>
  <c r="A159"/>
  <c r="G159"/>
  <c r="H101"/>
  <c r="H107"/>
  <c r="H108"/>
  <c r="H109"/>
  <c r="H110"/>
  <c r="H111"/>
  <c r="H112"/>
  <c r="H113"/>
  <c r="H114"/>
  <c r="H116"/>
  <c r="H117"/>
  <c r="H118"/>
  <c r="H119"/>
  <c r="H115"/>
  <c r="H120"/>
  <c r="H121"/>
  <c r="H122"/>
  <c r="H123"/>
  <c r="H124"/>
  <c r="H128"/>
  <c r="H129"/>
  <c r="H130"/>
  <c r="H131"/>
  <c r="H132"/>
  <c r="H133"/>
  <c r="H134"/>
  <c r="H135"/>
  <c r="H136"/>
  <c r="H137"/>
  <c r="H139"/>
  <c r="H140"/>
  <c r="H141"/>
  <c r="H142"/>
  <c r="H143"/>
  <c r="H144"/>
  <c r="H145"/>
  <c r="H146"/>
  <c r="H147"/>
  <c r="H148"/>
  <c r="H152"/>
  <c r="H153"/>
  <c r="H154"/>
  <c r="H157"/>
  <c r="H158"/>
  <c r="H159"/>
  <c r="I101"/>
  <c r="I107"/>
  <c r="I108"/>
  <c r="I109"/>
  <c r="I110"/>
  <c r="I111"/>
  <c r="I112"/>
  <c r="I113"/>
  <c r="I114"/>
  <c r="I116"/>
  <c r="I117"/>
  <c r="I118"/>
  <c r="I119"/>
  <c r="I120"/>
  <c r="I121"/>
  <c r="I122"/>
  <c r="I123"/>
  <c r="I124"/>
  <c r="I128"/>
  <c r="I129"/>
  <c r="I130"/>
  <c r="I131"/>
  <c r="I132"/>
  <c r="I133"/>
  <c r="I134"/>
  <c r="I135"/>
  <c r="I136"/>
  <c r="I137"/>
  <c r="I139"/>
  <c r="I140"/>
  <c r="I141"/>
  <c r="I142"/>
  <c r="I143"/>
  <c r="I144"/>
  <c r="I145"/>
  <c r="I146"/>
  <c r="I147"/>
  <c r="I148"/>
  <c r="I152"/>
  <c r="I153"/>
  <c r="I154"/>
  <c r="I151"/>
  <c r="I157"/>
  <c r="I158"/>
  <c r="I159"/>
  <c r="J101"/>
  <c r="J107"/>
  <c r="J108"/>
  <c r="J109"/>
  <c r="J110"/>
  <c r="J111"/>
  <c r="J112"/>
  <c r="J113"/>
  <c r="J114"/>
  <c r="J116"/>
  <c r="J117"/>
  <c r="J118"/>
  <c r="J119"/>
  <c r="J120"/>
  <c r="J121"/>
  <c r="J122"/>
  <c r="J123"/>
  <c r="J124"/>
  <c r="J128"/>
  <c r="J129"/>
  <c r="J130"/>
  <c r="J131"/>
  <c r="J132"/>
  <c r="J133"/>
  <c r="J134"/>
  <c r="J135"/>
  <c r="J136"/>
  <c r="J137"/>
  <c r="J139"/>
  <c r="J140"/>
  <c r="J141"/>
  <c r="J142"/>
  <c r="J143"/>
  <c r="J144"/>
  <c r="J145"/>
  <c r="J146"/>
  <c r="J147"/>
  <c r="J148"/>
  <c r="K148"/>
  <c r="L148"/>
  <c r="M148"/>
  <c r="N148"/>
  <c r="O148"/>
  <c r="P148"/>
  <c r="Q148"/>
  <c r="R148"/>
  <c r="S148"/>
  <c r="T148"/>
  <c r="J152"/>
  <c r="J153"/>
  <c r="J154"/>
  <c r="J157"/>
  <c r="J158"/>
  <c r="J159"/>
  <c r="K101"/>
  <c r="K107"/>
  <c r="K108"/>
  <c r="K109"/>
  <c r="K110"/>
  <c r="K111"/>
  <c r="K112"/>
  <c r="K113"/>
  <c r="K114"/>
  <c r="K116"/>
  <c r="K117"/>
  <c r="K118"/>
  <c r="K119"/>
  <c r="K120"/>
  <c r="K121"/>
  <c r="K122"/>
  <c r="K123"/>
  <c r="K124"/>
  <c r="K128"/>
  <c r="K129"/>
  <c r="K130"/>
  <c r="K131"/>
  <c r="K132"/>
  <c r="K133"/>
  <c r="K134"/>
  <c r="K135"/>
  <c r="K136"/>
  <c r="K137"/>
  <c r="K139"/>
  <c r="K140"/>
  <c r="K141"/>
  <c r="K142"/>
  <c r="K143"/>
  <c r="K144"/>
  <c r="K145"/>
  <c r="K146"/>
  <c r="K147"/>
  <c r="K152"/>
  <c r="K153"/>
  <c r="K154"/>
  <c r="K151"/>
  <c r="K157"/>
  <c r="K158"/>
  <c r="K159"/>
  <c r="L101"/>
  <c r="L107"/>
  <c r="L108"/>
  <c r="L109"/>
  <c r="L110"/>
  <c r="L111"/>
  <c r="L112"/>
  <c r="L113"/>
  <c r="L114"/>
  <c r="L116"/>
  <c r="L117"/>
  <c r="L118"/>
  <c r="L119"/>
  <c r="L115"/>
  <c r="L120"/>
  <c r="L121"/>
  <c r="L122"/>
  <c r="L123"/>
  <c r="L124"/>
  <c r="L128"/>
  <c r="L129"/>
  <c r="L130"/>
  <c r="L131"/>
  <c r="L132"/>
  <c r="L133"/>
  <c r="L134"/>
  <c r="L135"/>
  <c r="L136"/>
  <c r="L137"/>
  <c r="L139"/>
  <c r="L140"/>
  <c r="L141"/>
  <c r="L142"/>
  <c r="L143"/>
  <c r="L144"/>
  <c r="L145"/>
  <c r="L146"/>
  <c r="L147"/>
  <c r="L152"/>
  <c r="L153"/>
  <c r="L154"/>
  <c r="L157"/>
  <c r="L158"/>
  <c r="L159"/>
  <c r="M101"/>
  <c r="M107"/>
  <c r="M108"/>
  <c r="M109"/>
  <c r="M110"/>
  <c r="M111"/>
  <c r="M112"/>
  <c r="M113"/>
  <c r="M114"/>
  <c r="M116"/>
  <c r="M117"/>
  <c r="M118"/>
  <c r="M119"/>
  <c r="M120"/>
  <c r="M121"/>
  <c r="M122"/>
  <c r="M123"/>
  <c r="M124"/>
  <c r="M128"/>
  <c r="M129"/>
  <c r="M130"/>
  <c r="M131"/>
  <c r="M132"/>
  <c r="M133"/>
  <c r="M134"/>
  <c r="M135"/>
  <c r="M136"/>
  <c r="M137"/>
  <c r="M139"/>
  <c r="M140"/>
  <c r="M141"/>
  <c r="M142"/>
  <c r="M143"/>
  <c r="M144"/>
  <c r="M145"/>
  <c r="M146"/>
  <c r="M147"/>
  <c r="M152"/>
  <c r="M153"/>
  <c r="M154"/>
  <c r="M157"/>
  <c r="M158"/>
  <c r="M159"/>
  <c r="N101"/>
  <c r="N107"/>
  <c r="N108"/>
  <c r="N109"/>
  <c r="N110"/>
  <c r="N111"/>
  <c r="N112"/>
  <c r="N113"/>
  <c r="N114"/>
  <c r="N116"/>
  <c r="O116"/>
  <c r="P116"/>
  <c r="Q116"/>
  <c r="R116"/>
  <c r="S116"/>
  <c r="T116"/>
  <c r="N117"/>
  <c r="N118"/>
  <c r="N119"/>
  <c r="N120"/>
  <c r="N121"/>
  <c r="N122"/>
  <c r="N123"/>
  <c r="N124"/>
  <c r="N128"/>
  <c r="N129"/>
  <c r="N130"/>
  <c r="N131"/>
  <c r="N132"/>
  <c r="N133"/>
  <c r="N134"/>
  <c r="N135"/>
  <c r="O135"/>
  <c r="P135"/>
  <c r="Q135"/>
  <c r="R135"/>
  <c r="S135"/>
  <c r="T135"/>
  <c r="N136"/>
  <c r="N137"/>
  <c r="N139"/>
  <c r="N140"/>
  <c r="N141"/>
  <c r="N142"/>
  <c r="N143"/>
  <c r="O143"/>
  <c r="P143"/>
  <c r="Q143"/>
  <c r="R143"/>
  <c r="S143"/>
  <c r="T143"/>
  <c r="N144"/>
  <c r="N145"/>
  <c r="N146"/>
  <c r="N147"/>
  <c r="N152"/>
  <c r="N153"/>
  <c r="N154"/>
  <c r="N151"/>
  <c r="N157"/>
  <c r="N158"/>
  <c r="N159"/>
  <c r="O101"/>
  <c r="O107"/>
  <c r="O108"/>
  <c r="O109"/>
  <c r="O110"/>
  <c r="O111"/>
  <c r="O112"/>
  <c r="O113"/>
  <c r="O114"/>
  <c r="O106"/>
  <c r="O117"/>
  <c r="O118"/>
  <c r="O119"/>
  <c r="O120"/>
  <c r="O121"/>
  <c r="O122"/>
  <c r="O123"/>
  <c r="O124"/>
  <c r="O128"/>
  <c r="O129"/>
  <c r="O130"/>
  <c r="O131"/>
  <c r="O132"/>
  <c r="O133"/>
  <c r="O134"/>
  <c r="O136"/>
  <c r="O137"/>
  <c r="O139"/>
  <c r="O140"/>
  <c r="O141"/>
  <c r="O142"/>
  <c r="O144"/>
  <c r="O145"/>
  <c r="O146"/>
  <c r="O147"/>
  <c r="P147"/>
  <c r="Q147"/>
  <c r="R147"/>
  <c r="S147"/>
  <c r="T147"/>
  <c r="O152"/>
  <c r="O153"/>
  <c r="O154"/>
  <c r="P154"/>
  <c r="Q154"/>
  <c r="R154"/>
  <c r="S154"/>
  <c r="T154"/>
  <c r="O157"/>
  <c r="O158"/>
  <c r="O159"/>
  <c r="P159"/>
  <c r="Q159"/>
  <c r="R159"/>
  <c r="S159"/>
  <c r="T159"/>
  <c r="P101"/>
  <c r="P107"/>
  <c r="P108"/>
  <c r="P109"/>
  <c r="Q109"/>
  <c r="R109"/>
  <c r="S109"/>
  <c r="T109"/>
  <c r="P110"/>
  <c r="Q110"/>
  <c r="R110"/>
  <c r="S110"/>
  <c r="T110"/>
  <c r="P111"/>
  <c r="P112"/>
  <c r="P113"/>
  <c r="P114"/>
  <c r="Q114"/>
  <c r="R114"/>
  <c r="S114"/>
  <c r="T114"/>
  <c r="P117"/>
  <c r="P118"/>
  <c r="P119"/>
  <c r="P120"/>
  <c r="P121"/>
  <c r="P122"/>
  <c r="P123"/>
  <c r="P124"/>
  <c r="P128"/>
  <c r="P129"/>
  <c r="P130"/>
  <c r="P131"/>
  <c r="P132"/>
  <c r="P133"/>
  <c r="P134"/>
  <c r="P136"/>
  <c r="P137"/>
  <c r="Q137"/>
  <c r="R137"/>
  <c r="S137"/>
  <c r="T137"/>
  <c r="P139"/>
  <c r="P140"/>
  <c r="P141"/>
  <c r="P142"/>
  <c r="P144"/>
  <c r="P145"/>
  <c r="P146"/>
  <c r="P152"/>
  <c r="P153"/>
  <c r="P157"/>
  <c r="P158"/>
  <c r="Q101"/>
  <c r="Q107"/>
  <c r="Q108"/>
  <c r="Q111"/>
  <c r="Q112"/>
  <c r="R112"/>
  <c r="S112"/>
  <c r="T112"/>
  <c r="Q113"/>
  <c r="Q106"/>
  <c r="Q117"/>
  <c r="Q118"/>
  <c r="R118"/>
  <c r="S118"/>
  <c r="T118"/>
  <c r="Q119"/>
  <c r="Q120"/>
  <c r="Q121"/>
  <c r="Q122"/>
  <c r="R122"/>
  <c r="S122"/>
  <c r="T122"/>
  <c r="Q123"/>
  <c r="Q124"/>
  <c r="Q128"/>
  <c r="Q129"/>
  <c r="R129"/>
  <c r="S129"/>
  <c r="T129"/>
  <c r="Q130"/>
  <c r="Q131"/>
  <c r="Q132"/>
  <c r="Q133"/>
  <c r="R133"/>
  <c r="S133"/>
  <c r="T133"/>
  <c r="Q134"/>
  <c r="Q136"/>
  <c r="Q139"/>
  <c r="Q140"/>
  <c r="Q141"/>
  <c r="Q142"/>
  <c r="Q144"/>
  <c r="Q145"/>
  <c r="Q146"/>
  <c r="R146"/>
  <c r="S146"/>
  <c r="T146"/>
  <c r="Q152"/>
  <c r="Q153"/>
  <c r="Q157"/>
  <c r="Q158"/>
  <c r="R101"/>
  <c r="R107"/>
  <c r="R108"/>
  <c r="R111"/>
  <c r="R113"/>
  <c r="S113"/>
  <c r="T113"/>
  <c r="R117"/>
  <c r="R119"/>
  <c r="R120"/>
  <c r="R121"/>
  <c r="S121"/>
  <c r="T121"/>
  <c r="R123"/>
  <c r="R124"/>
  <c r="R128"/>
  <c r="R130"/>
  <c r="R131"/>
  <c r="R132"/>
  <c r="R134"/>
  <c r="R136"/>
  <c r="R139"/>
  <c r="R140"/>
  <c r="R141"/>
  <c r="S141"/>
  <c r="T141"/>
  <c r="R142"/>
  <c r="S142"/>
  <c r="T142"/>
  <c r="R144"/>
  <c r="R145"/>
  <c r="R152"/>
  <c r="R153"/>
  <c r="R157"/>
  <c r="R158"/>
  <c r="A160"/>
  <c r="B160"/>
  <c r="B159"/>
  <c r="B158"/>
  <c r="B157"/>
  <c r="A156"/>
  <c r="B156"/>
  <c r="A155"/>
  <c r="B155"/>
  <c r="B154"/>
  <c r="B153"/>
  <c r="B152"/>
  <c r="A151"/>
  <c r="B151"/>
  <c r="A150"/>
  <c r="B150"/>
  <c r="A149"/>
  <c r="B149"/>
  <c r="B148"/>
  <c r="B147"/>
  <c r="B146"/>
  <c r="B145"/>
  <c r="S144"/>
  <c r="T144"/>
  <c r="B144"/>
  <c r="B143"/>
  <c r="B142"/>
  <c r="B141"/>
  <c r="B140"/>
  <c r="B139"/>
  <c r="A138"/>
  <c r="B138"/>
  <c r="B137"/>
  <c r="B136"/>
  <c r="B135"/>
  <c r="B134"/>
  <c r="B133"/>
  <c r="B132"/>
  <c r="S131"/>
  <c r="T131"/>
  <c r="B131"/>
  <c r="B130"/>
  <c r="B129"/>
  <c r="B128"/>
  <c r="A127"/>
  <c r="B127"/>
  <c r="A126"/>
  <c r="B126"/>
  <c r="A125"/>
  <c r="B125"/>
  <c r="B124"/>
  <c r="B123"/>
  <c r="B122"/>
  <c r="B121"/>
  <c r="B120"/>
  <c r="B119"/>
  <c r="B118"/>
  <c r="B117"/>
  <c r="B116"/>
  <c r="A115"/>
  <c r="B115"/>
  <c r="B114"/>
  <c r="B113"/>
  <c r="B112"/>
  <c r="B111"/>
  <c r="B110"/>
  <c r="B109"/>
  <c r="S108"/>
  <c r="T108"/>
  <c r="B108"/>
  <c r="B107"/>
  <c r="A106"/>
  <c r="B106"/>
  <c r="A105"/>
  <c r="B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S7"/>
  <c r="S102"/>
  <c r="B102"/>
  <c r="G59"/>
  <c r="G60"/>
  <c r="G63"/>
  <c r="G64"/>
  <c r="G65"/>
  <c r="H59"/>
  <c r="H60"/>
  <c r="H58"/>
  <c r="H63"/>
  <c r="H64"/>
  <c r="H65"/>
  <c r="I59"/>
  <c r="I60"/>
  <c r="I63"/>
  <c r="I64"/>
  <c r="I65"/>
  <c r="J59"/>
  <c r="J60"/>
  <c r="J63"/>
  <c r="J64"/>
  <c r="J65"/>
  <c r="K59"/>
  <c r="K60"/>
  <c r="K63"/>
  <c r="K64"/>
  <c r="K65"/>
  <c r="L59"/>
  <c r="L60"/>
  <c r="L58"/>
  <c r="L63"/>
  <c r="L64"/>
  <c r="L65"/>
  <c r="M59"/>
  <c r="M60"/>
  <c r="M63"/>
  <c r="M64"/>
  <c r="M65"/>
  <c r="N59"/>
  <c r="N60"/>
  <c r="N63"/>
  <c r="N64"/>
  <c r="N65"/>
  <c r="O59"/>
  <c r="O60"/>
  <c r="O63"/>
  <c r="O64"/>
  <c r="O65"/>
  <c r="P59"/>
  <c r="P60"/>
  <c r="P58"/>
  <c r="P63"/>
  <c r="P64"/>
  <c r="P65"/>
  <c r="Q59"/>
  <c r="Q60"/>
  <c r="Q63"/>
  <c r="Q64"/>
  <c r="Q65"/>
  <c r="R59"/>
  <c r="R60"/>
  <c r="R63"/>
  <c r="R64"/>
  <c r="R65"/>
  <c r="B66"/>
  <c r="B65"/>
  <c r="B64"/>
  <c r="B63"/>
  <c r="B62"/>
  <c r="B61"/>
  <c r="B60"/>
  <c r="B59"/>
  <c r="B58"/>
  <c r="B57"/>
  <c r="B56"/>
  <c r="S55"/>
  <c r="T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B32"/>
  <c r="B31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B24"/>
  <c r="G23"/>
  <c r="H23"/>
  <c r="I23"/>
  <c r="J23"/>
  <c r="K23"/>
  <c r="L23"/>
  <c r="M23"/>
  <c r="N23"/>
  <c r="O23"/>
  <c r="P23"/>
  <c r="Q23"/>
  <c r="R23"/>
  <c r="B23"/>
  <c r="G22"/>
  <c r="H22"/>
  <c r="I22"/>
  <c r="J22"/>
  <c r="K22"/>
  <c r="L22"/>
  <c r="M22"/>
  <c r="N22"/>
  <c r="O22"/>
  <c r="P22"/>
  <c r="Q22"/>
  <c r="R22"/>
  <c r="B22"/>
  <c r="G21"/>
  <c r="H21"/>
  <c r="I21"/>
  <c r="J21"/>
  <c r="K21"/>
  <c r="L21"/>
  <c r="M21"/>
  <c r="N21"/>
  <c r="O21"/>
  <c r="P21"/>
  <c r="Q21"/>
  <c r="R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B11"/>
  <c r="B10"/>
  <c r="B7"/>
  <c r="R5"/>
  <c r="Q5"/>
  <c r="P5"/>
  <c r="O5"/>
  <c r="N5"/>
  <c r="M5"/>
  <c r="L5"/>
  <c r="K5"/>
  <c r="J5"/>
  <c r="I5"/>
  <c r="H5"/>
  <c r="G5"/>
  <c r="E4"/>
  <c r="E3"/>
  <c r="E2"/>
  <c r="A107" i="4"/>
  <c r="G101"/>
  <c r="G107"/>
  <c r="A108"/>
  <c r="G108"/>
  <c r="A109"/>
  <c r="G109"/>
  <c r="A110"/>
  <c r="G110"/>
  <c r="A111"/>
  <c r="G111"/>
  <c r="A112"/>
  <c r="G112"/>
  <c r="A113"/>
  <c r="G113"/>
  <c r="A114"/>
  <c r="G114"/>
  <c r="A116"/>
  <c r="G116"/>
  <c r="A117"/>
  <c r="G117"/>
  <c r="A118"/>
  <c r="G118"/>
  <c r="A119"/>
  <c r="G119"/>
  <c r="A120"/>
  <c r="G120"/>
  <c r="A121"/>
  <c r="G121"/>
  <c r="A122"/>
  <c r="G122"/>
  <c r="A123"/>
  <c r="G123"/>
  <c r="A124"/>
  <c r="G124"/>
  <c r="A128"/>
  <c r="G128"/>
  <c r="A129"/>
  <c r="G129"/>
  <c r="A130"/>
  <c r="G130"/>
  <c r="A131"/>
  <c r="G131"/>
  <c r="A132"/>
  <c r="G132"/>
  <c r="A133"/>
  <c r="G133"/>
  <c r="A134"/>
  <c r="G134"/>
  <c r="A135"/>
  <c r="G135"/>
  <c r="A136"/>
  <c r="G136"/>
  <c r="A137"/>
  <c r="G137"/>
  <c r="A139"/>
  <c r="G139"/>
  <c r="A140"/>
  <c r="G140"/>
  <c r="A141"/>
  <c r="G141"/>
  <c r="A142"/>
  <c r="G142"/>
  <c r="A143"/>
  <c r="G143"/>
  <c r="A144"/>
  <c r="G144"/>
  <c r="A145"/>
  <c r="G145"/>
  <c r="A146"/>
  <c r="G146"/>
  <c r="A147"/>
  <c r="G147"/>
  <c r="A148"/>
  <c r="G148"/>
  <c r="A152"/>
  <c r="G152"/>
  <c r="A153"/>
  <c r="G153"/>
  <c r="A154"/>
  <c r="G154"/>
  <c r="A157"/>
  <c r="G157"/>
  <c r="A158"/>
  <c r="G158"/>
  <c r="A159"/>
  <c r="G159"/>
  <c r="H101"/>
  <c r="H107"/>
  <c r="H108"/>
  <c r="H109"/>
  <c r="H110"/>
  <c r="H111"/>
  <c r="H112"/>
  <c r="H113"/>
  <c r="H114"/>
  <c r="H106"/>
  <c r="H116"/>
  <c r="H117"/>
  <c r="H118"/>
  <c r="H119"/>
  <c r="H120"/>
  <c r="H121"/>
  <c r="H122"/>
  <c r="H123"/>
  <c r="H124"/>
  <c r="H128"/>
  <c r="H129"/>
  <c r="H130"/>
  <c r="H131"/>
  <c r="H132"/>
  <c r="H133"/>
  <c r="H134"/>
  <c r="H135"/>
  <c r="H136"/>
  <c r="H137"/>
  <c r="H139"/>
  <c r="H140"/>
  <c r="H141"/>
  <c r="H142"/>
  <c r="H143"/>
  <c r="H144"/>
  <c r="H145"/>
  <c r="H146"/>
  <c r="H147"/>
  <c r="H148"/>
  <c r="H152"/>
  <c r="H153"/>
  <c r="H154"/>
  <c r="H157"/>
  <c r="H158"/>
  <c r="H159"/>
  <c r="I101"/>
  <c r="I107"/>
  <c r="I108"/>
  <c r="I109"/>
  <c r="I110"/>
  <c r="I111"/>
  <c r="I112"/>
  <c r="I113"/>
  <c r="I114"/>
  <c r="I116"/>
  <c r="I117"/>
  <c r="I118"/>
  <c r="I119"/>
  <c r="I120"/>
  <c r="I121"/>
  <c r="I122"/>
  <c r="I123"/>
  <c r="I124"/>
  <c r="I128"/>
  <c r="I129"/>
  <c r="I130"/>
  <c r="I131"/>
  <c r="I132"/>
  <c r="I133"/>
  <c r="I134"/>
  <c r="I135"/>
  <c r="I136"/>
  <c r="I137"/>
  <c r="I139"/>
  <c r="I140"/>
  <c r="I141"/>
  <c r="I142"/>
  <c r="I143"/>
  <c r="I144"/>
  <c r="I145"/>
  <c r="I146"/>
  <c r="I147"/>
  <c r="I148"/>
  <c r="I152"/>
  <c r="I153"/>
  <c r="I154"/>
  <c r="I157"/>
  <c r="I158"/>
  <c r="I159"/>
  <c r="J101"/>
  <c r="J107"/>
  <c r="J108"/>
  <c r="J109"/>
  <c r="J110"/>
  <c r="J111"/>
  <c r="J112"/>
  <c r="J113"/>
  <c r="J114"/>
  <c r="J116"/>
  <c r="J117"/>
  <c r="J118"/>
  <c r="J119"/>
  <c r="J120"/>
  <c r="J121"/>
  <c r="J122"/>
  <c r="J123"/>
  <c r="J124"/>
  <c r="J128"/>
  <c r="J129"/>
  <c r="J130"/>
  <c r="J131"/>
  <c r="J132"/>
  <c r="J133"/>
  <c r="J134"/>
  <c r="J135"/>
  <c r="J136"/>
  <c r="J137"/>
  <c r="J139"/>
  <c r="J140"/>
  <c r="J141"/>
  <c r="J142"/>
  <c r="J143"/>
  <c r="J138"/>
  <c r="J144"/>
  <c r="J145"/>
  <c r="J146"/>
  <c r="J147"/>
  <c r="J148"/>
  <c r="J152"/>
  <c r="J153"/>
  <c r="J154"/>
  <c r="J157"/>
  <c r="J158"/>
  <c r="J159"/>
  <c r="K101"/>
  <c r="K107"/>
  <c r="K108"/>
  <c r="K109"/>
  <c r="K110"/>
  <c r="K111"/>
  <c r="K112"/>
  <c r="K113"/>
  <c r="K114"/>
  <c r="K116"/>
  <c r="K117"/>
  <c r="K118"/>
  <c r="K119"/>
  <c r="K120"/>
  <c r="L120"/>
  <c r="M120"/>
  <c r="N120"/>
  <c r="O120"/>
  <c r="P120"/>
  <c r="Q120"/>
  <c r="R120"/>
  <c r="S120"/>
  <c r="T120"/>
  <c r="K121"/>
  <c r="K122"/>
  <c r="K123"/>
  <c r="K124"/>
  <c r="K128"/>
  <c r="K129"/>
  <c r="K130"/>
  <c r="K131"/>
  <c r="K132"/>
  <c r="K133"/>
  <c r="K134"/>
  <c r="K135"/>
  <c r="K136"/>
  <c r="K137"/>
  <c r="K127"/>
  <c r="K139"/>
  <c r="K140"/>
  <c r="K141"/>
  <c r="K142"/>
  <c r="K143"/>
  <c r="K144"/>
  <c r="K145"/>
  <c r="K146"/>
  <c r="K147"/>
  <c r="K148"/>
  <c r="K152"/>
  <c r="K153"/>
  <c r="K154"/>
  <c r="K157"/>
  <c r="K158"/>
  <c r="K159"/>
  <c r="L101"/>
  <c r="L107"/>
  <c r="L108"/>
  <c r="L109"/>
  <c r="L110"/>
  <c r="L111"/>
  <c r="L112"/>
  <c r="L113"/>
  <c r="L114"/>
  <c r="L116"/>
  <c r="L117"/>
  <c r="L118"/>
  <c r="L119"/>
  <c r="L121"/>
  <c r="L122"/>
  <c r="L123"/>
  <c r="L124"/>
  <c r="L128"/>
  <c r="L129"/>
  <c r="L130"/>
  <c r="L131"/>
  <c r="L132"/>
  <c r="L133"/>
  <c r="L134"/>
  <c r="L135"/>
  <c r="L136"/>
  <c r="L137"/>
  <c r="L139"/>
  <c r="L140"/>
  <c r="L141"/>
  <c r="L142"/>
  <c r="L143"/>
  <c r="L144"/>
  <c r="L145"/>
  <c r="L146"/>
  <c r="L147"/>
  <c r="L148"/>
  <c r="L152"/>
  <c r="L153"/>
  <c r="L154"/>
  <c r="L157"/>
  <c r="L158"/>
  <c r="L159"/>
  <c r="M101"/>
  <c r="M107"/>
  <c r="M108"/>
  <c r="M109"/>
  <c r="M110"/>
  <c r="N110"/>
  <c r="O110"/>
  <c r="P110"/>
  <c r="Q110"/>
  <c r="R110"/>
  <c r="S110"/>
  <c r="T110"/>
  <c r="M111"/>
  <c r="M112"/>
  <c r="M113"/>
  <c r="M114"/>
  <c r="M116"/>
  <c r="M117"/>
  <c r="M118"/>
  <c r="M119"/>
  <c r="M121"/>
  <c r="M122"/>
  <c r="M123"/>
  <c r="M124"/>
  <c r="M128"/>
  <c r="M129"/>
  <c r="M130"/>
  <c r="M131"/>
  <c r="M132"/>
  <c r="M133"/>
  <c r="M134"/>
  <c r="M135"/>
  <c r="M136"/>
  <c r="M137"/>
  <c r="M139"/>
  <c r="N139"/>
  <c r="O139"/>
  <c r="P139"/>
  <c r="Q139"/>
  <c r="R139"/>
  <c r="S139"/>
  <c r="T139"/>
  <c r="M140"/>
  <c r="M141"/>
  <c r="M142"/>
  <c r="M143"/>
  <c r="M144"/>
  <c r="N144"/>
  <c r="O144"/>
  <c r="P144"/>
  <c r="Q144"/>
  <c r="R144"/>
  <c r="S144"/>
  <c r="T144"/>
  <c r="M145"/>
  <c r="M146"/>
  <c r="M147"/>
  <c r="M148"/>
  <c r="M152"/>
  <c r="M153"/>
  <c r="M154"/>
  <c r="M157"/>
  <c r="M158"/>
  <c r="M159"/>
  <c r="N159"/>
  <c r="O159"/>
  <c r="P159"/>
  <c r="Q159"/>
  <c r="R159"/>
  <c r="S159"/>
  <c r="T159"/>
  <c r="N101"/>
  <c r="N107"/>
  <c r="N108"/>
  <c r="N109"/>
  <c r="N111"/>
  <c r="N112"/>
  <c r="N113"/>
  <c r="N114"/>
  <c r="N116"/>
  <c r="N117"/>
  <c r="O117"/>
  <c r="P117"/>
  <c r="Q117"/>
  <c r="R117"/>
  <c r="S117"/>
  <c r="T117"/>
  <c r="N118"/>
  <c r="N119"/>
  <c r="N121"/>
  <c r="N122"/>
  <c r="O122"/>
  <c r="P122"/>
  <c r="Q122"/>
  <c r="R122"/>
  <c r="S122"/>
  <c r="T122"/>
  <c r="N123"/>
  <c r="O123"/>
  <c r="P123"/>
  <c r="Q123"/>
  <c r="R123"/>
  <c r="S123"/>
  <c r="T123"/>
  <c r="N124"/>
  <c r="N128"/>
  <c r="N129"/>
  <c r="N130"/>
  <c r="N131"/>
  <c r="N132"/>
  <c r="N133"/>
  <c r="N134"/>
  <c r="N135"/>
  <c r="N136"/>
  <c r="N137"/>
  <c r="N140"/>
  <c r="N141"/>
  <c r="N142"/>
  <c r="N143"/>
  <c r="N145"/>
  <c r="N146"/>
  <c r="N147"/>
  <c r="N148"/>
  <c r="N152"/>
  <c r="N153"/>
  <c r="N154"/>
  <c r="N157"/>
  <c r="N158"/>
  <c r="O101"/>
  <c r="O107"/>
  <c r="O108"/>
  <c r="P108"/>
  <c r="Q108"/>
  <c r="R108"/>
  <c r="S108"/>
  <c r="T108"/>
  <c r="O109"/>
  <c r="O111"/>
  <c r="O112"/>
  <c r="O113"/>
  <c r="O114"/>
  <c r="O116"/>
  <c r="O118"/>
  <c r="O119"/>
  <c r="O121"/>
  <c r="P121"/>
  <c r="Q121"/>
  <c r="R121"/>
  <c r="S121"/>
  <c r="T121"/>
  <c r="O124"/>
  <c r="O128"/>
  <c r="O129"/>
  <c r="O130"/>
  <c r="O131"/>
  <c r="O132"/>
  <c r="O133"/>
  <c r="O134"/>
  <c r="O135"/>
  <c r="O136"/>
  <c r="O137"/>
  <c r="O140"/>
  <c r="O141"/>
  <c r="O142"/>
  <c r="O143"/>
  <c r="O145"/>
  <c r="O146"/>
  <c r="O147"/>
  <c r="O148"/>
  <c r="O152"/>
  <c r="O153"/>
  <c r="O154"/>
  <c r="O157"/>
  <c r="O158"/>
  <c r="P101"/>
  <c r="P107"/>
  <c r="P109"/>
  <c r="P111"/>
  <c r="P112"/>
  <c r="P113"/>
  <c r="P114"/>
  <c r="P106"/>
  <c r="P116"/>
  <c r="P118"/>
  <c r="Q118"/>
  <c r="R118"/>
  <c r="S118"/>
  <c r="T118"/>
  <c r="P119"/>
  <c r="P124"/>
  <c r="P128"/>
  <c r="P129"/>
  <c r="P130"/>
  <c r="P131"/>
  <c r="P132"/>
  <c r="Q132"/>
  <c r="R132"/>
  <c r="S132"/>
  <c r="T132"/>
  <c r="P133"/>
  <c r="P134"/>
  <c r="P135"/>
  <c r="P136"/>
  <c r="P137"/>
  <c r="Q137"/>
  <c r="R137"/>
  <c r="S137"/>
  <c r="T137"/>
  <c r="P140"/>
  <c r="P141"/>
  <c r="P142"/>
  <c r="P143"/>
  <c r="P145"/>
  <c r="P146"/>
  <c r="P147"/>
  <c r="P148"/>
  <c r="Q148"/>
  <c r="R148"/>
  <c r="S148"/>
  <c r="T148"/>
  <c r="P152"/>
  <c r="P153"/>
  <c r="P154"/>
  <c r="P157"/>
  <c r="P158"/>
  <c r="Q101"/>
  <c r="Q107"/>
  <c r="Q109"/>
  <c r="R109"/>
  <c r="S109"/>
  <c r="T109"/>
  <c r="Q111"/>
  <c r="R111"/>
  <c r="S111"/>
  <c r="T111"/>
  <c r="Q112"/>
  <c r="R112"/>
  <c r="S112"/>
  <c r="T112"/>
  <c r="Q113"/>
  <c r="Q114"/>
  <c r="Q116"/>
  <c r="Q119"/>
  <c r="Q124"/>
  <c r="Q128"/>
  <c r="Q129"/>
  <c r="Q130"/>
  <c r="Q131"/>
  <c r="Q133"/>
  <c r="Q134"/>
  <c r="Q135"/>
  <c r="Q136"/>
  <c r="Q140"/>
  <c r="Q141"/>
  <c r="Q142"/>
  <c r="Q143"/>
  <c r="Q145"/>
  <c r="Q146"/>
  <c r="Q147"/>
  <c r="Q152"/>
  <c r="Q153"/>
  <c r="Q154"/>
  <c r="Q151"/>
  <c r="Q157"/>
  <c r="Q158"/>
  <c r="R101"/>
  <c r="R107"/>
  <c r="R113"/>
  <c r="S113"/>
  <c r="T113"/>
  <c r="R114"/>
  <c r="R116"/>
  <c r="R119"/>
  <c r="R124"/>
  <c r="S124"/>
  <c r="T124"/>
  <c r="R128"/>
  <c r="R129"/>
  <c r="R130"/>
  <c r="R131"/>
  <c r="R133"/>
  <c r="R134"/>
  <c r="R135"/>
  <c r="S135"/>
  <c r="T135"/>
  <c r="R136"/>
  <c r="R140"/>
  <c r="S140"/>
  <c r="T140"/>
  <c r="R141"/>
  <c r="R142"/>
  <c r="R143"/>
  <c r="R145"/>
  <c r="R146"/>
  <c r="R147"/>
  <c r="R152"/>
  <c r="R153"/>
  <c r="R154"/>
  <c r="R157"/>
  <c r="R158"/>
  <c r="S158"/>
  <c r="T158"/>
  <c r="A160"/>
  <c r="B160"/>
  <c r="B159"/>
  <c r="B158"/>
  <c r="S157"/>
  <c r="T157"/>
  <c r="B157"/>
  <c r="A156"/>
  <c r="B156"/>
  <c r="A155"/>
  <c r="B155"/>
  <c r="B154"/>
  <c r="B153"/>
  <c r="B152"/>
  <c r="A151"/>
  <c r="B151"/>
  <c r="A150"/>
  <c r="B150"/>
  <c r="A149"/>
  <c r="B149"/>
  <c r="B148"/>
  <c r="B147"/>
  <c r="B146"/>
  <c r="B145"/>
  <c r="B144"/>
  <c r="B143"/>
  <c r="S142"/>
  <c r="T142"/>
  <c r="B142"/>
  <c r="B141"/>
  <c r="B140"/>
  <c r="B139"/>
  <c r="A138"/>
  <c r="B138"/>
  <c r="B137"/>
  <c r="B136"/>
  <c r="B135"/>
  <c r="B134"/>
  <c r="B133"/>
  <c r="B132"/>
  <c r="B131"/>
  <c r="B130"/>
  <c r="S129"/>
  <c r="T129"/>
  <c r="B129"/>
  <c r="B128"/>
  <c r="A127"/>
  <c r="B127"/>
  <c r="A126"/>
  <c r="B126"/>
  <c r="A125"/>
  <c r="B125"/>
  <c r="B124"/>
  <c r="B123"/>
  <c r="B122"/>
  <c r="B121"/>
  <c r="B120"/>
  <c r="B119"/>
  <c r="B118"/>
  <c r="B117"/>
  <c r="S116"/>
  <c r="T116"/>
  <c r="B116"/>
  <c r="A115"/>
  <c r="B115"/>
  <c r="B114"/>
  <c r="B113"/>
  <c r="B112"/>
  <c r="B111"/>
  <c r="B110"/>
  <c r="B109"/>
  <c r="B108"/>
  <c r="S107"/>
  <c r="T107"/>
  <c r="B107"/>
  <c r="A106"/>
  <c r="B106"/>
  <c r="A105"/>
  <c r="B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S7"/>
  <c r="S102"/>
  <c r="B102"/>
  <c r="G59"/>
  <c r="G60"/>
  <c r="G58"/>
  <c r="G63"/>
  <c r="G64"/>
  <c r="G65"/>
  <c r="H59"/>
  <c r="H60"/>
  <c r="H63"/>
  <c r="H64"/>
  <c r="H65"/>
  <c r="I59"/>
  <c r="I60"/>
  <c r="I63"/>
  <c r="I64"/>
  <c r="I65"/>
  <c r="J59"/>
  <c r="J60"/>
  <c r="J63"/>
  <c r="J64"/>
  <c r="J65"/>
  <c r="K59"/>
  <c r="K60"/>
  <c r="K58"/>
  <c r="K63"/>
  <c r="K64"/>
  <c r="K65"/>
  <c r="L59"/>
  <c r="L60"/>
  <c r="L63"/>
  <c r="L64"/>
  <c r="L65"/>
  <c r="M59"/>
  <c r="M60"/>
  <c r="M63"/>
  <c r="M64"/>
  <c r="M65"/>
  <c r="N59"/>
  <c r="N60"/>
  <c r="N63"/>
  <c r="N64"/>
  <c r="N65"/>
  <c r="O59"/>
  <c r="O60"/>
  <c r="O58"/>
  <c r="O63"/>
  <c r="O64"/>
  <c r="O65"/>
  <c r="P59"/>
  <c r="P60"/>
  <c r="P63"/>
  <c r="P64"/>
  <c r="P65"/>
  <c r="Q59"/>
  <c r="Q60"/>
  <c r="Q63"/>
  <c r="Q64"/>
  <c r="Q65"/>
  <c r="R59"/>
  <c r="R60"/>
  <c r="R58"/>
  <c r="R63"/>
  <c r="R64"/>
  <c r="R65"/>
  <c r="B66"/>
  <c r="B65"/>
  <c r="B64"/>
  <c r="B63"/>
  <c r="B62"/>
  <c r="B61"/>
  <c r="B60"/>
  <c r="B59"/>
  <c r="B58"/>
  <c r="B57"/>
  <c r="B56"/>
  <c r="G55"/>
  <c r="H55"/>
  <c r="I55"/>
  <c r="J55"/>
  <c r="K55"/>
  <c r="L55"/>
  <c r="M55"/>
  <c r="N55"/>
  <c r="O55"/>
  <c r="P55"/>
  <c r="Q55"/>
  <c r="R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B32"/>
  <c r="B31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B24"/>
  <c r="G23"/>
  <c r="H23"/>
  <c r="I23"/>
  <c r="J23"/>
  <c r="K23"/>
  <c r="L23"/>
  <c r="M23"/>
  <c r="N23"/>
  <c r="O23"/>
  <c r="P23"/>
  <c r="Q23"/>
  <c r="R23"/>
  <c r="B23"/>
  <c r="G22"/>
  <c r="H22"/>
  <c r="I22"/>
  <c r="J22"/>
  <c r="K22"/>
  <c r="L22"/>
  <c r="M22"/>
  <c r="N22"/>
  <c r="O22"/>
  <c r="P22"/>
  <c r="Q22"/>
  <c r="R22"/>
  <c r="B22"/>
  <c r="G21"/>
  <c r="H21"/>
  <c r="I21"/>
  <c r="J21"/>
  <c r="K21"/>
  <c r="L21"/>
  <c r="M21"/>
  <c r="N21"/>
  <c r="O21"/>
  <c r="P21"/>
  <c r="Q21"/>
  <c r="R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B11"/>
  <c r="B10"/>
  <c r="B7"/>
  <c r="R5"/>
  <c r="Q5"/>
  <c r="P5"/>
  <c r="O5"/>
  <c r="N5"/>
  <c r="M5"/>
  <c r="L5"/>
  <c r="K5"/>
  <c r="J5"/>
  <c r="I5"/>
  <c r="H5"/>
  <c r="G5"/>
  <c r="E4"/>
  <c r="E3"/>
  <c r="E2"/>
  <c r="A107" i="10"/>
  <c r="G101"/>
  <c r="A108"/>
  <c r="A109"/>
  <c r="A110"/>
  <c r="A111"/>
  <c r="A112"/>
  <c r="A113"/>
  <c r="A114"/>
  <c r="A116"/>
  <c r="A117"/>
  <c r="A118"/>
  <c r="A119"/>
  <c r="A120"/>
  <c r="A121"/>
  <c r="A122"/>
  <c r="A123"/>
  <c r="A124"/>
  <c r="A128"/>
  <c r="G128"/>
  <c r="A129"/>
  <c r="G129"/>
  <c r="A130"/>
  <c r="G130"/>
  <c r="A131"/>
  <c r="G131"/>
  <c r="A132"/>
  <c r="G132"/>
  <c r="A133"/>
  <c r="G133"/>
  <c r="A134"/>
  <c r="G134"/>
  <c r="A135"/>
  <c r="G135"/>
  <c r="A136"/>
  <c r="G136"/>
  <c r="A137"/>
  <c r="G137"/>
  <c r="A139"/>
  <c r="G139"/>
  <c r="A140"/>
  <c r="G140"/>
  <c r="H140"/>
  <c r="I140"/>
  <c r="J140"/>
  <c r="K140"/>
  <c r="L140"/>
  <c r="M140"/>
  <c r="N140"/>
  <c r="O140"/>
  <c r="P140"/>
  <c r="Q140"/>
  <c r="R140"/>
  <c r="S140"/>
  <c r="T140"/>
  <c r="A141"/>
  <c r="G141"/>
  <c r="A142"/>
  <c r="G142"/>
  <c r="A143"/>
  <c r="G143"/>
  <c r="A144"/>
  <c r="G144"/>
  <c r="A145"/>
  <c r="G145"/>
  <c r="A146"/>
  <c r="G146"/>
  <c r="A147"/>
  <c r="G147"/>
  <c r="A148"/>
  <c r="G148"/>
  <c r="A152"/>
  <c r="G152"/>
  <c r="A153"/>
  <c r="G153"/>
  <c r="A154"/>
  <c r="G154"/>
  <c r="A157"/>
  <c r="G157"/>
  <c r="A158"/>
  <c r="G158"/>
  <c r="A159"/>
  <c r="G159"/>
  <c r="H101"/>
  <c r="H128"/>
  <c r="H129"/>
  <c r="H130"/>
  <c r="H131"/>
  <c r="H132"/>
  <c r="H133"/>
  <c r="H134"/>
  <c r="H135"/>
  <c r="H136"/>
  <c r="H137"/>
  <c r="H139"/>
  <c r="H141"/>
  <c r="H142"/>
  <c r="H143"/>
  <c r="H144"/>
  <c r="H145"/>
  <c r="H146"/>
  <c r="H147"/>
  <c r="H148"/>
  <c r="H152"/>
  <c r="H153"/>
  <c r="H154"/>
  <c r="H157"/>
  <c r="H158"/>
  <c r="H159"/>
  <c r="I101"/>
  <c r="I128"/>
  <c r="I129"/>
  <c r="I130"/>
  <c r="I131"/>
  <c r="I132"/>
  <c r="I133"/>
  <c r="I134"/>
  <c r="I135"/>
  <c r="I136"/>
  <c r="I137"/>
  <c r="I139"/>
  <c r="I141"/>
  <c r="I142"/>
  <c r="I143"/>
  <c r="I144"/>
  <c r="I145"/>
  <c r="I146"/>
  <c r="I147"/>
  <c r="I148"/>
  <c r="I152"/>
  <c r="I153"/>
  <c r="I154"/>
  <c r="I157"/>
  <c r="I158"/>
  <c r="I159"/>
  <c r="J101"/>
  <c r="J128"/>
  <c r="J129"/>
  <c r="J130"/>
  <c r="J131"/>
  <c r="J132"/>
  <c r="J133"/>
  <c r="J134"/>
  <c r="J135"/>
  <c r="J136"/>
  <c r="J137"/>
  <c r="J139"/>
  <c r="J141"/>
  <c r="J142"/>
  <c r="J143"/>
  <c r="J144"/>
  <c r="J145"/>
  <c r="J146"/>
  <c r="J147"/>
  <c r="J148"/>
  <c r="J152"/>
  <c r="J153"/>
  <c r="J154"/>
  <c r="J157"/>
  <c r="J158"/>
  <c r="J159"/>
  <c r="K101"/>
  <c r="K128"/>
  <c r="K129"/>
  <c r="K130"/>
  <c r="K131"/>
  <c r="K132"/>
  <c r="K133"/>
  <c r="L133"/>
  <c r="M133"/>
  <c r="N133"/>
  <c r="O133"/>
  <c r="P133"/>
  <c r="Q133"/>
  <c r="R133"/>
  <c r="S133"/>
  <c r="T133"/>
  <c r="K134"/>
  <c r="K135"/>
  <c r="K136"/>
  <c r="K137"/>
  <c r="K139"/>
  <c r="K141"/>
  <c r="K142"/>
  <c r="K143"/>
  <c r="K144"/>
  <c r="K145"/>
  <c r="K146"/>
  <c r="K147"/>
  <c r="K148"/>
  <c r="K152"/>
  <c r="K153"/>
  <c r="K154"/>
  <c r="K151"/>
  <c r="K157"/>
  <c r="K158"/>
  <c r="K159"/>
  <c r="L101"/>
  <c r="L128"/>
  <c r="L129"/>
  <c r="L130"/>
  <c r="L131"/>
  <c r="L132"/>
  <c r="L134"/>
  <c r="L135"/>
  <c r="L136"/>
  <c r="L137"/>
  <c r="L139"/>
  <c r="L141"/>
  <c r="L142"/>
  <c r="L143"/>
  <c r="L144"/>
  <c r="L145"/>
  <c r="L146"/>
  <c r="L147"/>
  <c r="L148"/>
  <c r="L152"/>
  <c r="L153"/>
  <c r="L154"/>
  <c r="L151"/>
  <c r="L157"/>
  <c r="L158"/>
  <c r="L159"/>
  <c r="M101"/>
  <c r="M128"/>
  <c r="M129"/>
  <c r="M130"/>
  <c r="M131"/>
  <c r="M132"/>
  <c r="M134"/>
  <c r="M135"/>
  <c r="M136"/>
  <c r="M137"/>
  <c r="M139"/>
  <c r="M141"/>
  <c r="M142"/>
  <c r="M143"/>
  <c r="M144"/>
  <c r="N144"/>
  <c r="O144"/>
  <c r="P144"/>
  <c r="Q144"/>
  <c r="R144"/>
  <c r="S144"/>
  <c r="T144"/>
  <c r="M145"/>
  <c r="M146"/>
  <c r="M147"/>
  <c r="M148"/>
  <c r="N148"/>
  <c r="O148"/>
  <c r="P148"/>
  <c r="Q148"/>
  <c r="R148"/>
  <c r="S148"/>
  <c r="T148"/>
  <c r="M152"/>
  <c r="M153"/>
  <c r="M154"/>
  <c r="M157"/>
  <c r="N157"/>
  <c r="O157"/>
  <c r="P157"/>
  <c r="Q157"/>
  <c r="R157"/>
  <c r="S157"/>
  <c r="T157"/>
  <c r="M158"/>
  <c r="M159"/>
  <c r="N101"/>
  <c r="N128"/>
  <c r="N129"/>
  <c r="N130"/>
  <c r="N131"/>
  <c r="N132"/>
  <c r="N134"/>
  <c r="N135"/>
  <c r="N136"/>
  <c r="N137"/>
  <c r="N139"/>
  <c r="N141"/>
  <c r="N142"/>
  <c r="N143"/>
  <c r="N145"/>
  <c r="N146"/>
  <c r="N147"/>
  <c r="N152"/>
  <c r="N153"/>
  <c r="N154"/>
  <c r="O154"/>
  <c r="P154"/>
  <c r="Q154"/>
  <c r="R154"/>
  <c r="H61" i="11"/>
  <c r="N158" i="10"/>
  <c r="N159"/>
  <c r="O101"/>
  <c r="O128"/>
  <c r="O129"/>
  <c r="O130"/>
  <c r="O131"/>
  <c r="O132"/>
  <c r="O134"/>
  <c r="O135"/>
  <c r="O136"/>
  <c r="O137"/>
  <c r="O139"/>
  <c r="O141"/>
  <c r="O142"/>
  <c r="P142"/>
  <c r="Q142"/>
  <c r="R142"/>
  <c r="S142"/>
  <c r="T142"/>
  <c r="O143"/>
  <c r="O145"/>
  <c r="O146"/>
  <c r="O147"/>
  <c r="O152"/>
  <c r="O153"/>
  <c r="O158"/>
  <c r="O159"/>
  <c r="P101"/>
  <c r="P128"/>
  <c r="P129"/>
  <c r="P130"/>
  <c r="P131"/>
  <c r="P132"/>
  <c r="P134"/>
  <c r="P135"/>
  <c r="P136"/>
  <c r="P137"/>
  <c r="P139"/>
  <c r="P141"/>
  <c r="P143"/>
  <c r="P145"/>
  <c r="P146"/>
  <c r="Q146"/>
  <c r="R146"/>
  <c r="S146"/>
  <c r="T146"/>
  <c r="P147"/>
  <c r="P152"/>
  <c r="P153"/>
  <c r="P151"/>
  <c r="P158"/>
  <c r="P159"/>
  <c r="Q101"/>
  <c r="Q128"/>
  <c r="Q129"/>
  <c r="Q130"/>
  <c r="Q131"/>
  <c r="Q132"/>
  <c r="Q134"/>
  <c r="Q135"/>
  <c r="Q136"/>
  <c r="Q137"/>
  <c r="Q139"/>
  <c r="Q141"/>
  <c r="Q143"/>
  <c r="R143"/>
  <c r="H48" i="11"/>
  <c r="Q145" i="10"/>
  <c r="Q147"/>
  <c r="Q152"/>
  <c r="Q153"/>
  <c r="Q158"/>
  <c r="Q159"/>
  <c r="R101"/>
  <c r="R128"/>
  <c r="R129"/>
  <c r="R130"/>
  <c r="R131"/>
  <c r="R132"/>
  <c r="R134"/>
  <c r="R135"/>
  <c r="R136"/>
  <c r="R137"/>
  <c r="R139"/>
  <c r="R141"/>
  <c r="R145"/>
  <c r="R147"/>
  <c r="R152"/>
  <c r="R153"/>
  <c r="R158"/>
  <c r="R159"/>
  <c r="A160"/>
  <c r="B160"/>
  <c r="B159"/>
  <c r="B158"/>
  <c r="B157"/>
  <c r="A156"/>
  <c r="B156"/>
  <c r="A155"/>
  <c r="B155"/>
  <c r="B154"/>
  <c r="B153"/>
  <c r="B152"/>
  <c r="A151"/>
  <c r="B151"/>
  <c r="A150"/>
  <c r="B150"/>
  <c r="A149"/>
  <c r="B149"/>
  <c r="B148"/>
  <c r="B147"/>
  <c r="B146"/>
  <c r="B145"/>
  <c r="B144"/>
  <c r="B143"/>
  <c r="B142"/>
  <c r="B141"/>
  <c r="B140"/>
  <c r="B139"/>
  <c r="A138"/>
  <c r="B138"/>
  <c r="B137"/>
  <c r="B136"/>
  <c r="B135"/>
  <c r="B134"/>
  <c r="B133"/>
  <c r="B132"/>
  <c r="B131"/>
  <c r="B130"/>
  <c r="B129"/>
  <c r="B128"/>
  <c r="A127"/>
  <c r="B127"/>
  <c r="A126"/>
  <c r="B126"/>
  <c r="A125"/>
  <c r="B125"/>
  <c r="S124"/>
  <c r="T124"/>
  <c r="B124"/>
  <c r="S123"/>
  <c r="T123"/>
  <c r="B123"/>
  <c r="S122"/>
  <c r="T122"/>
  <c r="B122"/>
  <c r="S121"/>
  <c r="T121"/>
  <c r="B121"/>
  <c r="S120"/>
  <c r="T120"/>
  <c r="B120"/>
  <c r="S119"/>
  <c r="T119"/>
  <c r="B119"/>
  <c r="S118"/>
  <c r="T118"/>
  <c r="B118"/>
  <c r="S117"/>
  <c r="T117"/>
  <c r="B117"/>
  <c r="S116"/>
  <c r="T116"/>
  <c r="B116"/>
  <c r="A115"/>
  <c r="B115"/>
  <c r="S114"/>
  <c r="T114"/>
  <c r="B114"/>
  <c r="S113"/>
  <c r="T113"/>
  <c r="B113"/>
  <c r="S112"/>
  <c r="T112"/>
  <c r="B112"/>
  <c r="S111"/>
  <c r="T111"/>
  <c r="B111"/>
  <c r="S110"/>
  <c r="T110"/>
  <c r="B110"/>
  <c r="S109"/>
  <c r="T109"/>
  <c r="B109"/>
  <c r="S108"/>
  <c r="T108"/>
  <c r="B108"/>
  <c r="S107"/>
  <c r="T107"/>
  <c r="B107"/>
  <c r="A106"/>
  <c r="B106"/>
  <c r="A105"/>
  <c r="B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T102"/>
  <c r="S7"/>
  <c r="S102"/>
  <c r="B102"/>
  <c r="G12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1"/>
  <c r="G52"/>
  <c r="G53"/>
  <c r="G54"/>
  <c r="G59"/>
  <c r="H59"/>
  <c r="H60"/>
  <c r="H58"/>
  <c r="I59"/>
  <c r="J59"/>
  <c r="K59"/>
  <c r="L59"/>
  <c r="M59"/>
  <c r="N59"/>
  <c r="O59"/>
  <c r="P59"/>
  <c r="Q59"/>
  <c r="R59"/>
  <c r="G60"/>
  <c r="G63"/>
  <c r="G64"/>
  <c r="G65"/>
  <c r="H65"/>
  <c r="I65"/>
  <c r="J65"/>
  <c r="K65"/>
  <c r="L65"/>
  <c r="M65"/>
  <c r="N65"/>
  <c r="O65"/>
  <c r="P65"/>
  <c r="Q65"/>
  <c r="R65"/>
  <c r="G66" i="11"/>
  <c r="H12" i="10"/>
  <c r="H13"/>
  <c r="H14"/>
  <c r="H15"/>
  <c r="I15"/>
  <c r="J15"/>
  <c r="K15"/>
  <c r="L15"/>
  <c r="O15"/>
  <c r="P15"/>
  <c r="Q15"/>
  <c r="R15"/>
  <c r="S15"/>
  <c r="T15"/>
  <c r="H16"/>
  <c r="H17"/>
  <c r="H18"/>
  <c r="H19"/>
  <c r="H20"/>
  <c r="H25"/>
  <c r="H26"/>
  <c r="H27"/>
  <c r="I27"/>
  <c r="J27"/>
  <c r="K27"/>
  <c r="L27"/>
  <c r="O27"/>
  <c r="P27"/>
  <c r="Q27"/>
  <c r="R27"/>
  <c r="G27" i="11"/>
  <c r="K27"/>
  <c r="L27"/>
  <c r="H28" i="10"/>
  <c r="H29"/>
  <c r="H33"/>
  <c r="H34"/>
  <c r="H35"/>
  <c r="H37"/>
  <c r="H38"/>
  <c r="H39"/>
  <c r="H40"/>
  <c r="H41"/>
  <c r="H42"/>
  <c r="H44"/>
  <c r="H45"/>
  <c r="H46"/>
  <c r="H47"/>
  <c r="I47"/>
  <c r="J47"/>
  <c r="K47"/>
  <c r="L47"/>
  <c r="O47"/>
  <c r="P47"/>
  <c r="Q47"/>
  <c r="R47"/>
  <c r="G47" i="11"/>
  <c r="H48" i="10"/>
  <c r="H49"/>
  <c r="H51"/>
  <c r="I51"/>
  <c r="J51"/>
  <c r="K51"/>
  <c r="L51"/>
  <c r="O51"/>
  <c r="P51"/>
  <c r="Q51"/>
  <c r="R51"/>
  <c r="G51" i="11"/>
  <c r="H52" i="10"/>
  <c r="H53"/>
  <c r="H54"/>
  <c r="H63"/>
  <c r="H64"/>
  <c r="I12"/>
  <c r="I13"/>
  <c r="I14"/>
  <c r="I16"/>
  <c r="I17"/>
  <c r="I18"/>
  <c r="I19"/>
  <c r="I20"/>
  <c r="I25"/>
  <c r="I26"/>
  <c r="I28"/>
  <c r="I29"/>
  <c r="I33"/>
  <c r="I34"/>
  <c r="I35"/>
  <c r="I38"/>
  <c r="I39"/>
  <c r="I40"/>
  <c r="I41"/>
  <c r="I42"/>
  <c r="I44"/>
  <c r="I45"/>
  <c r="I46"/>
  <c r="I48"/>
  <c r="I49"/>
  <c r="I52"/>
  <c r="I53"/>
  <c r="I54"/>
  <c r="I60"/>
  <c r="I58"/>
  <c r="I63"/>
  <c r="I64"/>
  <c r="J12"/>
  <c r="J13"/>
  <c r="J14"/>
  <c r="J16"/>
  <c r="J17"/>
  <c r="J18"/>
  <c r="J19"/>
  <c r="J20"/>
  <c r="J25"/>
  <c r="J26"/>
  <c r="J28"/>
  <c r="J29"/>
  <c r="J33"/>
  <c r="J34"/>
  <c r="J35"/>
  <c r="J37"/>
  <c r="J38"/>
  <c r="J39"/>
  <c r="J40"/>
  <c r="J41"/>
  <c r="J42"/>
  <c r="J44"/>
  <c r="J45"/>
  <c r="J46"/>
  <c r="J48"/>
  <c r="J49"/>
  <c r="J52"/>
  <c r="J53"/>
  <c r="J54"/>
  <c r="J60"/>
  <c r="J63"/>
  <c r="J64"/>
  <c r="K12"/>
  <c r="K13"/>
  <c r="K14"/>
  <c r="K16"/>
  <c r="K17"/>
  <c r="K18"/>
  <c r="K19"/>
  <c r="K20"/>
  <c r="K25"/>
  <c r="K26"/>
  <c r="K28"/>
  <c r="K29"/>
  <c r="K33"/>
  <c r="K34"/>
  <c r="K35"/>
  <c r="K37"/>
  <c r="K38"/>
  <c r="K39"/>
  <c r="K40"/>
  <c r="K41"/>
  <c r="K42"/>
  <c r="K44"/>
  <c r="K45"/>
  <c r="K46"/>
  <c r="K48"/>
  <c r="K49"/>
  <c r="K52"/>
  <c r="K53"/>
  <c r="K54"/>
  <c r="K60"/>
  <c r="K58"/>
  <c r="K63"/>
  <c r="K64"/>
  <c r="L12"/>
  <c r="L13"/>
  <c r="L14"/>
  <c r="L16"/>
  <c r="L17"/>
  <c r="L18"/>
  <c r="L19"/>
  <c r="L20"/>
  <c r="L25"/>
  <c r="L26"/>
  <c r="L28"/>
  <c r="L29"/>
  <c r="L33"/>
  <c r="L34"/>
  <c r="L35"/>
  <c r="L37"/>
  <c r="L38"/>
  <c r="L39"/>
  <c r="L40"/>
  <c r="L41"/>
  <c r="L42"/>
  <c r="L44"/>
  <c r="L45"/>
  <c r="L46"/>
  <c r="L48"/>
  <c r="L49"/>
  <c r="L52"/>
  <c r="L53"/>
  <c r="L54"/>
  <c r="L60"/>
  <c r="L63"/>
  <c r="L64"/>
  <c r="M60"/>
  <c r="M63"/>
  <c r="M64"/>
  <c r="N64"/>
  <c r="O64"/>
  <c r="P64"/>
  <c r="N65" i="11"/>
  <c r="N60" i="10"/>
  <c r="N63"/>
  <c r="O63"/>
  <c r="P63"/>
  <c r="N64" i="11"/>
  <c r="R6"/>
  <c r="R64"/>
  <c r="T64"/>
  <c r="O12" i="10"/>
  <c r="O13"/>
  <c r="P13"/>
  <c r="Q13"/>
  <c r="R13"/>
  <c r="S13"/>
  <c r="T13"/>
  <c r="O14"/>
  <c r="O16"/>
  <c r="O17"/>
  <c r="P17"/>
  <c r="Q17"/>
  <c r="R17"/>
  <c r="G17" i="11"/>
  <c r="O18" i="10"/>
  <c r="O19"/>
  <c r="O20"/>
  <c r="O25"/>
  <c r="P25"/>
  <c r="Q25"/>
  <c r="R25"/>
  <c r="G25" i="11"/>
  <c r="O26" i="10"/>
  <c r="O28"/>
  <c r="O29"/>
  <c r="P29"/>
  <c r="Q29"/>
  <c r="R29"/>
  <c r="O33"/>
  <c r="O34"/>
  <c r="O35"/>
  <c r="P36"/>
  <c r="Q36"/>
  <c r="R36"/>
  <c r="G36" i="11"/>
  <c r="O37" i="10"/>
  <c r="O38"/>
  <c r="O39"/>
  <c r="O40"/>
  <c r="P40"/>
  <c r="Q40"/>
  <c r="R40"/>
  <c r="G40" i="11"/>
  <c r="O41" i="10"/>
  <c r="O42"/>
  <c r="O44"/>
  <c r="O45"/>
  <c r="P45"/>
  <c r="Q45"/>
  <c r="R45"/>
  <c r="S45"/>
  <c r="T45"/>
  <c r="O46"/>
  <c r="O48"/>
  <c r="O49"/>
  <c r="O52"/>
  <c r="O53"/>
  <c r="O54"/>
  <c r="O60"/>
  <c r="P12"/>
  <c r="P14"/>
  <c r="P16"/>
  <c r="P18"/>
  <c r="P19"/>
  <c r="P20"/>
  <c r="P26"/>
  <c r="P28"/>
  <c r="Q28"/>
  <c r="R28"/>
  <c r="G28" i="11"/>
  <c r="P33" i="10"/>
  <c r="P34"/>
  <c r="P35"/>
  <c r="Q35"/>
  <c r="R35"/>
  <c r="G35" i="11"/>
  <c r="P37" i="10"/>
  <c r="P38"/>
  <c r="P39"/>
  <c r="Q39"/>
  <c r="R39"/>
  <c r="G39" i="11"/>
  <c r="P41" i="10"/>
  <c r="P42"/>
  <c r="P44"/>
  <c r="Q44"/>
  <c r="R44"/>
  <c r="G44" i="11"/>
  <c r="P46" i="10"/>
  <c r="P48"/>
  <c r="Q48"/>
  <c r="R48"/>
  <c r="P49"/>
  <c r="P50"/>
  <c r="P52"/>
  <c r="P53"/>
  <c r="P54"/>
  <c r="Q54"/>
  <c r="R54"/>
  <c r="S54"/>
  <c r="T54"/>
  <c r="P60"/>
  <c r="Q12"/>
  <c r="Q14"/>
  <c r="Q16"/>
  <c r="Q18"/>
  <c r="Q19"/>
  <c r="R19"/>
  <c r="S19"/>
  <c r="Q20"/>
  <c r="Q26"/>
  <c r="Q33"/>
  <c r="Q34"/>
  <c r="Q37"/>
  <c r="Q38"/>
  <c r="Q41"/>
  <c r="Q42"/>
  <c r="Q46"/>
  <c r="Q49"/>
  <c r="Q50"/>
  <c r="Q52"/>
  <c r="Q53"/>
  <c r="Q60"/>
  <c r="Q63"/>
  <c r="R63"/>
  <c r="G64" i="11"/>
  <c r="H64"/>
  <c r="J64"/>
  <c r="Q64" i="10"/>
  <c r="R12"/>
  <c r="R14"/>
  <c r="G14" i="11"/>
  <c r="K14"/>
  <c r="L14"/>
  <c r="R16" i="10"/>
  <c r="R18"/>
  <c r="S18"/>
  <c r="R20"/>
  <c r="R26"/>
  <c r="R33"/>
  <c r="R34"/>
  <c r="R37"/>
  <c r="R38"/>
  <c r="R41"/>
  <c r="R42"/>
  <c r="R46"/>
  <c r="R49"/>
  <c r="R50"/>
  <c r="G50" i="11"/>
  <c r="K50"/>
  <c r="M50"/>
  <c r="R52" i="10"/>
  <c r="R53"/>
  <c r="R60"/>
  <c r="G60" i="11"/>
  <c r="R64" i="10"/>
  <c r="B66"/>
  <c r="B65"/>
  <c r="B64"/>
  <c r="B63"/>
  <c r="B62"/>
  <c r="B61"/>
  <c r="B60"/>
  <c r="B59"/>
  <c r="B58"/>
  <c r="B57"/>
  <c r="B56"/>
  <c r="G55"/>
  <c r="H55"/>
  <c r="I55"/>
  <c r="J55"/>
  <c r="K55"/>
  <c r="L55"/>
  <c r="M55"/>
  <c r="N55"/>
  <c r="O55"/>
  <c r="P55"/>
  <c r="Q55"/>
  <c r="R55"/>
  <c r="G55" i="11"/>
  <c r="B55" i="10"/>
  <c r="B54"/>
  <c r="B53"/>
  <c r="B52"/>
  <c r="B51"/>
  <c r="B50"/>
  <c r="B49"/>
  <c r="B48"/>
  <c r="S47"/>
  <c r="T47"/>
  <c r="B47"/>
  <c r="B46"/>
  <c r="B45"/>
  <c r="B44"/>
  <c r="B43"/>
  <c r="B42"/>
  <c r="B41"/>
  <c r="B40"/>
  <c r="B39"/>
  <c r="B38"/>
  <c r="B37"/>
  <c r="B36"/>
  <c r="S35"/>
  <c r="T35"/>
  <c r="B35"/>
  <c r="B34"/>
  <c r="B33"/>
  <c r="B32"/>
  <c r="B31"/>
  <c r="B30"/>
  <c r="B29"/>
  <c r="B28"/>
  <c r="B27"/>
  <c r="B26"/>
  <c r="S25"/>
  <c r="T25"/>
  <c r="B25"/>
  <c r="G24"/>
  <c r="H24"/>
  <c r="I24"/>
  <c r="J24"/>
  <c r="K24"/>
  <c r="L24"/>
  <c r="M24"/>
  <c r="N24"/>
  <c r="O24"/>
  <c r="P24"/>
  <c r="N24" i="11"/>
  <c r="R24"/>
  <c r="T24"/>
  <c r="Q24" i="10"/>
  <c r="R24"/>
  <c r="B24"/>
  <c r="G23"/>
  <c r="H23"/>
  <c r="I23"/>
  <c r="J23"/>
  <c r="K23"/>
  <c r="L23"/>
  <c r="M23"/>
  <c r="N23"/>
  <c r="O23"/>
  <c r="P23"/>
  <c r="Q23"/>
  <c r="R23"/>
  <c r="B23"/>
  <c r="G22"/>
  <c r="H22"/>
  <c r="I22"/>
  <c r="J22"/>
  <c r="K22"/>
  <c r="L22"/>
  <c r="M22"/>
  <c r="N22"/>
  <c r="O22"/>
  <c r="P22"/>
  <c r="N22" i="11"/>
  <c r="R22"/>
  <c r="T22"/>
  <c r="Q22" i="10"/>
  <c r="R22"/>
  <c r="B22"/>
  <c r="G21"/>
  <c r="H21"/>
  <c r="I21"/>
  <c r="J21"/>
  <c r="K21"/>
  <c r="L21"/>
  <c r="M21"/>
  <c r="N21"/>
  <c r="O21"/>
  <c r="P21"/>
  <c r="N21" i="11"/>
  <c r="Q21" i="10"/>
  <c r="R21"/>
  <c r="B21"/>
  <c r="B20"/>
  <c r="T19"/>
  <c r="B19"/>
  <c r="T18"/>
  <c r="B18"/>
  <c r="S17"/>
  <c r="T17"/>
  <c r="B17"/>
  <c r="B16"/>
  <c r="B15"/>
  <c r="B14"/>
  <c r="B13"/>
  <c r="B12"/>
  <c r="B11"/>
  <c r="B10"/>
  <c r="B7"/>
  <c r="R5"/>
  <c r="Q5"/>
  <c r="P5"/>
  <c r="O5"/>
  <c r="N5"/>
  <c r="M5"/>
  <c r="L5"/>
  <c r="K5"/>
  <c r="J5"/>
  <c r="I5"/>
  <c r="H5"/>
  <c r="G5"/>
  <c r="E4"/>
  <c r="E3"/>
  <c r="E2"/>
  <c r="T67" i="3"/>
  <c r="S67"/>
  <c r="Q67"/>
  <c r="P67"/>
  <c r="M67"/>
  <c r="L67"/>
  <c r="J67"/>
  <c r="I67"/>
  <c r="B67"/>
  <c r="T66"/>
  <c r="S66"/>
  <c r="Q66"/>
  <c r="P66"/>
  <c r="M66"/>
  <c r="L66"/>
  <c r="J66"/>
  <c r="I66"/>
  <c r="B66"/>
  <c r="T65"/>
  <c r="S65"/>
  <c r="Q65"/>
  <c r="P65"/>
  <c r="M65"/>
  <c r="L65"/>
  <c r="J65"/>
  <c r="I65"/>
  <c r="B65"/>
  <c r="T64"/>
  <c r="S64"/>
  <c r="Q64"/>
  <c r="P64"/>
  <c r="M64"/>
  <c r="L64"/>
  <c r="J64"/>
  <c r="I64"/>
  <c r="B64"/>
  <c r="T63"/>
  <c r="S63"/>
  <c r="Q63"/>
  <c r="P63"/>
  <c r="M63"/>
  <c r="L63"/>
  <c r="J63"/>
  <c r="I63"/>
  <c r="B63"/>
  <c r="T62"/>
  <c r="S62"/>
  <c r="Q62"/>
  <c r="P62"/>
  <c r="M62"/>
  <c r="L62"/>
  <c r="J62"/>
  <c r="I62"/>
  <c r="B62"/>
  <c r="M61"/>
  <c r="L61"/>
  <c r="J61"/>
  <c r="I61"/>
  <c r="B54"/>
  <c r="B61"/>
  <c r="T60"/>
  <c r="S60"/>
  <c r="Q60"/>
  <c r="P60"/>
  <c r="M60"/>
  <c r="L60"/>
  <c r="J60"/>
  <c r="I60"/>
  <c r="B60"/>
  <c r="T59"/>
  <c r="S59"/>
  <c r="Q59"/>
  <c r="P59"/>
  <c r="M59"/>
  <c r="L59"/>
  <c r="J59"/>
  <c r="I59"/>
  <c r="B59"/>
  <c r="T58"/>
  <c r="S58"/>
  <c r="Q58"/>
  <c r="P58"/>
  <c r="M58"/>
  <c r="L58"/>
  <c r="J58"/>
  <c r="I58"/>
  <c r="B58"/>
  <c r="T57"/>
  <c r="S57"/>
  <c r="Q57"/>
  <c r="P57"/>
  <c r="M57"/>
  <c r="L57"/>
  <c r="J57"/>
  <c r="I57"/>
  <c r="B57"/>
  <c r="T56"/>
  <c r="S56"/>
  <c r="Q56"/>
  <c r="P56"/>
  <c r="M56"/>
  <c r="L56"/>
  <c r="J56"/>
  <c r="I56"/>
  <c r="B56"/>
  <c r="T55"/>
  <c r="S55"/>
  <c r="Q55"/>
  <c r="P55"/>
  <c r="M55"/>
  <c r="L55"/>
  <c r="J55"/>
  <c r="I55"/>
  <c r="B55"/>
  <c r="T54"/>
  <c r="S54"/>
  <c r="Q54"/>
  <c r="P54"/>
  <c r="M54"/>
  <c r="L54"/>
  <c r="J54"/>
  <c r="I54"/>
  <c r="T53"/>
  <c r="S53"/>
  <c r="Q53"/>
  <c r="P53"/>
  <c r="M53"/>
  <c r="L53"/>
  <c r="J53"/>
  <c r="I53"/>
  <c r="B53"/>
  <c r="T52"/>
  <c r="S52"/>
  <c r="Q52"/>
  <c r="P52"/>
  <c r="M52"/>
  <c r="L52"/>
  <c r="J52"/>
  <c r="I52"/>
  <c r="B52"/>
  <c r="T51"/>
  <c r="S51"/>
  <c r="Q51"/>
  <c r="P51"/>
  <c r="M51"/>
  <c r="L51"/>
  <c r="J51"/>
  <c r="I51"/>
  <c r="B51"/>
  <c r="T50"/>
  <c r="S50"/>
  <c r="Q50"/>
  <c r="P50"/>
  <c r="M50"/>
  <c r="L50"/>
  <c r="J50"/>
  <c r="I50"/>
  <c r="B50"/>
  <c r="T49"/>
  <c r="S49"/>
  <c r="Q49"/>
  <c r="P49"/>
  <c r="M49"/>
  <c r="L49"/>
  <c r="J49"/>
  <c r="I49"/>
  <c r="B49"/>
  <c r="T48"/>
  <c r="S48"/>
  <c r="Q48"/>
  <c r="P48"/>
  <c r="M48"/>
  <c r="L48"/>
  <c r="J48"/>
  <c r="I48"/>
  <c r="B48"/>
  <c r="T47"/>
  <c r="S47"/>
  <c r="Q47"/>
  <c r="P47"/>
  <c r="M47"/>
  <c r="L47"/>
  <c r="J47"/>
  <c r="I47"/>
  <c r="B47"/>
  <c r="T46"/>
  <c r="S46"/>
  <c r="Q46"/>
  <c r="P46"/>
  <c r="M46"/>
  <c r="L46"/>
  <c r="J46"/>
  <c r="I46"/>
  <c r="B46"/>
  <c r="T45"/>
  <c r="S45"/>
  <c r="Q45"/>
  <c r="P45"/>
  <c r="M45"/>
  <c r="L45"/>
  <c r="J45"/>
  <c r="I45"/>
  <c r="B45"/>
  <c r="T44"/>
  <c r="S44"/>
  <c r="Q44"/>
  <c r="P44"/>
  <c r="M44"/>
  <c r="L44"/>
  <c r="J44"/>
  <c r="I44"/>
  <c r="B44"/>
  <c r="T43"/>
  <c r="S43"/>
  <c r="Q43"/>
  <c r="P43"/>
  <c r="M43"/>
  <c r="L43"/>
  <c r="J43"/>
  <c r="I43"/>
  <c r="B43"/>
  <c r="T42"/>
  <c r="S42"/>
  <c r="Q42"/>
  <c r="P42"/>
  <c r="M42"/>
  <c r="L42"/>
  <c r="J42"/>
  <c r="I42"/>
  <c r="B42"/>
  <c r="T41"/>
  <c r="S41"/>
  <c r="Q41"/>
  <c r="P41"/>
  <c r="M41"/>
  <c r="L41"/>
  <c r="J41"/>
  <c r="I41"/>
  <c r="B41"/>
  <c r="T40"/>
  <c r="S40"/>
  <c r="Q40"/>
  <c r="P40"/>
  <c r="M40"/>
  <c r="L40"/>
  <c r="J40"/>
  <c r="I40"/>
  <c r="B40"/>
  <c r="T39"/>
  <c r="S39"/>
  <c r="Q39"/>
  <c r="P39"/>
  <c r="M39"/>
  <c r="L39"/>
  <c r="J39"/>
  <c r="I39"/>
  <c r="B39"/>
  <c r="T38"/>
  <c r="S38"/>
  <c r="Q38"/>
  <c r="P38"/>
  <c r="M38"/>
  <c r="L38"/>
  <c r="J38"/>
  <c r="I38"/>
  <c r="B38"/>
  <c r="T37"/>
  <c r="S37"/>
  <c r="Q37"/>
  <c r="P37"/>
  <c r="M37"/>
  <c r="L37"/>
  <c r="J37"/>
  <c r="I37"/>
  <c r="B37"/>
  <c r="T36"/>
  <c r="S36"/>
  <c r="Q36"/>
  <c r="P36"/>
  <c r="M36"/>
  <c r="L36"/>
  <c r="J36"/>
  <c r="I36"/>
  <c r="B36"/>
  <c r="T35"/>
  <c r="S35"/>
  <c r="Q35"/>
  <c r="P35"/>
  <c r="M35"/>
  <c r="L35"/>
  <c r="J35"/>
  <c r="I35"/>
  <c r="B35"/>
  <c r="T34"/>
  <c r="S34"/>
  <c r="Q34"/>
  <c r="P34"/>
  <c r="M34"/>
  <c r="L34"/>
  <c r="J34"/>
  <c r="I34"/>
  <c r="B34"/>
  <c r="T33"/>
  <c r="S33"/>
  <c r="Q33"/>
  <c r="P33"/>
  <c r="M33"/>
  <c r="L33"/>
  <c r="J33"/>
  <c r="I33"/>
  <c r="B33"/>
  <c r="T32"/>
  <c r="S32"/>
  <c r="Q32"/>
  <c r="P32"/>
  <c r="M32"/>
  <c r="L32"/>
  <c r="J32"/>
  <c r="I32"/>
  <c r="B32"/>
  <c r="T31"/>
  <c r="S31"/>
  <c r="Q31"/>
  <c r="P31"/>
  <c r="M31"/>
  <c r="L31"/>
  <c r="J31"/>
  <c r="I31"/>
  <c r="B31"/>
  <c r="T30"/>
  <c r="S30"/>
  <c r="Q30"/>
  <c r="P30"/>
  <c r="M30"/>
  <c r="L30"/>
  <c r="J30"/>
  <c r="I30"/>
  <c r="B30"/>
  <c r="T29"/>
  <c r="S29"/>
  <c r="Q29"/>
  <c r="P29"/>
  <c r="M29"/>
  <c r="L29"/>
  <c r="J29"/>
  <c r="I29"/>
  <c r="B29"/>
  <c r="T28"/>
  <c r="S28"/>
  <c r="Q28"/>
  <c r="P28"/>
  <c r="M28"/>
  <c r="L28"/>
  <c r="J28"/>
  <c r="I28"/>
  <c r="B28"/>
  <c r="T27"/>
  <c r="S27"/>
  <c r="Q27"/>
  <c r="P27"/>
  <c r="M27"/>
  <c r="L27"/>
  <c r="J27"/>
  <c r="I27"/>
  <c r="B27"/>
  <c r="T26"/>
  <c r="S26"/>
  <c r="Q26"/>
  <c r="P26"/>
  <c r="M26"/>
  <c r="L26"/>
  <c r="J26"/>
  <c r="I26"/>
  <c r="B26"/>
  <c r="T25"/>
  <c r="S25"/>
  <c r="Q25"/>
  <c r="P25"/>
  <c r="M25"/>
  <c r="L25"/>
  <c r="J25"/>
  <c r="I25"/>
  <c r="B25"/>
  <c r="T24"/>
  <c r="S24"/>
  <c r="Q24"/>
  <c r="P24"/>
  <c r="M24"/>
  <c r="L24"/>
  <c r="J24"/>
  <c r="I24"/>
  <c r="B24"/>
  <c r="T23"/>
  <c r="S23"/>
  <c r="Q23"/>
  <c r="P23"/>
  <c r="M23"/>
  <c r="L23"/>
  <c r="J23"/>
  <c r="I23"/>
  <c r="B23"/>
  <c r="T22"/>
  <c r="S22"/>
  <c r="Q22"/>
  <c r="P22"/>
  <c r="M22"/>
  <c r="L22"/>
  <c r="J22"/>
  <c r="I22"/>
  <c r="B22"/>
  <c r="T21"/>
  <c r="S21"/>
  <c r="Q21"/>
  <c r="P21"/>
  <c r="M21"/>
  <c r="L21"/>
  <c r="J21"/>
  <c r="I21"/>
  <c r="B21"/>
  <c r="T20"/>
  <c r="S20"/>
  <c r="Q20"/>
  <c r="P20"/>
  <c r="M20"/>
  <c r="L20"/>
  <c r="J20"/>
  <c r="I20"/>
  <c r="B20"/>
  <c r="T19"/>
  <c r="S19"/>
  <c r="Q19"/>
  <c r="P19"/>
  <c r="M19"/>
  <c r="L19"/>
  <c r="J19"/>
  <c r="I19"/>
  <c r="B19"/>
  <c r="T18"/>
  <c r="S18"/>
  <c r="Q18"/>
  <c r="P18"/>
  <c r="M18"/>
  <c r="L18"/>
  <c r="J18"/>
  <c r="I18"/>
  <c r="B18"/>
  <c r="T17"/>
  <c r="S17"/>
  <c r="Q17"/>
  <c r="P17"/>
  <c r="M17"/>
  <c r="L17"/>
  <c r="J17"/>
  <c r="I17"/>
  <c r="B17"/>
  <c r="T16"/>
  <c r="S16"/>
  <c r="Q16"/>
  <c r="P16"/>
  <c r="M16"/>
  <c r="L16"/>
  <c r="J16"/>
  <c r="I16"/>
  <c r="B16"/>
  <c r="T15"/>
  <c r="S15"/>
  <c r="Q15"/>
  <c r="P15"/>
  <c r="M15"/>
  <c r="L15"/>
  <c r="J15"/>
  <c r="I15"/>
  <c r="B15"/>
  <c r="T14"/>
  <c r="S14"/>
  <c r="Q14"/>
  <c r="P14"/>
  <c r="M14"/>
  <c r="L14"/>
  <c r="J14"/>
  <c r="I14"/>
  <c r="B14"/>
  <c r="T13"/>
  <c r="S13"/>
  <c r="Q13"/>
  <c r="P13"/>
  <c r="M13"/>
  <c r="L13"/>
  <c r="J13"/>
  <c r="I13"/>
  <c r="B13"/>
  <c r="T12"/>
  <c r="S12"/>
  <c r="Q12"/>
  <c r="P12"/>
  <c r="M12"/>
  <c r="L12"/>
  <c r="J12"/>
  <c r="I12"/>
  <c r="B12"/>
  <c r="T11"/>
  <c r="S11"/>
  <c r="Q11"/>
  <c r="P11"/>
  <c r="M11"/>
  <c r="L11"/>
  <c r="J11"/>
  <c r="I11"/>
  <c r="B11"/>
  <c r="T10"/>
  <c r="S10"/>
  <c r="Q10"/>
  <c r="P10"/>
  <c r="M10"/>
  <c r="L10"/>
  <c r="J10"/>
  <c r="I10"/>
  <c r="B10"/>
  <c r="I8"/>
  <c r="P8"/>
  <c r="S8"/>
  <c r="H8"/>
  <c r="O8"/>
  <c r="G8"/>
  <c r="N8"/>
  <c r="L8"/>
  <c r="N7"/>
  <c r="R6"/>
  <c r="N6"/>
  <c r="O6"/>
  <c r="E4"/>
  <c r="E3"/>
  <c r="E2"/>
  <c r="R66" i="11"/>
  <c r="O6"/>
  <c r="O51"/>
  <c r="O64"/>
  <c r="B67"/>
  <c r="N66"/>
  <c r="S66"/>
  <c r="O66"/>
  <c r="K66"/>
  <c r="L66"/>
  <c r="H66"/>
  <c r="B66"/>
  <c r="R65"/>
  <c r="K65"/>
  <c r="H65"/>
  <c r="B65"/>
  <c r="K64"/>
  <c r="B64"/>
  <c r="B63"/>
  <c r="B62"/>
  <c r="N61"/>
  <c r="B54"/>
  <c r="B61"/>
  <c r="N60"/>
  <c r="R60"/>
  <c r="S60"/>
  <c r="K60"/>
  <c r="H60"/>
  <c r="B60"/>
  <c r="N59"/>
  <c r="R59"/>
  <c r="T59"/>
  <c r="K59"/>
  <c r="H59"/>
  <c r="B59"/>
  <c r="B58"/>
  <c r="B57"/>
  <c r="B56"/>
  <c r="N55"/>
  <c r="Q55"/>
  <c r="K55"/>
  <c r="B55"/>
  <c r="N54"/>
  <c r="O54"/>
  <c r="K54"/>
  <c r="N53"/>
  <c r="R53"/>
  <c r="S53"/>
  <c r="G53"/>
  <c r="H53"/>
  <c r="I53"/>
  <c r="K53"/>
  <c r="B53"/>
  <c r="N52"/>
  <c r="O52"/>
  <c r="K52"/>
  <c r="H52"/>
  <c r="B52"/>
  <c r="N51"/>
  <c r="R51"/>
  <c r="S51"/>
  <c r="K51"/>
  <c r="M51"/>
  <c r="H51"/>
  <c r="B51"/>
  <c r="N50"/>
  <c r="R50"/>
  <c r="T50"/>
  <c r="H50"/>
  <c r="B50"/>
  <c r="N49"/>
  <c r="R49"/>
  <c r="T49"/>
  <c r="G49"/>
  <c r="K49"/>
  <c r="H49"/>
  <c r="B49"/>
  <c r="N48"/>
  <c r="O48"/>
  <c r="K48"/>
  <c r="B48"/>
  <c r="N47"/>
  <c r="R47"/>
  <c r="T47"/>
  <c r="O47"/>
  <c r="K47"/>
  <c r="M47"/>
  <c r="H47"/>
  <c r="J47"/>
  <c r="B47"/>
  <c r="N46"/>
  <c r="R46"/>
  <c r="S46"/>
  <c r="O46"/>
  <c r="K46"/>
  <c r="H46"/>
  <c r="B46"/>
  <c r="N45"/>
  <c r="R45"/>
  <c r="O45"/>
  <c r="K45"/>
  <c r="H45"/>
  <c r="B45"/>
  <c r="N44"/>
  <c r="R44"/>
  <c r="T44"/>
  <c r="O44"/>
  <c r="K44"/>
  <c r="H44"/>
  <c r="I44"/>
  <c r="B44"/>
  <c r="B43"/>
  <c r="N42"/>
  <c r="R42"/>
  <c r="S42"/>
  <c r="K42"/>
  <c r="H42"/>
  <c r="B42"/>
  <c r="N41"/>
  <c r="R41"/>
  <c r="O41"/>
  <c r="K41"/>
  <c r="G41"/>
  <c r="M41"/>
  <c r="H41"/>
  <c r="B41"/>
  <c r="N40"/>
  <c r="R40"/>
  <c r="T40"/>
  <c r="O40"/>
  <c r="K40"/>
  <c r="H40"/>
  <c r="B40"/>
  <c r="N39"/>
  <c r="R39"/>
  <c r="S39"/>
  <c r="O39"/>
  <c r="K39"/>
  <c r="M39"/>
  <c r="H39"/>
  <c r="J39"/>
  <c r="B39"/>
  <c r="N38"/>
  <c r="R38"/>
  <c r="O38"/>
  <c r="K38"/>
  <c r="H38"/>
  <c r="B38"/>
  <c r="N37"/>
  <c r="R37"/>
  <c r="O37"/>
  <c r="P37"/>
  <c r="K37"/>
  <c r="H37"/>
  <c r="B37"/>
  <c r="N36"/>
  <c r="R36"/>
  <c r="S36"/>
  <c r="O36"/>
  <c r="K36"/>
  <c r="H36"/>
  <c r="B36"/>
  <c r="N35"/>
  <c r="R35"/>
  <c r="S35"/>
  <c r="O35"/>
  <c r="K35"/>
  <c r="L35"/>
  <c r="H35"/>
  <c r="J35"/>
  <c r="B35"/>
  <c r="N34"/>
  <c r="R34"/>
  <c r="T34"/>
  <c r="O34"/>
  <c r="Q34"/>
  <c r="K34"/>
  <c r="H34"/>
  <c r="B34"/>
  <c r="N33"/>
  <c r="R33"/>
  <c r="O33"/>
  <c r="K33"/>
  <c r="H33"/>
  <c r="B33"/>
  <c r="O32" i="10"/>
  <c r="P32"/>
  <c r="N32" i="11"/>
  <c r="O32" i="4"/>
  <c r="P32"/>
  <c r="R32" i="11"/>
  <c r="S32"/>
  <c r="B32"/>
  <c r="B31"/>
  <c r="B30"/>
  <c r="N29"/>
  <c r="R29"/>
  <c r="S29"/>
  <c r="O29"/>
  <c r="K29"/>
  <c r="H29"/>
  <c r="G29"/>
  <c r="J29"/>
  <c r="B29"/>
  <c r="N28"/>
  <c r="R28"/>
  <c r="S28"/>
  <c r="O28"/>
  <c r="K28"/>
  <c r="M28"/>
  <c r="H28"/>
  <c r="J28"/>
  <c r="B28"/>
  <c r="N27"/>
  <c r="R27"/>
  <c r="S27"/>
  <c r="O27"/>
  <c r="H27"/>
  <c r="B27"/>
  <c r="N26"/>
  <c r="R26"/>
  <c r="S26"/>
  <c r="O26"/>
  <c r="K26"/>
  <c r="H26"/>
  <c r="B26"/>
  <c r="N25"/>
  <c r="R25"/>
  <c r="T25"/>
  <c r="O25"/>
  <c r="K25"/>
  <c r="H25"/>
  <c r="B25"/>
  <c r="O24"/>
  <c r="K24"/>
  <c r="G24"/>
  <c r="M24"/>
  <c r="H24"/>
  <c r="B24"/>
  <c r="N23"/>
  <c r="R23"/>
  <c r="O23"/>
  <c r="K23"/>
  <c r="H23"/>
  <c r="B23"/>
  <c r="O22"/>
  <c r="P22"/>
  <c r="K22"/>
  <c r="H22"/>
  <c r="G22"/>
  <c r="J22"/>
  <c r="B22"/>
  <c r="R21"/>
  <c r="O21"/>
  <c r="K21"/>
  <c r="G21"/>
  <c r="L21"/>
  <c r="H21"/>
  <c r="B21"/>
  <c r="N20"/>
  <c r="R20"/>
  <c r="S20"/>
  <c r="K20"/>
  <c r="B20"/>
  <c r="N19"/>
  <c r="R19"/>
  <c r="O19"/>
  <c r="G19"/>
  <c r="K19"/>
  <c r="H19"/>
  <c r="I19"/>
  <c r="B19"/>
  <c r="N18"/>
  <c r="R18"/>
  <c r="T18"/>
  <c r="O18"/>
  <c r="K18"/>
  <c r="H18"/>
  <c r="B18"/>
  <c r="N17"/>
  <c r="O17"/>
  <c r="R17"/>
  <c r="K17"/>
  <c r="H17"/>
  <c r="B17"/>
  <c r="N16"/>
  <c r="R16"/>
  <c r="T16"/>
  <c r="O16"/>
  <c r="K16"/>
  <c r="H16"/>
  <c r="B16"/>
  <c r="N15"/>
  <c r="O15"/>
  <c r="R15"/>
  <c r="G15"/>
  <c r="H15"/>
  <c r="K15"/>
  <c r="B15"/>
  <c r="N14"/>
  <c r="R14"/>
  <c r="S14"/>
  <c r="O14"/>
  <c r="H14"/>
  <c r="B14"/>
  <c r="N13"/>
  <c r="R13"/>
  <c r="S13"/>
  <c r="O13"/>
  <c r="K13"/>
  <c r="H13"/>
  <c r="B13"/>
  <c r="N12"/>
  <c r="R12"/>
  <c r="S12"/>
  <c r="O12"/>
  <c r="K12"/>
  <c r="H12"/>
  <c r="B12"/>
  <c r="B11"/>
  <c r="B10"/>
  <c r="I8"/>
  <c r="P8"/>
  <c r="S8"/>
  <c r="H8"/>
  <c r="O8"/>
  <c r="G8"/>
  <c r="N8"/>
  <c r="L8"/>
  <c r="N7"/>
  <c r="E4"/>
  <c r="E3"/>
  <c r="E2"/>
  <c r="D22" i="1"/>
  <c r="E13"/>
  <c r="I21"/>
  <c r="H21"/>
  <c r="E17"/>
  <c r="E21"/>
  <c r="D17"/>
  <c r="D21"/>
  <c r="I17"/>
  <c r="H17"/>
  <c r="I13"/>
  <c r="H13"/>
  <c r="E4"/>
  <c r="E3"/>
  <c r="E2"/>
  <c r="R8" i="11"/>
  <c r="O50"/>
  <c r="P50"/>
  <c r="O53"/>
  <c r="O60"/>
  <c r="O65"/>
  <c r="Q65"/>
  <c r="R8" i="3"/>
  <c r="G265" i="2"/>
  <c r="H11" i="1"/>
  <c r="L40" i="11"/>
  <c r="L36"/>
  <c r="I66"/>
  <c r="G261" i="2"/>
  <c r="D11" i="1"/>
  <c r="G266" i="2"/>
  <c r="H15" i="1"/>
  <c r="O59" i="11"/>
  <c r="O61"/>
  <c r="G238" i="2"/>
  <c r="K8" i="11"/>
  <c r="G262" i="2"/>
  <c r="D15" i="1"/>
  <c r="L47" i="11"/>
  <c r="I47"/>
  <c r="S51" i="10"/>
  <c r="T51"/>
  <c r="S131"/>
  <c r="T131"/>
  <c r="S154"/>
  <c r="T154"/>
  <c r="S147"/>
  <c r="T147"/>
  <c r="S143"/>
  <c r="T143"/>
  <c r="S20"/>
  <c r="T20"/>
  <c r="G52" i="11"/>
  <c r="O43" i="10"/>
  <c r="G13" i="11"/>
  <c r="M13"/>
  <c r="L28"/>
  <c r="S48" i="10"/>
  <c r="T48"/>
  <c r="S12"/>
  <c r="T12"/>
  <c r="G12" i="11"/>
  <c r="M12"/>
  <c r="S36" i="10"/>
  <c r="T36"/>
  <c r="Q32"/>
  <c r="R127"/>
  <c r="S52"/>
  <c r="T52"/>
  <c r="S16"/>
  <c r="T16"/>
  <c r="G20" i="11"/>
  <c r="L20"/>
  <c r="G45"/>
  <c r="I45"/>
  <c r="S64" i="10"/>
  <c r="T64"/>
  <c r="R43"/>
  <c r="S40"/>
  <c r="T40"/>
  <c r="S135"/>
  <c r="T135"/>
  <c r="S139"/>
  <c r="T139"/>
  <c r="S134"/>
  <c r="T134"/>
  <c r="S42"/>
  <c r="T42"/>
  <c r="L11"/>
  <c r="L10"/>
  <c r="I11"/>
  <c r="I10"/>
  <c r="G11"/>
  <c r="S158"/>
  <c r="T158"/>
  <c r="S145"/>
  <c r="T145"/>
  <c r="M151"/>
  <c r="N151"/>
  <c r="O151"/>
  <c r="O58" i="11"/>
  <c r="N58" i="10"/>
  <c r="O58"/>
  <c r="P58"/>
  <c r="N58" i="11"/>
  <c r="G151" i="10"/>
  <c r="H151"/>
  <c r="I151"/>
  <c r="J151"/>
  <c r="Q151"/>
  <c r="R151"/>
  <c r="S151"/>
  <c r="O127" i="4"/>
  <c r="O115"/>
  <c r="N151"/>
  <c r="N138"/>
  <c r="N106"/>
  <c r="L138"/>
  <c r="L106"/>
  <c r="H138"/>
  <c r="G127"/>
  <c r="S23" i="8"/>
  <c r="T23"/>
  <c r="S157"/>
  <c r="T157"/>
  <c r="S140"/>
  <c r="T140"/>
  <c r="P127"/>
  <c r="M138"/>
  <c r="M115"/>
  <c r="J126" i="9"/>
  <c r="J114"/>
  <c r="I150"/>
  <c r="H126"/>
  <c r="H114"/>
  <c r="P106" i="10"/>
  <c r="L106"/>
  <c r="R106"/>
  <c r="S53"/>
  <c r="T53"/>
  <c r="S49"/>
  <c r="T49"/>
  <c r="I29" i="11"/>
  <c r="O11" i="10"/>
  <c r="O10"/>
  <c r="M58"/>
  <c r="S44"/>
  <c r="T44"/>
  <c r="S39"/>
  <c r="T39"/>
  <c r="J58"/>
  <c r="I43"/>
  <c r="S143" i="4"/>
  <c r="T143"/>
  <c r="S134"/>
  <c r="T134"/>
  <c r="S130"/>
  <c r="T130"/>
  <c r="S114"/>
  <c r="T114"/>
  <c r="M127"/>
  <c r="Q58" i="8"/>
  <c r="M58"/>
  <c r="I58"/>
  <c r="S63"/>
  <c r="T63"/>
  <c r="S123"/>
  <c r="T123"/>
  <c r="Q138"/>
  <c r="S134"/>
  <c r="T134"/>
  <c r="S130"/>
  <c r="T130"/>
  <c r="S119"/>
  <c r="T119"/>
  <c r="S111"/>
  <c r="T111"/>
  <c r="S107"/>
  <c r="T107"/>
  <c r="N127"/>
  <c r="N115"/>
  <c r="M151"/>
  <c r="M106"/>
  <c r="J115"/>
  <c r="S152" i="9"/>
  <c r="T152"/>
  <c r="Q114"/>
  <c r="P150"/>
  <c r="P114"/>
  <c r="G150"/>
  <c r="G11" i="8"/>
  <c r="M11"/>
  <c r="Q32"/>
  <c r="Q106" i="10"/>
  <c r="M106"/>
  <c r="N106"/>
  <c r="O106"/>
  <c r="O11" i="11"/>
  <c r="G115" i="10"/>
  <c r="S146" i="4"/>
  <c r="T146"/>
  <c r="J106"/>
  <c r="I127"/>
  <c r="G115"/>
  <c r="R127" i="8"/>
  <c r="S153"/>
  <c r="T153"/>
  <c r="O138"/>
  <c r="S120" i="9"/>
  <c r="T120"/>
  <c r="S121"/>
  <c r="T121"/>
  <c r="S112"/>
  <c r="T112"/>
  <c r="S158"/>
  <c r="T158"/>
  <c r="I137"/>
  <c r="I105"/>
  <c r="O43" i="8"/>
  <c r="I115" i="10"/>
  <c r="H106"/>
  <c r="G42" i="11"/>
  <c r="J42"/>
  <c r="S38" i="10"/>
  <c r="T38"/>
  <c r="G34" i="11"/>
  <c r="L34"/>
  <c r="S27" i="10"/>
  <c r="T27"/>
  <c r="S65"/>
  <c r="T65"/>
  <c r="S34"/>
  <c r="T34"/>
  <c r="H11"/>
  <c r="H10"/>
  <c r="G43"/>
  <c r="S130"/>
  <c r="T130"/>
  <c r="S153"/>
  <c r="T153"/>
  <c r="S137"/>
  <c r="T137"/>
  <c r="S129"/>
  <c r="T129"/>
  <c r="S21" i="4"/>
  <c r="T21"/>
  <c r="P58"/>
  <c r="M58"/>
  <c r="N58"/>
  <c r="R58" i="11"/>
  <c r="J58" i="4"/>
  <c r="R151"/>
  <c r="R106"/>
  <c r="S152"/>
  <c r="T152"/>
  <c r="N115"/>
  <c r="K151"/>
  <c r="S139" i="8"/>
  <c r="T139"/>
  <c r="S117"/>
  <c r="T117"/>
  <c r="N114" i="9"/>
  <c r="M150"/>
  <c r="S135"/>
  <c r="T135"/>
  <c r="S131"/>
  <c r="T131"/>
  <c r="S127"/>
  <c r="T127"/>
  <c r="I114"/>
  <c r="K115" i="10"/>
  <c r="K105"/>
  <c r="J106"/>
  <c r="L50" i="11"/>
  <c r="J51"/>
  <c r="I51"/>
  <c r="S65"/>
  <c r="S41" i="10"/>
  <c r="T41"/>
  <c r="J41" i="11"/>
  <c r="R32" i="10"/>
  <c r="S33"/>
  <c r="T33"/>
  <c r="G33" i="11"/>
  <c r="J33"/>
  <c r="J14"/>
  <c r="G54"/>
  <c r="M54"/>
  <c r="S37" i="10"/>
  <c r="T37"/>
  <c r="S26"/>
  <c r="T26"/>
  <c r="L19" i="11"/>
  <c r="G46"/>
  <c r="J46"/>
  <c r="I55"/>
  <c r="G65"/>
  <c r="J65"/>
  <c r="S40"/>
  <c r="S46" i="10"/>
  <c r="T46"/>
  <c r="S50"/>
  <c r="T50"/>
  <c r="J40" i="11"/>
  <c r="I40"/>
  <c r="J36"/>
  <c r="I36"/>
  <c r="L15"/>
  <c r="L51"/>
  <c r="L44"/>
  <c r="M40"/>
  <c r="S23" i="10"/>
  <c r="T23"/>
  <c r="S60"/>
  <c r="T60"/>
  <c r="L43"/>
  <c r="L32"/>
  <c r="L30"/>
  <c r="L31"/>
  <c r="K32"/>
  <c r="J43"/>
  <c r="I32"/>
  <c r="I30"/>
  <c r="N138"/>
  <c r="M138"/>
  <c r="O138"/>
  <c r="P138"/>
  <c r="O43" i="11"/>
  <c r="L127" i="10"/>
  <c r="L138"/>
  <c r="L125"/>
  <c r="L126"/>
  <c r="I127"/>
  <c r="G138"/>
  <c r="G127"/>
  <c r="S65" i="4"/>
  <c r="T65"/>
  <c r="H58"/>
  <c r="R138"/>
  <c r="R115"/>
  <c r="S131"/>
  <c r="T131"/>
  <c r="M36" i="11"/>
  <c r="L42"/>
  <c r="S14" i="10"/>
  <c r="T14"/>
  <c r="S55"/>
  <c r="T55"/>
  <c r="M15" i="11"/>
  <c r="G16"/>
  <c r="L16"/>
  <c r="G38"/>
  <c r="M38"/>
  <c r="S45"/>
  <c r="T65"/>
  <c r="J66"/>
  <c r="S59" i="10"/>
  <c r="T59"/>
  <c r="Q58"/>
  <c r="Q43"/>
  <c r="Q30"/>
  <c r="Q31"/>
  <c r="O30"/>
  <c r="O31"/>
  <c r="P43"/>
  <c r="P30"/>
  <c r="P31"/>
  <c r="N31" i="11"/>
  <c r="K43" i="10"/>
  <c r="K11"/>
  <c r="H43"/>
  <c r="H32"/>
  <c r="G58"/>
  <c r="L58"/>
  <c r="R58"/>
  <c r="G58" i="11"/>
  <c r="G32" i="10"/>
  <c r="S159"/>
  <c r="T159"/>
  <c r="N127"/>
  <c r="K127"/>
  <c r="H138"/>
  <c r="S119" i="4"/>
  <c r="T119"/>
  <c r="J11" i="10"/>
  <c r="P127"/>
  <c r="M127"/>
  <c r="J138"/>
  <c r="I138"/>
  <c r="K138"/>
  <c r="Q138"/>
  <c r="R138"/>
  <c r="H43" i="11"/>
  <c r="H127" i="10"/>
  <c r="H125"/>
  <c r="H126"/>
  <c r="S23" i="4"/>
  <c r="T23"/>
  <c r="Q127"/>
  <c r="S153"/>
  <c r="T153"/>
  <c r="S133"/>
  <c r="T133"/>
  <c r="M60" i="11"/>
  <c r="S21" i="10"/>
  <c r="T21"/>
  <c r="R11"/>
  <c r="R10"/>
  <c r="Q11"/>
  <c r="Q10"/>
  <c r="P11"/>
  <c r="P10"/>
  <c r="J32"/>
  <c r="J30"/>
  <c r="J31"/>
  <c r="S152"/>
  <c r="T152"/>
  <c r="S136"/>
  <c r="T136"/>
  <c r="S132"/>
  <c r="T132"/>
  <c r="O127"/>
  <c r="O125"/>
  <c r="J127"/>
  <c r="S22" i="4"/>
  <c r="T22"/>
  <c r="S24"/>
  <c r="T24"/>
  <c r="L58"/>
  <c r="I58"/>
  <c r="S60"/>
  <c r="T60"/>
  <c r="S145"/>
  <c r="T145"/>
  <c r="S141"/>
  <c r="T141"/>
  <c r="S136"/>
  <c r="T136"/>
  <c r="S128"/>
  <c r="T128"/>
  <c r="Q115"/>
  <c r="P151"/>
  <c r="P138"/>
  <c r="K115"/>
  <c r="K106"/>
  <c r="K105"/>
  <c r="K138"/>
  <c r="K125"/>
  <c r="K149"/>
  <c r="K150"/>
  <c r="K126"/>
  <c r="J151"/>
  <c r="J115"/>
  <c r="I138"/>
  <c r="H127"/>
  <c r="H125"/>
  <c r="G138"/>
  <c r="G125"/>
  <c r="S21" i="8"/>
  <c r="T21"/>
  <c r="S59"/>
  <c r="T59"/>
  <c r="O58"/>
  <c r="K58"/>
  <c r="S65"/>
  <c r="T65"/>
  <c r="G58"/>
  <c r="R106"/>
  <c r="S152"/>
  <c r="T152"/>
  <c r="Q115"/>
  <c r="Q105"/>
  <c r="P138"/>
  <c r="P125"/>
  <c r="P126"/>
  <c r="O127"/>
  <c r="O125"/>
  <c r="O126"/>
  <c r="K138"/>
  <c r="K106"/>
  <c r="K115"/>
  <c r="K105"/>
  <c r="K127"/>
  <c r="K125"/>
  <c r="K149"/>
  <c r="K150"/>
  <c r="J138"/>
  <c r="I127"/>
  <c r="I115"/>
  <c r="H151"/>
  <c r="G138"/>
  <c r="G127"/>
  <c r="G115"/>
  <c r="O43" i="9"/>
  <c r="O32"/>
  <c r="O30"/>
  <c r="N11"/>
  <c r="N10"/>
  <c r="I32"/>
  <c r="I11"/>
  <c r="I10"/>
  <c r="H56"/>
  <c r="S41"/>
  <c r="T41"/>
  <c r="S37"/>
  <c r="T37"/>
  <c r="S18"/>
  <c r="T18"/>
  <c r="S14"/>
  <c r="T14"/>
  <c r="S57"/>
  <c r="T57"/>
  <c r="S50"/>
  <c r="T50"/>
  <c r="S27"/>
  <c r="T27"/>
  <c r="S15"/>
  <c r="T15"/>
  <c r="S139"/>
  <c r="T139"/>
  <c r="S123"/>
  <c r="T123"/>
  <c r="S119"/>
  <c r="T119"/>
  <c r="S55" i="4"/>
  <c r="T55"/>
  <c r="Q58"/>
  <c r="S58"/>
  <c r="T58"/>
  <c r="S63"/>
  <c r="T63"/>
  <c r="M115"/>
  <c r="M106"/>
  <c r="M105"/>
  <c r="M138"/>
  <c r="M125"/>
  <c r="M149"/>
  <c r="M151"/>
  <c r="M155"/>
  <c r="L151"/>
  <c r="L115"/>
  <c r="L105"/>
  <c r="J127"/>
  <c r="J125"/>
  <c r="J126"/>
  <c r="I151"/>
  <c r="S22" i="8"/>
  <c r="T22"/>
  <c r="R58"/>
  <c r="N58"/>
  <c r="J58"/>
  <c r="S58"/>
  <c r="T58"/>
  <c r="S64"/>
  <c r="T64"/>
  <c r="R138"/>
  <c r="R125"/>
  <c r="R126"/>
  <c r="S124"/>
  <c r="T124"/>
  <c r="S120"/>
  <c r="T120"/>
  <c r="S136"/>
  <c r="T136"/>
  <c r="S132"/>
  <c r="T132"/>
  <c r="Q127"/>
  <c r="Q125"/>
  <c r="Q126"/>
  <c r="P151"/>
  <c r="L106"/>
  <c r="L105"/>
  <c r="J151"/>
  <c r="J127"/>
  <c r="O10" i="9"/>
  <c r="K43"/>
  <c r="J11"/>
  <c r="J10"/>
  <c r="S53"/>
  <c r="T53"/>
  <c r="S49"/>
  <c r="T49"/>
  <c r="S45"/>
  <c r="T45"/>
  <c r="S25"/>
  <c r="T25"/>
  <c r="S17"/>
  <c r="T17"/>
  <c r="S153"/>
  <c r="T153"/>
  <c r="S133"/>
  <c r="T133"/>
  <c r="S129"/>
  <c r="T129"/>
  <c r="O106" i="4"/>
  <c r="O105"/>
  <c r="O138"/>
  <c r="O125"/>
  <c r="O149"/>
  <c r="M126"/>
  <c r="L127"/>
  <c r="L125"/>
  <c r="L126"/>
  <c r="G151"/>
  <c r="H151"/>
  <c r="O151"/>
  <c r="S151"/>
  <c r="T151"/>
  <c r="G106"/>
  <c r="G105"/>
  <c r="G149"/>
  <c r="R151" i="8"/>
  <c r="S158"/>
  <c r="T158"/>
  <c r="S145"/>
  <c r="T145"/>
  <c r="N106"/>
  <c r="N105"/>
  <c r="N138"/>
  <c r="N125"/>
  <c r="N149"/>
  <c r="N155"/>
  <c r="L138"/>
  <c r="K126"/>
  <c r="I138"/>
  <c r="G151"/>
  <c r="S24" i="9"/>
  <c r="T24"/>
  <c r="Q32"/>
  <c r="Q11"/>
  <c r="Q10"/>
  <c r="P56"/>
  <c r="O56"/>
  <c r="L32"/>
  <c r="K10"/>
  <c r="J43"/>
  <c r="S59"/>
  <c r="T59"/>
  <c r="Q150"/>
  <c r="S145"/>
  <c r="T145"/>
  <c r="S141"/>
  <c r="T141"/>
  <c r="N127" i="4"/>
  <c r="N125"/>
  <c r="N126"/>
  <c r="I115"/>
  <c r="I106"/>
  <c r="I105"/>
  <c r="H115"/>
  <c r="S24" i="8"/>
  <c r="T24"/>
  <c r="S60"/>
  <c r="T60"/>
  <c r="P115"/>
  <c r="O115"/>
  <c r="R115"/>
  <c r="S115"/>
  <c r="P106"/>
  <c r="P105"/>
  <c r="P149"/>
  <c r="P155"/>
  <c r="O151"/>
  <c r="N126"/>
  <c r="M127"/>
  <c r="M125"/>
  <c r="M126"/>
  <c r="L151"/>
  <c r="L127"/>
  <c r="L125"/>
  <c r="L126"/>
  <c r="J106"/>
  <c r="J105"/>
  <c r="S21" i="9"/>
  <c r="T21"/>
  <c r="R11"/>
  <c r="R10"/>
  <c r="R32"/>
  <c r="R43"/>
  <c r="R30"/>
  <c r="R54"/>
  <c r="M32"/>
  <c r="M11"/>
  <c r="M10"/>
  <c r="L56"/>
  <c r="K56"/>
  <c r="H32"/>
  <c r="G43"/>
  <c r="G30"/>
  <c r="S47"/>
  <c r="T47"/>
  <c r="S39"/>
  <c r="T39"/>
  <c r="S28"/>
  <c r="T28"/>
  <c r="S12"/>
  <c r="T12"/>
  <c r="S116"/>
  <c r="T116"/>
  <c r="S151"/>
  <c r="T151"/>
  <c r="P126"/>
  <c r="N105"/>
  <c r="L126"/>
  <c r="L137"/>
  <c r="L124"/>
  <c r="K150"/>
  <c r="H43" i="8"/>
  <c r="I43"/>
  <c r="M32"/>
  <c r="M30"/>
  <c r="N43" i="10"/>
  <c r="N30"/>
  <c r="N31"/>
  <c r="N11"/>
  <c r="M43"/>
  <c r="Q115"/>
  <c r="Q105"/>
  <c r="O115"/>
  <c r="O105"/>
  <c r="M115"/>
  <c r="N115"/>
  <c r="O137" i="9"/>
  <c r="O105"/>
  <c r="O114"/>
  <c r="O104"/>
  <c r="N137"/>
  <c r="M126"/>
  <c r="K137"/>
  <c r="J105"/>
  <c r="H137"/>
  <c r="H124"/>
  <c r="H125"/>
  <c r="H105"/>
  <c r="H104"/>
  <c r="G114"/>
  <c r="K114"/>
  <c r="G32" i="8"/>
  <c r="G30"/>
  <c r="J32"/>
  <c r="J43"/>
  <c r="J30"/>
  <c r="L43"/>
  <c r="R11"/>
  <c r="R10"/>
  <c r="CW197" i="6"/>
  <c r="G43" i="4"/>
  <c r="G11"/>
  <c r="H43"/>
  <c r="H11"/>
  <c r="H10"/>
  <c r="CY197" i="6"/>
  <c r="I43" i="4"/>
  <c r="I11"/>
  <c r="I10"/>
  <c r="J43"/>
  <c r="J11"/>
  <c r="J10"/>
  <c r="DA197" i="6"/>
  <c r="K43" i="4"/>
  <c r="K11"/>
  <c r="K10"/>
  <c r="DB197" i="6"/>
  <c r="L43" i="4"/>
  <c r="L32"/>
  <c r="L30"/>
  <c r="L31"/>
  <c r="L11"/>
  <c r="L10"/>
  <c r="DC197" i="6"/>
  <c r="M43" i="4"/>
  <c r="N43"/>
  <c r="M11"/>
  <c r="N11"/>
  <c r="N10"/>
  <c r="DE197" i="6"/>
  <c r="O43" i="4"/>
  <c r="O11"/>
  <c r="O10"/>
  <c r="P43"/>
  <c r="P11"/>
  <c r="P10"/>
  <c r="DG197" i="6"/>
  <c r="Q43" i="4"/>
  <c r="Q11"/>
  <c r="Q10"/>
  <c r="DH197" i="6"/>
  <c r="R43" i="4"/>
  <c r="R11"/>
  <c r="R10"/>
  <c r="DI197" i="6"/>
  <c r="R32" i="4"/>
  <c r="R30"/>
  <c r="DI198" i="6"/>
  <c r="DI199"/>
  <c r="G106" i="8"/>
  <c r="S22" i="9"/>
  <c r="T22"/>
  <c r="S23"/>
  <c r="T23"/>
  <c r="S58"/>
  <c r="T58"/>
  <c r="S42"/>
  <c r="T42"/>
  <c r="S38"/>
  <c r="T38"/>
  <c r="S34"/>
  <c r="T34"/>
  <c r="Q43"/>
  <c r="Q30"/>
  <c r="Q31"/>
  <c r="P32"/>
  <c r="P11"/>
  <c r="M43"/>
  <c r="M30"/>
  <c r="M31"/>
  <c r="L11"/>
  <c r="L10"/>
  <c r="K32"/>
  <c r="J56"/>
  <c r="I43"/>
  <c r="H11"/>
  <c r="H10"/>
  <c r="S117"/>
  <c r="T117"/>
  <c r="R150"/>
  <c r="S134"/>
  <c r="T134"/>
  <c r="S130"/>
  <c r="T130"/>
  <c r="P105"/>
  <c r="P104"/>
  <c r="N150"/>
  <c r="N126"/>
  <c r="L105"/>
  <c r="L104"/>
  <c r="L148"/>
  <c r="K104"/>
  <c r="K126"/>
  <c r="K124"/>
  <c r="K148"/>
  <c r="J137"/>
  <c r="J124"/>
  <c r="J125"/>
  <c r="I126"/>
  <c r="I124"/>
  <c r="I125"/>
  <c r="H150"/>
  <c r="I11" i="8"/>
  <c r="I10"/>
  <c r="CN197" i="6"/>
  <c r="K43" i="8"/>
  <c r="K32"/>
  <c r="Q43"/>
  <c r="Q30"/>
  <c r="P115" i="10"/>
  <c r="P105"/>
  <c r="L115"/>
  <c r="J115"/>
  <c r="J105"/>
  <c r="H115"/>
  <c r="R115"/>
  <c r="R105"/>
  <c r="R56" i="9"/>
  <c r="R31"/>
  <c r="S26"/>
  <c r="T26"/>
  <c r="Q56"/>
  <c r="P43"/>
  <c r="N56"/>
  <c r="N43"/>
  <c r="N32"/>
  <c r="M56"/>
  <c r="L43"/>
  <c r="J32"/>
  <c r="J30"/>
  <c r="J31"/>
  <c r="I56"/>
  <c r="H43"/>
  <c r="H30"/>
  <c r="H31"/>
  <c r="G11"/>
  <c r="S109"/>
  <c r="T109"/>
  <c r="S157"/>
  <c r="T157"/>
  <c r="S144"/>
  <c r="T144"/>
  <c r="S142"/>
  <c r="T142"/>
  <c r="P137"/>
  <c r="P124"/>
  <c r="P125"/>
  <c r="O126"/>
  <c r="O124"/>
  <c r="O125"/>
  <c r="M137"/>
  <c r="M124"/>
  <c r="M105"/>
  <c r="M104"/>
  <c r="J150"/>
  <c r="G126"/>
  <c r="G137"/>
  <c r="G124"/>
  <c r="H11" i="8"/>
  <c r="H10"/>
  <c r="CM197" i="6"/>
  <c r="I32" i="8"/>
  <c r="I30"/>
  <c r="CN198" i="6"/>
  <c r="G32" i="4"/>
  <c r="H32"/>
  <c r="H30"/>
  <c r="H31"/>
  <c r="I32"/>
  <c r="I30"/>
  <c r="I31"/>
  <c r="J32"/>
  <c r="K32"/>
  <c r="M32"/>
  <c r="N32"/>
  <c r="Q32"/>
  <c r="Q30"/>
  <c r="DH198" i="6"/>
  <c r="M11" i="10"/>
  <c r="J21" i="11"/>
  <c r="S21"/>
  <c r="L29"/>
  <c r="G32"/>
  <c r="M29"/>
  <c r="M35"/>
  <c r="I35"/>
  <c r="I39"/>
  <c r="L39"/>
  <c r="T45"/>
  <c r="R30" i="10"/>
  <c r="R31"/>
  <c r="J10"/>
  <c r="I17" i="11"/>
  <c r="I21"/>
  <c r="M34"/>
  <c r="M42"/>
  <c r="J50"/>
  <c r="J60"/>
  <c r="P66"/>
  <c r="I125" i="10"/>
  <c r="I126"/>
  <c r="J53" i="11"/>
  <c r="S63" i="10"/>
  <c r="T63"/>
  <c r="R125"/>
  <c r="R126"/>
  <c r="N125"/>
  <c r="N126"/>
  <c r="R105" i="4"/>
  <c r="I24" i="11"/>
  <c r="I28"/>
  <c r="I34"/>
  <c r="I42"/>
  <c r="I50"/>
  <c r="I60"/>
  <c r="G10" i="10"/>
  <c r="Q127"/>
  <c r="S141"/>
  <c r="T141"/>
  <c r="P127" i="4"/>
  <c r="P115"/>
  <c r="S154"/>
  <c r="T154"/>
  <c r="H105"/>
  <c r="O105" i="8"/>
  <c r="O149"/>
  <c r="O150"/>
  <c r="S147" i="4"/>
  <c r="T147"/>
  <c r="J105"/>
  <c r="J149"/>
  <c r="S64"/>
  <c r="T64"/>
  <c r="R127"/>
  <c r="Q138"/>
  <c r="Q125"/>
  <c r="Q126"/>
  <c r="T115" i="8"/>
  <c r="S128" i="10"/>
  <c r="T128"/>
  <c r="S59" i="4"/>
  <c r="T59"/>
  <c r="Q106"/>
  <c r="H138" i="8"/>
  <c r="R105"/>
  <c r="R149"/>
  <c r="R150"/>
  <c r="Q151"/>
  <c r="S128"/>
  <c r="T128"/>
  <c r="I106"/>
  <c r="H127"/>
  <c r="G105"/>
  <c r="H106"/>
  <c r="G10" i="9"/>
  <c r="R126"/>
  <c r="Q126"/>
  <c r="S126"/>
  <c r="T126"/>
  <c r="L125"/>
  <c r="I104"/>
  <c r="I148"/>
  <c r="I154"/>
  <c r="S46"/>
  <c r="T46"/>
  <c r="S62"/>
  <c r="T62"/>
  <c r="G56"/>
  <c r="S56"/>
  <c r="T56"/>
  <c r="S140"/>
  <c r="T140"/>
  <c r="J104"/>
  <c r="J148"/>
  <c r="R105"/>
  <c r="R104"/>
  <c r="S107"/>
  <c r="T107"/>
  <c r="Q137"/>
  <c r="S156"/>
  <c r="T156"/>
  <c r="S147"/>
  <c r="T147"/>
  <c r="S143"/>
  <c r="T143"/>
  <c r="R137"/>
  <c r="Q105"/>
  <c r="Q104"/>
  <c r="K125"/>
  <c r="G105"/>
  <c r="G10" i="8"/>
  <c r="L11"/>
  <c r="L10"/>
  <c r="N32"/>
  <c r="P32"/>
  <c r="P43"/>
  <c r="P30"/>
  <c r="M105" i="10"/>
  <c r="M125"/>
  <c r="M149"/>
  <c r="I105"/>
  <c r="I149"/>
  <c r="G105"/>
  <c r="H32" i="8"/>
  <c r="K10"/>
  <c r="M10"/>
  <c r="O10"/>
  <c r="L32"/>
  <c r="L30"/>
  <c r="L31"/>
  <c r="N11"/>
  <c r="N10"/>
  <c r="CS197" i="6"/>
  <c r="O32" i="8"/>
  <c r="O30"/>
  <c r="P11"/>
  <c r="P10"/>
  <c r="P56"/>
  <c r="R43"/>
  <c r="L105" i="10"/>
  <c r="L149"/>
  <c r="H105"/>
  <c r="H149"/>
  <c r="H155"/>
  <c r="H160"/>
  <c r="H156"/>
  <c r="R149"/>
  <c r="J11" i="8"/>
  <c r="N43"/>
  <c r="Q11"/>
  <c r="Q10"/>
  <c r="R32"/>
  <c r="J30" i="4"/>
  <c r="DA198" i="6"/>
  <c r="K30" i="4"/>
  <c r="K56"/>
  <c r="P30"/>
  <c r="P31"/>
  <c r="K8" i="3"/>
  <c r="J45" i="11"/>
  <c r="J12"/>
  <c r="I30" i="9"/>
  <c r="I31"/>
  <c r="R56" i="10"/>
  <c r="R61"/>
  <c r="J34" i="11"/>
  <c r="L149" i="4"/>
  <c r="L155"/>
  <c r="L160"/>
  <c r="L156"/>
  <c r="K30" i="10"/>
  <c r="K31"/>
  <c r="H11" i="11"/>
  <c r="S106" i="10"/>
  <c r="T106"/>
  <c r="H148" i="9"/>
  <c r="R125" i="4"/>
  <c r="R126"/>
  <c r="Q56" i="10"/>
  <c r="N30" i="9"/>
  <c r="N124"/>
  <c r="N125"/>
  <c r="P30"/>
  <c r="P31"/>
  <c r="O148"/>
  <c r="L30"/>
  <c r="L31"/>
  <c r="Q149" i="8"/>
  <c r="Q150"/>
  <c r="O126" i="10"/>
  <c r="N105" i="4"/>
  <c r="L150"/>
  <c r="S43"/>
  <c r="T43"/>
  <c r="J54" i="9"/>
  <c r="G11" i="11"/>
  <c r="I11"/>
  <c r="G43"/>
  <c r="I43"/>
  <c r="M55"/>
  <c r="J55"/>
  <c r="L55"/>
  <c r="L33"/>
  <c r="O149" i="10"/>
  <c r="M30" i="4"/>
  <c r="M30" i="10"/>
  <c r="Q124" i="9"/>
  <c r="Q125"/>
  <c r="I105" i="8"/>
  <c r="I125"/>
  <c r="I149"/>
  <c r="I150"/>
  <c r="I126"/>
  <c r="S151"/>
  <c r="T151"/>
  <c r="S138"/>
  <c r="T138"/>
  <c r="S43" i="10"/>
  <c r="T43"/>
  <c r="H20" i="11"/>
  <c r="O32"/>
  <c r="I65"/>
  <c r="Q148" i="9"/>
  <c r="Q149"/>
  <c r="P148"/>
  <c r="L56" i="10"/>
  <c r="L57"/>
  <c r="M10"/>
  <c r="M56"/>
  <c r="M10" i="4"/>
  <c r="M56"/>
  <c r="R11" i="11"/>
  <c r="S11" i="4"/>
  <c r="T11"/>
  <c r="N149"/>
  <c r="O56" i="10"/>
  <c r="O61"/>
  <c r="L54" i="11"/>
  <c r="I54"/>
  <c r="J54"/>
  <c r="R155" i="8"/>
  <c r="R160"/>
  <c r="R156"/>
  <c r="R56" i="4"/>
  <c r="R31"/>
  <c r="J56"/>
  <c r="N30" i="8"/>
  <c r="S137" i="9"/>
  <c r="T137"/>
  <c r="CL198" i="6"/>
  <c r="G31" i="8"/>
  <c r="H54" i="9"/>
  <c r="K155" i="4"/>
  <c r="K160"/>
  <c r="K156"/>
  <c r="O155" i="8"/>
  <c r="O160"/>
  <c r="O156"/>
  <c r="Q125" i="10"/>
  <c r="Q126"/>
  <c r="Q56" i="4"/>
  <c r="Q31"/>
  <c r="CZ198" i="6"/>
  <c r="Q56" i="8"/>
  <c r="CV197" i="6"/>
  <c r="H150" i="10"/>
  <c r="M31"/>
  <c r="CR197" i="6"/>
  <c r="I155" i="10"/>
  <c r="I160"/>
  <c r="I156"/>
  <c r="I150"/>
  <c r="Q149"/>
  <c r="Q150"/>
  <c r="CQ197" i="6"/>
  <c r="I31" i="8"/>
  <c r="I56"/>
  <c r="CN199" i="6"/>
  <c r="I159" i="9"/>
  <c r="I155"/>
  <c r="I149"/>
  <c r="S127" i="8"/>
  <c r="T127"/>
  <c r="M160" i="4"/>
  <c r="M156"/>
  <c r="M150"/>
  <c r="S106"/>
  <c r="T106"/>
  <c r="Q105"/>
  <c r="Q149"/>
  <c r="G150"/>
  <c r="H58" i="11"/>
  <c r="I58"/>
  <c r="T151" i="10"/>
  <c r="S138"/>
  <c r="T138"/>
  <c r="P105" i="4"/>
  <c r="S105"/>
  <c r="T105"/>
  <c r="R66" i="10"/>
  <c r="R62"/>
  <c r="R57"/>
  <c r="DG198" i="6"/>
  <c r="DG199"/>
  <c r="P56" i="4"/>
  <c r="DC198" i="6"/>
  <c r="DC199"/>
  <c r="L56" i="4"/>
  <c r="CY198" i="6"/>
  <c r="H56" i="4"/>
  <c r="N56" i="8"/>
  <c r="CS199" i="6"/>
  <c r="CP197"/>
  <c r="R124" i="9"/>
  <c r="R125"/>
  <c r="K155" i="8"/>
  <c r="K160"/>
  <c r="K156"/>
  <c r="P160"/>
  <c r="P156"/>
  <c r="P150"/>
  <c r="P125" i="4"/>
  <c r="P126"/>
  <c r="S127"/>
  <c r="T127"/>
  <c r="S58" i="10"/>
  <c r="T58"/>
  <c r="DB198" i="6"/>
  <c r="K31" i="4"/>
  <c r="J10" i="8"/>
  <c r="S11"/>
  <c r="T11"/>
  <c r="CU197" i="6"/>
  <c r="CQ198"/>
  <c r="CV198"/>
  <c r="Q31" i="8"/>
  <c r="H30"/>
  <c r="H56"/>
  <c r="S32"/>
  <c r="T32"/>
  <c r="CU198" i="6"/>
  <c r="P31" i="8"/>
  <c r="S105" i="9"/>
  <c r="T105"/>
  <c r="K149"/>
  <c r="K154"/>
  <c r="K159"/>
  <c r="K155"/>
  <c r="CO198" i="6"/>
  <c r="J31" i="8"/>
  <c r="H105"/>
  <c r="S106"/>
  <c r="T106"/>
  <c r="G31" i="9"/>
  <c r="G126" i="4"/>
  <c r="Q155" i="8"/>
  <c r="Q160"/>
  <c r="Q156"/>
  <c r="O126" i="4"/>
  <c r="S138"/>
  <c r="T138"/>
  <c r="N160" i="8"/>
  <c r="N156"/>
  <c r="N150"/>
  <c r="P125" i="10"/>
  <c r="P126"/>
  <c r="O149" i="9"/>
  <c r="O154"/>
  <c r="O159"/>
  <c r="O155"/>
  <c r="I54"/>
  <c r="L54"/>
  <c r="R149" i="4"/>
  <c r="R148" i="9"/>
  <c r="R149"/>
  <c r="O31"/>
  <c r="O54"/>
  <c r="O60"/>
  <c r="O65"/>
  <c r="O61"/>
  <c r="DD197" i="6"/>
  <c r="R10" i="11"/>
  <c r="M126" i="10"/>
  <c r="O31" i="11"/>
  <c r="O30"/>
  <c r="O57" i="10"/>
  <c r="P56"/>
  <c r="P57"/>
  <c r="N57" i="11"/>
  <c r="O30" i="4"/>
  <c r="O56"/>
  <c r="O57"/>
  <c r="P57"/>
  <c r="R57" i="11"/>
  <c r="T57"/>
  <c r="J60" i="9"/>
  <c r="J65"/>
  <c r="J61"/>
  <c r="J55"/>
  <c r="N155" i="4"/>
  <c r="N160"/>
  <c r="N156"/>
  <c r="N150"/>
  <c r="M125" i="9"/>
  <c r="M148"/>
  <c r="L61" i="4"/>
  <c r="L66"/>
  <c r="L62"/>
  <c r="L57"/>
  <c r="H55" i="9"/>
  <c r="H60"/>
  <c r="H65"/>
  <c r="H61"/>
  <c r="G125"/>
  <c r="S125"/>
  <c r="T125"/>
  <c r="S124"/>
  <c r="T124"/>
  <c r="R57" i="4"/>
  <c r="R61"/>
  <c r="R66"/>
  <c r="R62"/>
  <c r="CM198" i="6"/>
  <c r="H31" i="8"/>
  <c r="K57" i="4"/>
  <c r="K61"/>
  <c r="K66"/>
  <c r="K62"/>
  <c r="H61"/>
  <c r="H66"/>
  <c r="H62"/>
  <c r="H57"/>
  <c r="I61" i="8"/>
  <c r="I66"/>
  <c r="I62"/>
  <c r="P149" i="10"/>
  <c r="P155"/>
  <c r="P160"/>
  <c r="P156"/>
  <c r="CV199" i="6"/>
  <c r="Q61" i="8"/>
  <c r="Q66"/>
  <c r="Q62"/>
  <c r="Q57"/>
  <c r="O155" i="4"/>
  <c r="O160"/>
  <c r="O156"/>
  <c r="O150"/>
  <c r="N57" i="8"/>
  <c r="N61"/>
  <c r="N66"/>
  <c r="N62"/>
  <c r="P149" i="4"/>
  <c r="Q57"/>
  <c r="Q61"/>
  <c r="Q66"/>
  <c r="Q62"/>
  <c r="CS198" i="6"/>
  <c r="N31" i="8"/>
  <c r="J57" i="4"/>
  <c r="J61"/>
  <c r="J66"/>
  <c r="J62"/>
  <c r="CU199" i="6"/>
  <c r="P61" i="8"/>
  <c r="P66"/>
  <c r="P62"/>
  <c r="P57"/>
  <c r="CO197" i="6"/>
  <c r="J56" i="8"/>
  <c r="CO199" i="6"/>
  <c r="M61" i="10"/>
  <c r="M66"/>
  <c r="M62"/>
  <c r="M57"/>
  <c r="P61" i="4"/>
  <c r="P66"/>
  <c r="P62"/>
  <c r="R60" i="9"/>
  <c r="R65"/>
  <c r="R61"/>
  <c r="R55"/>
  <c r="L55"/>
  <c r="L60"/>
  <c r="L65"/>
  <c r="L61"/>
  <c r="I55"/>
  <c r="I60"/>
  <c r="I65"/>
  <c r="I61"/>
  <c r="R150" i="4"/>
  <c r="R155"/>
  <c r="R160"/>
  <c r="R156"/>
  <c r="M149" i="9"/>
  <c r="M154"/>
  <c r="M159"/>
  <c r="M155"/>
  <c r="O55"/>
  <c r="P61" i="10"/>
  <c r="P66"/>
  <c r="P62"/>
  <c r="J57" i="8"/>
  <c r="J61"/>
  <c r="J66"/>
  <c r="J62"/>
  <c r="P150" i="10"/>
  <c r="P150" i="4"/>
  <c r="P155"/>
  <c r="P160"/>
  <c r="P156"/>
  <c r="I16" i="11"/>
  <c r="M21"/>
  <c r="S49"/>
  <c r="J13"/>
  <c r="T36"/>
  <c r="M52"/>
  <c r="T53"/>
  <c r="I25"/>
  <c r="P54"/>
  <c r="I52"/>
  <c r="I49"/>
  <c r="J17"/>
  <c r="M53"/>
  <c r="I14"/>
  <c r="J43"/>
  <c r="P55"/>
  <c r="J20"/>
  <c r="L41"/>
  <c r="M33"/>
  <c r="L25"/>
  <c r="M66"/>
  <c r="M20"/>
  <c r="S25"/>
  <c r="I33"/>
  <c r="Q37"/>
  <c r="I41"/>
  <c r="O42"/>
  <c r="Q42"/>
  <c r="M45"/>
  <c r="O49"/>
  <c r="Q49"/>
  <c r="R52"/>
  <c r="J16"/>
  <c r="M16"/>
  <c r="S8" i="10"/>
  <c r="I64" i="11"/>
  <c r="J49"/>
  <c r="M49"/>
  <c r="M46"/>
  <c r="J25"/>
  <c r="L17"/>
  <c r="L13"/>
  <c r="P64"/>
  <c r="L45"/>
  <c r="I27"/>
  <c r="I15"/>
  <c r="M17"/>
  <c r="S22"/>
  <c r="L12"/>
  <c r="L65"/>
  <c r="Q64"/>
  <c r="M25"/>
  <c r="M27"/>
  <c r="F246" i="2"/>
  <c r="E246"/>
  <c r="G246"/>
  <c r="B7" i="11"/>
  <c r="S8" i="9"/>
  <c r="Q48" i="11"/>
  <c r="I13"/>
  <c r="J27"/>
  <c r="L46"/>
  <c r="G7"/>
  <c r="I12"/>
  <c r="I46"/>
  <c r="M14"/>
  <c r="S64"/>
  <c r="J24"/>
  <c r="Q22"/>
  <c r="T28"/>
  <c r="R48"/>
  <c r="R61"/>
  <c r="Q46"/>
  <c r="L49"/>
  <c r="L53"/>
  <c r="R54"/>
  <c r="R55"/>
  <c r="J58"/>
  <c r="G267" i="2"/>
  <c r="H19" i="1"/>
  <c r="S16" i="11"/>
  <c r="L60"/>
  <c r="P28"/>
  <c r="Q150" i="4"/>
  <c r="Q155"/>
  <c r="Q160"/>
  <c r="Q156"/>
  <c r="L149" i="9"/>
  <c r="L154"/>
  <c r="L159"/>
  <c r="L155"/>
  <c r="CM199" i="6"/>
  <c r="H57" i="8"/>
  <c r="H61"/>
  <c r="H66"/>
  <c r="H62"/>
  <c r="M61" i="4"/>
  <c r="M66"/>
  <c r="M62"/>
  <c r="M57"/>
  <c r="M155" i="10"/>
  <c r="M160"/>
  <c r="M156"/>
  <c r="M150"/>
  <c r="L155"/>
  <c r="L160"/>
  <c r="L156"/>
  <c r="L150"/>
  <c r="O31" i="8"/>
  <c r="CT198" i="6"/>
  <c r="J154" i="9"/>
  <c r="J159"/>
  <c r="J155"/>
  <c r="J149"/>
  <c r="O150" i="10"/>
  <c r="O155"/>
  <c r="O160"/>
  <c r="O156"/>
  <c r="H154" i="9"/>
  <c r="H159"/>
  <c r="H155"/>
  <c r="H149"/>
  <c r="CL197" i="6"/>
  <c r="S10" i="8"/>
  <c r="T10"/>
  <c r="S32" i="9"/>
  <c r="T32"/>
  <c r="K30"/>
  <c r="CZ197" i="6"/>
  <c r="CZ199"/>
  <c r="I56" i="4"/>
  <c r="G10"/>
  <c r="K11" i="11"/>
  <c r="M11"/>
  <c r="CR198" i="6"/>
  <c r="M31" i="8"/>
  <c r="I57"/>
  <c r="Q155" i="10"/>
  <c r="Q160"/>
  <c r="Q156"/>
  <c r="R154" i="9"/>
  <c r="R159"/>
  <c r="R155"/>
  <c r="I20" i="11"/>
  <c r="J11"/>
  <c r="G56" i="8"/>
  <c r="Q154" i="9"/>
  <c r="Q159"/>
  <c r="Q155"/>
  <c r="P149"/>
  <c r="P154"/>
  <c r="P159"/>
  <c r="P155"/>
  <c r="N31"/>
  <c r="N54"/>
  <c r="J56" i="10"/>
  <c r="J61"/>
  <c r="J66"/>
  <c r="J62"/>
  <c r="P10" i="9"/>
  <c r="P54"/>
  <c r="S11"/>
  <c r="T11"/>
  <c r="DH199" i="6"/>
  <c r="S114" i="9"/>
  <c r="T114"/>
  <c r="G104"/>
  <c r="L61" i="10"/>
  <c r="L66"/>
  <c r="L62"/>
  <c r="I155" i="8"/>
  <c r="I160"/>
  <c r="I156"/>
  <c r="J31" i="4"/>
  <c r="Q57" i="10"/>
  <c r="Q61"/>
  <c r="Q66"/>
  <c r="Q62"/>
  <c r="R150"/>
  <c r="R155"/>
  <c r="R160"/>
  <c r="R156"/>
  <c r="O56" i="8"/>
  <c r="CT197" i="6"/>
  <c r="J150" i="4"/>
  <c r="J155"/>
  <c r="J160"/>
  <c r="J156"/>
  <c r="G30"/>
  <c r="K32" i="11"/>
  <c r="M32"/>
  <c r="S32" i="4"/>
  <c r="T32"/>
  <c r="S150" i="9"/>
  <c r="T150"/>
  <c r="S43" i="8"/>
  <c r="T43"/>
  <c r="DA199" i="6"/>
  <c r="CY199"/>
  <c r="K30" i="8"/>
  <c r="R30"/>
  <c r="S30"/>
  <c r="T30"/>
  <c r="N11" i="11"/>
  <c r="S11"/>
  <c r="N10" i="10"/>
  <c r="S43" i="9"/>
  <c r="T43"/>
  <c r="DD198" i="6"/>
  <c r="DD199"/>
  <c r="M31" i="4"/>
  <c r="R43" i="11"/>
  <c r="N30" i="4"/>
  <c r="DB199" i="6"/>
  <c r="O20" i="11"/>
  <c r="N105" i="10"/>
  <c r="L149" i="8"/>
  <c r="H126" i="4"/>
  <c r="H149"/>
  <c r="K125" i="10"/>
  <c r="K126"/>
  <c r="S127"/>
  <c r="T127"/>
  <c r="G30"/>
  <c r="S32"/>
  <c r="T32"/>
  <c r="K10"/>
  <c r="S11"/>
  <c r="T11"/>
  <c r="J38" i="11"/>
  <c r="I38"/>
  <c r="L38"/>
  <c r="G125" i="10"/>
  <c r="H32" i="11"/>
  <c r="J32"/>
  <c r="H125" i="8"/>
  <c r="DF197" i="6"/>
  <c r="G155" i="4"/>
  <c r="S115"/>
  <c r="T115"/>
  <c r="J125" i="10"/>
  <c r="K58" i="11"/>
  <c r="K149" i="10"/>
  <c r="Q54" i="9"/>
  <c r="M56" i="8"/>
  <c r="L56"/>
  <c r="K43" i="11"/>
  <c r="G54" i="9"/>
  <c r="S30"/>
  <c r="T30"/>
  <c r="M54"/>
  <c r="I31" i="10"/>
  <c r="I56"/>
  <c r="I57"/>
  <c r="M65" i="11"/>
  <c r="N43"/>
  <c r="Q43"/>
  <c r="N104" i="9"/>
  <c r="N148"/>
  <c r="J125" i="8"/>
  <c r="J126"/>
  <c r="H30" i="10"/>
  <c r="H56"/>
  <c r="L24" i="11"/>
  <c r="S115" i="10"/>
  <c r="T115"/>
  <c r="I125" i="4"/>
  <c r="I22" i="11"/>
  <c r="M22"/>
  <c r="L22"/>
  <c r="J52"/>
  <c r="L52"/>
  <c r="J15"/>
  <c r="J19"/>
  <c r="T21"/>
  <c r="G125" i="8"/>
  <c r="G149"/>
  <c r="M105"/>
  <c r="M149"/>
  <c r="L64" i="11"/>
  <c r="M64"/>
  <c r="T35"/>
  <c r="S37"/>
  <c r="T37"/>
  <c r="P47"/>
  <c r="S22" i="10"/>
  <c r="T22"/>
  <c r="S24"/>
  <c r="T24"/>
  <c r="M44" i="11"/>
  <c r="J44"/>
  <c r="G26"/>
  <c r="G18"/>
  <c r="G37"/>
  <c r="M19"/>
  <c r="G23"/>
  <c r="S29" i="10"/>
  <c r="T29"/>
  <c r="S28"/>
  <c r="T28"/>
  <c r="G48" i="11"/>
  <c r="G59"/>
  <c r="S50"/>
  <c r="T46"/>
  <c r="S55"/>
  <c r="T55"/>
  <c r="S54"/>
  <c r="T54"/>
  <c r="G150" i="8"/>
  <c r="G155"/>
  <c r="L23" i="11"/>
  <c r="J23"/>
  <c r="M23"/>
  <c r="I23"/>
  <c r="L18"/>
  <c r="J18"/>
  <c r="M18"/>
  <c r="I18"/>
  <c r="N149" i="9"/>
  <c r="N154"/>
  <c r="N159"/>
  <c r="N155"/>
  <c r="L43" i="11"/>
  <c r="M43"/>
  <c r="CR199" i="6"/>
  <c r="M57" i="8"/>
  <c r="M61"/>
  <c r="M66"/>
  <c r="M62"/>
  <c r="L58" i="11"/>
  <c r="M58"/>
  <c r="O61" i="4"/>
  <c r="O66"/>
  <c r="O62"/>
  <c r="H155"/>
  <c r="H160"/>
  <c r="H156"/>
  <c r="H150"/>
  <c r="O10" i="11"/>
  <c r="N149" i="10"/>
  <c r="J149" i="8"/>
  <c r="CT199" i="6"/>
  <c r="O57" i="8"/>
  <c r="O61"/>
  <c r="O66"/>
  <c r="O62"/>
  <c r="L11" i="11"/>
  <c r="J57" i="10"/>
  <c r="L32" i="11"/>
  <c r="S105" i="8"/>
  <c r="T105"/>
  <c r="G56" i="4"/>
  <c r="S10"/>
  <c r="T10"/>
  <c r="CX197" i="6"/>
  <c r="K10" i="11"/>
  <c r="I32"/>
  <c r="L59"/>
  <c r="M59"/>
  <c r="J59"/>
  <c r="I59"/>
  <c r="M26"/>
  <c r="I26"/>
  <c r="J26"/>
  <c r="L26"/>
  <c r="M150" i="8"/>
  <c r="M155"/>
  <c r="M160"/>
  <c r="M156"/>
  <c r="M55" i="9"/>
  <c r="M60"/>
  <c r="M65"/>
  <c r="M61"/>
  <c r="N10" i="11"/>
  <c r="D12" i="1"/>
  <c r="E12"/>
  <c r="H10" i="11"/>
  <c r="CL199" i="6"/>
  <c r="G61" i="8"/>
  <c r="G57"/>
  <c r="K56"/>
  <c r="R56"/>
  <c r="S56"/>
  <c r="T56"/>
  <c r="I61" i="4"/>
  <c r="I66"/>
  <c r="I62"/>
  <c r="I57"/>
  <c r="S10" i="9"/>
  <c r="T10"/>
  <c r="L48" i="11"/>
  <c r="I48"/>
  <c r="J48"/>
  <c r="M48"/>
  <c r="CW198" i="6"/>
  <c r="R31" i="8"/>
  <c r="J126" i="10"/>
  <c r="J149"/>
  <c r="H31"/>
  <c r="K31" i="8"/>
  <c r="S31"/>
  <c r="T31"/>
  <c r="CP198" i="6"/>
  <c r="Q60" i="9"/>
  <c r="Q65"/>
  <c r="Q61"/>
  <c r="Q55"/>
  <c r="H126" i="8"/>
  <c r="H149"/>
  <c r="S149"/>
  <c r="T149"/>
  <c r="H30" i="11"/>
  <c r="G126" i="10"/>
  <c r="S125"/>
  <c r="T125"/>
  <c r="L155" i="8"/>
  <c r="L160"/>
  <c r="L156"/>
  <c r="L150"/>
  <c r="S30" i="4"/>
  <c r="T30"/>
  <c r="K30" i="11"/>
  <c r="CX198" i="6"/>
  <c r="G31" i="4"/>
  <c r="G149" i="10"/>
  <c r="S104" i="9"/>
  <c r="T104"/>
  <c r="G148"/>
  <c r="P60"/>
  <c r="P65"/>
  <c r="P61"/>
  <c r="P55"/>
  <c r="N55"/>
  <c r="N60"/>
  <c r="N65"/>
  <c r="N61"/>
  <c r="S105" i="10"/>
  <c r="T105"/>
  <c r="DF198" i="6"/>
  <c r="DF199"/>
  <c r="O31" i="4"/>
  <c r="I37" i="11"/>
  <c r="L37"/>
  <c r="J37"/>
  <c r="M37"/>
  <c r="G126" i="8"/>
  <c r="S126"/>
  <c r="T126"/>
  <c r="S125"/>
  <c r="T125"/>
  <c r="I126" i="4"/>
  <c r="S126"/>
  <c r="T126"/>
  <c r="S125"/>
  <c r="T125"/>
  <c r="I61" i="10"/>
  <c r="I66"/>
  <c r="I62"/>
  <c r="G60" i="9"/>
  <c r="G55"/>
  <c r="CQ199" i="6"/>
  <c r="L57" i="8"/>
  <c r="L61"/>
  <c r="L66"/>
  <c r="L62"/>
  <c r="K150" i="10"/>
  <c r="K155"/>
  <c r="K160"/>
  <c r="K156"/>
  <c r="G160" i="4"/>
  <c r="S10" i="10"/>
  <c r="T10"/>
  <c r="K56"/>
  <c r="K61"/>
  <c r="K66"/>
  <c r="K62"/>
  <c r="I149" i="4"/>
  <c r="DE198" i="6"/>
  <c r="DE199"/>
  <c r="R30" i="11"/>
  <c r="N56" i="4"/>
  <c r="N31"/>
  <c r="R31" i="11"/>
  <c r="G10"/>
  <c r="K54" i="9"/>
  <c r="S54"/>
  <c r="T54"/>
  <c r="K31"/>
  <c r="S31"/>
  <c r="T31"/>
  <c r="L10" i="11"/>
  <c r="J10"/>
  <c r="H12" i="1"/>
  <c r="I12"/>
  <c r="I10" i="11"/>
  <c r="M10"/>
  <c r="K61" i="8"/>
  <c r="K66"/>
  <c r="K62"/>
  <c r="CP199" i="6"/>
  <c r="K57" i="8"/>
  <c r="CX199" i="6"/>
  <c r="N150" i="10"/>
  <c r="O57" i="11"/>
  <c r="O56"/>
  <c r="N155" i="10"/>
  <c r="G156" i="4"/>
  <c r="G65" i="9"/>
  <c r="S149" i="10"/>
  <c r="T149"/>
  <c r="G155"/>
  <c r="H56" i="11"/>
  <c r="G150" i="10"/>
  <c r="H31" i="11"/>
  <c r="S126" i="10"/>
  <c r="T126"/>
  <c r="J155"/>
  <c r="J160"/>
  <c r="J156"/>
  <c r="J150"/>
  <c r="N57" i="4"/>
  <c r="N61"/>
  <c r="R56" i="11"/>
  <c r="K57" i="10"/>
  <c r="S31" i="4"/>
  <c r="T31"/>
  <c r="K31" i="11"/>
  <c r="S56" i="4"/>
  <c r="T56"/>
  <c r="K56" i="11"/>
  <c r="G57" i="4"/>
  <c r="G61"/>
  <c r="H155" i="8"/>
  <c r="J155"/>
  <c r="S155"/>
  <c r="T155"/>
  <c r="G160"/>
  <c r="I155" i="4"/>
  <c r="I150"/>
  <c r="S150"/>
  <c r="T150"/>
  <c r="K55" i="9"/>
  <c r="K60"/>
  <c r="K65"/>
  <c r="K61"/>
  <c r="S55"/>
  <c r="T55"/>
  <c r="G154"/>
  <c r="S148"/>
  <c r="T148"/>
  <c r="G149"/>
  <c r="S149"/>
  <c r="T149"/>
  <c r="H150" i="8"/>
  <c r="H160"/>
  <c r="H156"/>
  <c r="CW199" i="6"/>
  <c r="R57" i="8"/>
  <c r="S57"/>
  <c r="T57"/>
  <c r="R61"/>
  <c r="R66"/>
  <c r="R62"/>
  <c r="G66"/>
  <c r="J160"/>
  <c r="J156"/>
  <c r="J150"/>
  <c r="S149" i="4"/>
  <c r="T149"/>
  <c r="S150" i="8"/>
  <c r="T150"/>
  <c r="S61"/>
  <c r="T61"/>
  <c r="I160" i="4"/>
  <c r="S155"/>
  <c r="T155"/>
  <c r="K62" i="11"/>
  <c r="S61" i="4"/>
  <c r="T61"/>
  <c r="G66"/>
  <c r="N160" i="10"/>
  <c r="O62" i="11"/>
  <c r="S66" i="8"/>
  <c r="T66"/>
  <c r="G62"/>
  <c r="S62"/>
  <c r="T62"/>
  <c r="G159" i="9"/>
  <c r="S154"/>
  <c r="T154"/>
  <c r="S160" i="8"/>
  <c r="T160"/>
  <c r="G156"/>
  <c r="S156"/>
  <c r="T156"/>
  <c r="K57" i="11"/>
  <c r="S57" i="4"/>
  <c r="T57"/>
  <c r="H57" i="11"/>
  <c r="S150" i="10"/>
  <c r="T150"/>
  <c r="S60" i="9"/>
  <c r="T60"/>
  <c r="S65"/>
  <c r="T65"/>
  <c r="G61"/>
  <c r="S61"/>
  <c r="T61"/>
  <c r="N66" i="4"/>
  <c r="R62" i="11"/>
  <c r="G160" i="10"/>
  <c r="H62" i="11"/>
  <c r="S155" i="10"/>
  <c r="T155"/>
  <c r="S66" i="4"/>
  <c r="T66"/>
  <c r="K67" i="11"/>
  <c r="G62" i="4"/>
  <c r="I156"/>
  <c r="S156"/>
  <c r="T156"/>
  <c r="S160"/>
  <c r="T160"/>
  <c r="S159" i="9"/>
  <c r="T159"/>
  <c r="G155"/>
  <c r="S155"/>
  <c r="T155"/>
  <c r="N156" i="10"/>
  <c r="O63" i="11"/>
  <c r="O67"/>
  <c r="N62" i="4"/>
  <c r="R63" i="11"/>
  <c r="R67"/>
  <c r="S160" i="10"/>
  <c r="T160"/>
  <c r="H67" i="11"/>
  <c r="G156" i="10"/>
  <c r="S62" i="4"/>
  <c r="T62"/>
  <c r="K63" i="11"/>
  <c r="H63"/>
  <c r="S156" i="10"/>
  <c r="T156"/>
  <c r="Q33" i="11"/>
  <c r="Q38"/>
  <c r="P48"/>
  <c r="T39"/>
  <c r="P51"/>
  <c r="P18"/>
  <c r="P33"/>
  <c r="Q17"/>
  <c r="P21"/>
  <c r="Q41"/>
  <c r="P45"/>
  <c r="P52"/>
  <c r="S10"/>
  <c r="T66"/>
  <c r="S48"/>
  <c r="T33"/>
  <c r="T51"/>
  <c r="S33"/>
  <c r="Q53"/>
  <c r="P16"/>
  <c r="Q18"/>
  <c r="Q28"/>
  <c r="Q36"/>
  <c r="Q51"/>
  <c r="T10"/>
  <c r="P10"/>
  <c r="T48"/>
  <c r="P20"/>
  <c r="S18"/>
  <c r="Q66"/>
  <c r="N62"/>
  <c r="S62"/>
  <c r="O66" i="10"/>
  <c r="H57"/>
  <c r="H61"/>
  <c r="H66"/>
  <c r="H62"/>
  <c r="P15" i="11"/>
  <c r="P17"/>
  <c r="P27"/>
  <c r="T60"/>
  <c r="Q21"/>
  <c r="N56" i="10"/>
  <c r="N30" i="11"/>
  <c r="D16" i="1"/>
  <c r="E16"/>
  <c r="T13" i="11"/>
  <c r="P11"/>
  <c r="P13"/>
  <c r="N56"/>
  <c r="P56"/>
  <c r="Q57"/>
  <c r="S30" i="10"/>
  <c r="T30"/>
  <c r="Q40" i="11"/>
  <c r="Q50"/>
  <c r="P49"/>
  <c r="Q27"/>
  <c r="P32"/>
  <c r="P53"/>
  <c r="P58"/>
  <c r="P59"/>
  <c r="Q16"/>
  <c r="Q31"/>
  <c r="S24"/>
  <c r="T29"/>
  <c r="P23"/>
  <c r="S43"/>
  <c r="Q14"/>
  <c r="T27"/>
  <c r="T12"/>
  <c r="S41"/>
  <c r="P25"/>
  <c r="P38"/>
  <c r="S31"/>
  <c r="G56" i="10"/>
  <c r="G56" i="11"/>
  <c r="T14"/>
  <c r="Q39"/>
  <c r="P35"/>
  <c r="Q20"/>
  <c r="Q15"/>
  <c r="S17"/>
  <c r="T52"/>
  <c r="P42"/>
  <c r="Q24"/>
  <c r="P40"/>
  <c r="P60"/>
  <c r="T31"/>
  <c r="G30"/>
  <c r="H16" i="1"/>
  <c r="I16"/>
  <c r="S44" i="11"/>
  <c r="P24"/>
  <c r="T15"/>
  <c r="Q45"/>
  <c r="S15"/>
  <c r="P36"/>
  <c r="T38"/>
  <c r="P44"/>
  <c r="S34"/>
  <c r="P34"/>
  <c r="P65"/>
  <c r="Q11"/>
  <c r="P14"/>
  <c r="T20"/>
  <c r="Q23"/>
  <c r="Q35"/>
  <c r="S38"/>
  <c r="P39"/>
  <c r="P41"/>
  <c r="T42"/>
  <c r="Q44"/>
  <c r="Q54"/>
  <c r="S59"/>
  <c r="S52"/>
  <c r="S58"/>
  <c r="T58"/>
  <c r="Q19"/>
  <c r="P46"/>
  <c r="Q47"/>
  <c r="T11"/>
  <c r="P43"/>
  <c r="G31" i="10"/>
  <c r="Q12" i="11"/>
  <c r="P31"/>
  <c r="P19"/>
  <c r="Q59"/>
  <c r="T19"/>
  <c r="S47"/>
  <c r="Q13"/>
  <c r="T41"/>
  <c r="Q26"/>
  <c r="P29"/>
  <c r="Q62"/>
  <c r="S57"/>
  <c r="P57"/>
  <c r="Q10"/>
  <c r="S56" i="10"/>
  <c r="T56"/>
  <c r="T43" i="11"/>
  <c r="Q60"/>
  <c r="Q58"/>
  <c r="Q25"/>
  <c r="Q32"/>
  <c r="T26"/>
  <c r="T17"/>
  <c r="P26"/>
  <c r="Q52"/>
  <c r="S23"/>
  <c r="P12"/>
  <c r="S19"/>
  <c r="T23"/>
  <c r="Q29"/>
  <c r="T32"/>
  <c r="P62"/>
  <c r="Q56"/>
  <c r="Q30"/>
  <c r="P30"/>
  <c r="T30"/>
  <c r="L30"/>
  <c r="T56"/>
  <c r="S56"/>
  <c r="D20" i="1"/>
  <c r="E20"/>
  <c r="S30" i="11"/>
  <c r="T62"/>
  <c r="N57" i="10"/>
  <c r="N61"/>
  <c r="N66"/>
  <c r="N62"/>
  <c r="N67" i="11"/>
  <c r="O62" i="10"/>
  <c r="N63" i="11"/>
  <c r="I30"/>
  <c r="M30"/>
  <c r="G61" i="10"/>
  <c r="G57"/>
  <c r="J30" i="11"/>
  <c r="S31" i="10"/>
  <c r="T31"/>
  <c r="G31" i="11"/>
  <c r="H20" i="1"/>
  <c r="I20"/>
  <c r="I56" i="11"/>
  <c r="M56"/>
  <c r="J56"/>
  <c r="L56"/>
  <c r="Q67"/>
  <c r="T67"/>
  <c r="P67"/>
  <c r="S67"/>
  <c r="S63"/>
  <c r="Q63"/>
  <c r="T63"/>
  <c r="P63"/>
  <c r="G57"/>
  <c r="S57" i="10"/>
  <c r="T57"/>
  <c r="G61" i="11"/>
  <c r="G66" i="10"/>
  <c r="G62" i="11"/>
  <c r="S61" i="10"/>
  <c r="T61"/>
  <c r="I31" i="11"/>
  <c r="M31"/>
  <c r="J31"/>
  <c r="L31"/>
  <c r="G62" i="10"/>
  <c r="S66"/>
  <c r="T66"/>
  <c r="G67" i="11"/>
  <c r="I61"/>
  <c r="L61"/>
  <c r="J61"/>
  <c r="M61"/>
  <c r="J62"/>
  <c r="I62"/>
  <c r="L62"/>
  <c r="M62"/>
  <c r="J57"/>
  <c r="M57"/>
  <c r="I57"/>
  <c r="L57"/>
  <c r="I67"/>
  <c r="L67"/>
  <c r="J67"/>
  <c r="M67"/>
  <c r="G63"/>
  <c r="S62" i="10"/>
  <c r="T62"/>
  <c r="M63" i="11"/>
  <c r="I63"/>
  <c r="L63"/>
  <c r="J63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<sst xmlns="http://schemas.openxmlformats.org/spreadsheetml/2006/main" count="1338" uniqueCount="715">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</sst>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>
  <numFmts count="9"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0" fillId="4" borderId="0" xfId="0" applyNumberFormat="1" applyFill="1"/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93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424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96506624"/>
        <c:axId val="96508160"/>
      </c:lineChart>
      <c:catAx>
        <c:axId val="965066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96508160"/>
        <c:crosses val="autoZero"/>
        <c:auto val="1"/>
        <c:lblAlgn val="ctr"/>
        <c:lblOffset val="100"/>
        <c:tickLblSkip val="3"/>
      </c:catAx>
      <c:valAx>
        <c:axId val="96508160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96506624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8097"/>
          <c:y val="2.6666666666666672E-2"/>
        </c:manualLayout>
      </c:layout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969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96749824"/>
        <c:axId val="96751616"/>
      </c:lineChart>
      <c:catAx>
        <c:axId val="96749824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96751616"/>
        <c:crosses val="autoZero"/>
        <c:auto val="1"/>
        <c:lblAlgn val="ctr"/>
        <c:lblOffset val="100"/>
        <c:tickLblSkip val="3"/>
      </c:catAx>
      <c:valAx>
        <c:axId val="96751616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96749824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255218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264743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274267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tabSelected="1" workbookViewId="0">
      <pane ySplit="5" topLeftCell="A18" activePane="bottomLeft" state="frozen"/>
      <selection activeCell="DK219" sqref="DK219"/>
      <selection pane="bottomLeft" activeCell="L35" sqref="L35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Oktobar</v>
      </c>
      <c r="E11" s="158"/>
      <c r="F11" s="158"/>
      <c r="G11" s="158"/>
      <c r="H11" s="321" t="str">
        <f>+Master!G265</f>
        <v>Prihodi za period Januar - Oktobar</v>
      </c>
      <c r="I11" s="322"/>
      <c r="J11" s="310"/>
      <c r="K11" s="159"/>
    </row>
    <row r="12" spans="3:11">
      <c r="C12" s="157"/>
      <c r="D12" s="161">
        <f>+'Analitika - 2015'!N10</f>
        <v>110672805.50000004</v>
      </c>
      <c r="E12" s="162">
        <f>+D12/'2015'!T7</f>
        <v>3.0232689239762901E-2</v>
      </c>
      <c r="F12" s="158"/>
      <c r="G12" s="158"/>
      <c r="H12" s="323">
        <f>+'Analitika - 2015'!G10</f>
        <v>1074305799.0699999</v>
      </c>
      <c r="I12" s="324">
        <f>+H12/'2015'!T7</f>
        <v>0.29347004645832764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Oktobar</v>
      </c>
      <c r="E15" s="158"/>
      <c r="F15" s="158"/>
      <c r="G15" s="158"/>
      <c r="H15" s="321" t="str">
        <f>+Master!G266</f>
        <v>Rashodi za period Januar - Oktobar</v>
      </c>
      <c r="I15" s="322"/>
      <c r="J15" s="310"/>
      <c r="K15" s="159"/>
    </row>
    <row r="16" spans="3:11">
      <c r="C16" s="157"/>
      <c r="D16" s="161">
        <f>+'Analitika - 2015'!N30</f>
        <v>114628371.46000001</v>
      </c>
      <c r="E16" s="162">
        <f>+D16/'2015'!T7</f>
        <v>3.1313238304149484E-2</v>
      </c>
      <c r="F16" s="158"/>
      <c r="G16" s="158"/>
      <c r="H16" s="323">
        <f>+'Analitika - 2015'!G30</f>
        <v>1326533548.6300001</v>
      </c>
      <c r="I16" s="324">
        <f>+H16/'2015'!T7</f>
        <v>0.36237155424645562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Oktobar</v>
      </c>
      <c r="E19" s="158"/>
      <c r="F19" s="158"/>
      <c r="G19" s="158"/>
      <c r="H19" s="321" t="str">
        <f>+Master!G267</f>
        <v>Deficit za period Januar - Oktobar</v>
      </c>
      <c r="I19" s="322"/>
      <c r="J19" s="310"/>
      <c r="K19" s="159"/>
    </row>
    <row r="20" spans="3:11">
      <c r="C20" s="157"/>
      <c r="D20" s="161">
        <f>+'Analitika - 2015'!N56</f>
        <v>-3955565.9599999636</v>
      </c>
      <c r="E20" s="162">
        <f>+D20/'2015'!T7</f>
        <v>-1.0805490643865827E-3</v>
      </c>
      <c r="F20" s="158"/>
      <c r="G20" s="158"/>
      <c r="H20" s="323">
        <f>+'Analitika - 2015'!G56</f>
        <v>-252227749.56000024</v>
      </c>
      <c r="I20" s="324">
        <f>+H20/'2015'!T7</f>
        <v>-6.8901507788128022E-2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9" t="str">
        <f>+Master!G269</f>
        <v>Stanje javnog duga (% BDP)</v>
      </c>
      <c r="E22" s="330"/>
      <c r="F22" s="33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zoomScale="110" zoomScaleNormal="110" workbookViewId="0">
      <pane ySplit="5" topLeftCell="A6" activePane="bottomLeft" state="frozen"/>
      <selection activeCell="DK219" sqref="DK219"/>
      <selection pane="bottomLeft" activeCell="H3" sqref="H3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2015-10</v>
      </c>
      <c r="O6" s="169" t="str">
        <f>+CONCATENATE(N6,"p")</f>
        <v>2015-10p</v>
      </c>
      <c r="P6" s="153"/>
      <c r="Q6" s="153"/>
      <c r="R6" s="169" t="str">
        <f>+IF(Master!B3-10&gt;=0,CONCATENATE(Master!B4-1,"-",Master!B3),CONCATENATE(Master!B4-1,"-0",Master!B3))</f>
        <v>2014-10</v>
      </c>
      <c r="S6" s="153"/>
      <c r="T6" s="153"/>
    </row>
    <row r="7" spans="1:20">
      <c r="A7" s="170"/>
      <c r="B7" s="331" t="str">
        <f>+Master!G246</f>
        <v>Analitika za period Jan - Okt</v>
      </c>
      <c r="C7" s="332"/>
      <c r="D7" s="332"/>
      <c r="E7" s="332"/>
      <c r="F7" s="332"/>
      <c r="G7" s="339" t="str">
        <f>+Master!G238</f>
        <v>Jan - Okt</v>
      </c>
      <c r="H7" s="340"/>
      <c r="I7" s="340"/>
      <c r="J7" s="340"/>
      <c r="K7" s="340"/>
      <c r="L7" s="340"/>
      <c r="M7" s="341"/>
      <c r="N7" s="342" t="str">
        <f>+Master!G237</f>
        <v>Oktobar</v>
      </c>
      <c r="O7" s="340"/>
      <c r="P7" s="340"/>
      <c r="Q7" s="340"/>
      <c r="R7" s="340"/>
      <c r="S7" s="340"/>
      <c r="T7" s="343"/>
    </row>
    <row r="8" spans="1:20">
      <c r="A8" s="170"/>
      <c r="B8" s="333"/>
      <c r="C8" s="334"/>
      <c r="D8" s="334"/>
      <c r="E8" s="334"/>
      <c r="F8" s="335"/>
      <c r="G8" s="171" t="str">
        <f>+Master!G18</f>
        <v>Ostvarenje</v>
      </c>
      <c r="H8" s="171" t="str">
        <f>+Master!G17</f>
        <v>Plan</v>
      </c>
      <c r="I8" s="344" t="str">
        <f>+Master!G252</f>
        <v>Odstupanje</v>
      </c>
      <c r="J8" s="344"/>
      <c r="K8" s="171" t="str">
        <f>+CONCATENATE(Master!G238," ",Master!B4-1)</f>
        <v>Jan - Okt 2014</v>
      </c>
      <c r="L8" s="344" t="str">
        <f>+I8</f>
        <v>Odstupanje</v>
      </c>
      <c r="M8" s="345"/>
      <c r="N8" s="172" t="str">
        <f>+G8</f>
        <v>Ostvarenje</v>
      </c>
      <c r="O8" s="171" t="str">
        <f>+H8</f>
        <v>Plan</v>
      </c>
      <c r="P8" s="344" t="str">
        <f>+I8</f>
        <v>Odstupanje</v>
      </c>
      <c r="Q8" s="344"/>
      <c r="R8" s="171" t="str">
        <f>+CONCATENATE(Master!G237," ",Master!B4-1)</f>
        <v>Oktobar 2014</v>
      </c>
      <c r="S8" s="344" t="str">
        <f>+P8</f>
        <v>Odstupanje</v>
      </c>
      <c r="T8" s="346"/>
    </row>
    <row r="9" spans="1:20" ht="15.75" thickBot="1">
      <c r="A9" s="170"/>
      <c r="B9" s="336"/>
      <c r="C9" s="337"/>
      <c r="D9" s="337"/>
      <c r="E9" s="337"/>
      <c r="F9" s="338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9" t="str">
        <f>+VLOOKUP($A10,Master!$D$22:$G$218,4,FALSE)</f>
        <v>Prihodi budžeta</v>
      </c>
      <c r="C10" s="350"/>
      <c r="D10" s="350"/>
      <c r="E10" s="350"/>
      <c r="F10" s="350"/>
      <c r="G10" s="177">
        <f>+SUMPRODUCT(('2015'!$G10:$R10)*('2015'!$G$5:$R$5&lt;=Master!$B$3)*($A10='2015'!$A$10:$A$66))</f>
        <v>1074305799.0699999</v>
      </c>
      <c r="H10" s="177">
        <f>+SUMPRODUCT(('2015'!$G105:$R105)*('2015'!$G$5:$R$5&lt;=Master!$B$3))</f>
        <v>1070991900.6051136</v>
      </c>
      <c r="I10" s="178">
        <f>+G10-H10</f>
        <v>3313898.4648863077</v>
      </c>
      <c r="J10" s="179">
        <f>+IF(ISNUMBER(G10/H10-1),G10/H10-1,"…")</f>
        <v>3.0942329844081407E-3</v>
      </c>
      <c r="K10" s="177">
        <f>+SUMPRODUCT(('2014'!$G10:$R10)*('2014'!$G$5:$R$5&lt;=Master!$B$3))</f>
        <v>1098107677.53</v>
      </c>
      <c r="L10" s="178">
        <f>+G10-K10</f>
        <v>-23801878.460000038</v>
      </c>
      <c r="M10" s="180">
        <f>+IF(ISNUMBER(G10/K10-1),G10/K10-1,"…")</f>
        <v>-2.1675359299498043E-2</v>
      </c>
      <c r="N10" s="181">
        <f>+INDEX('2015'!$1:$1048576,MATCH('Analitika - 2015'!$A10,'2015'!$A:$A,0),MATCH('Analitika - 2015'!$N$6,'2015'!$6:$6,0))</f>
        <v>110672805.50000004</v>
      </c>
      <c r="O10" s="177">
        <f>+INDEX('2015'!$1:$1048576,MATCH(CONCATENATE('Analitika - 2015'!$A10,"p"),'2015'!$A:$A,0),MATCH('Analitika - 2015'!$O$6,'2015'!$101:$101,0))</f>
        <v>115436070.88666166</v>
      </c>
      <c r="P10" s="178">
        <f>+N10-O10</f>
        <v>-4763265.3866616189</v>
      </c>
      <c r="Q10" s="179">
        <f>+IF(ISNUMBER(N10/O10-1),N10/O10-1,"…")</f>
        <v>-4.1263232108257775E-2</v>
      </c>
      <c r="R10" s="177">
        <f>+INDEX('2014'!$1:$1048576,MATCH('Analitika - 2015'!$A10,'2014'!$A:$A,0),MATCH('Analitika - 2015'!$R$6,'2014'!$6:$6,0))</f>
        <v>158210534.24000001</v>
      </c>
      <c r="S10" s="178">
        <f>+N10-R10</f>
        <v>-47537728.739999965</v>
      </c>
      <c r="T10" s="182">
        <f>+IF(ISNUMBER(N10/R10-1),N10/R10-1,"…")</f>
        <v>-0.30047132429176204</v>
      </c>
    </row>
    <row r="11" spans="1:20">
      <c r="A11" s="176">
        <v>711</v>
      </c>
      <c r="B11" s="351" t="str">
        <f>+VLOOKUP($A11,Master!$D$22:$G$218,4,FALSE)</f>
        <v>Porezi</v>
      </c>
      <c r="C11" s="352"/>
      <c r="D11" s="352"/>
      <c r="E11" s="352"/>
      <c r="F11" s="352"/>
      <c r="G11" s="183">
        <f>+SUMPRODUCT(('2015'!$G11:$R11)*('2015'!$G$5:$R$5&lt;=Master!$B$3)*($A11='2015'!$A$10:$A$66))</f>
        <v>663481996.35000002</v>
      </c>
      <c r="H11" s="183">
        <f>+SUMPRODUCT(('2015'!$G106:$R106)*('2015'!$G$5:$R$5&lt;=Master!$B$3))</f>
        <v>693972364.03645456</v>
      </c>
      <c r="I11" s="184">
        <f t="shared" ref="I11:I67" si="0">+G11-H11</f>
        <v>-30490367.686454535</v>
      </c>
      <c r="J11" s="185">
        <f t="shared" ref="J11:J67" si="1">+IF(ISNUMBER(G11/H11-1),G11/H11-1,"…")</f>
        <v>-4.3935996974157399E-2</v>
      </c>
      <c r="K11" s="183">
        <f>+SUMPRODUCT(('2014'!$G11:$R11)*('2014'!$G$5:$R$5&lt;=Master!$B$3))</f>
        <v>706923539.98000002</v>
      </c>
      <c r="L11" s="184">
        <f t="shared" ref="L11:L67" si="2">+G11-K11</f>
        <v>-43441543.629999995</v>
      </c>
      <c r="M11" s="186">
        <f t="shared" ref="M11:M67" si="3">+IF(ISNUMBER(G11/K11-1),G11/K11-1,"…")</f>
        <v>-6.1451544860465446E-2</v>
      </c>
      <c r="N11" s="187">
        <f>+INDEX('2015'!$1:$1048576,MATCH('Analitika - 2015'!$A11,'2015'!$A:$A,0),MATCH('Analitika - 2015'!$N$6,'2015'!$6:$6,0))</f>
        <v>63111454.090000011</v>
      </c>
      <c r="O11" s="183">
        <f>+INDEX('2015'!$1:$1048576,MATCH(CONCATENATE('Analitika - 2015'!$A11,"p"),'2015'!$A:$A,0),MATCH('Analitika - 2015'!$O$6,'2015'!$101:$101,0))</f>
        <v>70587663.849750429</v>
      </c>
      <c r="P11" s="184">
        <f t="shared" ref="P11:P67" si="4">+N11-O11</f>
        <v>-7476209.7597504184</v>
      </c>
      <c r="Q11" s="185">
        <f t="shared" ref="Q11:Q67" si="5">+IF(ISNUMBER(N11/O11-1),N11/O11-1,"…")</f>
        <v>-0.10591382901782842</v>
      </c>
      <c r="R11" s="183">
        <f>+INDEX('2014'!$1:$1048576,MATCH('Analitika - 2015'!$A11,'2014'!$A:$A,0),MATCH('Analitika - 2015'!$R$6,'2014'!$6:$6,0))</f>
        <v>102761223.56</v>
      </c>
      <c r="S11" s="184">
        <f t="shared" ref="S11:S67" si="6">+N11-R11</f>
        <v>-39649769.469999991</v>
      </c>
      <c r="T11" s="188">
        <f t="shared" ref="T11:T67" si="7">+IF(ISNUMBER(N11/R11-1),N11/R11-1,"…")</f>
        <v>-0.38584368788533707</v>
      </c>
    </row>
    <row r="12" spans="1:20">
      <c r="A12" s="176">
        <v>7111</v>
      </c>
      <c r="B12" s="347" t="str">
        <f>+VLOOKUP($A12,Master!$D$22:$G$218,4,FALSE)</f>
        <v>Porez na dohodak fizičkih lica</v>
      </c>
      <c r="C12" s="348"/>
      <c r="D12" s="348"/>
      <c r="E12" s="348"/>
      <c r="F12" s="348"/>
      <c r="G12" s="189">
        <f>+SUMPRODUCT(('2015'!$G12:$R12)*('2015'!$G$5:$R$5&lt;=Master!$B$3)*($A12='2015'!$A$10:$A$66))</f>
        <v>77157722.030000001</v>
      </c>
      <c r="H12" s="189">
        <f>+SUMPRODUCT(('2015'!$G107:$R107)*('2015'!$G$5:$R$5&lt;=Master!$B$3))</f>
        <v>82630578.515090451</v>
      </c>
      <c r="I12" s="190">
        <f t="shared" si="0"/>
        <v>-5472856.4850904495</v>
      </c>
      <c r="J12" s="191">
        <f t="shared" si="1"/>
        <v>-6.6232823047353673E-2</v>
      </c>
      <c r="K12" s="189">
        <f>+SUMPRODUCT(('2014'!$G12:$R12)*('2014'!$G$5:$R$5&lt;=Master!$B$3))</f>
        <v>81103644.719999999</v>
      </c>
      <c r="L12" s="190">
        <f t="shared" si="2"/>
        <v>-3945922.6899999976</v>
      </c>
      <c r="M12" s="192">
        <f t="shared" si="3"/>
        <v>-4.8652840493454974E-2</v>
      </c>
      <c r="N12" s="193">
        <f>+INDEX('2015'!$1:$1048576,MATCH('Analitika - 2015'!$A12,'2015'!$A:$A,0),MATCH('Analitika - 2015'!$N$6,'2015'!$6:$6,0))</f>
        <v>12558044.720000006</v>
      </c>
      <c r="O12" s="189">
        <f>+INDEX('2015'!$1:$1048576,MATCH(CONCATENATE('Analitika - 2015'!$A12,"p"),'2015'!$A:$A,0),MATCH('Analitika - 2015'!$O$6,'2015'!$101:$101,0))</f>
        <v>8428028.1672596131</v>
      </c>
      <c r="P12" s="190">
        <f t="shared" si="4"/>
        <v>4130016.5527403932</v>
      </c>
      <c r="Q12" s="191">
        <f t="shared" si="5"/>
        <v>0.49003354886547257</v>
      </c>
      <c r="R12" s="189">
        <f>+INDEX('2014'!$1:$1048576,MATCH('Analitika - 2015'!$A12,'2014'!$A:$A,0),MATCH('Analitika - 2015'!$R$6,'2014'!$6:$6,0))</f>
        <v>10375239.68</v>
      </c>
      <c r="S12" s="190">
        <f t="shared" si="6"/>
        <v>2182805.0400000066</v>
      </c>
      <c r="T12" s="194">
        <f t="shared" si="7"/>
        <v>0.21038598695774957</v>
      </c>
    </row>
    <row r="13" spans="1:20">
      <c r="A13" s="176">
        <v>7112</v>
      </c>
      <c r="B13" s="347" t="str">
        <f>+VLOOKUP($A13,Master!$D$22:$G$218,4,FALSE)</f>
        <v>Porez na dobit pravnih lica</v>
      </c>
      <c r="C13" s="348"/>
      <c r="D13" s="348"/>
      <c r="E13" s="348"/>
      <c r="F13" s="348"/>
      <c r="G13" s="189">
        <f>+SUMPRODUCT(('2015'!$G13:$R13)*('2015'!$G$5:$R$5&lt;=Master!$B$3)*($A13='2015'!$A$10:$A$66))</f>
        <v>40231608.189999998</v>
      </c>
      <c r="H13" s="189">
        <f>+SUMPRODUCT(('2015'!$G108:$R108)*('2015'!$G$5:$R$5&lt;=Master!$B$3))</f>
        <v>44265656.773125984</v>
      </c>
      <c r="I13" s="190">
        <f t="shared" si="0"/>
        <v>-4034048.5831259862</v>
      </c>
      <c r="J13" s="191">
        <f t="shared" si="1"/>
        <v>-9.1132694671212655E-2</v>
      </c>
      <c r="K13" s="189">
        <f>+SUMPRODUCT(('2014'!$G13:$R13)*('2014'!$G$5:$R$5&lt;=Master!$B$3))</f>
        <v>43039633.560000002</v>
      </c>
      <c r="L13" s="190">
        <f t="shared" si="2"/>
        <v>-2808025.3700000048</v>
      </c>
      <c r="M13" s="192">
        <f t="shared" si="3"/>
        <v>-6.5242780612558837E-2</v>
      </c>
      <c r="N13" s="193">
        <f>+INDEX('2015'!$1:$1048576,MATCH('Analitika - 2015'!$A13,'2015'!$A:$A,0),MATCH('Analitika - 2015'!$N$6,'2015'!$6:$6,0))</f>
        <v>629921.88999999966</v>
      </c>
      <c r="O13" s="189">
        <f>+INDEX('2015'!$1:$1048576,MATCH(CONCATENATE('Analitika - 2015'!$A13,"p"),'2015'!$A:$A,0),MATCH('Analitika - 2015'!$O$6,'2015'!$101:$101,0))</f>
        <v>1665538.328390266</v>
      </c>
      <c r="P13" s="190">
        <f t="shared" si="4"/>
        <v>-1035616.4383902664</v>
      </c>
      <c r="Q13" s="191">
        <f t="shared" si="5"/>
        <v>-0.62179081726157825</v>
      </c>
      <c r="R13" s="189">
        <f>+INDEX('2014'!$1:$1048576,MATCH('Analitika - 2015'!$A13,'2014'!$A:$A,0),MATCH('Analitika - 2015'!$R$6,'2014'!$6:$6,0))</f>
        <v>1764157.95</v>
      </c>
      <c r="S13" s="190">
        <f t="shared" si="6"/>
        <v>-1134236.0600000003</v>
      </c>
      <c r="T13" s="194">
        <f t="shared" si="7"/>
        <v>-0.64293339493779467</v>
      </c>
    </row>
    <row r="14" spans="1:20">
      <c r="A14" s="176">
        <v>7113</v>
      </c>
      <c r="B14" s="347" t="str">
        <f>+VLOOKUP($A14,Master!$D$22:$G$218,4,FALSE)</f>
        <v>Porez na promet nepokretnosti</v>
      </c>
      <c r="C14" s="348"/>
      <c r="D14" s="348"/>
      <c r="E14" s="348"/>
      <c r="F14" s="348"/>
      <c r="G14" s="189">
        <f>+SUMPRODUCT(('2015'!$G14:$R14)*('2015'!$G$5:$R$5&lt;=Master!$B$3)*($A14='2015'!$A$10:$A$66))</f>
        <v>1107202.28</v>
      </c>
      <c r="H14" s="189">
        <f>+SUMPRODUCT(('2015'!$G109:$R109)*('2015'!$G$5:$R$5&lt;=Master!$B$3))</f>
        <v>1274774.0838942507</v>
      </c>
      <c r="I14" s="190">
        <f t="shared" si="0"/>
        <v>-167571.80389425065</v>
      </c>
      <c r="J14" s="191">
        <f t="shared" si="1"/>
        <v>-0.13145215768926133</v>
      </c>
      <c r="K14" s="189">
        <f>+SUMPRODUCT(('2014'!$G14:$R14)*('2014'!$G$5:$R$5&lt;=Master!$B$3))</f>
        <v>1210827.5599999998</v>
      </c>
      <c r="L14" s="190">
        <f t="shared" si="2"/>
        <v>-103625.2799999998</v>
      </c>
      <c r="M14" s="192">
        <f t="shared" si="3"/>
        <v>-8.5582194709872494E-2</v>
      </c>
      <c r="N14" s="193">
        <f>+INDEX('2015'!$1:$1048576,MATCH('Analitika - 2015'!$A14,'2015'!$A:$A,0),MATCH('Analitika - 2015'!$N$6,'2015'!$6:$6,0))</f>
        <v>120068.57</v>
      </c>
      <c r="O14" s="189">
        <f>+INDEX('2015'!$1:$1048576,MATCH(CONCATENATE('Analitika - 2015'!$A14,"p"),'2015'!$A:$A,0),MATCH('Analitika - 2015'!$O$6,'2015'!$101:$101,0))</f>
        <v>144611.55666919687</v>
      </c>
      <c r="P14" s="190">
        <f t="shared" si="4"/>
        <v>-24542.986669196864</v>
      </c>
      <c r="Q14" s="191">
        <f t="shared" si="5"/>
        <v>-0.16971663423373318</v>
      </c>
      <c r="R14" s="189">
        <f>+INDEX('2014'!$1:$1048576,MATCH('Analitika - 2015'!$A14,'2014'!$A:$A,0),MATCH('Analitika - 2015'!$R$6,'2014'!$6:$6,0))</f>
        <v>120976.32000000001</v>
      </c>
      <c r="S14" s="190">
        <f t="shared" si="6"/>
        <v>-907.75</v>
      </c>
      <c r="T14" s="194">
        <f t="shared" si="7"/>
        <v>-7.5035345760228189E-3</v>
      </c>
    </row>
    <row r="15" spans="1:20">
      <c r="A15" s="176">
        <v>7114</v>
      </c>
      <c r="B15" s="347" t="str">
        <f>+VLOOKUP($A15,Master!$D$22:$G$218,4,FALSE)</f>
        <v>Porez na dodatu vrijednost</v>
      </c>
      <c r="C15" s="348"/>
      <c r="D15" s="348"/>
      <c r="E15" s="348"/>
      <c r="F15" s="348"/>
      <c r="G15" s="189">
        <f>+SUMPRODUCT(('2015'!$G15:$R15)*('2015'!$G$5:$R$5&lt;=Master!$B$3)*($A15='2015'!$A$10:$A$66))</f>
        <v>381988447.44999999</v>
      </c>
      <c r="H15" s="189">
        <f>+SUMPRODUCT(('2015'!$G110:$R110)*('2015'!$G$5:$R$5&lt;=Master!$B$3))</f>
        <v>401704830.66978759</v>
      </c>
      <c r="I15" s="190">
        <f t="shared" si="0"/>
        <v>-19716383.219787598</v>
      </c>
      <c r="J15" s="191">
        <f t="shared" si="1"/>
        <v>-4.9081767791821718E-2</v>
      </c>
      <c r="K15" s="189">
        <f>+SUMPRODUCT(('2014'!$G15:$R15)*('2014'!$G$5:$R$5&lt;=Master!$B$3))</f>
        <v>426516615.25999999</v>
      </c>
      <c r="L15" s="190">
        <f t="shared" si="2"/>
        <v>-44528167.810000002</v>
      </c>
      <c r="M15" s="192">
        <f t="shared" si="3"/>
        <v>-0.10439960887070276</v>
      </c>
      <c r="N15" s="193">
        <f>+INDEX('2015'!$1:$1048576,MATCH('Analitika - 2015'!$A15,'2015'!$A:$A,0),MATCH('Analitika - 2015'!$N$6,'2015'!$6:$6,0))</f>
        <v>32697450.309999999</v>
      </c>
      <c r="O15" s="189">
        <f>+INDEX('2015'!$1:$1048576,MATCH(CONCATENATE('Analitika - 2015'!$A15,"p"),'2015'!$A:$A,0),MATCH('Analitika - 2015'!$O$6,'2015'!$101:$101,0))</f>
        <v>43467846.583736315</v>
      </c>
      <c r="P15" s="190">
        <f t="shared" si="4"/>
        <v>-10770396.273736317</v>
      </c>
      <c r="Q15" s="191">
        <f t="shared" si="5"/>
        <v>-0.2477784643181774</v>
      </c>
      <c r="R15" s="189">
        <f>+INDEX('2014'!$1:$1048576,MATCH('Analitika - 2015'!$A15,'2014'!$A:$A,0),MATCH('Analitika - 2015'!$R$6,'2014'!$6:$6,0))</f>
        <v>74541408.469999999</v>
      </c>
      <c r="S15" s="190">
        <f t="shared" si="6"/>
        <v>-41843958.159999996</v>
      </c>
      <c r="T15" s="194">
        <f t="shared" si="7"/>
        <v>-0.56135185823381051</v>
      </c>
    </row>
    <row r="16" spans="1:20">
      <c r="A16" s="176">
        <v>7115</v>
      </c>
      <c r="B16" s="347" t="str">
        <f>+VLOOKUP($A16,Master!$D$22:$G$218,4,FALSE)</f>
        <v>Akcize</v>
      </c>
      <c r="C16" s="348"/>
      <c r="D16" s="348"/>
      <c r="E16" s="348"/>
      <c r="F16" s="348"/>
      <c r="G16" s="189">
        <f>+SUMPRODUCT(('2015'!$G16:$R16)*('2015'!$G$5:$R$5&lt;=Master!$B$3)*($A16='2015'!$A$10:$A$66))</f>
        <v>138188992.61000001</v>
      </c>
      <c r="H16" s="189">
        <f>+SUMPRODUCT(('2015'!$G111:$R111)*('2015'!$G$5:$R$5&lt;=Master!$B$3))</f>
        <v>139927788.52579251</v>
      </c>
      <c r="I16" s="190">
        <f t="shared" si="0"/>
        <v>-1738795.915792495</v>
      </c>
      <c r="J16" s="191">
        <f t="shared" si="1"/>
        <v>-1.2426380307382523E-2</v>
      </c>
      <c r="K16" s="189">
        <f>+SUMPRODUCT(('2014'!$G16:$R16)*('2014'!$G$5:$R$5&lt;=Master!$B$3))</f>
        <v>131193309.81</v>
      </c>
      <c r="L16" s="190">
        <f t="shared" si="2"/>
        <v>6995682.8000000119</v>
      </c>
      <c r="M16" s="192">
        <f t="shared" si="3"/>
        <v>5.3323472135366368E-2</v>
      </c>
      <c r="N16" s="193">
        <f>+INDEX('2015'!$1:$1048576,MATCH('Analitika - 2015'!$A16,'2015'!$A:$A,0),MATCH('Analitika - 2015'!$N$6,'2015'!$6:$6,0))</f>
        <v>14295919.869999997</v>
      </c>
      <c r="O16" s="189">
        <f>+INDEX('2015'!$1:$1048576,MATCH(CONCATENATE('Analitika - 2015'!$A16,"p"),'2015'!$A:$A,0),MATCH('Analitika - 2015'!$O$6,'2015'!$101:$101,0))</f>
        <v>14340556.433877697</v>
      </c>
      <c r="P16" s="190">
        <f t="shared" si="4"/>
        <v>-44636.563877699897</v>
      </c>
      <c r="Q16" s="191">
        <f t="shared" si="5"/>
        <v>-3.112610314914388E-3</v>
      </c>
      <c r="R16" s="189">
        <f>+INDEX('2014'!$1:$1048576,MATCH('Analitika - 2015'!$A16,'2014'!$A:$A,0),MATCH('Analitika - 2015'!$R$6,'2014'!$6:$6,0))</f>
        <v>13399782.050000001</v>
      </c>
      <c r="S16" s="190">
        <f t="shared" si="6"/>
        <v>896137.81999999657</v>
      </c>
      <c r="T16" s="194">
        <f t="shared" si="7"/>
        <v>6.687704446655518E-2</v>
      </c>
    </row>
    <row r="17" spans="1:20">
      <c r="A17" s="176">
        <v>7116</v>
      </c>
      <c r="B17" s="347" t="str">
        <f>+VLOOKUP($A17,Master!$D$22:$G$218,4,FALSE)</f>
        <v>Porez na međunarodnu trgovinu i transakcije</v>
      </c>
      <c r="C17" s="348"/>
      <c r="D17" s="348"/>
      <c r="E17" s="348"/>
      <c r="F17" s="348"/>
      <c r="G17" s="189">
        <f>+SUMPRODUCT(('2015'!$G17:$R17)*('2015'!$G$5:$R$5&lt;=Master!$B$3)*($A17='2015'!$A$10:$A$66))</f>
        <v>19256620.710000001</v>
      </c>
      <c r="H17" s="189">
        <f>+SUMPRODUCT(('2015'!$G112:$R112)*('2015'!$G$5:$R$5&lt;=Master!$B$3))</f>
        <v>19388457.566046167</v>
      </c>
      <c r="I17" s="190">
        <f t="shared" si="0"/>
        <v>-131836.85604616627</v>
      </c>
      <c r="J17" s="191">
        <f t="shared" si="1"/>
        <v>-6.7997598879162569E-3</v>
      </c>
      <c r="K17" s="189">
        <f>+SUMPRODUCT(('2014'!$G17:$R17)*('2014'!$G$5:$R$5&lt;=Master!$B$3))</f>
        <v>18876967.990000002</v>
      </c>
      <c r="L17" s="190">
        <f t="shared" si="2"/>
        <v>379652.71999999881</v>
      </c>
      <c r="M17" s="192">
        <f t="shared" si="3"/>
        <v>2.0111954430452883E-2</v>
      </c>
      <c r="N17" s="193">
        <f>+INDEX('2015'!$1:$1048576,MATCH('Analitika - 2015'!$A17,'2015'!$A:$A,0),MATCH('Analitika - 2015'!$N$6,'2015'!$6:$6,0))</f>
        <v>2264852.35</v>
      </c>
      <c r="O17" s="189">
        <f>+INDEX('2015'!$1:$1048576,MATCH(CONCATENATE('Analitika - 2015'!$A17,"p"),'2015'!$A:$A,0),MATCH('Analitika - 2015'!$O$6,'2015'!$101:$101,0))</f>
        <v>2036251.8621765992</v>
      </c>
      <c r="P17" s="190">
        <f t="shared" si="4"/>
        <v>228600.48782340088</v>
      </c>
      <c r="Q17" s="191">
        <f t="shared" si="5"/>
        <v>0.11226533027159236</v>
      </c>
      <c r="R17" s="189">
        <f>+INDEX('2014'!$1:$1048576,MATCH('Analitika - 2015'!$A17,'2014'!$A:$A,0),MATCH('Analitika - 2015'!$R$6,'2014'!$6:$6,0))</f>
        <v>1997978.87</v>
      </c>
      <c r="S17" s="190">
        <f t="shared" si="6"/>
        <v>266873.48</v>
      </c>
      <c r="T17" s="194">
        <f t="shared" si="7"/>
        <v>0.13357172290816077</v>
      </c>
    </row>
    <row r="18" spans="1:20">
      <c r="A18" s="176">
        <v>7117</v>
      </c>
      <c r="B18" s="347" t="str">
        <f>+VLOOKUP($A18,Master!$D$22:$G$218,4,FALSE)</f>
        <v>Lokalni porezi</v>
      </c>
      <c r="C18" s="348"/>
      <c r="D18" s="348"/>
      <c r="E18" s="348"/>
      <c r="F18" s="348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7" t="str">
        <f>+VLOOKUP($A19,Master!$D$22:$G$218,4,FALSE)</f>
        <v>Ostali republički porezi</v>
      </c>
      <c r="C19" s="348"/>
      <c r="D19" s="348"/>
      <c r="E19" s="348"/>
      <c r="F19" s="348"/>
      <c r="G19" s="189">
        <f>+SUMPRODUCT(('2015'!$G19:$R19)*('2015'!$G$5:$R$5&lt;=Master!$B$3)*($A19='2015'!$A$10:$A$66))</f>
        <v>5551403.0799999991</v>
      </c>
      <c r="H19" s="189">
        <f>+SUMPRODUCT(('2015'!$G114:$R114)*('2015'!$G$5:$R$5&lt;=Master!$B$3))</f>
        <v>4780277.9027175847</v>
      </c>
      <c r="I19" s="190">
        <f t="shared" si="0"/>
        <v>771125.1772824144</v>
      </c>
      <c r="J19" s="191">
        <f t="shared" si="1"/>
        <v>0.16131388027546056</v>
      </c>
      <c r="K19" s="189">
        <f>+SUMPRODUCT(('2014'!$G19:$R19)*('2014'!$G$5:$R$5&lt;=Master!$B$3))</f>
        <v>4982541.08</v>
      </c>
      <c r="L19" s="190">
        <f t="shared" si="2"/>
        <v>568861.99999999907</v>
      </c>
      <c r="M19" s="192">
        <f t="shared" si="3"/>
        <v>0.11417106068295557</v>
      </c>
      <c r="N19" s="193">
        <f>+INDEX('2015'!$1:$1048576,MATCH('Analitika - 2015'!$A19,'2015'!$A:$A,0),MATCH('Analitika - 2015'!$N$6,'2015'!$6:$6,0))</f>
        <v>545196.38</v>
      </c>
      <c r="O19" s="189">
        <f>+INDEX('2015'!$1:$1048576,MATCH(CONCATENATE('Analitika - 2015'!$A19,"p"),'2015'!$A:$A,0),MATCH('Analitika - 2015'!$O$6,'2015'!$101:$101,0))</f>
        <v>504830.91764073976</v>
      </c>
      <c r="P19" s="190">
        <f t="shared" si="4"/>
        <v>40365.462359260244</v>
      </c>
      <c r="Q19" s="191">
        <f t="shared" si="5"/>
        <v>7.9958380021379893E-2</v>
      </c>
      <c r="R19" s="189">
        <f>+INDEX('2014'!$1:$1048576,MATCH('Analitika - 2015'!$A19,'2014'!$A:$A,0),MATCH('Analitika - 2015'!$R$6,'2014'!$6:$6,0))</f>
        <v>561680.22</v>
      </c>
      <c r="S19" s="190">
        <f t="shared" si="6"/>
        <v>-16483.839999999967</v>
      </c>
      <c r="T19" s="194">
        <f t="shared" si="7"/>
        <v>-2.9347374917350622E-2</v>
      </c>
    </row>
    <row r="20" spans="1:20">
      <c r="A20" s="176">
        <v>712</v>
      </c>
      <c r="B20" s="353" t="str">
        <f>+VLOOKUP($A20,Master!$D$22:$G$218,4,FALSE)</f>
        <v>Doprinosi</v>
      </c>
      <c r="C20" s="354"/>
      <c r="D20" s="354"/>
      <c r="E20" s="354"/>
      <c r="F20" s="354"/>
      <c r="G20" s="195">
        <f>+SUMPRODUCT(('2015'!$G20:$R20)*('2015'!$G$5:$R$5&lt;=Master!$B$3)*($A20='2015'!$A$10:$A$66))</f>
        <v>345699625.61000007</v>
      </c>
      <c r="H20" s="195">
        <f>+SUMPRODUCT(('2015'!$G115:$R115)*('2015'!$G$5:$R$5&lt;=Master!$B$3))</f>
        <v>316163469.17947614</v>
      </c>
      <c r="I20" s="196">
        <f t="shared" si="0"/>
        <v>29536156.430523932</v>
      </c>
      <c r="J20" s="197">
        <f t="shared" si="1"/>
        <v>9.3420522324029642E-2</v>
      </c>
      <c r="K20" s="195">
        <f>+SUMPRODUCT(('2014'!$G20:$R20)*('2014'!$G$5:$R$5&lt;=Master!$B$3))</f>
        <v>333533022.11999995</v>
      </c>
      <c r="L20" s="196">
        <f t="shared" si="2"/>
        <v>12166603.490000129</v>
      </c>
      <c r="M20" s="198">
        <f t="shared" si="3"/>
        <v>3.6477957752629298E-2</v>
      </c>
      <c r="N20" s="199">
        <f>+INDEX('2015'!$1:$1048576,MATCH('Analitika - 2015'!$A20,'2015'!$A:$A,0),MATCH('Analitika - 2015'!$N$6,'2015'!$6:$6,0))</f>
        <v>40193107.020000026</v>
      </c>
      <c r="O20" s="195">
        <f>+INDEX('2015'!$1:$1048576,MATCH(CONCATENATE('Analitika - 2015'!$A20,"p"),'2015'!$A:$A,0),MATCH('Analitika - 2015'!$O$6,'2015'!$101:$101,0))</f>
        <v>38517756.206527121</v>
      </c>
      <c r="P20" s="196">
        <f t="shared" si="4"/>
        <v>1675350.8134729043</v>
      </c>
      <c r="Q20" s="197">
        <f t="shared" si="5"/>
        <v>4.3495545391841972E-2</v>
      </c>
      <c r="R20" s="195">
        <f>+INDEX('2014'!$1:$1048576,MATCH('Analitika - 2015'!$A20,'2014'!$A:$A,0),MATCH('Analitika - 2015'!$R$6,'2014'!$6:$6,0))</f>
        <v>48759873.820000008</v>
      </c>
      <c r="S20" s="196">
        <f t="shared" si="6"/>
        <v>-8566766.7999999821</v>
      </c>
      <c r="T20" s="200">
        <f t="shared" si="7"/>
        <v>-0.17569296490849662</v>
      </c>
    </row>
    <row r="21" spans="1:20">
      <c r="A21" s="176">
        <v>7121</v>
      </c>
      <c r="B21" s="347" t="str">
        <f>+VLOOKUP($A21,Master!$D$22:$G$218,4,FALSE)</f>
        <v>Doprinosi za penzijsko i invalidsko osiguranje</v>
      </c>
      <c r="C21" s="348"/>
      <c r="D21" s="348"/>
      <c r="E21" s="348"/>
      <c r="F21" s="348"/>
      <c r="G21" s="189">
        <f>+SUMPRODUCT(('2015'!$G21:$R21)*('2015'!$G$5:$R$5&lt;=Master!$B$3)*($A21='2015'!$A$10:$A$66))</f>
        <v>207980063.69000006</v>
      </c>
      <c r="H21" s="189">
        <f>+SUMPRODUCT(('2015'!$G116:$R116)*('2015'!$G$5:$R$5&lt;=Master!$B$3))</f>
        <v>187129625.42227769</v>
      </c>
      <c r="I21" s="190">
        <f t="shared" si="0"/>
        <v>20850438.267722368</v>
      </c>
      <c r="J21" s="191">
        <f t="shared" si="1"/>
        <v>0.11142243362413162</v>
      </c>
      <c r="K21" s="189">
        <f>+SUMPRODUCT(('2014'!$G21:$R21)*('2014'!$G$5:$R$5&lt;=Master!$B$3))</f>
        <v>203019711.81000003</v>
      </c>
      <c r="L21" s="190">
        <f t="shared" si="2"/>
        <v>4960351.880000025</v>
      </c>
      <c r="M21" s="192">
        <f t="shared" si="3"/>
        <v>2.4432858444022765E-2</v>
      </c>
      <c r="N21" s="193">
        <f>+INDEX('2015'!$1:$1048576,MATCH('Analitika - 2015'!$A21,'2015'!$A:$A,0),MATCH('Analitika - 2015'!$N$6,'2015'!$6:$6,0))</f>
        <v>23824814.610000018</v>
      </c>
      <c r="O21" s="189">
        <f>+INDEX('2015'!$1:$1048576,MATCH(CONCATENATE('Analitika - 2015'!$A21,"p"),'2015'!$A:$A,0),MATCH('Analitika - 2015'!$O$6,'2015'!$101:$101,0))</f>
        <v>22333485.779485509</v>
      </c>
      <c r="P21" s="190">
        <f t="shared" si="4"/>
        <v>1491328.8305145092</v>
      </c>
      <c r="Q21" s="191">
        <f t="shared" si="5"/>
        <v>6.677546197845996E-2</v>
      </c>
      <c r="R21" s="189">
        <f>+INDEX('2014'!$1:$1048576,MATCH('Analitika - 2015'!$A21,'2014'!$A:$A,0),MATCH('Analitika - 2015'!$R$6,'2014'!$6:$6,0))</f>
        <v>29370699.489999998</v>
      </c>
      <c r="S21" s="190">
        <f t="shared" si="6"/>
        <v>-5545884.8799999803</v>
      </c>
      <c r="T21" s="194">
        <f t="shared" si="7"/>
        <v>-0.18882372487887866</v>
      </c>
    </row>
    <row r="22" spans="1:20">
      <c r="A22" s="176">
        <v>7122</v>
      </c>
      <c r="B22" s="347" t="str">
        <f>+VLOOKUP($A22,Master!$D$22:$G$218,4,FALSE)</f>
        <v>Doprinosi za zdravstveno osiguranje</v>
      </c>
      <c r="C22" s="348"/>
      <c r="D22" s="348"/>
      <c r="E22" s="348"/>
      <c r="F22" s="348"/>
      <c r="G22" s="189">
        <f>+SUMPRODUCT(('2015'!$G22:$R22)*('2015'!$G$5:$R$5&lt;=Master!$B$3)*($A22='2015'!$A$10:$A$66))</f>
        <v>119203374.90999995</v>
      </c>
      <c r="H22" s="189">
        <f>+SUMPRODUCT(('2015'!$G117:$R117)*('2015'!$G$5:$R$5&lt;=Master!$B$3))</f>
        <v>109772082.81220186</v>
      </c>
      <c r="I22" s="190">
        <f t="shared" si="0"/>
        <v>9431292.0977980942</v>
      </c>
      <c r="J22" s="191">
        <f t="shared" si="1"/>
        <v>8.5917036974994421E-2</v>
      </c>
      <c r="K22" s="189">
        <f>+SUMPRODUCT(('2014'!$G22:$R22)*('2014'!$G$5:$R$5&lt;=Master!$B$3))</f>
        <v>113291973.81999999</v>
      </c>
      <c r="L22" s="190">
        <f t="shared" si="2"/>
        <v>5911401.0899999589</v>
      </c>
      <c r="M22" s="192">
        <f t="shared" si="3"/>
        <v>5.2178463228049088E-2</v>
      </c>
      <c r="N22" s="193">
        <f>+INDEX('2015'!$1:$1048576,MATCH('Analitika - 2015'!$A22,'2015'!$A:$A,0),MATCH('Analitika - 2015'!$N$6,'2015'!$6:$6,0))</f>
        <v>14186939.740000004</v>
      </c>
      <c r="O22" s="189">
        <f>+INDEX('2015'!$1:$1048576,MATCH(CONCATENATE('Analitika - 2015'!$A22,"p"),'2015'!$A:$A,0),MATCH('Analitika - 2015'!$O$6,'2015'!$101:$101,0))</f>
        <v>13649666.976806173</v>
      </c>
      <c r="P22" s="190">
        <f t="shared" si="4"/>
        <v>537272.76319383085</v>
      </c>
      <c r="Q22" s="191">
        <f t="shared" si="5"/>
        <v>3.9361602309182953E-2</v>
      </c>
      <c r="R22" s="189">
        <f>+INDEX('2014'!$1:$1048576,MATCH('Analitika - 2015'!$A22,'2014'!$A:$A,0),MATCH('Analitika - 2015'!$R$6,'2014'!$6:$6,0))</f>
        <v>16738445.109999999</v>
      </c>
      <c r="S22" s="190">
        <f t="shared" si="6"/>
        <v>-2551505.3699999955</v>
      </c>
      <c r="T22" s="194">
        <f t="shared" si="7"/>
        <v>-0.15243383439932878</v>
      </c>
    </row>
    <row r="23" spans="1:20">
      <c r="A23" s="176">
        <v>7123</v>
      </c>
      <c r="B23" s="347" t="str">
        <f>+VLOOKUP($A23,Master!$D$22:$G$218,4,FALSE)</f>
        <v>Doprinosi za osiguranje od nezaposlenosti</v>
      </c>
      <c r="C23" s="348"/>
      <c r="D23" s="348"/>
      <c r="E23" s="348"/>
      <c r="F23" s="348"/>
      <c r="G23" s="189">
        <f>+SUMPRODUCT(('2015'!$G23:$R23)*('2015'!$G$5:$R$5&lt;=Master!$B$3)*($A23='2015'!$A$10:$A$66))</f>
        <v>9582695.8599999994</v>
      </c>
      <c r="H23" s="189">
        <f>+SUMPRODUCT(('2015'!$G118:$R118)*('2015'!$G$5:$R$5&lt;=Master!$B$3))</f>
        <v>9561273.6259696931</v>
      </c>
      <c r="I23" s="190">
        <f t="shared" si="0"/>
        <v>21422.234030306339</v>
      </c>
      <c r="J23" s="191">
        <f t="shared" si="1"/>
        <v>2.2405209670102177E-3</v>
      </c>
      <c r="K23" s="189">
        <f>+SUMPRODUCT(('2014'!$G23:$R23)*('2014'!$G$5:$R$5&lt;=Master!$B$3))</f>
        <v>9120069.3899999987</v>
      </c>
      <c r="L23" s="190">
        <f t="shared" si="2"/>
        <v>462626.47000000067</v>
      </c>
      <c r="M23" s="192">
        <f t="shared" si="3"/>
        <v>5.0726200669839461E-2</v>
      </c>
      <c r="N23" s="193">
        <f>+INDEX('2015'!$1:$1048576,MATCH('Analitika - 2015'!$A23,'2015'!$A:$A,0),MATCH('Analitika - 2015'!$N$6,'2015'!$6:$6,0))</f>
        <v>1099016.6800000006</v>
      </c>
      <c r="O23" s="189">
        <f>+INDEX('2015'!$1:$1048576,MATCH(CONCATENATE('Analitika - 2015'!$A23,"p"),'2015'!$A:$A,0),MATCH('Analitika - 2015'!$O$6,'2015'!$101:$101,0))</f>
        <v>1200015.1472054955</v>
      </c>
      <c r="P23" s="190">
        <f t="shared" si="4"/>
        <v>-100998.46720549488</v>
      </c>
      <c r="Q23" s="191">
        <f t="shared" si="5"/>
        <v>-8.4164326959282554E-2</v>
      </c>
      <c r="R23" s="189">
        <f>+INDEX('2014'!$1:$1048576,MATCH('Analitika - 2015'!$A23,'2014'!$A:$A,0),MATCH('Analitika - 2015'!$R$6,'2014'!$6:$6,0))</f>
        <v>1351827.03</v>
      </c>
      <c r="S23" s="190">
        <f t="shared" si="6"/>
        <v>-252810.34999999939</v>
      </c>
      <c r="T23" s="194">
        <f t="shared" si="7"/>
        <v>-0.18701382972050751</v>
      </c>
    </row>
    <row r="24" spans="1:20">
      <c r="A24" s="176">
        <v>7124</v>
      </c>
      <c r="B24" s="347" t="str">
        <f>+VLOOKUP($A24,Master!$D$22:$G$218,4,FALSE)</f>
        <v>Ostali doprinosi</v>
      </c>
      <c r="C24" s="348"/>
      <c r="D24" s="348"/>
      <c r="E24" s="348"/>
      <c r="F24" s="348"/>
      <c r="G24" s="189">
        <f>+SUMPRODUCT(('2015'!$G24:$R24)*('2015'!$G$5:$R$5&lt;=Master!$B$3)*($A24='2015'!$A$10:$A$66))</f>
        <v>8933491.1500000004</v>
      </c>
      <c r="H24" s="189">
        <f>+SUMPRODUCT(('2015'!$G119:$R119)*('2015'!$G$5:$R$5&lt;=Master!$B$3))</f>
        <v>9700487.319026906</v>
      </c>
      <c r="I24" s="190">
        <f t="shared" si="0"/>
        <v>-766996.16902690567</v>
      </c>
      <c r="J24" s="191">
        <f t="shared" si="1"/>
        <v>-7.9067797709759358E-2</v>
      </c>
      <c r="K24" s="189">
        <f>+SUMPRODUCT(('2014'!$G24:$R24)*('2014'!$G$5:$R$5&lt;=Master!$B$3))</f>
        <v>8101267.0999999996</v>
      </c>
      <c r="L24" s="190">
        <f t="shared" si="2"/>
        <v>832224.05000000075</v>
      </c>
      <c r="M24" s="192">
        <f t="shared" si="3"/>
        <v>0.1027276399762207</v>
      </c>
      <c r="N24" s="193">
        <f>+INDEX('2015'!$1:$1048576,MATCH('Analitika - 2015'!$A24,'2015'!$A:$A,0),MATCH('Analitika - 2015'!$N$6,'2015'!$6:$6,0))</f>
        <v>1082335.99</v>
      </c>
      <c r="O24" s="189">
        <f>+INDEX('2015'!$1:$1048576,MATCH(CONCATENATE('Analitika - 2015'!$A24,"p"),'2015'!$A:$A,0),MATCH('Analitika - 2015'!$O$6,'2015'!$101:$101,0))</f>
        <v>1334588.3030299437</v>
      </c>
      <c r="P24" s="190">
        <f t="shared" si="4"/>
        <v>-252252.31302994373</v>
      </c>
      <c r="Q24" s="191">
        <f t="shared" si="5"/>
        <v>-0.18901133215183297</v>
      </c>
      <c r="R24" s="189">
        <f>+INDEX('2014'!$1:$1048576,MATCH('Analitika - 2015'!$A24,'2014'!$A:$A,0),MATCH('Analitika - 2015'!$R$6,'2014'!$6:$6,0))</f>
        <v>1298902.19</v>
      </c>
      <c r="S24" s="190">
        <f t="shared" si="6"/>
        <v>-216566.19999999995</v>
      </c>
      <c r="T24" s="194">
        <f t="shared" si="7"/>
        <v>-0.16673018312487409</v>
      </c>
    </row>
    <row r="25" spans="1:20">
      <c r="A25" s="176">
        <v>713</v>
      </c>
      <c r="B25" s="355" t="str">
        <f>+VLOOKUP($A25,Master!$D$22:$G$218,4,FALSE)</f>
        <v>Takse</v>
      </c>
      <c r="C25" s="356"/>
      <c r="D25" s="356"/>
      <c r="E25" s="356"/>
      <c r="F25" s="356"/>
      <c r="G25" s="201">
        <f>+SUMPRODUCT(('2015'!$G25:$R25)*('2015'!$G$5:$R$5&lt;=Master!$B$3)*($A25='2015'!$A$10:$A$66))</f>
        <v>10924509.16</v>
      </c>
      <c r="H25" s="201">
        <f>+SUMPRODUCT(('2015'!$G120:$R120)*('2015'!$G$5:$R$5&lt;=Master!$B$3))</f>
        <v>14082032.518245194</v>
      </c>
      <c r="I25" s="202">
        <f t="shared" si="0"/>
        <v>-3157523.358245194</v>
      </c>
      <c r="J25" s="203">
        <f t="shared" si="1"/>
        <v>-0.22422355254145254</v>
      </c>
      <c r="K25" s="201">
        <f>+SUMPRODUCT(('2014'!$G25:$R25)*('2014'!$G$5:$R$5&lt;=Master!$B$3))</f>
        <v>12926660.85</v>
      </c>
      <c r="L25" s="202">
        <f t="shared" si="2"/>
        <v>-2002151.6899999995</v>
      </c>
      <c r="M25" s="204">
        <f t="shared" si="3"/>
        <v>-0.15488545056088476</v>
      </c>
      <c r="N25" s="205">
        <f>+INDEX('2015'!$1:$1048576,MATCH('Analitika - 2015'!$A25,'2015'!$A:$A,0),MATCH('Analitika - 2015'!$N$6,'2015'!$6:$6,0))</f>
        <v>1096309.4100000001</v>
      </c>
      <c r="O25" s="201">
        <f>+INDEX('2015'!$1:$1048576,MATCH(CONCATENATE('Analitika - 2015'!$A25,"p"),'2015'!$A:$A,0),MATCH('Analitika - 2015'!$O$6,'2015'!$101:$101,0))</f>
        <v>1318880.8810031279</v>
      </c>
      <c r="P25" s="202">
        <f t="shared" si="4"/>
        <v>-222571.47100312775</v>
      </c>
      <c r="Q25" s="203">
        <f t="shared" si="5"/>
        <v>-0.16875782658540173</v>
      </c>
      <c r="R25" s="201">
        <f>+INDEX('2014'!$1:$1048576,MATCH('Analitika - 2015'!$A25,'2014'!$A:$A,0),MATCH('Analitika - 2015'!$R$6,'2014'!$6:$6,0))</f>
        <v>1180240.26</v>
      </c>
      <c r="S25" s="202">
        <f t="shared" si="6"/>
        <v>-83930.84999999986</v>
      </c>
      <c r="T25" s="206">
        <f t="shared" si="7"/>
        <v>-7.1113359579853541E-2</v>
      </c>
    </row>
    <row r="26" spans="1:20">
      <c r="A26" s="176">
        <v>714</v>
      </c>
      <c r="B26" s="355" t="str">
        <f>+VLOOKUP($A26,Master!$D$22:$G$218,4,FALSE)</f>
        <v>Naknade</v>
      </c>
      <c r="C26" s="356"/>
      <c r="D26" s="356"/>
      <c r="E26" s="356"/>
      <c r="F26" s="356"/>
      <c r="G26" s="201">
        <f>+SUMPRODUCT(('2015'!$G26:$R26)*('2015'!$G$5:$R$5&lt;=Master!$B$3)*($A26='2015'!$A$10:$A$66))</f>
        <v>24127246.970000003</v>
      </c>
      <c r="H26" s="201">
        <f>+SUMPRODUCT(('2015'!$G121:$R121)*('2015'!$G$5:$R$5&lt;=Master!$B$3))</f>
        <v>11012811.836666219</v>
      </c>
      <c r="I26" s="202">
        <f t="shared" si="0"/>
        <v>13114435.133333784</v>
      </c>
      <c r="J26" s="203">
        <f t="shared" si="1"/>
        <v>1.1908343961412644</v>
      </c>
      <c r="K26" s="201">
        <f>+SUMPRODUCT(('2014'!$G26:$R26)*('2014'!$G$5:$R$5&lt;=Master!$B$3))</f>
        <v>14384020.110000001</v>
      </c>
      <c r="L26" s="202">
        <f t="shared" si="2"/>
        <v>9743226.8600000013</v>
      </c>
      <c r="M26" s="204">
        <f t="shared" si="3"/>
        <v>0.67736465782791511</v>
      </c>
      <c r="N26" s="205">
        <f>+INDEX('2015'!$1:$1048576,MATCH('Analitika - 2015'!$A26,'2015'!$A:$A,0),MATCH('Analitika - 2015'!$N$6,'2015'!$6:$6,0))</f>
        <v>3485443.8899999997</v>
      </c>
      <c r="O26" s="201">
        <f>+INDEX('2015'!$1:$1048576,MATCH(CONCATENATE('Analitika - 2015'!$A26,"p"),'2015'!$A:$A,0),MATCH('Analitika - 2015'!$O$6,'2015'!$101:$101,0))</f>
        <v>1378353.6704010672</v>
      </c>
      <c r="P26" s="202">
        <f t="shared" si="4"/>
        <v>2107090.2195989322</v>
      </c>
      <c r="Q26" s="203">
        <f t="shared" si="5"/>
        <v>1.5287006991361083</v>
      </c>
      <c r="R26" s="201">
        <f>+INDEX('2014'!$1:$1048576,MATCH('Analitika - 2015'!$A26,'2014'!$A:$A,0),MATCH('Analitika - 2015'!$R$6,'2014'!$6:$6,0))</f>
        <v>2751386.49</v>
      </c>
      <c r="S26" s="202">
        <f t="shared" si="6"/>
        <v>734057.39999999944</v>
      </c>
      <c r="T26" s="206">
        <f t="shared" si="7"/>
        <v>0.26679545119086456</v>
      </c>
    </row>
    <row r="27" spans="1:20">
      <c r="A27" s="176">
        <v>715</v>
      </c>
      <c r="B27" s="355" t="str">
        <f>+VLOOKUP($A27,Master!$D$22:$G$218,4,FALSE)</f>
        <v>Ostali prihodi</v>
      </c>
      <c r="C27" s="356"/>
      <c r="D27" s="356"/>
      <c r="E27" s="356"/>
      <c r="F27" s="356"/>
      <c r="G27" s="201">
        <f>+SUMPRODUCT(('2015'!$G27:$R27)*('2015'!$G$5:$R$5&lt;=Master!$B$3)*($A27='2015'!$A$10:$A$66))</f>
        <v>20713614.189999998</v>
      </c>
      <c r="H27" s="201">
        <f>+SUMPRODUCT(('2015'!$G122:$R122)*('2015'!$G$5:$R$5&lt;=Master!$B$3))</f>
        <v>28378763.809620872</v>
      </c>
      <c r="I27" s="202">
        <f t="shared" si="0"/>
        <v>-7665149.6196208745</v>
      </c>
      <c r="J27" s="203">
        <f t="shared" si="1"/>
        <v>-0.27010160382751636</v>
      </c>
      <c r="K27" s="201">
        <f>+SUMPRODUCT(('2014'!$G27:$R27)*('2014'!$G$5:$R$5&lt;=Master!$B$3))</f>
        <v>23607658.329999998</v>
      </c>
      <c r="L27" s="202">
        <f t="shared" si="2"/>
        <v>-2894044.1400000006</v>
      </c>
      <c r="M27" s="204">
        <f t="shared" si="3"/>
        <v>-0.12258920810973972</v>
      </c>
      <c r="N27" s="205">
        <f>+INDEX('2015'!$1:$1048576,MATCH('Analitika - 2015'!$A27,'2015'!$A:$A,0),MATCH('Analitika - 2015'!$N$6,'2015'!$6:$6,0))</f>
        <v>1563644.5299999996</v>
      </c>
      <c r="O27" s="201">
        <f>+INDEX('2015'!$1:$1048576,MATCH(CONCATENATE('Analitika - 2015'!$A27,"p"),'2015'!$A:$A,0),MATCH('Analitika - 2015'!$O$6,'2015'!$101:$101,0))</f>
        <v>2584038.1357656354</v>
      </c>
      <c r="P27" s="202">
        <f t="shared" si="4"/>
        <v>-1020393.6057656358</v>
      </c>
      <c r="Q27" s="203">
        <f t="shared" si="5"/>
        <v>-0.39488333846253365</v>
      </c>
      <c r="R27" s="201">
        <f>+INDEX('2014'!$1:$1048576,MATCH('Analitika - 2015'!$A27,'2014'!$A:$A,0),MATCH('Analitika - 2015'!$R$6,'2014'!$6:$6,0))</f>
        <v>2082889.32</v>
      </c>
      <c r="S27" s="202">
        <f t="shared" si="6"/>
        <v>-519244.7900000005</v>
      </c>
      <c r="T27" s="206">
        <f t="shared" si="7"/>
        <v>-0.2492906296144437</v>
      </c>
    </row>
    <row r="28" spans="1:20">
      <c r="A28" s="176">
        <v>73</v>
      </c>
      <c r="B28" s="355" t="str">
        <f>+VLOOKUP($A28,Master!$D$22:$G$218,4,FALSE)</f>
        <v>Primici od otplate kredita i sredstva prenesena iz prethodne godine</v>
      </c>
      <c r="C28" s="356"/>
      <c r="D28" s="356"/>
      <c r="E28" s="356"/>
      <c r="F28" s="356"/>
      <c r="G28" s="201">
        <f>+SUMPRODUCT(('2015'!$G28:$R28)*('2015'!$G$5:$R$5&lt;=Master!$B$3)*($A28='2015'!$A$10:$A$66))</f>
        <v>5424128.0300000003</v>
      </c>
      <c r="H28" s="201">
        <f>+SUMPRODUCT(('2015'!$G123:$R123)*('2015'!$G$5:$R$5&lt;=Master!$B$3))</f>
        <v>2911023.3078788514</v>
      </c>
      <c r="I28" s="202">
        <f t="shared" si="0"/>
        <v>2513104.7221211488</v>
      </c>
      <c r="J28" s="203">
        <f t="shared" si="1"/>
        <v>0.86330628659663655</v>
      </c>
      <c r="K28" s="201">
        <f>+SUMPRODUCT(('2014'!$G28:$R28)*('2014'!$G$5:$R$5&lt;=Master!$B$3))</f>
        <v>3271522.69</v>
      </c>
      <c r="L28" s="202">
        <f t="shared" si="2"/>
        <v>2152605.3400000003</v>
      </c>
      <c r="M28" s="204">
        <f t="shared" si="3"/>
        <v>0.65798270223826583</v>
      </c>
      <c r="N28" s="205">
        <f>+INDEX('2015'!$1:$1048576,MATCH('Analitika - 2015'!$A28,'2015'!$A:$A,0),MATCH('Analitika - 2015'!$N$6,'2015'!$6:$6,0))</f>
        <v>599188.87</v>
      </c>
      <c r="O28" s="201">
        <f>+INDEX('2015'!$1:$1048576,MATCH(CONCATENATE('Analitika - 2015'!$A28,"p"),'2015'!$A:$A,0),MATCH('Analitika - 2015'!$O$6,'2015'!$101:$101,0))</f>
        <v>296967.92792094528</v>
      </c>
      <c r="P28" s="202">
        <f t="shared" si="4"/>
        <v>302220.94207905472</v>
      </c>
      <c r="Q28" s="203">
        <f t="shared" si="5"/>
        <v>1.0176888265170096</v>
      </c>
      <c r="R28" s="201">
        <f>+INDEX('2014'!$1:$1048576,MATCH('Analitika - 2015'!$A28,'2014'!$A:$A,0),MATCH('Analitika - 2015'!$R$6,'2014'!$6:$6,0))</f>
        <v>368051.05</v>
      </c>
      <c r="S28" s="202">
        <f t="shared" si="6"/>
        <v>231137.82</v>
      </c>
      <c r="T28" s="206">
        <f t="shared" si="7"/>
        <v>0.62800478357553935</v>
      </c>
    </row>
    <row r="29" spans="1:20" ht="15.75" thickBot="1">
      <c r="A29" s="176">
        <v>74</v>
      </c>
      <c r="B29" s="357" t="str">
        <f>+VLOOKUP($A29,Master!$D$22:$G$218,4,FALSE)</f>
        <v>Donacije i transferi</v>
      </c>
      <c r="C29" s="358"/>
      <c r="D29" s="358"/>
      <c r="E29" s="358"/>
      <c r="F29" s="358"/>
      <c r="G29" s="201">
        <f>+SUMPRODUCT(('2015'!$G29:$R29)*('2015'!$G$5:$R$5&lt;=Master!$B$3)*($A29='2015'!$A$10:$A$66))</f>
        <v>3934678.76</v>
      </c>
      <c r="H29" s="201">
        <f>+SUMPRODUCT(('2015'!$G124:$R124)*('2015'!$G$5:$R$5&lt;=Master!$B$3))</f>
        <v>4471435.9167717267</v>
      </c>
      <c r="I29" s="202">
        <f t="shared" si="0"/>
        <v>-536757.15677172691</v>
      </c>
      <c r="J29" s="203">
        <f t="shared" si="1"/>
        <v>-0.12004133946288398</v>
      </c>
      <c r="K29" s="201">
        <f>+SUMPRODUCT(('2014'!$G29:$R29)*('2014'!$G$5:$R$5&lt;=Master!$B$3))</f>
        <v>3461253.45</v>
      </c>
      <c r="L29" s="202">
        <f t="shared" si="2"/>
        <v>473425.30999999959</v>
      </c>
      <c r="M29" s="204">
        <f t="shared" si="3"/>
        <v>0.136778573669605</v>
      </c>
      <c r="N29" s="205">
        <f>+INDEX('2015'!$1:$1048576,MATCH('Analitika - 2015'!$A29,'2015'!$A:$A,0),MATCH('Analitika - 2015'!$N$6,'2015'!$6:$6,0))</f>
        <v>623657.68999999994</v>
      </c>
      <c r="O29" s="201">
        <f>+INDEX('2015'!$1:$1048576,MATCH(CONCATENATE('Analitika - 2015'!$A29,"p"),'2015'!$A:$A,0),MATCH('Analitika - 2015'!$O$6,'2015'!$101:$101,0))</f>
        <v>752410.21529335005</v>
      </c>
      <c r="P29" s="202">
        <f t="shared" si="4"/>
        <v>-128752.5252933501</v>
      </c>
      <c r="Q29" s="203">
        <f t="shared" si="5"/>
        <v>-0.17112011862193022</v>
      </c>
      <c r="R29" s="201">
        <f>+INDEX('2014'!$1:$1048576,MATCH('Analitika - 2015'!$A29,'2014'!$A:$A,0),MATCH('Analitika - 2015'!$R$6,'2014'!$6:$6,0))</f>
        <v>306869.74</v>
      </c>
      <c r="S29" s="202">
        <f t="shared" si="6"/>
        <v>316787.94999999995</v>
      </c>
      <c r="T29" s="206">
        <f t="shared" si="7"/>
        <v>1.0323205865785265</v>
      </c>
    </row>
    <row r="30" spans="1:20" ht="15.75" thickBot="1">
      <c r="A30" s="176">
        <v>4</v>
      </c>
      <c r="B30" s="359" t="str">
        <f>+VLOOKUP($A30,Master!$D$22:$G$218,4,FALSE)</f>
        <v>Budžetki izdaci</v>
      </c>
      <c r="C30" s="360"/>
      <c r="D30" s="360"/>
      <c r="E30" s="360"/>
      <c r="F30" s="360"/>
      <c r="G30" s="177">
        <f>+SUMPRODUCT(('2015'!$G30:$R30)*('2015'!$G$5:$R$5&lt;=Master!$B$3)*($A30='2015'!$A$10:$A$66))</f>
        <v>1326533548.6300001</v>
      </c>
      <c r="H30" s="177">
        <f>+SUMPRODUCT(('2015'!$G125:$R125)*('2015'!$G$5:$R$5&lt;=Master!$B$3))</f>
        <v>1304140680.1000001</v>
      </c>
      <c r="I30" s="178">
        <f t="shared" si="0"/>
        <v>22392868.529999971</v>
      </c>
      <c r="J30" s="179">
        <f t="shared" si="1"/>
        <v>1.7170592767862258E-2</v>
      </c>
      <c r="K30" s="177">
        <f>+SUMPRODUCT(('2014'!$G30:$R30)*('2014'!$G$5:$R$5&lt;=Master!$B$3))</f>
        <v>1169121721.22</v>
      </c>
      <c r="L30" s="178">
        <f t="shared" si="2"/>
        <v>157411827.41000009</v>
      </c>
      <c r="M30" s="180">
        <f t="shared" si="3"/>
        <v>0.13464109386808576</v>
      </c>
      <c r="N30" s="181">
        <f>+INDEX('2015'!$1:$1048576,MATCH('Analitika - 2015'!$A30,'2015'!$A:$A,0),MATCH('Analitika - 2015'!$N$6,'2015'!$6:$6,0))</f>
        <v>114628371.46000001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-15785696.549999997</v>
      </c>
      <c r="Q30" s="179">
        <f t="shared" si="5"/>
        <v>-0.12104289660521572</v>
      </c>
      <c r="R30" s="177">
        <f>+INDEX('2014'!$1:$1048576,MATCH('Analitika - 2015'!$A30,'2014'!$A:$A,0),MATCH('Analitika - 2015'!$R$6,'2014'!$6:$6,0))</f>
        <v>159647344.19</v>
      </c>
      <c r="S30" s="178">
        <f t="shared" si="6"/>
        <v>-45018972.729999989</v>
      </c>
      <c r="T30" s="182">
        <f t="shared" si="7"/>
        <v>-0.28199011363710424</v>
      </c>
    </row>
    <row r="31" spans="1:20" ht="15.75" thickBot="1">
      <c r="A31" s="176">
        <v>41</v>
      </c>
      <c r="B31" s="361" t="str">
        <f>+VLOOKUP($A31,Master!$D$22:$G$218,4,FALSE)</f>
        <v>Tekući izdaci</v>
      </c>
      <c r="C31" s="362"/>
      <c r="D31" s="362"/>
      <c r="E31" s="362"/>
      <c r="F31" s="362"/>
      <c r="G31" s="207">
        <f>+SUMPRODUCT(('2015'!$G31:$R31)*('2015'!$G$5:$R$5&lt;=Master!$B$3)*($A31='2015'!$A$10:$A$66))</f>
        <v>1124228776.1900001</v>
      </c>
      <c r="H31" s="207">
        <f>+SUMPRODUCT(('2015'!$G126:$R126)*('2015'!$G$5:$R$5&lt;=Master!$B$3))</f>
        <v>1066893115.9333335</v>
      </c>
      <c r="I31" s="208">
        <f t="shared" si="0"/>
        <v>57335660.256666541</v>
      </c>
      <c r="J31" s="209">
        <f t="shared" si="1"/>
        <v>5.37407725295036E-2</v>
      </c>
      <c r="K31" s="207">
        <f>+SUMPRODUCT(('2014'!$G31:$R31)*('2014'!$G$5:$R$5&lt;=Master!$B$3))</f>
        <v>1118140398.9400001</v>
      </c>
      <c r="L31" s="208">
        <f t="shared" si="2"/>
        <v>6088377.25</v>
      </c>
      <c r="M31" s="210">
        <f t="shared" si="3"/>
        <v>5.4450919184851898E-3</v>
      </c>
      <c r="N31" s="211">
        <f>+INDEX('2015'!$1:$1048576,MATCH('Analitika - 2015'!$A31,'2015'!$A:$A,0),MATCH('Analitika - 2015'!$N$6,'2015'!$6:$6,0))</f>
        <v>108148757.47000001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1459445.87666668</v>
      </c>
      <c r="Q31" s="209">
        <f t="shared" si="5"/>
        <v>1.3679401009068615E-2</v>
      </c>
      <c r="R31" s="207">
        <f>+INDEX('2014'!$1:$1048576,MATCH('Analitika - 2015'!$A31,'2014'!$A:$A,0),MATCH('Analitika - 2015'!$R$6,'2014'!$6:$6,0))</f>
        <v>150473945.19</v>
      </c>
      <c r="S31" s="208">
        <f t="shared" si="6"/>
        <v>-42325187.719999984</v>
      </c>
      <c r="T31" s="212">
        <f t="shared" si="7"/>
        <v>-0.28127917870802777</v>
      </c>
    </row>
    <row r="32" spans="1:20">
      <c r="A32" s="176">
        <v>40</v>
      </c>
      <c r="B32" s="363" t="str">
        <f>+VLOOKUP($A32,Master!$D$22:$G$218,4,FALSE)</f>
        <v>Tekući budžetski izdaci</v>
      </c>
      <c r="C32" s="364"/>
      <c r="D32" s="364"/>
      <c r="E32" s="364"/>
      <c r="F32" s="364"/>
      <c r="G32" s="213">
        <f>+SUMPRODUCT(('2015'!$G32:$R32)*('2015'!$G$5:$R$5&lt;=Master!$B$3)*($A32='2015'!$A$10:$A$66))</f>
        <v>526599006.34000003</v>
      </c>
      <c r="H32" s="213">
        <f>+SUMPRODUCT(('2015'!$G127:$R127)*('2015'!$G$5:$R$5&lt;=Master!$B$3))</f>
        <v>526521961.72500008</v>
      </c>
      <c r="I32" s="214">
        <f t="shared" si="0"/>
        <v>77044.614999949932</v>
      </c>
      <c r="J32" s="215">
        <f t="shared" si="1"/>
        <v>1.4632744804710107E-4</v>
      </c>
      <c r="K32" s="213">
        <f>+SUMPRODUCT(('2014'!$G32:$R32)*('2014'!$G$5:$R$5&lt;=Master!$B$3))</f>
        <v>559083203.67000008</v>
      </c>
      <c r="L32" s="214">
        <f t="shared" si="2"/>
        <v>-32484197.330000043</v>
      </c>
      <c r="M32" s="216">
        <f t="shared" si="3"/>
        <v>-5.8102617135988743E-2</v>
      </c>
      <c r="N32" s="217">
        <f>+INDEX('2015'!$1:$1048576,MATCH('Analitika - 2015'!$A32,'2015'!$A:$A,0),MATCH('Analitika - 2015'!$N$6,'2015'!$6:$6,0))</f>
        <v>46450452.229999997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-6201743.9425000101</v>
      </c>
      <c r="Q32" s="215">
        <f t="shared" si="5"/>
        <v>-0.11778699452880848</v>
      </c>
      <c r="R32" s="213">
        <f>+INDEX('2014'!$1:$1048576,MATCH('Analitika - 2015'!$A32,'2014'!$A:$A,0),MATCH('Analitika - 2015'!$R$6,'2014'!$6:$6,0))</f>
        <v>93391867.109999985</v>
      </c>
      <c r="S32" s="214">
        <f t="shared" si="6"/>
        <v>-46941414.879999988</v>
      </c>
      <c r="T32" s="218">
        <f t="shared" si="7"/>
        <v>-0.5026285085906983</v>
      </c>
    </row>
    <row r="33" spans="1:20">
      <c r="A33" s="176">
        <v>411</v>
      </c>
      <c r="B33" s="347" t="str">
        <f>+VLOOKUP($A33,Master!$D$22:$G$218,4,FALSE)</f>
        <v>Bruto zarade i doprinosi na teret poslodavca</v>
      </c>
      <c r="C33" s="348"/>
      <c r="D33" s="348"/>
      <c r="E33" s="348"/>
      <c r="F33" s="348"/>
      <c r="G33" s="189">
        <f>+SUMPRODUCT(('2015'!$G33:$R33)*('2015'!$G$5:$R$5&lt;=Master!$B$3)*($A33='2015'!$A$10:$A$66))</f>
        <v>312550520.41999996</v>
      </c>
      <c r="H33" s="189">
        <f>+SUMPRODUCT(('2015'!$G128:$R128)*('2015'!$G$5:$R$5&lt;=Master!$B$3))</f>
        <v>316136330.60833335</v>
      </c>
      <c r="I33" s="190">
        <f t="shared" si="0"/>
        <v>-3585810.1883333921</v>
      </c>
      <c r="J33" s="191">
        <f t="shared" si="1"/>
        <v>-1.1342607100655933E-2</v>
      </c>
      <c r="K33" s="189">
        <f>+SUMPRODUCT(('2014'!$G33:$R33)*('2014'!$G$5:$R$5&lt;=Master!$B$3))</f>
        <v>315254282.25000006</v>
      </c>
      <c r="L33" s="190">
        <f t="shared" si="2"/>
        <v>-2703761.8300001025</v>
      </c>
      <c r="M33" s="192">
        <f t="shared" si="3"/>
        <v>-8.5764475924104966E-3</v>
      </c>
      <c r="N33" s="193">
        <f>+INDEX('2015'!$1:$1048576,MATCH('Analitika - 2015'!$A33,'2015'!$A:$A,0),MATCH('Analitika - 2015'!$N$6,'2015'!$6:$6,0))</f>
        <v>29141461.659999989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-2472171.4008333459</v>
      </c>
      <c r="Q33" s="191">
        <f t="shared" si="5"/>
        <v>-7.8199534867637865E-2</v>
      </c>
      <c r="R33" s="189">
        <f>+INDEX('2014'!$1:$1048576,MATCH('Analitika - 2015'!$A33,'2014'!$A:$A,0),MATCH('Analitika - 2015'!$R$6,'2014'!$6:$6,0))</f>
        <v>28617014.909999985</v>
      </c>
      <c r="S33" s="190">
        <f t="shared" si="6"/>
        <v>524446.75000000373</v>
      </c>
      <c r="T33" s="194">
        <f t="shared" si="7"/>
        <v>1.8326396084615393E-2</v>
      </c>
    </row>
    <row r="34" spans="1:20">
      <c r="A34" s="176">
        <v>412</v>
      </c>
      <c r="B34" s="347" t="str">
        <f>+VLOOKUP($A34,Master!$D$22:$G$218,4,FALSE)</f>
        <v>Ostala lična primanja</v>
      </c>
      <c r="C34" s="348"/>
      <c r="D34" s="348"/>
      <c r="E34" s="348"/>
      <c r="F34" s="348"/>
      <c r="G34" s="189">
        <f>+SUMPRODUCT(('2015'!$G34:$R34)*('2015'!$G$5:$R$5&lt;=Master!$B$3)*($A34='2015'!$A$10:$A$66))</f>
        <v>10453887.300000004</v>
      </c>
      <c r="H34" s="189">
        <f>+SUMPRODUCT(('2015'!$G129:$R129)*('2015'!$G$5:$R$5&lt;=Master!$B$3))</f>
        <v>9683004.1833333317</v>
      </c>
      <c r="I34" s="190">
        <f t="shared" si="0"/>
        <v>770883.11666667275</v>
      </c>
      <c r="J34" s="191">
        <f t="shared" si="1"/>
        <v>7.9611978067048561E-2</v>
      </c>
      <c r="K34" s="189">
        <f>+SUMPRODUCT(('2014'!$G34:$R34)*('2014'!$G$5:$R$5&lt;=Master!$B$3))</f>
        <v>8508028.849999994</v>
      </c>
      <c r="L34" s="190">
        <f t="shared" si="2"/>
        <v>1945858.4500000104</v>
      </c>
      <c r="M34" s="192">
        <f t="shared" si="3"/>
        <v>0.22870849221438783</v>
      </c>
      <c r="N34" s="193">
        <f>+INDEX('2015'!$1:$1048576,MATCH('Analitika - 2015'!$A34,'2015'!$A:$A,0),MATCH('Analitika - 2015'!$N$6,'2015'!$6:$6,0))</f>
        <v>1028424.9800000017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60124.561666668509</v>
      </c>
      <c r="Q34" s="191">
        <f t="shared" si="5"/>
        <v>6.209287998672619E-2</v>
      </c>
      <c r="R34" s="189">
        <f>+INDEX('2014'!$1:$1048576,MATCH('Analitika - 2015'!$A34,'2014'!$A:$A,0),MATCH('Analitika - 2015'!$R$6,'2014'!$6:$6,0))</f>
        <v>1264399.8800000008</v>
      </c>
      <c r="S34" s="190">
        <f t="shared" si="6"/>
        <v>-235974.89999999909</v>
      </c>
      <c r="T34" s="194">
        <f t="shared" si="7"/>
        <v>-0.1866299607684232</v>
      </c>
    </row>
    <row r="35" spans="1:20">
      <c r="A35" s="176">
        <v>413</v>
      </c>
      <c r="B35" s="347" t="str">
        <f>+VLOOKUP($A35,Master!$D$22:$G$218,4,FALSE)</f>
        <v>Rashodi za materijal</v>
      </c>
      <c r="C35" s="348"/>
      <c r="D35" s="348"/>
      <c r="E35" s="348"/>
      <c r="F35" s="348"/>
      <c r="G35" s="189">
        <f>+SUMPRODUCT(('2015'!$G35:$R35)*('2015'!$G$5:$R$5&lt;=Master!$B$3)*($A35='2015'!$A$10:$A$66))</f>
        <v>17501827.549999997</v>
      </c>
      <c r="H35" s="189">
        <f>+SUMPRODUCT(('2015'!$G130:$R130)*('2015'!$G$5:$R$5&lt;=Master!$B$3))</f>
        <v>24505068.399999999</v>
      </c>
      <c r="I35" s="190">
        <f t="shared" si="0"/>
        <v>-7003240.8500000015</v>
      </c>
      <c r="J35" s="191">
        <f t="shared" si="1"/>
        <v>-0.28578744346618523</v>
      </c>
      <c r="K35" s="189">
        <f>+SUMPRODUCT(('2014'!$G35:$R35)*('2014'!$G$5:$R$5&lt;=Master!$B$3))</f>
        <v>19222631.379999999</v>
      </c>
      <c r="L35" s="190">
        <f t="shared" si="2"/>
        <v>-1720803.8300000019</v>
      </c>
      <c r="M35" s="192">
        <f t="shared" si="3"/>
        <v>-8.95196810458736E-2</v>
      </c>
      <c r="N35" s="193">
        <f>+INDEX('2015'!$1:$1048576,MATCH('Analitika - 2015'!$A35,'2015'!$A:$A,0),MATCH('Analitika - 2015'!$N$6,'2015'!$6:$6,0))</f>
        <v>1834158.5300000005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-616348.30999999936</v>
      </c>
      <c r="Q35" s="191">
        <f t="shared" si="5"/>
        <v>-0.25151870622813666</v>
      </c>
      <c r="R35" s="189">
        <f>+INDEX('2014'!$1:$1048576,MATCH('Analitika - 2015'!$A35,'2014'!$A:$A,0),MATCH('Analitika - 2015'!$R$6,'2014'!$6:$6,0))</f>
        <v>1997456.8600000003</v>
      </c>
      <c r="S35" s="190">
        <f t="shared" si="6"/>
        <v>-163298.32999999984</v>
      </c>
      <c r="T35" s="194">
        <f t="shared" si="7"/>
        <v>-8.1753119814562458E-2</v>
      </c>
    </row>
    <row r="36" spans="1:20">
      <c r="A36" s="176">
        <v>414</v>
      </c>
      <c r="B36" s="347" t="str">
        <f>+VLOOKUP($A36,Master!$D$22:$G$218,4,FALSE)</f>
        <v>Rashodi za usluge</v>
      </c>
      <c r="C36" s="348"/>
      <c r="D36" s="348"/>
      <c r="E36" s="348"/>
      <c r="F36" s="348"/>
      <c r="G36" s="189">
        <f>+SUMPRODUCT(('2015'!$G36:$R36)*('2015'!$G$5:$R$5&lt;=Master!$B$3)*($A36='2015'!$A$10:$A$66))</f>
        <v>39185529.130000003</v>
      </c>
      <c r="H36" s="189">
        <f>+SUMPRODUCT(('2015'!$G131:$R131)*('2015'!$G$5:$R$5&lt;=Master!$B$3))</f>
        <v>34608811.266666658</v>
      </c>
      <c r="I36" s="190">
        <f t="shared" si="0"/>
        <v>4576717.8633333445</v>
      </c>
      <c r="J36" s="191">
        <f t="shared" si="1"/>
        <v>0.13224140604162815</v>
      </c>
      <c r="K36" s="189">
        <f>+SUMPRODUCT(('2014'!$G36:$R36)*('2014'!$G$5:$R$5&lt;=Master!$B$3))</f>
        <v>38756481.220000036</v>
      </c>
      <c r="L36" s="190">
        <f t="shared" si="2"/>
        <v>429047.90999996662</v>
      </c>
      <c r="M36" s="192">
        <f t="shared" si="3"/>
        <v>1.1070352531864058E-2</v>
      </c>
      <c r="N36" s="193">
        <f>+INDEX('2015'!$1:$1048576,MATCH('Analitika - 2015'!$A36,'2015'!$A:$A,0),MATCH('Analitika - 2015'!$N$6,'2015'!$6:$6,0))</f>
        <v>3900992.6500000027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440111.52333333576</v>
      </c>
      <c r="Q36" s="191">
        <f t="shared" si="5"/>
        <v>0.12716747765249803</v>
      </c>
      <c r="R36" s="189">
        <f>+INDEX('2014'!$1:$1048576,MATCH('Analitika - 2015'!$A36,'2014'!$A:$A,0),MATCH('Analitika - 2015'!$R$6,'2014'!$6:$6,0))</f>
        <v>6691301.8300000075</v>
      </c>
      <c r="S36" s="190">
        <f t="shared" si="6"/>
        <v>-2790309.1800000048</v>
      </c>
      <c r="T36" s="194">
        <f t="shared" si="7"/>
        <v>-0.41700542747748115</v>
      </c>
    </row>
    <row r="37" spans="1:20">
      <c r="A37" s="176">
        <v>415</v>
      </c>
      <c r="B37" s="347" t="str">
        <f>+VLOOKUP($A37,Master!$D$22:$G$218,4,FALSE)</f>
        <v>Rashodi za tekuće održavanje</v>
      </c>
      <c r="C37" s="348"/>
      <c r="D37" s="348"/>
      <c r="E37" s="348"/>
      <c r="F37" s="348"/>
      <c r="G37" s="189">
        <f>+SUMPRODUCT(('2015'!$G37:$R37)*('2015'!$G$5:$R$5&lt;=Master!$B$3)*($A37='2015'!$A$10:$A$66))</f>
        <v>15500253.699999999</v>
      </c>
      <c r="H37" s="189">
        <f>+SUMPRODUCT(('2015'!$G132:$R132)*('2015'!$G$5:$R$5&lt;=Master!$B$3))</f>
        <v>17342684.441666674</v>
      </c>
      <c r="I37" s="190">
        <f t="shared" si="0"/>
        <v>-1842430.7416666746</v>
      </c>
      <c r="J37" s="191">
        <f t="shared" si="1"/>
        <v>-0.10623676789275727</v>
      </c>
      <c r="K37" s="189">
        <f>+SUMPRODUCT(('2014'!$G37:$R37)*('2014'!$G$5:$R$5&lt;=Master!$B$3))</f>
        <v>16766138.780000001</v>
      </c>
      <c r="L37" s="190">
        <f t="shared" si="2"/>
        <v>-1265885.0800000019</v>
      </c>
      <c r="M37" s="192">
        <f t="shared" si="3"/>
        <v>-7.5502481317287651E-2</v>
      </c>
      <c r="N37" s="193">
        <f>+INDEX('2015'!$1:$1048576,MATCH('Analitika - 2015'!$A37,'2015'!$A:$A,0),MATCH('Analitika - 2015'!$N$6,'2015'!$6:$6,0))</f>
        <v>962610.54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-771657.90416666679</v>
      </c>
      <c r="Q37" s="191">
        <f t="shared" si="5"/>
        <v>-0.44494720916026131</v>
      </c>
      <c r="R37" s="189">
        <f>+INDEX('2014'!$1:$1048576,MATCH('Analitika - 2015'!$A37,'2014'!$A:$A,0),MATCH('Analitika - 2015'!$R$6,'2014'!$6:$6,0))</f>
        <v>2645946.2399999998</v>
      </c>
      <c r="S37" s="190">
        <f t="shared" si="6"/>
        <v>-1683335.6999999997</v>
      </c>
      <c r="T37" s="194">
        <f t="shared" si="7"/>
        <v>-0.63619421836779266</v>
      </c>
    </row>
    <row r="38" spans="1:20">
      <c r="A38" s="176">
        <v>416</v>
      </c>
      <c r="B38" s="347" t="str">
        <f>+VLOOKUP($A38,Master!$D$22:$G$218,4,FALSE)</f>
        <v>Kamate</v>
      </c>
      <c r="C38" s="348"/>
      <c r="D38" s="348"/>
      <c r="E38" s="348"/>
      <c r="F38" s="348"/>
      <c r="G38" s="189">
        <f>+SUMPRODUCT(('2015'!$G38:$R38)*('2015'!$G$5:$R$5&lt;=Master!$B$3)*($A38='2015'!$A$10:$A$66))</f>
        <v>73319622.459999993</v>
      </c>
      <c r="H38" s="189">
        <f>+SUMPRODUCT(('2015'!$G133:$R133)*('2015'!$G$5:$R$5&lt;=Master!$B$3))</f>
        <v>63138236.641666666</v>
      </c>
      <c r="I38" s="190">
        <f t="shared" si="0"/>
        <v>10181385.818333328</v>
      </c>
      <c r="J38" s="191">
        <f t="shared" si="1"/>
        <v>0.16125546673272706</v>
      </c>
      <c r="K38" s="189">
        <f>+SUMPRODUCT(('2014'!$G38:$R38)*('2014'!$G$5:$R$5&lt;=Master!$B$3))</f>
        <v>68751477.329999998</v>
      </c>
      <c r="L38" s="190">
        <f t="shared" si="2"/>
        <v>4568145.1299999952</v>
      </c>
      <c r="M38" s="192">
        <f t="shared" si="3"/>
        <v>6.6444319560921894E-2</v>
      </c>
      <c r="N38" s="193">
        <f>+INDEX('2015'!$1:$1048576,MATCH('Analitika - 2015'!$A38,'2015'!$A:$A,0),MATCH('Analitika - 2015'!$N$6,'2015'!$6:$6,0))</f>
        <v>488401.27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-5825422.394166667</v>
      </c>
      <c r="Q38" s="191">
        <f t="shared" si="5"/>
        <v>-0.92264572215219409</v>
      </c>
      <c r="R38" s="189">
        <f>+INDEX('2014'!$1:$1048576,MATCH('Analitika - 2015'!$A38,'2014'!$A:$A,0),MATCH('Analitika - 2015'!$R$6,'2014'!$6:$6,0))</f>
        <v>588543.66</v>
      </c>
      <c r="S38" s="190">
        <f t="shared" si="6"/>
        <v>-100142.39000000001</v>
      </c>
      <c r="T38" s="194">
        <f t="shared" si="7"/>
        <v>-0.17015286512473859</v>
      </c>
    </row>
    <row r="39" spans="1:20">
      <c r="A39" s="176">
        <v>417</v>
      </c>
      <c r="B39" s="347" t="str">
        <f>+VLOOKUP($A39,Master!$D$22:$G$218,4,FALSE)</f>
        <v>Renta</v>
      </c>
      <c r="C39" s="348"/>
      <c r="D39" s="348"/>
      <c r="E39" s="348"/>
      <c r="F39" s="348"/>
      <c r="G39" s="189">
        <f>+SUMPRODUCT(('2015'!$G39:$R39)*('2015'!$G$5:$R$5&lt;=Master!$B$3)*($A39='2015'!$A$10:$A$66))</f>
        <v>6743915.8700000001</v>
      </c>
      <c r="H39" s="189">
        <f>+SUMPRODUCT(('2015'!$G134:$R134)*('2015'!$G$5:$R$5&lt;=Master!$B$3))</f>
        <v>6939967.0749999983</v>
      </c>
      <c r="I39" s="190">
        <f t="shared" si="0"/>
        <v>-196051.20499999821</v>
      </c>
      <c r="J39" s="191">
        <f t="shared" si="1"/>
        <v>-2.8249587192745951E-2</v>
      </c>
      <c r="K39" s="189">
        <f>+SUMPRODUCT(('2014'!$G39:$R39)*('2014'!$G$5:$R$5&lt;=Master!$B$3))</f>
        <v>6881671.4399999995</v>
      </c>
      <c r="L39" s="190">
        <f t="shared" si="2"/>
        <v>-137755.56999999937</v>
      </c>
      <c r="M39" s="192">
        <f t="shared" si="3"/>
        <v>-2.0017748769476151E-2</v>
      </c>
      <c r="N39" s="193">
        <f>+INDEX('2015'!$1:$1048576,MATCH('Analitika - 2015'!$A39,'2015'!$A:$A,0),MATCH('Analitika - 2015'!$N$6,'2015'!$6:$6,0))</f>
        <v>307234.48999999993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-386762.21749999997</v>
      </c>
      <c r="Q39" s="191">
        <f t="shared" si="5"/>
        <v>-0.55729690547559263</v>
      </c>
      <c r="R39" s="189">
        <f>+INDEX('2014'!$1:$1048576,MATCH('Analitika - 2015'!$A39,'2014'!$A:$A,0),MATCH('Analitika - 2015'!$R$6,'2014'!$6:$6,0))</f>
        <v>878175.46000000008</v>
      </c>
      <c r="S39" s="190">
        <f t="shared" si="6"/>
        <v>-570940.9700000002</v>
      </c>
      <c r="T39" s="194">
        <f t="shared" si="7"/>
        <v>-0.65014452806504086</v>
      </c>
    </row>
    <row r="40" spans="1:20">
      <c r="A40" s="176">
        <v>418</v>
      </c>
      <c r="B40" s="347" t="str">
        <f>+VLOOKUP($A40,Master!$D$22:$G$218,4,FALSE)</f>
        <v>Subvencije</v>
      </c>
      <c r="C40" s="348"/>
      <c r="D40" s="348"/>
      <c r="E40" s="348"/>
      <c r="F40" s="348"/>
      <c r="G40" s="189">
        <f>+SUMPRODUCT(('2015'!$G40:$R40)*('2015'!$G$5:$R$5&lt;=Master!$B$3)*($A40='2015'!$A$10:$A$66))</f>
        <v>13576662.560000002</v>
      </c>
      <c r="H40" s="189">
        <f>+SUMPRODUCT(('2015'!$G135:$R135)*('2015'!$G$5:$R$5&lt;=Master!$B$3))</f>
        <v>17709666.666666664</v>
      </c>
      <c r="I40" s="190">
        <f t="shared" si="0"/>
        <v>-4133004.1066666618</v>
      </c>
      <c r="J40" s="191">
        <f t="shared" si="1"/>
        <v>-0.23337560127237456</v>
      </c>
      <c r="K40" s="189">
        <f>+SUMPRODUCT(('2014'!$G40:$R40)*('2014'!$G$5:$R$5&lt;=Master!$B$3))</f>
        <v>13238406.260000002</v>
      </c>
      <c r="L40" s="190">
        <f t="shared" si="2"/>
        <v>338256.30000000075</v>
      </c>
      <c r="M40" s="192">
        <f t="shared" si="3"/>
        <v>2.5551134581965895E-2</v>
      </c>
      <c r="N40" s="193">
        <f>+INDEX('2015'!$1:$1048576,MATCH('Analitika - 2015'!$A40,'2015'!$A:$A,0),MATCH('Analitika - 2015'!$N$6,'2015'!$6:$6,0))</f>
        <v>2646244.100000001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875277.43333333428</v>
      </c>
      <c r="Q40" s="191">
        <f t="shared" si="5"/>
        <v>0.49423710214760352</v>
      </c>
      <c r="R40" s="189">
        <f>+INDEX('2014'!$1:$1048576,MATCH('Analitika - 2015'!$A40,'2014'!$A:$A,0),MATCH('Analitika - 2015'!$R$6,'2014'!$6:$6,0))</f>
        <v>1158637.43</v>
      </c>
      <c r="S40" s="190">
        <f t="shared" si="6"/>
        <v>1487606.6700000011</v>
      </c>
      <c r="T40" s="194">
        <f t="shared" si="7"/>
        <v>1.2839276821913144</v>
      </c>
    </row>
    <row r="41" spans="1:20">
      <c r="A41" s="176">
        <v>419</v>
      </c>
      <c r="B41" s="347" t="str">
        <f>+VLOOKUP($A41,Master!$D$22:$G$218,4,FALSE)</f>
        <v>Ostali izdaci</v>
      </c>
      <c r="C41" s="348"/>
      <c r="D41" s="348"/>
      <c r="E41" s="348"/>
      <c r="F41" s="348"/>
      <c r="G41" s="189">
        <f>+SUMPRODUCT(('2015'!$G41:$R41)*('2015'!$G$5:$R$5&lt;=Master!$B$3)*($A41='2015'!$A$10:$A$66))</f>
        <v>20963662.689999998</v>
      </c>
      <c r="H41" s="189">
        <f>+SUMPRODUCT(('2015'!$G136:$R136)*('2015'!$G$5:$R$5&lt;=Master!$B$3))</f>
        <v>24916628.09999999</v>
      </c>
      <c r="I41" s="190">
        <f t="shared" si="0"/>
        <v>-3952965.4099999927</v>
      </c>
      <c r="J41" s="191">
        <f t="shared" si="1"/>
        <v>-0.15864768676304131</v>
      </c>
      <c r="K41" s="189">
        <f>+SUMPRODUCT(('2014'!$G41:$R41)*('2014'!$G$5:$R$5&lt;=Master!$B$3))</f>
        <v>18644185.609999999</v>
      </c>
      <c r="L41" s="190">
        <f t="shared" si="2"/>
        <v>2319477.0799999982</v>
      </c>
      <c r="M41" s="192">
        <f t="shared" si="3"/>
        <v>0.12440752996773008</v>
      </c>
      <c r="N41" s="193">
        <f>+INDEX('2015'!$1:$1048576,MATCH('Analitika - 2015'!$A41,'2015'!$A:$A,0),MATCH('Analitika - 2015'!$N$6,'2015'!$6:$6,0))</f>
        <v>1981720.889999999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-509941.92000000062</v>
      </c>
      <c r="Q41" s="191">
        <f t="shared" si="5"/>
        <v>-0.20465928132546984</v>
      </c>
      <c r="R41" s="189">
        <f>+INDEX('2014'!$1:$1048576,MATCH('Analitika - 2015'!$A41,'2014'!$A:$A,0),MATCH('Analitika - 2015'!$R$6,'2014'!$6:$6,0))</f>
        <v>2591569.5599999996</v>
      </c>
      <c r="S41" s="190">
        <f t="shared" si="6"/>
        <v>-609848.67000000062</v>
      </c>
      <c r="T41" s="194">
        <f t="shared" si="7"/>
        <v>-0.23532020109080176</v>
      </c>
    </row>
    <row r="42" spans="1:20">
      <c r="A42" s="176">
        <v>440</v>
      </c>
      <c r="B42" s="347" t="str">
        <f>+VLOOKUP($A42,Master!$D$22:$G$218,4,FALSE)</f>
        <v>Kapitalni izdaci u tekućem budžetu</v>
      </c>
      <c r="C42" s="348"/>
      <c r="D42" s="348"/>
      <c r="E42" s="348"/>
      <c r="F42" s="348"/>
      <c r="G42" s="189">
        <f>+SUMPRODUCT(('2015'!$G42:$R42)*('2015'!$G$5:$R$5&lt;=Master!$B$3)*($A42='2015'!$A$10:$A$66))</f>
        <v>16803124.660000004</v>
      </c>
      <c r="H42" s="189">
        <f>+SUMPRODUCT(('2015'!$G137:$R137)*('2015'!$G$5:$R$5&lt;=Master!$B$3))</f>
        <v>11541564.341666663</v>
      </c>
      <c r="I42" s="190">
        <f t="shared" si="0"/>
        <v>5261560.3183333408</v>
      </c>
      <c r="J42" s="191">
        <f t="shared" si="1"/>
        <v>0.45587930392922305</v>
      </c>
      <c r="K42" s="189">
        <f>+SUMPRODUCT(('2014'!$G42:$R42)*('2014'!$G$5:$R$5&lt;=Master!$B$3))</f>
        <v>53059900.549999997</v>
      </c>
      <c r="L42" s="190">
        <f t="shared" si="2"/>
        <v>-36256775.889999993</v>
      </c>
      <c r="M42" s="192">
        <f t="shared" si="3"/>
        <v>-0.68331782596980384</v>
      </c>
      <c r="N42" s="193">
        <f>+INDEX('2015'!$1:$1048576,MATCH('Analitika - 2015'!$A42,'2015'!$A:$A,0),MATCH('Analitika - 2015'!$N$6,'2015'!$6:$6,0))</f>
        <v>4159203.1199999996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3005046.6858333331</v>
      </c>
      <c r="Q42" s="191">
        <f t="shared" si="5"/>
        <v>2.6036736415224868</v>
      </c>
      <c r="R42" s="189">
        <f>+INDEX('2014'!$1:$1048576,MATCH('Analitika - 2015'!$A42,'2014'!$A:$A,0),MATCH('Analitika - 2015'!$R$6,'2014'!$6:$6,0))</f>
        <v>46958821.280000001</v>
      </c>
      <c r="S42" s="190">
        <f t="shared" si="6"/>
        <v>-42799618.160000004</v>
      </c>
      <c r="T42" s="194">
        <f t="shared" si="7"/>
        <v>-0.91142871548670179</v>
      </c>
    </row>
    <row r="43" spans="1:20">
      <c r="A43" s="176">
        <v>42</v>
      </c>
      <c r="B43" s="365" t="str">
        <f>+VLOOKUP($A43,Master!$D$22:$G$218,4,FALSE)</f>
        <v>Transferi za socijalnu zaštitu</v>
      </c>
      <c r="C43" s="366"/>
      <c r="D43" s="366"/>
      <c r="E43" s="366"/>
      <c r="F43" s="366"/>
      <c r="G43" s="219">
        <f>+SUMPRODUCT(('2015'!$G43:$R43)*('2015'!$G$5:$R$5&lt;=Master!$B$3)*($A43='2015'!$A$10:$A$66))</f>
        <v>404764427.47000015</v>
      </c>
      <c r="H43" s="219">
        <f>+SUMPRODUCT(('2015'!$G138:$R138)*('2015'!$G$5:$R$5&lt;=Master!$B$3))</f>
        <v>420704604.16666669</v>
      </c>
      <c r="I43" s="220">
        <f t="shared" si="0"/>
        <v>-15940176.696666539</v>
      </c>
      <c r="J43" s="221">
        <f t="shared" si="1"/>
        <v>-3.7889237576187007E-2</v>
      </c>
      <c r="K43" s="219">
        <f>+SUMPRODUCT(('2014'!$G43:$R43)*('2014'!$G$5:$R$5&lt;=Master!$B$3))</f>
        <v>408420258.19</v>
      </c>
      <c r="L43" s="220">
        <f t="shared" si="2"/>
        <v>-3655830.7199998498</v>
      </c>
      <c r="M43" s="222">
        <f t="shared" si="3"/>
        <v>-8.9511493288835231E-3</v>
      </c>
      <c r="N43" s="223">
        <f>+INDEX('2015'!$1:$1048576,MATCH('Analitika - 2015'!$A43,'2015'!$A:$A,0),MATCH('Analitika - 2015'!$N$6,'2015'!$6:$6,0))</f>
        <v>40336270.130000018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-1734190.2866666466</v>
      </c>
      <c r="Q43" s="221">
        <f t="shared" si="5"/>
        <v>-4.1221091223894168E-2</v>
      </c>
      <c r="R43" s="219">
        <f>+INDEX('2014'!$1:$1048576,MATCH('Analitika - 2015'!$A43,'2014'!$A:$A,0),MATCH('Analitika - 2015'!$R$6,'2014'!$6:$6,0))</f>
        <v>40455528.219999991</v>
      </c>
      <c r="S43" s="220">
        <f t="shared" si="6"/>
        <v>-119258.08999997377</v>
      </c>
      <c r="T43" s="224">
        <f t="shared" si="7"/>
        <v>-2.947881173407052E-3</v>
      </c>
    </row>
    <row r="44" spans="1:20">
      <c r="A44" s="176">
        <v>421</v>
      </c>
      <c r="B44" s="347" t="str">
        <f>+VLOOKUP($A44,Master!$D$22:$G$218,4,FALSE)</f>
        <v>Prava iz oblasti socijalne zaštite</v>
      </c>
      <c r="C44" s="348"/>
      <c r="D44" s="348"/>
      <c r="E44" s="348"/>
      <c r="F44" s="348"/>
      <c r="G44" s="189">
        <f>+SUMPRODUCT(('2015'!$G44:$R44)*('2015'!$G$5:$R$5&lt;=Master!$B$3)*($A44='2015'!$A$10:$A$66))</f>
        <v>50355795.439999998</v>
      </c>
      <c r="H44" s="189">
        <f>+SUMPRODUCT(('2015'!$G139:$R139)*('2015'!$G$5:$R$5&lt;=Master!$B$3))</f>
        <v>50442187.5</v>
      </c>
      <c r="I44" s="190">
        <f t="shared" si="0"/>
        <v>-86392.060000002384</v>
      </c>
      <c r="J44" s="191">
        <f t="shared" si="1"/>
        <v>-1.7126945575071106E-3</v>
      </c>
      <c r="K44" s="189">
        <f>+SUMPRODUCT(('2014'!$G44:$R44)*('2014'!$G$5:$R$5&lt;=Master!$B$3))</f>
        <v>51105928.339999996</v>
      </c>
      <c r="L44" s="190">
        <f t="shared" si="2"/>
        <v>-750132.89999999851</v>
      </c>
      <c r="M44" s="192">
        <f t="shared" si="3"/>
        <v>-1.4678001640230032E-2</v>
      </c>
      <c r="N44" s="193">
        <f>+INDEX('2015'!$1:$1048576,MATCH('Analitika - 2015'!$A44,'2015'!$A:$A,0),MATCH('Analitika - 2015'!$N$6,'2015'!$6:$6,0))</f>
        <v>5224803.1099999994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180584.3599999994</v>
      </c>
      <c r="Q44" s="191">
        <f t="shared" si="5"/>
        <v>3.5800263420376011E-2</v>
      </c>
      <c r="R44" s="189">
        <f>+INDEX('2014'!$1:$1048576,MATCH('Analitika - 2015'!$A44,'2014'!$A:$A,0),MATCH('Analitika - 2015'!$R$6,'2014'!$6:$6,0))</f>
        <v>5059119.72</v>
      </c>
      <c r="S44" s="190">
        <f t="shared" si="6"/>
        <v>165683.38999999966</v>
      </c>
      <c r="T44" s="194">
        <f t="shared" si="7"/>
        <v>3.2749450333229069E-2</v>
      </c>
    </row>
    <row r="45" spans="1:20">
      <c r="A45" s="176">
        <v>422</v>
      </c>
      <c r="B45" s="347" t="str">
        <f>+VLOOKUP($A45,Master!$D$22:$G$218,4,FALSE)</f>
        <v>Sredstva za tehnološke viškove</v>
      </c>
      <c r="C45" s="348"/>
      <c r="D45" s="348"/>
      <c r="E45" s="348"/>
      <c r="F45" s="348"/>
      <c r="G45" s="189">
        <f>+SUMPRODUCT(('2015'!$G45:$R45)*('2015'!$G$5:$R$5&lt;=Master!$B$3)*($A45='2015'!$A$10:$A$66))</f>
        <v>13833197.390000001</v>
      </c>
      <c r="H45" s="189">
        <f>+SUMPRODUCT(('2015'!$G140:$R140)*('2015'!$G$5:$R$5&lt;=Master!$B$3))</f>
        <v>16200000</v>
      </c>
      <c r="I45" s="190">
        <f t="shared" si="0"/>
        <v>-2366802.6099999994</v>
      </c>
      <c r="J45" s="191">
        <f t="shared" si="1"/>
        <v>-0.14609892654320988</v>
      </c>
      <c r="K45" s="189">
        <f>+SUMPRODUCT(('2014'!$G45:$R45)*('2014'!$G$5:$R$5&lt;=Master!$B$3))</f>
        <v>18288292.669999998</v>
      </c>
      <c r="L45" s="190">
        <f t="shared" si="2"/>
        <v>-4455095.2799999975</v>
      </c>
      <c r="M45" s="192">
        <f t="shared" si="3"/>
        <v>-0.24360367369383296</v>
      </c>
      <c r="N45" s="193">
        <f>+INDEX('2015'!$1:$1048576,MATCH('Analitika - 2015'!$A45,'2015'!$A:$A,0),MATCH('Analitika - 2015'!$N$6,'2015'!$6:$6,0))</f>
        <v>787040.37000000011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-832959.62999999989</v>
      </c>
      <c r="Q45" s="191">
        <f t="shared" si="5"/>
        <v>-0.51417261111111112</v>
      </c>
      <c r="R45" s="189">
        <f>+INDEX('2014'!$1:$1048576,MATCH('Analitika - 2015'!$A45,'2014'!$A:$A,0),MATCH('Analitika - 2015'!$R$6,'2014'!$6:$6,0))</f>
        <v>1235836.97</v>
      </c>
      <c r="S45" s="190">
        <f t="shared" si="6"/>
        <v>-448796.59999999986</v>
      </c>
      <c r="T45" s="194">
        <f t="shared" si="7"/>
        <v>-0.36315194551915686</v>
      </c>
    </row>
    <row r="46" spans="1:20">
      <c r="A46" s="176">
        <v>423</v>
      </c>
      <c r="B46" s="347" t="str">
        <f>+VLOOKUP($A46,Master!$D$22:$G$218,4,FALSE)</f>
        <v>Prava iz oblasti penzijskog i invalidskog osiguranja</v>
      </c>
      <c r="C46" s="348"/>
      <c r="D46" s="348"/>
      <c r="E46" s="348"/>
      <c r="F46" s="348"/>
      <c r="G46" s="189">
        <f>+SUMPRODUCT(('2015'!$G46:$R46)*('2015'!$G$5:$R$5&lt;=Master!$B$3)*($A46='2015'!$A$10:$A$66))</f>
        <v>321955780.50000012</v>
      </c>
      <c r="H46" s="189">
        <f>+SUMPRODUCT(('2015'!$G141:$R141)*('2015'!$G$5:$R$5&lt;=Master!$B$3))</f>
        <v>335379083.33333331</v>
      </c>
      <c r="I46" s="190">
        <f t="shared" si="0"/>
        <v>-13423302.833333194</v>
      </c>
      <c r="J46" s="191">
        <f t="shared" si="1"/>
        <v>-4.002426955169347E-2</v>
      </c>
      <c r="K46" s="189">
        <f>+SUMPRODUCT(('2014'!$G46:$R46)*('2014'!$G$5:$R$5&lt;=Master!$B$3))</f>
        <v>320250020</v>
      </c>
      <c r="L46" s="190">
        <f t="shared" si="2"/>
        <v>1705760.5000001192</v>
      </c>
      <c r="M46" s="192">
        <f t="shared" si="3"/>
        <v>5.326340026458487E-3</v>
      </c>
      <c r="N46" s="193">
        <f>+INDEX('2015'!$1:$1048576,MATCH('Analitika - 2015'!$A46,'2015'!$A:$A,0),MATCH('Analitika - 2015'!$N$6,'2015'!$6:$6,0))</f>
        <v>32423340.340000022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-1114567.9933333099</v>
      </c>
      <c r="Q46" s="191">
        <f t="shared" si="5"/>
        <v>-3.3233080079282717E-2</v>
      </c>
      <c r="R46" s="189">
        <f>+INDEX('2014'!$1:$1048576,MATCH('Analitika - 2015'!$A46,'2014'!$A:$A,0),MATCH('Analitika - 2015'!$R$6,'2014'!$6:$6,0))</f>
        <v>31859689.86999999</v>
      </c>
      <c r="S46" s="190">
        <f t="shared" si="6"/>
        <v>563650.47000003234</v>
      </c>
      <c r="T46" s="194">
        <f t="shared" si="7"/>
        <v>1.7691649614291594E-2</v>
      </c>
    </row>
    <row r="47" spans="1:20">
      <c r="A47" s="176">
        <v>424</v>
      </c>
      <c r="B47" s="347" t="str">
        <f>+VLOOKUP($A47,Master!$D$22:$G$218,4,FALSE)</f>
        <v>Ostala prava iz oblasti zdravstvene zaštite</v>
      </c>
      <c r="C47" s="348"/>
      <c r="D47" s="348"/>
      <c r="E47" s="348"/>
      <c r="F47" s="348"/>
      <c r="G47" s="189">
        <f>+SUMPRODUCT(('2015'!$G47:$R47)*('2015'!$G$5:$R$5&lt;=Master!$B$3)*($A47='2015'!$A$10:$A$66))</f>
        <v>12039940.539999999</v>
      </c>
      <c r="H47" s="189">
        <f>+SUMPRODUCT(('2015'!$G142:$R142)*('2015'!$G$5:$R$5&lt;=Master!$B$3))</f>
        <v>12500000</v>
      </c>
      <c r="I47" s="190">
        <f t="shared" si="0"/>
        <v>-460059.46000000089</v>
      </c>
      <c r="J47" s="191">
        <f t="shared" si="1"/>
        <v>-3.680475680000006E-2</v>
      </c>
      <c r="K47" s="189">
        <f>+SUMPRODUCT(('2014'!$G47:$R47)*('2014'!$G$5:$R$5&lt;=Master!$B$3))</f>
        <v>12321124.029999999</v>
      </c>
      <c r="L47" s="190">
        <f t="shared" si="2"/>
        <v>-281183.49000000022</v>
      </c>
      <c r="M47" s="192">
        <f t="shared" si="3"/>
        <v>-2.2821253102830785E-2</v>
      </c>
      <c r="N47" s="193">
        <f>+INDEX('2015'!$1:$1048576,MATCH('Analitika - 2015'!$A47,'2015'!$A:$A,0),MATCH('Analitika - 2015'!$N$6,'2015'!$6:$6,0))</f>
        <v>1182832.1200000001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-67167.879999999888</v>
      </c>
      <c r="Q47" s="191">
        <f t="shared" si="5"/>
        <v>-5.3734303999999899E-2</v>
      </c>
      <c r="R47" s="189">
        <f>+INDEX('2014'!$1:$1048576,MATCH('Analitika - 2015'!$A47,'2014'!$A:$A,0),MATCH('Analitika - 2015'!$R$6,'2014'!$6:$6,0))</f>
        <v>1504324.0299999996</v>
      </c>
      <c r="S47" s="190">
        <f t="shared" si="6"/>
        <v>-321491.90999999945</v>
      </c>
      <c r="T47" s="194">
        <f t="shared" si="7"/>
        <v>-0.21371187562562544</v>
      </c>
    </row>
    <row r="48" spans="1:20">
      <c r="A48" s="176">
        <v>425</v>
      </c>
      <c r="B48" s="347" t="str">
        <f>+VLOOKUP($A48,Master!$D$22:$G$218,4,FALSE)</f>
        <v>Ostala prava iz zdravstvenog osiguranja</v>
      </c>
      <c r="C48" s="348"/>
      <c r="D48" s="348"/>
      <c r="E48" s="348"/>
      <c r="F48" s="348"/>
      <c r="G48" s="189">
        <f>+SUMPRODUCT(('2015'!$G48:$R48)*('2015'!$G$5:$R$5&lt;=Master!$B$3)*($A48='2015'!$A$10:$A$66))</f>
        <v>6579713.5999999996</v>
      </c>
      <c r="H48" s="189">
        <f>+SUMPRODUCT(('2015'!$G143:$R143)*('2015'!$G$5:$R$5&lt;=Master!$B$3))</f>
        <v>6183333.3333333312</v>
      </c>
      <c r="I48" s="190">
        <f t="shared" si="0"/>
        <v>396380.26666666847</v>
      </c>
      <c r="J48" s="191">
        <f t="shared" si="1"/>
        <v>6.4104625336927512E-2</v>
      </c>
      <c r="K48" s="189">
        <f>+SUMPRODUCT(('2014'!$G48:$R48)*('2014'!$G$5:$R$5&lt;=Master!$B$3))</f>
        <v>6454893.1500000004</v>
      </c>
      <c r="L48" s="190">
        <f t="shared" si="2"/>
        <v>124820.44999999925</v>
      </c>
      <c r="M48" s="192">
        <f t="shared" si="3"/>
        <v>1.9337337907754382E-2</v>
      </c>
      <c r="N48" s="193">
        <f>+INDEX('2015'!$1:$1048576,MATCH('Analitika - 2015'!$A48,'2015'!$A:$A,0),MATCH('Analitika - 2015'!$N$6,'2015'!$6:$6,0))</f>
        <v>718254.19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99920.856666666688</v>
      </c>
      <c r="Q48" s="191">
        <f t="shared" si="5"/>
        <v>0.16159707277628033</v>
      </c>
      <c r="R48" s="189">
        <f>+INDEX('2014'!$1:$1048576,MATCH('Analitika - 2015'!$A48,'2014'!$A:$A,0),MATCH('Analitika - 2015'!$R$6,'2014'!$6:$6,0))</f>
        <v>796557.62999999977</v>
      </c>
      <c r="S48" s="190">
        <f t="shared" si="6"/>
        <v>-78303.439999999828</v>
      </c>
      <c r="T48" s="194">
        <f t="shared" si="7"/>
        <v>-9.8302291072147385E-2</v>
      </c>
    </row>
    <row r="49" spans="1:20">
      <c r="A49" s="176">
        <v>43</v>
      </c>
      <c r="B49" s="369" t="str">
        <f>+VLOOKUP($A49,Master!$D$22:$G$218,4,FALSE)</f>
        <v xml:space="preserve">Transferi institucijama, pojedincima, nevladinom i javnom sektoru </v>
      </c>
      <c r="C49" s="370"/>
      <c r="D49" s="370"/>
      <c r="E49" s="370"/>
      <c r="F49" s="370"/>
      <c r="G49" s="201">
        <f>+SUMPRODUCT(('2015'!$G49:$R49)*('2015'!$G$5:$R$5&lt;=Master!$B$3)*($A49='2015'!$A$10:$A$66))</f>
        <v>104167155.53000003</v>
      </c>
      <c r="H49" s="201">
        <f>+SUMPRODUCT(('2015'!$G144:$R144)*('2015'!$G$5:$R$5&lt;=Master!$B$3))</f>
        <v>106912247.18333334</v>
      </c>
      <c r="I49" s="202">
        <f t="shared" si="0"/>
        <v>-2745091.6533333063</v>
      </c>
      <c r="J49" s="203">
        <f t="shared" si="1"/>
        <v>-2.5676119674353237E-2</v>
      </c>
      <c r="K49" s="201">
        <f>+SUMPRODUCT(('2014'!$G49:$R49)*('2014'!$G$5:$R$5&lt;=Master!$B$3))</f>
        <v>82844241.150000006</v>
      </c>
      <c r="L49" s="202">
        <f t="shared" si="2"/>
        <v>21322914.380000025</v>
      </c>
      <c r="M49" s="204">
        <f t="shared" si="3"/>
        <v>0.25738559595702237</v>
      </c>
      <c r="N49" s="205">
        <f>+INDEX('2015'!$1:$1048576,MATCH('Analitika - 2015'!$A49,'2015'!$A:$A,0),MATCH('Analitika - 2015'!$N$6,'2015'!$6:$6,0))</f>
        <v>11050474.780000005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359250.06166667119</v>
      </c>
      <c r="Q49" s="203">
        <f t="shared" si="5"/>
        <v>3.3602330053976726E-2</v>
      </c>
      <c r="R49" s="201">
        <f>+INDEX('2014'!$1:$1048576,MATCH('Analitika - 2015'!$A49,'2014'!$A:$A,0),MATCH('Analitika - 2015'!$R$6,'2014'!$6:$6,0))</f>
        <v>13729651.66</v>
      </c>
      <c r="S49" s="202">
        <f t="shared" si="6"/>
        <v>-2679176.8799999952</v>
      </c>
      <c r="T49" s="206">
        <f t="shared" si="7"/>
        <v>-0.19513800833021244</v>
      </c>
    </row>
    <row r="50" spans="1:20">
      <c r="A50" s="176">
        <v>44</v>
      </c>
      <c r="B50" s="369" t="str">
        <f>+VLOOKUP($A50,Master!$D$22:$G$218,4,FALSE)</f>
        <v>Kapitalni budžet</v>
      </c>
      <c r="C50" s="370"/>
      <c r="D50" s="370"/>
      <c r="E50" s="370"/>
      <c r="F50" s="370"/>
      <c r="G50" s="201">
        <f>+SUMPRODUCT(('2015'!$G50:$R50)*('2015'!$G$5:$R$5&lt;=Master!$B$3)*($A50='2015'!$A$10:$A$66))</f>
        <v>202304772.44000003</v>
      </c>
      <c r="H50" s="201">
        <f>+SUMPRODUCT(('2015'!$G145:$R145)*('2015'!$G$5:$R$5&lt;=Master!$B$3))</f>
        <v>237247564.16666663</v>
      </c>
      <c r="I50" s="202">
        <f t="shared" si="0"/>
        <v>-34942791.7266666</v>
      </c>
      <c r="J50" s="203">
        <f t="shared" si="1"/>
        <v>-0.14728409056338831</v>
      </c>
      <c r="K50" s="201">
        <f>+SUMPRODUCT(('2014'!$G50:$R50)*('2014'!$G$5:$R$5&lt;=Master!$B$3))</f>
        <v>50981322.280000016</v>
      </c>
      <c r="L50" s="202">
        <f t="shared" si="2"/>
        <v>151323450.16000003</v>
      </c>
      <c r="M50" s="204">
        <f t="shared" si="3"/>
        <v>2.9682135219816423</v>
      </c>
      <c r="N50" s="205">
        <f>+INDEX('2015'!$1:$1048576,MATCH('Analitika - 2015'!$A50,'2015'!$A:$A,0),MATCH('Analitika - 2015'!$N$6,'2015'!$6:$6,0))</f>
        <v>6479613.9900000002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-17245142.42666667</v>
      </c>
      <c r="Q50" s="203">
        <f t="shared" si="5"/>
        <v>-0.72688385599406768</v>
      </c>
      <c r="R50" s="201">
        <f>+INDEX('2014'!$1:$1048576,MATCH('Analitika - 2015'!$A50,'2014'!$A:$A,0),MATCH('Analitika - 2015'!$R$6,'2014'!$6:$6,0))</f>
        <v>9173399.000000013</v>
      </c>
      <c r="S50" s="202">
        <f t="shared" si="6"/>
        <v>-2693785.0100000128</v>
      </c>
      <c r="T50" s="206">
        <f t="shared" si="7"/>
        <v>-0.29365178708568207</v>
      </c>
    </row>
    <row r="51" spans="1:20">
      <c r="A51" s="176">
        <v>451</v>
      </c>
      <c r="B51" s="371" t="str">
        <f>+VLOOKUP($A51,Master!$D$22:$G$218,4,FALSE)</f>
        <v>Pozajmice i krediti</v>
      </c>
      <c r="C51" s="372"/>
      <c r="D51" s="372"/>
      <c r="E51" s="372"/>
      <c r="F51" s="372"/>
      <c r="G51" s="189">
        <f>+SUMPRODUCT(('2015'!$G51:$R51)*('2015'!$G$5:$R$5&lt;=Master!$B$3)*($A51='2015'!$A$10:$A$66))</f>
        <v>1847755.7999999998</v>
      </c>
      <c r="H51" s="189">
        <f>+SUMPRODUCT(('2015'!$G146:$R146)*('2015'!$G$5:$R$5&lt;=Master!$B$3))</f>
        <v>1875000</v>
      </c>
      <c r="I51" s="190">
        <f t="shared" si="0"/>
        <v>-27244.200000000186</v>
      </c>
      <c r="J51" s="191">
        <f t="shared" si="1"/>
        <v>-1.4530240000000139E-2</v>
      </c>
      <c r="K51" s="189">
        <f>+SUMPRODUCT(('2014'!$G51:$R51)*('2014'!$G$5:$R$5&lt;=Master!$B$3))</f>
        <v>1780010.46</v>
      </c>
      <c r="L51" s="190">
        <f t="shared" si="2"/>
        <v>67745.339999999851</v>
      </c>
      <c r="M51" s="192">
        <f t="shared" si="3"/>
        <v>3.8058956125460064E-2</v>
      </c>
      <c r="N51" s="193">
        <f>+INDEX('2015'!$1:$1048576,MATCH('Analitika - 2015'!$A51,'2015'!$A:$A,0),MATCH('Analitika - 2015'!$N$6,'2015'!$6:$6,0))</f>
        <v>331666.67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144166.66999999998</v>
      </c>
      <c r="Q51" s="191">
        <f t="shared" si="5"/>
        <v>0.76888890666666665</v>
      </c>
      <c r="R51" s="189">
        <f>+INDEX('2014'!$1:$1048576,MATCH('Analitika - 2015'!$A51,'2014'!$A:$A,0),MATCH('Analitika - 2015'!$R$6,'2014'!$6:$6,0))</f>
        <v>5000</v>
      </c>
      <c r="S51" s="190">
        <f t="shared" si="6"/>
        <v>326666.67</v>
      </c>
      <c r="T51" s="194">
        <f t="shared" si="7"/>
        <v>65.333333999999994</v>
      </c>
    </row>
    <row r="52" spans="1:20">
      <c r="A52" s="176">
        <v>47</v>
      </c>
      <c r="B52" s="371" t="str">
        <f>+VLOOKUP($A52,Master!$D$22:$G$218,4,FALSE)</f>
        <v>Rezerve</v>
      </c>
      <c r="C52" s="372"/>
      <c r="D52" s="372"/>
      <c r="E52" s="372"/>
      <c r="F52" s="372"/>
      <c r="G52" s="189">
        <f>+SUMPRODUCT(('2015'!$G52:$R52)*('2015'!$G$5:$R$5&lt;=Master!$B$3)*($A52='2015'!$A$10:$A$66))</f>
        <v>14829481.16</v>
      </c>
      <c r="H52" s="189">
        <f>+SUMPRODUCT(('2015'!$G147:$R147)*('2015'!$G$5:$R$5&lt;=Master!$B$3))</f>
        <v>10879302.858333332</v>
      </c>
      <c r="I52" s="190">
        <f t="shared" si="0"/>
        <v>3950178.3016666677</v>
      </c>
      <c r="J52" s="191">
        <f t="shared" si="1"/>
        <v>0.36309112386194009</v>
      </c>
      <c r="K52" s="189">
        <f>+SUMPRODUCT(('2014'!$G52:$R52)*('2014'!$G$5:$R$5&lt;=Master!$B$3))</f>
        <v>10337493.959999999</v>
      </c>
      <c r="L52" s="190">
        <f t="shared" si="2"/>
        <v>4491987.2000000011</v>
      </c>
      <c r="M52" s="192">
        <f t="shared" si="3"/>
        <v>0.43453347758957261</v>
      </c>
      <c r="N52" s="193">
        <f>+INDEX('2015'!$1:$1048576,MATCH('Analitika - 2015'!$A52,'2015'!$A:$A,0),MATCH('Analitika - 2015'!$N$6,'2015'!$6:$6,0))</f>
        <v>589832.69999999995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-498097.58583333343</v>
      </c>
      <c r="Q52" s="191">
        <f t="shared" si="5"/>
        <v>-0.45783961740875745</v>
      </c>
      <c r="R52" s="189">
        <f>+INDEX('2014'!$1:$1048576,MATCH('Analitika - 2015'!$A52,'2014'!$A:$A,0),MATCH('Analitika - 2015'!$R$6,'2014'!$6:$6,0))</f>
        <v>1434433.1700000002</v>
      </c>
      <c r="S52" s="190">
        <f t="shared" si="6"/>
        <v>-844600.4700000002</v>
      </c>
      <c r="T52" s="194">
        <f t="shared" si="7"/>
        <v>-0.58880433586180958</v>
      </c>
    </row>
    <row r="53" spans="1:20" ht="15.75" thickBot="1">
      <c r="A53" s="176">
        <v>462</v>
      </c>
      <c r="B53" s="373" t="str">
        <f>+VLOOKUP($A53,Master!$D$22:$G$218,4,FALSE)</f>
        <v>Otplata garancija</v>
      </c>
      <c r="C53" s="374"/>
      <c r="D53" s="374"/>
      <c r="E53" s="374"/>
      <c r="F53" s="374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15258930.949999999</v>
      </c>
      <c r="L53" s="226">
        <f t="shared" si="2"/>
        <v>-15258930.949999999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73" t="str">
        <f>+VLOOKUP($A54,Master!$D$22:$G$218,4,FALSE)</f>
        <v>Otplata obaveza iz prethodnih godina</v>
      </c>
      <c r="C54" s="374"/>
      <c r="D54" s="374"/>
      <c r="E54" s="374"/>
      <c r="F54" s="374"/>
      <c r="G54" s="225">
        <f>+SUMPRODUCT(('2015'!$G54:$R54)*('2015'!$G$5:$R$5&lt;=Master!$B$3)*($A54='2015'!$A$10:$A$66))</f>
        <v>72020949.889999971</v>
      </c>
      <c r="H54" s="225">
        <v>0</v>
      </c>
      <c r="I54" s="226">
        <f>+G54-H54</f>
        <v>72020949.889999971</v>
      </c>
      <c r="J54" s="227" t="str">
        <f>+IF(ISNUMBER(G54/H54-1),G54/H54-1,"…")</f>
        <v>…</v>
      </c>
      <c r="K54" s="225">
        <f>+SUMPRODUCT(('2014'!$G54:$R54)*('2014'!$G$5:$R$5&lt;=Master!$B$3))</f>
        <v>40416260.560000017</v>
      </c>
      <c r="L54" s="226">
        <f>+G54-K54</f>
        <v>31604689.329999954</v>
      </c>
      <c r="M54" s="228">
        <f>+IF(ISNUMBER(G54/K54-1),G54/K54-1,"…")</f>
        <v>0.78197955209342451</v>
      </c>
      <c r="N54" s="229">
        <f>+INDEX('2015'!$1:$1048576,MATCH('Analitika - 2015'!$A54,'2015'!$A:$A,0),MATCH('Analitika - 2015'!$N$6,'2015'!$6:$6,0))</f>
        <v>9390060.9599999879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6572470.9599999879</v>
      </c>
      <c r="Q54" s="227">
        <f>+IF(ISNUMBER(N54/O54-O592),N54/O54-1,"…")</f>
        <v>2.3326569728029938</v>
      </c>
      <c r="R54" s="225">
        <f>+INDEX('2014'!$1:$1048576,MATCH('Analitika - 2015'!$A54,'2014'!$A:$A,0),MATCH('Analitika - 2015'!$R$6,'2014'!$6:$6,0))</f>
        <v>1457465.0300000005</v>
      </c>
      <c r="S54" s="226">
        <f>+N54-R54</f>
        <v>7932595.9299999876</v>
      </c>
      <c r="T54" s="230">
        <f>+IF(ISNUMBER(N54/R54-1),N54/R54-1,"…")</f>
        <v>5.4427349999608463</v>
      </c>
    </row>
    <row r="55" spans="1:20" ht="15.75" thickBot="1">
      <c r="A55" s="170">
        <v>1005</v>
      </c>
      <c r="B55" s="373" t="str">
        <f>+VLOOKUP($A55,Master!$D$22:$G$220,4,FALSE)</f>
        <v>Neto povećanje obaveza</v>
      </c>
      <c r="C55" s="374"/>
      <c r="D55" s="374"/>
      <c r="E55" s="374"/>
      <c r="F55" s="374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75" t="str">
        <f>+VLOOKUP($A56,Master!$D$22:$G$218,4,FALSE)</f>
        <v>Suficit / deficit</v>
      </c>
      <c r="C56" s="376"/>
      <c r="D56" s="376"/>
      <c r="E56" s="376"/>
      <c r="F56" s="376"/>
      <c r="G56" s="177">
        <f>+SUMPRODUCT(('2015'!$G56:$R56)*('2015'!$G$5:$R$5&lt;=Master!$B$3)*($A56='2015'!$A$10:$A$66))</f>
        <v>-252227749.56000024</v>
      </c>
      <c r="H56" s="177">
        <f>+SUMPRODUCT(('2015'!$G149:$R149)*('2015'!$G$5:$R$5&lt;=Master!$B$3))</f>
        <v>-233148779.49488652</v>
      </c>
      <c r="I56" s="178">
        <f t="shared" si="0"/>
        <v>-19078970.065113723</v>
      </c>
      <c r="J56" s="179">
        <f t="shared" si="1"/>
        <v>8.1831738971347212E-2</v>
      </c>
      <c r="K56" s="177">
        <f>+SUMPRODUCT(('2014'!$G56:$R56)*('2014'!$G$5:$R$5&lt;=Master!$B$3))</f>
        <v>-71014043.690000102</v>
      </c>
      <c r="L56" s="178">
        <f t="shared" si="2"/>
        <v>-181213705.87000012</v>
      </c>
      <c r="M56" s="180">
        <f t="shared" si="3"/>
        <v>2.5518009741996694</v>
      </c>
      <c r="N56" s="181">
        <f>+INDEX('2015'!$1:$1048576,MATCH('Analitika - 2015'!$A56,'2015'!$A:$A,0),MATCH('Analitika - 2015'!$N$6,'2015'!$6:$6,0))</f>
        <v>-3955565.9599999636</v>
      </c>
      <c r="O56" s="177">
        <f>+INDEX('2015'!$1:$1048576,MATCH(CONCATENATE('Analitika - 2015'!$A56,"p"),'2015'!$A:$A,0),MATCH('Analitika - 2015'!$O$6,'2015'!$101:$101,0))</f>
        <v>-14977997.123338342</v>
      </c>
      <c r="P56" s="178">
        <f t="shared" si="4"/>
        <v>11022431.163338378</v>
      </c>
      <c r="Q56" s="179">
        <f t="shared" si="5"/>
        <v>-0.73590821740534995</v>
      </c>
      <c r="R56" s="177">
        <f>+INDEX('2014'!$1:$1048576,MATCH('Analitika - 2015'!$A56,'2014'!$A:$A,0),MATCH('Analitika - 2015'!$R$6,'2014'!$6:$6,0))</f>
        <v>-1436809.9499999881</v>
      </c>
      <c r="S56" s="178">
        <f t="shared" si="6"/>
        <v>-2518756.0099999756</v>
      </c>
      <c r="T56" s="182">
        <f t="shared" si="7"/>
        <v>1.7530196042976987</v>
      </c>
    </row>
    <row r="57" spans="1:20" ht="15.75" thickBot="1">
      <c r="A57" s="170">
        <v>1001</v>
      </c>
      <c r="B57" s="367" t="str">
        <f>+VLOOKUP($A57,Master!$D$22:$G$218,4,FALSE)</f>
        <v>Primarni bilans</v>
      </c>
      <c r="C57" s="368"/>
      <c r="D57" s="368"/>
      <c r="E57" s="368"/>
      <c r="F57" s="368"/>
      <c r="G57" s="231">
        <f>+SUMPRODUCT(('2015'!$G57:$R57)*('2015'!$G$5:$R$5&lt;=Master!$B$3)*($A57='2015'!$A$10:$A$66))</f>
        <v>-178908127.1000002</v>
      </c>
      <c r="H57" s="231">
        <f>+SUMPRODUCT(('2015'!$G150:$R150)*('2015'!$G$5:$R$5&lt;=Master!$B$3))</f>
        <v>-170010542.85321987</v>
      </c>
      <c r="I57" s="232">
        <f t="shared" si="0"/>
        <v>-8897584.2467803359</v>
      </c>
      <c r="J57" s="233">
        <f t="shared" si="1"/>
        <v>5.2335485184952013E-2</v>
      </c>
      <c r="K57" s="231">
        <f>+SUMPRODUCT(('2014'!$G57:$R57)*('2014'!$G$5:$R$5&lt;=Master!$B$3))</f>
        <v>-2262566.3600001</v>
      </c>
      <c r="L57" s="232">
        <f t="shared" si="2"/>
        <v>-176645560.7400001</v>
      </c>
      <c r="M57" s="234">
        <f t="shared" si="3"/>
        <v>78.07309604832642</v>
      </c>
      <c r="N57" s="235">
        <f>+INDEX('2015'!$1:$1048576,MATCH('Analitika - 2015'!$A57,'2015'!$A:$A,0),MATCH('Analitika - 2015'!$N$6,'2015'!$6:$6,0))</f>
        <v>-3467164.6899999636</v>
      </c>
      <c r="O57" s="231">
        <f>+INDEX('2015'!$1:$1048576,MATCH(CONCATENATE('Analitika - 2015'!$A57,"p"),'2015'!$A:$A,0),MATCH('Analitika - 2015'!$O$6,'2015'!$101:$101,0))</f>
        <v>-8664173.4591716751</v>
      </c>
      <c r="P57" s="232">
        <f t="shared" si="4"/>
        <v>5197008.7691717111</v>
      </c>
      <c r="Q57" s="233">
        <f t="shared" si="5"/>
        <v>-0.59982741500521197</v>
      </c>
      <c r="R57" s="231">
        <f>+INDEX('2014'!$1:$1048576,MATCH('Analitika - 2015'!$A57,'2014'!$A:$A,0),MATCH('Analitika - 2015'!$R$6,'2014'!$6:$6,0))</f>
        <v>-848266.28999998805</v>
      </c>
      <c r="S57" s="232">
        <f t="shared" si="6"/>
        <v>-2618898.3999999757</v>
      </c>
      <c r="T57" s="236">
        <f t="shared" si="7"/>
        <v>3.0873540901878966</v>
      </c>
    </row>
    <row r="58" spans="1:20">
      <c r="A58" s="170">
        <v>46</v>
      </c>
      <c r="B58" s="365" t="str">
        <f>+VLOOKUP($A58,Master!$D$22:$G$218,4,FALSE)</f>
        <v>Otplata dugova</v>
      </c>
      <c r="C58" s="366"/>
      <c r="D58" s="366"/>
      <c r="E58" s="366"/>
      <c r="F58" s="366"/>
      <c r="G58" s="219">
        <f>+SUMPRODUCT(('2015'!$G58:$R58)*('2015'!$G$5:$R$5&lt;=Master!$B$3)*($A58='2015'!$A$10:$A$66))</f>
        <v>421879808.39000005</v>
      </c>
      <c r="H58" s="219">
        <f>+SUMPRODUCT(('2015'!$G151:$R151)*('2015'!$G$5:$R$5&lt;=Master!$B$3))</f>
        <v>331910070.3083334</v>
      </c>
      <c r="I58" s="220">
        <f t="shared" si="0"/>
        <v>89969738.081666648</v>
      </c>
      <c r="J58" s="221">
        <f t="shared" si="1"/>
        <v>0.27106661150138578</v>
      </c>
      <c r="K58" s="219">
        <f>+SUMPRODUCT(('2014'!$G58:$R58)*('2014'!$G$5:$R$5&lt;=Master!$B$3))</f>
        <v>173066181.06</v>
      </c>
      <c r="L58" s="220">
        <f t="shared" si="2"/>
        <v>248813627.33000004</v>
      </c>
      <c r="M58" s="222">
        <f t="shared" si="3"/>
        <v>1.437679076328259</v>
      </c>
      <c r="N58" s="223">
        <f>+INDEX('2015'!$1:$1048576,MATCH('Analitika - 2015'!$A58,'2015'!$A:$A,0),MATCH('Analitika - 2015'!$N$6,'2015'!$6:$6,0))</f>
        <v>5631090.1799999997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-27559916.850833334</v>
      </c>
      <c r="Q58" s="221">
        <f t="shared" si="5"/>
        <v>-0.83034289454463051</v>
      </c>
      <c r="R58" s="219">
        <f>+INDEX('2014'!$1:$1048576,MATCH('Analitika - 2015'!$A58,'2014'!$A:$A,0),MATCH('Analitika - 2015'!$R$6,'2014'!$6:$6,0))</f>
        <v>10152744.359999999</v>
      </c>
      <c r="S58" s="220">
        <f t="shared" si="6"/>
        <v>-4521654.18</v>
      </c>
      <c r="T58" s="224">
        <f t="shared" si="7"/>
        <v>-0.44536275313052398</v>
      </c>
    </row>
    <row r="59" spans="1:20">
      <c r="A59" s="170">
        <v>4611</v>
      </c>
      <c r="B59" s="377" t="str">
        <f>+VLOOKUP($A59,Master!$D$22:$G$218,4,FALSE)</f>
        <v>Otplata hartija od vrijednosti i kredita rezidentima</v>
      </c>
      <c r="C59" s="378"/>
      <c r="D59" s="378"/>
      <c r="E59" s="378"/>
      <c r="F59" s="378"/>
      <c r="G59" s="237">
        <f>+SUMPRODUCT(('2015'!$G59:$R59)*('2015'!$G$5:$R$5&lt;=Master!$B$3)*($A59='2015'!$A$10:$A$66))</f>
        <v>128623539.68999998</v>
      </c>
      <c r="H59" s="237">
        <f>+SUMPRODUCT(('2015'!$G152:$R152)*('2015'!$G$5:$R$5&lt;=Master!$B$3))</f>
        <v>38925101.599999994</v>
      </c>
      <c r="I59" s="238">
        <f t="shared" si="0"/>
        <v>89698438.089999989</v>
      </c>
      <c r="J59" s="239">
        <f t="shared" si="1"/>
        <v>2.3043854583028245</v>
      </c>
      <c r="K59" s="237">
        <f>+SUMPRODUCT(('2014'!$G59:$R59)*('2014'!$G$5:$R$5&lt;=Master!$B$3))</f>
        <v>89151284.75999999</v>
      </c>
      <c r="L59" s="238">
        <f t="shared" si="2"/>
        <v>39472254.929999992</v>
      </c>
      <c r="M59" s="240">
        <f t="shared" si="3"/>
        <v>0.44275587319085097</v>
      </c>
      <c r="N59" s="241">
        <f>+INDEX('2015'!$1:$1048576,MATCH('Analitika - 2015'!$A59,'2015'!$A:$A,0),MATCH('Analitika - 2015'!$N$6,'2015'!$6:$6,0))</f>
        <v>100557.85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-3791952.31</v>
      </c>
      <c r="Q59" s="239">
        <f t="shared" si="5"/>
        <v>-0.97416632304949458</v>
      </c>
      <c r="R59" s="237">
        <f>+INDEX('2014'!$1:$1048576,MATCH('Analitika - 2015'!$A59,'2014'!$A:$A,0),MATCH('Analitika - 2015'!$R$6,'2014'!$6:$6,0))</f>
        <v>5540883.2199999997</v>
      </c>
      <c r="S59" s="238">
        <f t="shared" si="6"/>
        <v>-5440325.3700000001</v>
      </c>
      <c r="T59" s="242">
        <f t="shared" si="7"/>
        <v>-0.98185165685552922</v>
      </c>
    </row>
    <row r="60" spans="1:20">
      <c r="A60" s="170">
        <v>4612</v>
      </c>
      <c r="B60" s="371" t="str">
        <f>+VLOOKUP($A60,Master!$D$22:$G$218,4,FALSE)</f>
        <v>Otplata hartija od vrijednosti i kredita nerezidentima</v>
      </c>
      <c r="C60" s="372"/>
      <c r="D60" s="372"/>
      <c r="E60" s="372"/>
      <c r="F60" s="372"/>
      <c r="G60" s="237">
        <f>+SUMPRODUCT(('2015'!$G60:$R60)*('2015'!$G$5:$R$5&lt;=Master!$B$3)*($A60='2015'!$A$10:$A$66))</f>
        <v>293256268.69999999</v>
      </c>
      <c r="H60" s="237">
        <f>+SUMPRODUCT(('2015'!$G153:$R153)*('2015'!$G$5:$R$5&lt;=Master!$B$3))</f>
        <v>264809068.70833334</v>
      </c>
      <c r="I60" s="238">
        <f t="shared" si="0"/>
        <v>28447199.991666645</v>
      </c>
      <c r="J60" s="239">
        <f t="shared" si="1"/>
        <v>0.10742532395293081</v>
      </c>
      <c r="K60" s="237">
        <f>+SUMPRODUCT(('2014'!$G60:$R60)*('2014'!$G$5:$R$5&lt;=Master!$B$3))</f>
        <v>83914896.300000012</v>
      </c>
      <c r="L60" s="238">
        <f t="shared" si="2"/>
        <v>209341372.39999998</v>
      </c>
      <c r="M60" s="240">
        <f t="shared" si="3"/>
        <v>2.4946866602991911</v>
      </c>
      <c r="N60" s="241">
        <f>+INDEX('2015'!$1:$1048576,MATCH('Analitika - 2015'!$A60,'2015'!$A:$A,0),MATCH('Analitika - 2015'!$N$6,'2015'!$6:$6,0))</f>
        <v>5530532.3300000001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-20950374.540833332</v>
      </c>
      <c r="Q60" s="239">
        <f t="shared" si="5"/>
        <v>-0.79115019145770071</v>
      </c>
      <c r="R60" s="237">
        <f>+INDEX('2014'!$1:$1048576,MATCH('Analitika - 2015'!$A60,'2014'!$A:$A,0),MATCH('Analitika - 2015'!$R$6,'2014'!$6:$6,0))</f>
        <v>4611861.1400000006</v>
      </c>
      <c r="S60" s="238">
        <f t="shared" si="6"/>
        <v>918671.18999999948</v>
      </c>
      <c r="T60" s="242">
        <f t="shared" si="7"/>
        <v>0.19919749578583357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28175900</v>
      </c>
      <c r="I61" s="238">
        <f>+G61-H61</f>
        <v>-28175900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79" t="str">
        <f>+VLOOKUP($A62,Master!$D$22:$G$218,4,FALSE)</f>
        <v>Nedostajuća sredstva</v>
      </c>
      <c r="C62" s="380"/>
      <c r="D62" s="380"/>
      <c r="E62" s="380"/>
      <c r="F62" s="380"/>
      <c r="G62" s="243">
        <f>+SUMPRODUCT(('2015'!$G61:$R61)*('2015'!$G$5:$R$5&lt;=Master!$B$3)*($A62='2015'!$A$10:$A$66))</f>
        <v>-674107557.95000017</v>
      </c>
      <c r="H62" s="243">
        <f>+SUMPRODUCT(('2015'!$G155:$R155)*('2015'!$G$5:$R$5&lt;=Master!$B$3))</f>
        <v>-565058849.80321991</v>
      </c>
      <c r="I62" s="244">
        <f t="shared" si="0"/>
        <v>-109048708.14678025</v>
      </c>
      <c r="J62" s="245">
        <f t="shared" si="1"/>
        <v>0.19298646182562429</v>
      </c>
      <c r="K62" s="243">
        <f>+SUMPRODUCT(('2014'!$G61:$R61)*('2014'!$G$5:$R$5&lt;=Master!$B$3))</f>
        <v>-244080224.75000006</v>
      </c>
      <c r="L62" s="244">
        <f t="shared" si="2"/>
        <v>-430027333.20000011</v>
      </c>
      <c r="M62" s="246">
        <f t="shared" si="3"/>
        <v>1.7618278319780187</v>
      </c>
      <c r="N62" s="247">
        <f>+INDEX('2015'!$1:$1048576,MATCH('Analitika - 2015'!$A62,'2015'!$A:$A,0),MATCH('Analitika - 2015'!$N$6,'2015'!$6:$6,0))</f>
        <v>-9586656.1399999633</v>
      </c>
      <c r="O62" s="243">
        <f>+INDEX('2015'!$1:$1048576,MATCH(CONCATENATE('Analitika - 2015'!$A62,"p"),'2015'!$A:$A,0),MATCH('Analitika - 2015'!$O$6,'2015'!$101:$101,0))</f>
        <v>-48169004.154171675</v>
      </c>
      <c r="P62" s="244">
        <f t="shared" si="4"/>
        <v>38582348.014171712</v>
      </c>
      <c r="Q62" s="245">
        <f t="shared" si="5"/>
        <v>-0.80097873501149164</v>
      </c>
      <c r="R62" s="243">
        <f>+INDEX('2014'!$1:$1048576,MATCH('Analitika - 2015'!$A62,'2014'!$A:$A,0),MATCH('Analitika - 2015'!$R$6,'2014'!$6:$6,0))</f>
        <v>-11589554.309999987</v>
      </c>
      <c r="S62" s="244">
        <f t="shared" si="6"/>
        <v>2002898.1700000241</v>
      </c>
      <c r="T62" s="248">
        <f t="shared" si="7"/>
        <v>-0.17281925744735793</v>
      </c>
    </row>
    <row r="63" spans="1:20" ht="15.75" thickBot="1">
      <c r="A63" s="170">
        <v>1003</v>
      </c>
      <c r="B63" s="359" t="str">
        <f>+VLOOKUP($A63,Master!$D$22:$G$218,4,FALSE)</f>
        <v>Finansiranje</v>
      </c>
      <c r="C63" s="360"/>
      <c r="D63" s="360"/>
      <c r="E63" s="360"/>
      <c r="F63" s="360"/>
      <c r="G63" s="177">
        <f>+SUMPRODUCT(('2015'!$G62:$R62)*('2015'!$G$5:$R$5&lt;=Master!$B$3)*($A63='2015'!$A$10:$A$66))</f>
        <v>674107557.95000017</v>
      </c>
      <c r="H63" s="177">
        <f>+SUMPRODUCT(('2015'!$G156:$R156)*('2015'!$G$5:$R$5&lt;=Master!$B$3))</f>
        <v>565058849.80321991</v>
      </c>
      <c r="I63" s="178">
        <f t="shared" si="0"/>
        <v>109048708.14678025</v>
      </c>
      <c r="J63" s="179">
        <f t="shared" si="1"/>
        <v>0.19298646182562429</v>
      </c>
      <c r="K63" s="177">
        <f>+SUMPRODUCT(('2014'!$G62:$R62)*('2014'!$G$5:$R$5&lt;=Master!$B$3))</f>
        <v>244080224.75000006</v>
      </c>
      <c r="L63" s="178">
        <f t="shared" si="2"/>
        <v>430027333.20000011</v>
      </c>
      <c r="M63" s="180">
        <f t="shared" si="3"/>
        <v>1.7618278319780187</v>
      </c>
      <c r="N63" s="181">
        <f>+INDEX('2015'!$1:$1048576,MATCH('Analitika - 2015'!$A63,'2015'!$A:$A,0),MATCH('Analitika - 2015'!$N$6,'2015'!$6:$6,0))</f>
        <v>9586656.1399999633</v>
      </c>
      <c r="O63" s="177">
        <f>+INDEX('2015'!$1:$1048576,MATCH(CONCATENATE('Analitika - 2015'!$A63,"p"),'2015'!$A:$A,0),MATCH('Analitika - 2015'!$O$6,'2015'!$101:$101,0))</f>
        <v>48169004.154171675</v>
      </c>
      <c r="P63" s="178">
        <f t="shared" si="4"/>
        <v>-38582348.014171712</v>
      </c>
      <c r="Q63" s="179">
        <f t="shared" si="5"/>
        <v>-0.80097873501149164</v>
      </c>
      <c r="R63" s="177">
        <f>+INDEX('2014'!$1:$1048576,MATCH('Analitika - 2015'!$A63,'2014'!$A:$A,0),MATCH('Analitika - 2015'!$R$6,'2014'!$6:$6,0))</f>
        <v>11589554.309999987</v>
      </c>
      <c r="S63" s="178">
        <f t="shared" si="6"/>
        <v>-2002898.1700000241</v>
      </c>
      <c r="T63" s="182">
        <f t="shared" si="7"/>
        <v>-0.17281925744735793</v>
      </c>
    </row>
    <row r="64" spans="1:20">
      <c r="A64" s="170">
        <v>7511</v>
      </c>
      <c r="B64" s="377" t="str">
        <f>+VLOOKUP($A64,Master!$D$22:$G$218,4,FALSE)</f>
        <v>Pozajmice i krediti od domaćih izvora</v>
      </c>
      <c r="C64" s="378"/>
      <c r="D64" s="378"/>
      <c r="E64" s="378"/>
      <c r="F64" s="378"/>
      <c r="G64" s="237">
        <f>+SUMPRODUCT(('2015'!$G63:$R63)*('2015'!$G$5:$R$5&lt;=Master!$B$3)*($A64='2015'!$A$10:$A$66))</f>
        <v>113109433.14</v>
      </c>
      <c r="H64" s="237">
        <f>+SUMPRODUCT(('2015'!$G157:$R157)*('2015'!$G$5:$R$5&lt;=Master!$B$3))</f>
        <v>0</v>
      </c>
      <c r="I64" s="238">
        <f t="shared" si="0"/>
        <v>113109433.14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14698673.469999999</v>
      </c>
      <c r="M64" s="240">
        <f t="shared" si="3"/>
        <v>0.14936043090500406</v>
      </c>
      <c r="N64" s="241">
        <f>+INDEX('2015'!$1:$1048576,MATCH('Analitika - 2015'!$A64,'2015'!$A:$A,0),MATCH('Analitika - 2015'!$N$6,'2015'!$6:$6,0))</f>
        <v>1250090.33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1250090.33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1250090.33</v>
      </c>
      <c r="T64" s="242" t="str">
        <f t="shared" si="7"/>
        <v>…</v>
      </c>
    </row>
    <row r="65" spans="1:20">
      <c r="A65" s="170">
        <v>7512</v>
      </c>
      <c r="B65" s="371" t="str">
        <f>+VLOOKUP($A65,Master!$D$22:$G$218,4,FALSE)</f>
        <v>Pozajmice i krediti od inostranih izvora</v>
      </c>
      <c r="C65" s="372"/>
      <c r="D65" s="372"/>
      <c r="E65" s="372"/>
      <c r="F65" s="372"/>
      <c r="G65" s="237">
        <f>+SUMPRODUCT(('2015'!$G64:$R64)*('2015'!$G$5:$R$5&lt;=Master!$B$3)*($A65='2015'!$A$10:$A$66))</f>
        <v>648651125.19999993</v>
      </c>
      <c r="H65" s="237">
        <f>+SUMPRODUCT(('2015'!$G158:$R158)*('2015'!$G$5:$R$5&lt;=Master!$B$3))</f>
        <v>528401365.69718099</v>
      </c>
      <c r="I65" s="238">
        <f t="shared" si="0"/>
        <v>120249759.50281894</v>
      </c>
      <c r="J65" s="239">
        <f t="shared" si="1"/>
        <v>0.22757276439692675</v>
      </c>
      <c r="K65" s="237">
        <f>+SUMPRODUCT(('2014'!$G64:$R64)*('2014'!$G$5:$R$5&lt;=Master!$B$3))</f>
        <v>201572556.46999997</v>
      </c>
      <c r="L65" s="238">
        <f t="shared" si="2"/>
        <v>447078568.72999996</v>
      </c>
      <c r="M65" s="240">
        <f t="shared" si="3"/>
        <v>2.2179535575644627</v>
      </c>
      <c r="N65" s="241">
        <f>+INDEX('2015'!$1:$1048576,MATCH('Analitika - 2015'!$A65,'2015'!$A:$A,0),MATCH('Analitika - 2015'!$N$6,'2015'!$6:$6,0))</f>
        <v>5090177.8100000005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-47749958.75971809</v>
      </c>
      <c r="Q65" s="239">
        <f t="shared" si="5"/>
        <v>-0.90366834492783832</v>
      </c>
      <c r="R65" s="237">
        <f>+INDEX('2014'!$1:$1048576,MATCH('Analitika - 2015'!$A65,'2014'!$A:$A,0),MATCH('Analitika - 2015'!$R$6,'2014'!$6:$6,0))</f>
        <v>667139.21999999974</v>
      </c>
      <c r="S65" s="238">
        <f t="shared" si="6"/>
        <v>4423038.5900000008</v>
      </c>
      <c r="T65" s="242">
        <f t="shared" si="7"/>
        <v>6.6298584424402485</v>
      </c>
    </row>
    <row r="66" spans="1:20">
      <c r="A66" s="170">
        <v>72</v>
      </c>
      <c r="B66" s="371" t="str">
        <f>+VLOOKUP($A66,Master!$D$22:$G$218,4,FALSE)</f>
        <v>Primici od prodaje imovine</v>
      </c>
      <c r="C66" s="372"/>
      <c r="D66" s="372"/>
      <c r="E66" s="372"/>
      <c r="F66" s="372"/>
      <c r="G66" s="237">
        <f>+SUMPRODUCT(('2015'!$G65:$R65)*('2015'!$G$5:$R$5&lt;=Master!$B$3)*($A66='2015'!$A$10:$A$66))</f>
        <v>6557544.6600000001</v>
      </c>
      <c r="H66" s="237">
        <f>+SUMPRODUCT(('2015'!$G159:$R159)*('2015'!$G$5:$R$5&lt;=Master!$B$3))</f>
        <v>0</v>
      </c>
      <c r="I66" s="238">
        <f t="shared" si="0"/>
        <v>6557544.6600000001</v>
      </c>
      <c r="J66" s="239" t="str">
        <f t="shared" si="1"/>
        <v>…</v>
      </c>
      <c r="K66" s="237">
        <f>+SUMPRODUCT(('2014'!$G65:$R65)*('2014'!$G$5:$R$5&lt;=Master!$B$3))</f>
        <v>3379696.58</v>
      </c>
      <c r="L66" s="238">
        <f t="shared" si="2"/>
        <v>3177848.08</v>
      </c>
      <c r="M66" s="240">
        <f t="shared" si="3"/>
        <v>0.94027614751144317</v>
      </c>
      <c r="N66" s="241">
        <f>+INDEX('2015'!$1:$1048576,MATCH('Analitika - 2015'!$A66,'2015'!$A:$A,0),MATCH('Analitika - 2015'!$N$6,'2015'!$6:$6,0))</f>
        <v>93178.12000000001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93178.12000000001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112214.6</v>
      </c>
      <c r="S66" s="238">
        <f t="shared" si="6"/>
        <v>-19036.479999999996</v>
      </c>
      <c r="T66" s="242">
        <f t="shared" si="7"/>
        <v>-0.1696435223224072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-94210545.049999774</v>
      </c>
      <c r="H67" s="251">
        <f>+SUMPRODUCT(('2015'!$G160:$R160)*('2015'!$G$5:$R$5&lt;=Master!$B$3))</f>
        <v>36657484.106038943</v>
      </c>
      <c r="I67" s="252">
        <f t="shared" si="0"/>
        <v>-130868029.15603872</v>
      </c>
      <c r="J67" s="253">
        <f t="shared" si="1"/>
        <v>-3.5700221209256298</v>
      </c>
      <c r="K67" s="251">
        <f>+SUMPRODUCT(('2014'!$G66:$R66)*('2014'!$G$5:$R$5&lt;=Master!$B$3))</f>
        <v>-59282787.969999842</v>
      </c>
      <c r="L67" s="252">
        <f t="shared" si="2"/>
        <v>-34927757.079999931</v>
      </c>
      <c r="M67" s="254">
        <f t="shared" si="3"/>
        <v>0.5891719717648094</v>
      </c>
      <c r="N67" s="255">
        <f>+INDEX('2015'!$1:$1048576,MATCH('Analitika - 2015'!$A67,'2015'!$A:$A,0),MATCH('Analitika - 2015'!$N$6,'2015'!$6:$6,0))</f>
        <v>3153209.8799999626</v>
      </c>
      <c r="O67" s="251">
        <f>+INDEX('2015'!$1:$1048576,MATCH(CONCATENATE('Analitika - 2015'!$A67,"p"),'2015'!$A:$A,0),MATCH('Analitika - 2015'!$O$6,'2015'!$101:$101,0))</f>
        <v>-4671132.4155464172</v>
      </c>
      <c r="P67" s="252">
        <f t="shared" si="4"/>
        <v>7824342.2955463799</v>
      </c>
      <c r="Q67" s="253">
        <f t="shared" si="5"/>
        <v>-1.6750418527005315</v>
      </c>
      <c r="R67" s="251">
        <f>+INDEX('2014'!$1:$1048576,MATCH('Analitika - 2015'!$A67,'2014'!$A:$A,0),MATCH('Analitika - 2015'!$R$6,'2014'!$6:$6,0))</f>
        <v>10810200.489999987</v>
      </c>
      <c r="S67" s="252">
        <f t="shared" si="6"/>
        <v>-7656990.6100000245</v>
      </c>
      <c r="T67" s="256">
        <f t="shared" si="7"/>
        <v>-0.70831161892724837</v>
      </c>
    </row>
  </sheetData>
  <mergeCells count="63">
    <mergeCell ref="B65:F65"/>
    <mergeCell ref="B66:F66"/>
    <mergeCell ref="B58:F58"/>
    <mergeCell ref="B59:F59"/>
    <mergeCell ref="B60:F60"/>
    <mergeCell ref="B62:F62"/>
    <mergeCell ref="B63:F63"/>
    <mergeCell ref="B64:F6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2015-10</v>
      </c>
      <c r="O6" s="169" t="str">
        <f>+CONCATENATE(N6,"p")</f>
        <v>2015-10p</v>
      </c>
      <c r="P6" s="153"/>
      <c r="Q6" s="153"/>
      <c r="R6" s="169" t="str">
        <f>+IF(Master!B3-10&gt;=0,CONCATENATE(Master!B4-1,"-",Master!B3),CONCATENATE(Master!B4-1,"-0",Master!B3))</f>
        <v>2014-10</v>
      </c>
      <c r="S6" s="153"/>
      <c r="T6" s="153"/>
    </row>
    <row r="7" spans="1:20">
      <c r="A7" s="170"/>
      <c r="B7" s="331" t="s">
        <v>714</v>
      </c>
      <c r="C7" s="332"/>
      <c r="D7" s="332"/>
      <c r="E7" s="332"/>
      <c r="F7" s="332"/>
      <c r="G7" s="339" t="s">
        <v>712</v>
      </c>
      <c r="H7" s="340"/>
      <c r="I7" s="340"/>
      <c r="J7" s="340"/>
      <c r="K7" s="340"/>
      <c r="L7" s="340"/>
      <c r="M7" s="341"/>
      <c r="N7" s="342" t="str">
        <f>+Master!G235</f>
        <v>Decembar</v>
      </c>
      <c r="O7" s="340"/>
      <c r="P7" s="340"/>
      <c r="Q7" s="340"/>
      <c r="R7" s="340"/>
      <c r="S7" s="340"/>
      <c r="T7" s="343"/>
    </row>
    <row r="8" spans="1:20">
      <c r="A8" s="170"/>
      <c r="B8" s="333"/>
      <c r="C8" s="334"/>
      <c r="D8" s="334"/>
      <c r="E8" s="334"/>
      <c r="F8" s="335"/>
      <c r="G8" s="171" t="str">
        <f>+Master!G18</f>
        <v>Ostvarenje</v>
      </c>
      <c r="H8" s="171" t="str">
        <f>+Master!G17</f>
        <v>Plan</v>
      </c>
      <c r="I8" s="344" t="str">
        <f>+Master!G252</f>
        <v>Odstupanje</v>
      </c>
      <c r="J8" s="344"/>
      <c r="K8" s="171" t="str">
        <f>+CONCATENATE(Master!G238," ",Master!B4-1)</f>
        <v>Jan - Okt 2014</v>
      </c>
      <c r="L8" s="344" t="str">
        <f>+I8</f>
        <v>Odstupanje</v>
      </c>
      <c r="M8" s="345"/>
      <c r="N8" s="172" t="str">
        <f>+G8</f>
        <v>Ostvarenje</v>
      </c>
      <c r="O8" s="171" t="str">
        <f>+H8</f>
        <v>Plan</v>
      </c>
      <c r="P8" s="344" t="str">
        <f>+I8</f>
        <v>Odstupanje</v>
      </c>
      <c r="Q8" s="344"/>
      <c r="R8" s="171" t="str">
        <f>+CONCATENATE(Master!G237," ",Master!B4-1)</f>
        <v>Oktobar 2014</v>
      </c>
      <c r="S8" s="344" t="str">
        <f>+P8</f>
        <v>Odstupanje</v>
      </c>
      <c r="T8" s="346"/>
    </row>
    <row r="9" spans="1:20" ht="15.75" thickBot="1">
      <c r="A9" s="170"/>
      <c r="B9" s="336"/>
      <c r="C9" s="337"/>
      <c r="D9" s="337"/>
      <c r="E9" s="337"/>
      <c r="F9" s="338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9" t="str">
        <f>+VLOOKUP($A10,Master!$D$22:$G$218,4,FALSE)</f>
        <v>Prihodi budžeta</v>
      </c>
      <c r="C10" s="350"/>
      <c r="D10" s="350"/>
      <c r="E10" s="350"/>
      <c r="F10" s="35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51" t="str">
        <f>+VLOOKUP($A11,Master!$D$22:$G$218,4,FALSE)</f>
        <v>Porezi</v>
      </c>
      <c r="C11" s="352"/>
      <c r="D11" s="352"/>
      <c r="E11" s="352"/>
      <c r="F11" s="35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7" t="str">
        <f>+VLOOKUP($A12,Master!$D$22:$G$218,4,FALSE)</f>
        <v>Porez na dohodak fizičkih lica</v>
      </c>
      <c r="C12" s="348"/>
      <c r="D12" s="348"/>
      <c r="E12" s="348"/>
      <c r="F12" s="348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7" t="str">
        <f>+VLOOKUP($A13,Master!$D$22:$G$218,4,FALSE)</f>
        <v>Porez na dobit pravnih lica</v>
      </c>
      <c r="C13" s="348"/>
      <c r="D13" s="348"/>
      <c r="E13" s="348"/>
      <c r="F13" s="348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7" t="str">
        <f>+VLOOKUP($A14,Master!$D$22:$G$218,4,FALSE)</f>
        <v>Porez na promet nepokretnosti</v>
      </c>
      <c r="C14" s="348"/>
      <c r="D14" s="348"/>
      <c r="E14" s="348"/>
      <c r="F14" s="348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7" t="str">
        <f>+VLOOKUP($A15,Master!$D$22:$G$218,4,FALSE)</f>
        <v>Porez na dodatu vrijednost</v>
      </c>
      <c r="C15" s="348"/>
      <c r="D15" s="348"/>
      <c r="E15" s="348"/>
      <c r="F15" s="348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7" t="str">
        <f>+VLOOKUP($A16,Master!$D$22:$G$218,4,FALSE)</f>
        <v>Akcize</v>
      </c>
      <c r="C16" s="348"/>
      <c r="D16" s="348"/>
      <c r="E16" s="348"/>
      <c r="F16" s="348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7" t="str">
        <f>+VLOOKUP($A17,Master!$D$22:$G$218,4,FALSE)</f>
        <v>Porez na međunarodnu trgovinu i transakcije</v>
      </c>
      <c r="C17" s="348"/>
      <c r="D17" s="348"/>
      <c r="E17" s="348"/>
      <c r="F17" s="348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7" t="str">
        <f>+VLOOKUP($A18,Master!$D$22:$G$218,4,FALSE)</f>
        <v>Lokalni porezi</v>
      </c>
      <c r="C18" s="348"/>
      <c r="D18" s="348"/>
      <c r="E18" s="348"/>
      <c r="F18" s="348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7" t="str">
        <f>+VLOOKUP($A19,Master!$D$22:$G$218,4,FALSE)</f>
        <v>Ostali republički porezi</v>
      </c>
      <c r="C19" s="348"/>
      <c r="D19" s="348"/>
      <c r="E19" s="348"/>
      <c r="F19" s="348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53" t="str">
        <f>+VLOOKUP($A20,Master!$D$22:$G$218,4,FALSE)</f>
        <v>Doprinosi</v>
      </c>
      <c r="C20" s="354"/>
      <c r="D20" s="354"/>
      <c r="E20" s="354"/>
      <c r="F20" s="35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7" t="str">
        <f>+VLOOKUP($A21,Master!$D$22:$G$218,4,FALSE)</f>
        <v>Doprinosi za penzijsko i invalidsko osiguranje</v>
      </c>
      <c r="C21" s="348"/>
      <c r="D21" s="348"/>
      <c r="E21" s="348"/>
      <c r="F21" s="348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7" t="str">
        <f>+VLOOKUP($A22,Master!$D$22:$G$218,4,FALSE)</f>
        <v>Doprinosi za zdravstveno osiguranje</v>
      </c>
      <c r="C22" s="348"/>
      <c r="D22" s="348"/>
      <c r="E22" s="348"/>
      <c r="F22" s="348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7" t="str">
        <f>+VLOOKUP($A23,Master!$D$22:$G$218,4,FALSE)</f>
        <v>Doprinosi za osiguranje od nezaposlenosti</v>
      </c>
      <c r="C23" s="348"/>
      <c r="D23" s="348"/>
      <c r="E23" s="348"/>
      <c r="F23" s="348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7" t="str">
        <f>+VLOOKUP($A24,Master!$D$22:$G$218,4,FALSE)</f>
        <v>Ostali doprinosi</v>
      </c>
      <c r="C24" s="348"/>
      <c r="D24" s="348"/>
      <c r="E24" s="348"/>
      <c r="F24" s="348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5" t="str">
        <f>+VLOOKUP($A25,Master!$D$22:$G$218,4,FALSE)</f>
        <v>Takse</v>
      </c>
      <c r="C25" s="356"/>
      <c r="D25" s="356"/>
      <c r="E25" s="356"/>
      <c r="F25" s="356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5" t="str">
        <f>+VLOOKUP($A26,Master!$D$22:$G$218,4,FALSE)</f>
        <v>Naknade</v>
      </c>
      <c r="C26" s="356"/>
      <c r="D26" s="356"/>
      <c r="E26" s="356"/>
      <c r="F26" s="356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5" t="str">
        <f>+VLOOKUP($A27,Master!$D$22:$G$218,4,FALSE)</f>
        <v>Ostali prihodi</v>
      </c>
      <c r="C27" s="356"/>
      <c r="D27" s="356"/>
      <c r="E27" s="356"/>
      <c r="F27" s="356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5" t="str">
        <f>+VLOOKUP($A28,Master!$D$22:$G$218,4,FALSE)</f>
        <v>Primici od otplate kredita i sredstva prenesena iz prethodne godine</v>
      </c>
      <c r="C28" s="356"/>
      <c r="D28" s="356"/>
      <c r="E28" s="356"/>
      <c r="F28" s="356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7" t="str">
        <f>+VLOOKUP($A29,Master!$D$22:$G$218,4,FALSE)</f>
        <v>Donacije i transferi</v>
      </c>
      <c r="C29" s="358"/>
      <c r="D29" s="358"/>
      <c r="E29" s="358"/>
      <c r="F29" s="358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59" t="str">
        <f>+VLOOKUP($A30,Master!$D$22:$G$218,4,FALSE)</f>
        <v>Budžetki izdaci</v>
      </c>
      <c r="C30" s="360"/>
      <c r="D30" s="360"/>
      <c r="E30" s="360"/>
      <c r="F30" s="36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61" t="str">
        <f>+VLOOKUP($A31,Master!$D$22:$G$218,4,FALSE)</f>
        <v>Tekući izdaci</v>
      </c>
      <c r="C31" s="362"/>
      <c r="D31" s="362"/>
      <c r="E31" s="362"/>
      <c r="F31" s="362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63" t="str">
        <f>+VLOOKUP($A32,Master!$D$22:$G$218,4,FALSE)</f>
        <v>Tekući budžetski izdaci</v>
      </c>
      <c r="C32" s="364"/>
      <c r="D32" s="364"/>
      <c r="E32" s="364"/>
      <c r="F32" s="364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7" t="str">
        <f>+VLOOKUP($A33,Master!$D$22:$G$218,4,FALSE)</f>
        <v>Bruto zarade i doprinosi na teret poslodavca</v>
      </c>
      <c r="C33" s="348"/>
      <c r="D33" s="348"/>
      <c r="E33" s="348"/>
      <c r="F33" s="348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7" t="str">
        <f>+VLOOKUP($A34,Master!$D$22:$G$218,4,FALSE)</f>
        <v>Ostala lična primanja</v>
      </c>
      <c r="C34" s="348"/>
      <c r="D34" s="348"/>
      <c r="E34" s="348"/>
      <c r="F34" s="348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7" t="str">
        <f>+VLOOKUP($A35,Master!$D$22:$G$218,4,FALSE)</f>
        <v>Rashodi za materijal</v>
      </c>
      <c r="C35" s="348"/>
      <c r="D35" s="348"/>
      <c r="E35" s="348"/>
      <c r="F35" s="348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7" t="str">
        <f>+VLOOKUP($A36,Master!$D$22:$G$218,4,FALSE)</f>
        <v>Rashodi za usluge</v>
      </c>
      <c r="C36" s="348"/>
      <c r="D36" s="348"/>
      <c r="E36" s="348"/>
      <c r="F36" s="348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7" t="str">
        <f>+VLOOKUP($A37,Master!$D$22:$G$218,4,FALSE)</f>
        <v>Rashodi za tekuće održavanje</v>
      </c>
      <c r="C37" s="348"/>
      <c r="D37" s="348"/>
      <c r="E37" s="348"/>
      <c r="F37" s="348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7" t="str">
        <f>+VLOOKUP($A38,Master!$D$22:$G$218,4,FALSE)</f>
        <v>Kamate</v>
      </c>
      <c r="C38" s="348"/>
      <c r="D38" s="348"/>
      <c r="E38" s="348"/>
      <c r="F38" s="348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7" t="str">
        <f>+VLOOKUP($A39,Master!$D$22:$G$218,4,FALSE)</f>
        <v>Renta</v>
      </c>
      <c r="C39" s="348"/>
      <c r="D39" s="348"/>
      <c r="E39" s="348"/>
      <c r="F39" s="348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7" t="str">
        <f>+VLOOKUP($A40,Master!$D$22:$G$218,4,FALSE)</f>
        <v>Subvencije</v>
      </c>
      <c r="C40" s="348"/>
      <c r="D40" s="348"/>
      <c r="E40" s="348"/>
      <c r="F40" s="348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7" t="str">
        <f>+VLOOKUP($A41,Master!$D$22:$G$218,4,FALSE)</f>
        <v>Ostali izdaci</v>
      </c>
      <c r="C41" s="348"/>
      <c r="D41" s="348"/>
      <c r="E41" s="348"/>
      <c r="F41" s="348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7" t="str">
        <f>+VLOOKUP($A42,Master!$D$22:$G$218,4,FALSE)</f>
        <v>Kapitalni izdaci u tekućem budžetu</v>
      </c>
      <c r="C42" s="348"/>
      <c r="D42" s="348"/>
      <c r="E42" s="348"/>
      <c r="F42" s="348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65" t="str">
        <f>+VLOOKUP($A43,Master!$D$22:$G$218,4,FALSE)</f>
        <v>Transferi za socijalnu zaštitu</v>
      </c>
      <c r="C43" s="366"/>
      <c r="D43" s="366"/>
      <c r="E43" s="366"/>
      <c r="F43" s="366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7" t="str">
        <f>+VLOOKUP($A44,Master!$D$22:$G$218,4,FALSE)</f>
        <v>Prava iz oblasti socijalne zaštite</v>
      </c>
      <c r="C44" s="348"/>
      <c r="D44" s="348"/>
      <c r="E44" s="348"/>
      <c r="F44" s="348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7" t="str">
        <f>+VLOOKUP($A45,Master!$D$22:$G$218,4,FALSE)</f>
        <v>Sredstva za tehnološke viškove</v>
      </c>
      <c r="C45" s="348"/>
      <c r="D45" s="348"/>
      <c r="E45" s="348"/>
      <c r="F45" s="348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7" t="str">
        <f>+VLOOKUP($A46,Master!$D$22:$G$218,4,FALSE)</f>
        <v>Prava iz oblasti penzijskog i invalidskog osiguranja</v>
      </c>
      <c r="C46" s="348"/>
      <c r="D46" s="348"/>
      <c r="E46" s="348"/>
      <c r="F46" s="348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7" t="str">
        <f>+VLOOKUP($A47,Master!$D$22:$G$218,4,FALSE)</f>
        <v>Ostala prava iz oblasti zdravstvene zaštite</v>
      </c>
      <c r="C47" s="348"/>
      <c r="D47" s="348"/>
      <c r="E47" s="348"/>
      <c r="F47" s="348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7" t="str">
        <f>+VLOOKUP($A48,Master!$D$22:$G$218,4,FALSE)</f>
        <v>Ostala prava iz zdravstvenog osiguranja</v>
      </c>
      <c r="C48" s="348"/>
      <c r="D48" s="348"/>
      <c r="E48" s="348"/>
      <c r="F48" s="348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69" t="str">
        <f>+VLOOKUP($A49,Master!$D$22:$G$218,4,FALSE)</f>
        <v xml:space="preserve">Transferi institucijama, pojedincima, nevladinom i javnom sektoru </v>
      </c>
      <c r="C49" s="370"/>
      <c r="D49" s="370"/>
      <c r="E49" s="370"/>
      <c r="F49" s="370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69" t="str">
        <f>+VLOOKUP($A50,Master!$D$22:$G$218,4,FALSE)</f>
        <v>Kapitalni budžet</v>
      </c>
      <c r="C50" s="370"/>
      <c r="D50" s="370"/>
      <c r="E50" s="370"/>
      <c r="F50" s="370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71" t="str">
        <f>+VLOOKUP($A51,Master!$D$22:$G$218,4,FALSE)</f>
        <v>Pozajmice i krediti</v>
      </c>
      <c r="C51" s="372"/>
      <c r="D51" s="372"/>
      <c r="E51" s="372"/>
      <c r="F51" s="37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71" t="str">
        <f>+VLOOKUP($A52,Master!$D$22:$G$218,4,FALSE)</f>
        <v>Rezerve</v>
      </c>
      <c r="C52" s="372"/>
      <c r="D52" s="372"/>
      <c r="E52" s="372"/>
      <c r="F52" s="37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73" t="str">
        <f>+VLOOKUP($A53,Master!$D$22:$G$218,4,FALSE)</f>
        <v>Otplata garancija</v>
      </c>
      <c r="C53" s="374"/>
      <c r="D53" s="374"/>
      <c r="E53" s="374"/>
      <c r="F53" s="374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73" t="str">
        <f>+VLOOKUP($A54,Master!$D$22:$G$218,4,FALSE)</f>
        <v>Otplata obaveza iz prethodnih godina</v>
      </c>
      <c r="C54" s="374"/>
      <c r="D54" s="374"/>
      <c r="E54" s="374"/>
      <c r="F54" s="374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73" t="str">
        <f>+VLOOKUP($A55,Master!$D$22:$G$220,4,FALSE)</f>
        <v>Neto povećanje obaveza</v>
      </c>
      <c r="C55" s="374"/>
      <c r="D55" s="374"/>
      <c r="E55" s="374"/>
      <c r="F55" s="374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75" t="str">
        <f>+VLOOKUP($A56,Master!$D$22:$G$218,4,FALSE)</f>
        <v>Suficit / deficit</v>
      </c>
      <c r="C56" s="376"/>
      <c r="D56" s="376"/>
      <c r="E56" s="376"/>
      <c r="F56" s="376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67" t="str">
        <f>+VLOOKUP($A57,Master!$D$22:$G$218,4,FALSE)</f>
        <v>Primarni bilans</v>
      </c>
      <c r="C57" s="368"/>
      <c r="D57" s="368"/>
      <c r="E57" s="368"/>
      <c r="F57" s="368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65" t="str">
        <f>+VLOOKUP($A58,Master!$D$22:$G$218,4,FALSE)</f>
        <v>Otplata dugova</v>
      </c>
      <c r="C58" s="366"/>
      <c r="D58" s="366"/>
      <c r="E58" s="366"/>
      <c r="F58" s="366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77" t="str">
        <f>+VLOOKUP($A59,Master!$D$22:$G$218,4,FALSE)</f>
        <v>Otplata hartija od vrijednosti i kredita rezidentima</v>
      </c>
      <c r="C59" s="378"/>
      <c r="D59" s="378"/>
      <c r="E59" s="378"/>
      <c r="F59" s="378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71" t="str">
        <f>+VLOOKUP($A60,Master!$D$22:$G$218,4,FALSE)</f>
        <v>Otplata hartija od vrijednosti i kredita nerezidentima</v>
      </c>
      <c r="C60" s="372"/>
      <c r="D60" s="372"/>
      <c r="E60" s="372"/>
      <c r="F60" s="37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79" t="str">
        <f>+VLOOKUP($A62,Master!$D$22:$G$218,4,FALSE)</f>
        <v>Nedostajuća sredstva</v>
      </c>
      <c r="C62" s="380"/>
      <c r="D62" s="380"/>
      <c r="E62" s="380"/>
      <c r="F62" s="380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59" t="str">
        <f>+VLOOKUP($A63,Master!$D$22:$G$218,4,FALSE)</f>
        <v>Finansiranje</v>
      </c>
      <c r="C63" s="360"/>
      <c r="D63" s="360"/>
      <c r="E63" s="360"/>
      <c r="F63" s="36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77" t="str">
        <f>+VLOOKUP($A64,Master!$D$22:$G$218,4,FALSE)</f>
        <v>Pozajmice i krediti od domaćih izvora</v>
      </c>
      <c r="C64" s="378"/>
      <c r="D64" s="378"/>
      <c r="E64" s="378"/>
      <c r="F64" s="378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71" t="str">
        <f>+VLOOKUP($A65,Master!$D$22:$G$218,4,FALSE)</f>
        <v>Pozajmice i krediti od inostranih izvora</v>
      </c>
      <c r="C65" s="372"/>
      <c r="D65" s="372"/>
      <c r="E65" s="372"/>
      <c r="F65" s="37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71" t="str">
        <f>+VLOOKUP($A66,Master!$D$22:$G$218,4,FALSE)</f>
        <v>Primici od prodaje imovine</v>
      </c>
      <c r="C66" s="372"/>
      <c r="D66" s="372"/>
      <c r="E66" s="372"/>
      <c r="F66" s="37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activeCell="DK219" sqref="DK219"/>
      <selection pane="bottomLeft" activeCell="I25" sqref="I25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381" t="str">
        <f>+Master!G244</f>
        <v>Ostvarenje budžeta</v>
      </c>
      <c r="C7" s="332"/>
      <c r="D7" s="332"/>
      <c r="E7" s="332"/>
      <c r="F7" s="332"/>
      <c r="G7" s="339">
        <v>2015</v>
      </c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3"/>
      <c r="S7" s="261" t="str">
        <f>+Master!G241</f>
        <v>BDP</v>
      </c>
      <c r="T7" s="262">
        <v>3660700000</v>
      </c>
    </row>
    <row r="8" spans="1:20" ht="16.5" customHeight="1">
      <c r="A8" s="170"/>
      <c r="B8" s="333"/>
      <c r="C8" s="334"/>
      <c r="D8" s="334"/>
      <c r="E8" s="334"/>
      <c r="F8" s="335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39" t="str">
        <f>+Master!G238</f>
        <v>Jan - Okt</v>
      </c>
      <c r="T8" s="343"/>
    </row>
    <row r="9" spans="1:20" ht="13.5" thickBot="1">
      <c r="A9" s="170"/>
      <c r="B9" s="336"/>
      <c r="C9" s="337"/>
      <c r="D9" s="337"/>
      <c r="E9" s="337"/>
      <c r="F9" s="338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9" t="str">
        <f>+VLOOKUP($A10,Master!$D$22:$G$218,4,FALSE)</f>
        <v>Prihodi budžeta</v>
      </c>
      <c r="C10" s="350"/>
      <c r="D10" s="350"/>
      <c r="E10" s="350"/>
      <c r="F10" s="350"/>
      <c r="G10" s="177">
        <f>+G11+G20+SUM(G25:G29)</f>
        <v>71181339.669999987</v>
      </c>
      <c r="H10" s="177">
        <f t="shared" ref="H10:R10" si="1">+H11+H20+SUM(H25:H29)</f>
        <v>86772014.340000004</v>
      </c>
      <c r="I10" s="177">
        <f t="shared" si="1"/>
        <v>100405756.79999997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118278734.59</v>
      </c>
      <c r="M10" s="177">
        <f t="shared" si="1"/>
        <v>127529195.14</v>
      </c>
      <c r="N10" s="177">
        <f t="shared" si="1"/>
        <v>124403393.31999996</v>
      </c>
      <c r="O10" s="177">
        <f t="shared" si="1"/>
        <v>123707136.31000002</v>
      </c>
      <c r="P10" s="177">
        <f t="shared" si="1"/>
        <v>110672805.50000004</v>
      </c>
      <c r="Q10" s="177">
        <f t="shared" si="1"/>
        <v>0</v>
      </c>
      <c r="R10" s="177">
        <f t="shared" si="1"/>
        <v>0</v>
      </c>
      <c r="S10" s="265">
        <f>+SUM(G10:R10)</f>
        <v>1074305799.0699999</v>
      </c>
      <c r="T10" s="266">
        <f>+S10/$T$7</f>
        <v>0.29347004645832764</v>
      </c>
    </row>
    <row r="11" spans="1:20">
      <c r="A11" s="176">
        <v>711</v>
      </c>
      <c r="B11" s="351" t="str">
        <f>+VLOOKUP($A11,Master!$D$22:$G$218,4,FALSE)</f>
        <v>Porezi</v>
      </c>
      <c r="C11" s="352"/>
      <c r="D11" s="352"/>
      <c r="E11" s="352"/>
      <c r="F11" s="352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663481996.35000002</v>
      </c>
      <c r="T11" s="269">
        <f t="shared" ref="T11:T66" si="4">+S11/$T$7</f>
        <v>0.1812445697134428</v>
      </c>
    </row>
    <row r="12" spans="1:20">
      <c r="A12" s="176">
        <v>7111</v>
      </c>
      <c r="B12" s="347" t="str">
        <f>+VLOOKUP($A12,Master!$D$22:$G$218,4,FALSE)</f>
        <v>Porez na dohodak fizičkih lica</v>
      </c>
      <c r="C12" s="348"/>
      <c r="D12" s="348"/>
      <c r="E12" s="348"/>
      <c r="F12" s="348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77157722.030000001</v>
      </c>
      <c r="T12" s="271">
        <f t="shared" si="4"/>
        <v>2.1077313636736143E-2</v>
      </c>
    </row>
    <row r="13" spans="1:20">
      <c r="A13" s="176">
        <v>7112</v>
      </c>
      <c r="B13" s="347" t="str">
        <f>+VLOOKUP($A13,Master!$D$22:$G$218,4,FALSE)</f>
        <v>Porez na dobit pravnih lica</v>
      </c>
      <c r="C13" s="348"/>
      <c r="D13" s="348"/>
      <c r="E13" s="348"/>
      <c r="F13" s="348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40231608.189999998</v>
      </c>
      <c r="T13" s="271">
        <f t="shared" si="4"/>
        <v>1.0990140735378479E-2</v>
      </c>
    </row>
    <row r="14" spans="1:20">
      <c r="A14" s="176">
        <v>7113</v>
      </c>
      <c r="B14" s="347" t="str">
        <f>+VLOOKUP($A14,Master!$D$22:$G$218,4,FALSE)</f>
        <v>Porez na promet nepokretnosti</v>
      </c>
      <c r="C14" s="348"/>
      <c r="D14" s="348"/>
      <c r="E14" s="348"/>
      <c r="F14" s="348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1107202.28</v>
      </c>
      <c r="T14" s="271">
        <f t="shared" si="4"/>
        <v>3.0245643729341382E-4</v>
      </c>
    </row>
    <row r="15" spans="1:20">
      <c r="A15" s="176">
        <v>7114</v>
      </c>
      <c r="B15" s="347" t="str">
        <f>+VLOOKUP($A15,Master!$D$22:$G$218,4,FALSE)</f>
        <v>Porez na dodatu vrijednost</v>
      </c>
      <c r="C15" s="348"/>
      <c r="D15" s="348"/>
      <c r="E15" s="348"/>
      <c r="F15" s="348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48200089.809999995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381988447.44999999</v>
      </c>
      <c r="T15" s="271">
        <f t="shared" si="4"/>
        <v>0.10434847090720353</v>
      </c>
    </row>
    <row r="16" spans="1:20">
      <c r="A16" s="176">
        <v>7115</v>
      </c>
      <c r="B16" s="347" t="str">
        <f>+VLOOKUP($A16,Master!$D$22:$G$218,4,FALSE)</f>
        <v>Akcize</v>
      </c>
      <c r="C16" s="348"/>
      <c r="D16" s="348"/>
      <c r="E16" s="348"/>
      <c r="F16" s="348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138188992.61000001</v>
      </c>
      <c r="T16" s="271">
        <f t="shared" si="4"/>
        <v>3.7749335539650888E-2</v>
      </c>
    </row>
    <row r="17" spans="1:20">
      <c r="A17" s="176">
        <v>7116</v>
      </c>
      <c r="B17" s="347" t="str">
        <f>+VLOOKUP($A17,Master!$D$22:$G$218,4,FALSE)</f>
        <v>Porez na međunarodnu trgovinu i transakcije</v>
      </c>
      <c r="C17" s="348"/>
      <c r="D17" s="348"/>
      <c r="E17" s="348"/>
      <c r="F17" s="348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19256620.710000001</v>
      </c>
      <c r="T17" s="271">
        <f t="shared" si="4"/>
        <v>5.2603656978173572E-3</v>
      </c>
    </row>
    <row r="18" spans="1:20">
      <c r="A18" s="176">
        <v>7117</v>
      </c>
      <c r="B18" s="347" t="str">
        <f>+VLOOKUP($A18,Master!$D$22:$G$218,4,FALSE)</f>
        <v>Lokalni porezi</v>
      </c>
      <c r="C18" s="348"/>
      <c r="D18" s="348"/>
      <c r="E18" s="348"/>
      <c r="F18" s="348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7" t="str">
        <f>+VLOOKUP($A19,Master!$D$22:$G$218,4,FALSE)</f>
        <v>Ostali republički porezi</v>
      </c>
      <c r="C19" s="348"/>
      <c r="D19" s="348"/>
      <c r="E19" s="348"/>
      <c r="F19" s="348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721824.67999999982</v>
      </c>
      <c r="O19" s="189">
        <f>+INDEX(DataEx!$1:$1048576,MATCH('2015'!$A19,DataEx!$D:$D,0),MATCH('2015'!O$6,DataEx!$7:$7,0))</f>
        <v>652826.26</v>
      </c>
      <c r="P19" s="189">
        <f>+INDEX(DataEx!$1:$1048576,MATCH('2015'!$A19,DataEx!$D:$D,0),MATCH('2015'!P$6,DataEx!$7:$7,0))</f>
        <v>545196.38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5551403.0799999991</v>
      </c>
      <c r="T19" s="271">
        <f t="shared" si="4"/>
        <v>1.5164867593629632E-3</v>
      </c>
    </row>
    <row r="20" spans="1:20">
      <c r="A20" s="176">
        <v>712</v>
      </c>
      <c r="B20" s="353" t="str">
        <f>+VLOOKUP($A20,Master!$D$22:$G$218,4,FALSE)</f>
        <v>Doprinosi</v>
      </c>
      <c r="C20" s="354"/>
      <c r="D20" s="354"/>
      <c r="E20" s="354"/>
      <c r="F20" s="354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38587920.599999979</v>
      </c>
      <c r="O20" s="195">
        <f>+INDEX(DataEx!$1:$1048576,MATCH('2015'!$A20,DataEx!$D:$D,0),MATCH('2015'!O$6,DataEx!$7:$7,0))</f>
        <v>37149241.379999995</v>
      </c>
      <c r="P20" s="195">
        <f>+INDEX(DataEx!$1:$1048576,MATCH('2015'!$A20,DataEx!$D:$D,0),MATCH('2015'!P$6,DataEx!$7:$7,0))</f>
        <v>40193107.020000026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345699625.61000007</v>
      </c>
      <c r="T20" s="274">
        <f t="shared" si="4"/>
        <v>9.443538820717351E-2</v>
      </c>
    </row>
    <row r="21" spans="1:20">
      <c r="A21" s="176">
        <v>7121</v>
      </c>
      <c r="B21" s="347" t="str">
        <f>+VLOOKUP($A21,Master!$D$22:$G$218,4,FALSE)</f>
        <v>Doprinosi za penzijsko i invalidsko osiguranje</v>
      </c>
      <c r="C21" s="348"/>
      <c r="D21" s="348"/>
      <c r="E21" s="348"/>
      <c r="F21" s="348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23215461.899999999</v>
      </c>
      <c r="O21" s="189">
        <f>+INDEX(DataEx!$1:$1048576,MATCH('2015'!$A21,DataEx!$D:$D,0),MATCH('2015'!O$6,DataEx!$7:$7,0))</f>
        <v>22364190.540000003</v>
      </c>
      <c r="P21" s="189">
        <f>+INDEX(DataEx!$1:$1048576,MATCH('2015'!$A21,DataEx!$D:$D,0),MATCH('2015'!P$6,DataEx!$7:$7,0))</f>
        <v>23824814.610000018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207980063.69000006</v>
      </c>
      <c r="T21" s="271">
        <f t="shared" si="4"/>
        <v>5.6814287893025943E-2</v>
      </c>
    </row>
    <row r="22" spans="1:20">
      <c r="A22" s="176">
        <v>7122</v>
      </c>
      <c r="B22" s="347" t="str">
        <f>+VLOOKUP($A22,Master!$D$22:$G$218,4,FALSE)</f>
        <v>Doprinosi za zdravstveno osiguranje</v>
      </c>
      <c r="C22" s="348"/>
      <c r="D22" s="348"/>
      <c r="E22" s="348"/>
      <c r="F22" s="348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13329494.45999999</v>
      </c>
      <c r="O22" s="189">
        <f>+INDEX(DataEx!$1:$1048576,MATCH('2015'!$A22,DataEx!$D:$D,0),MATCH('2015'!O$6,DataEx!$7:$7,0))</f>
        <v>12780379.539999986</v>
      </c>
      <c r="P22" s="189">
        <f>+INDEX(DataEx!$1:$1048576,MATCH('2015'!$A22,DataEx!$D:$D,0),MATCH('2015'!P$6,DataEx!$7:$7,0))</f>
        <v>14186939.740000004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119203374.90999995</v>
      </c>
      <c r="T22" s="271">
        <f t="shared" si="4"/>
        <v>3.2563000221269144E-2</v>
      </c>
    </row>
    <row r="23" spans="1:20">
      <c r="A23" s="176">
        <v>7123</v>
      </c>
      <c r="B23" s="347" t="str">
        <f>+VLOOKUP($A23,Master!$D$22:$G$218,4,FALSE)</f>
        <v>Doprinosi za osiguranje od nezaposlenosti</v>
      </c>
      <c r="C23" s="348"/>
      <c r="D23" s="348"/>
      <c r="E23" s="348"/>
      <c r="F23" s="348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1073369.5099999995</v>
      </c>
      <c r="O23" s="189">
        <f>+INDEX(DataEx!$1:$1048576,MATCH('2015'!$A23,DataEx!$D:$D,0),MATCH('2015'!O$6,DataEx!$7:$7,0))</f>
        <v>1037271.42</v>
      </c>
      <c r="P23" s="189">
        <f>+INDEX(DataEx!$1:$1048576,MATCH('2015'!$A23,DataEx!$D:$D,0),MATCH('2015'!P$6,DataEx!$7:$7,0))</f>
        <v>1099016.6800000006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9582695.8599999994</v>
      </c>
      <c r="T23" s="271">
        <f t="shared" si="4"/>
        <v>2.6177222553063618E-3</v>
      </c>
    </row>
    <row r="24" spans="1:20">
      <c r="A24" s="176">
        <v>7124</v>
      </c>
      <c r="B24" s="347" t="str">
        <f>+VLOOKUP($A24,Master!$D$22:$G$218,4,FALSE)</f>
        <v>Ostali doprinosi</v>
      </c>
      <c r="C24" s="348"/>
      <c r="D24" s="348"/>
      <c r="E24" s="348"/>
      <c r="F24" s="348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969594.72999999986</v>
      </c>
      <c r="O24" s="189">
        <f>+INDEX(DataEx!$1:$1048576,MATCH('2015'!$A24,DataEx!$D:$D,0),MATCH('2015'!O$6,DataEx!$7:$7,0))</f>
        <v>967399.87999999954</v>
      </c>
      <c r="P24" s="189">
        <f>+INDEX(DataEx!$1:$1048576,MATCH('2015'!$A24,DataEx!$D:$D,0),MATCH('2015'!P$6,DataEx!$7:$7,0))</f>
        <v>1082335.99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8933491.1500000004</v>
      </c>
      <c r="T24" s="271">
        <f t="shared" si="4"/>
        <v>2.4403778375720491E-3</v>
      </c>
    </row>
    <row r="25" spans="1:20">
      <c r="A25" s="176">
        <v>713</v>
      </c>
      <c r="B25" s="355" t="str">
        <f>+VLOOKUP($A25,Master!$D$22:$G$218,4,FALSE)</f>
        <v>Takse</v>
      </c>
      <c r="C25" s="356"/>
      <c r="D25" s="356"/>
      <c r="E25" s="356"/>
      <c r="F25" s="356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1347126.1600000001</v>
      </c>
      <c r="M25" s="201">
        <f>+INDEX(DataEx!$1:$1048576,MATCH('2015'!$A25,DataEx!$D:$D,0),MATCH('2015'!M$6,DataEx!$7:$7,0))</f>
        <v>1276781.7799999998</v>
      </c>
      <c r="N25" s="201">
        <f>+INDEX(DataEx!$1:$1048576,MATCH('2015'!$A25,DataEx!$D:$D,0),MATCH('2015'!N$6,DataEx!$7:$7,0))</f>
        <v>1455129.9900000002</v>
      </c>
      <c r="O25" s="201">
        <f>+INDEX(DataEx!$1:$1048576,MATCH('2015'!$A25,DataEx!$D:$D,0),MATCH('2015'!O$6,DataEx!$7:$7,0))</f>
        <v>1280973.7399999998</v>
      </c>
      <c r="P25" s="201">
        <f>+INDEX(DataEx!$1:$1048576,MATCH('2015'!$A25,DataEx!$D:$D,0),MATCH('2015'!P$6,DataEx!$7:$7,0))</f>
        <v>1096309.4100000001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10924509.16</v>
      </c>
      <c r="T25" s="274">
        <f t="shared" si="4"/>
        <v>2.9842678067036358E-3</v>
      </c>
    </row>
    <row r="26" spans="1:20">
      <c r="A26" s="176">
        <v>714</v>
      </c>
      <c r="B26" s="355" t="str">
        <f>+VLOOKUP($A26,Master!$D$22:$G$218,4,FALSE)</f>
        <v>Naknade</v>
      </c>
      <c r="C26" s="356"/>
      <c r="D26" s="356"/>
      <c r="E26" s="356"/>
      <c r="F26" s="356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3472067.07</v>
      </c>
      <c r="O26" s="201">
        <f>+INDEX(DataEx!$1:$1048576,MATCH('2015'!$A26,DataEx!$D:$D,0),MATCH('2015'!O$6,DataEx!$7:$7,0))</f>
        <v>4203901.9700000007</v>
      </c>
      <c r="P26" s="201">
        <f>+INDEX(DataEx!$1:$1048576,MATCH('2015'!$A26,DataEx!$D:$D,0),MATCH('2015'!P$6,DataEx!$7:$7,0))</f>
        <v>3485443.8899999997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24127246.970000003</v>
      </c>
      <c r="T26" s="274">
        <f t="shared" si="4"/>
        <v>6.5908834293987497E-3</v>
      </c>
    </row>
    <row r="27" spans="1:20">
      <c r="A27" s="176">
        <v>715</v>
      </c>
      <c r="B27" s="355" t="str">
        <f>+VLOOKUP($A27,Master!$D$22:$G$218,4,FALSE)</f>
        <v>Ostali prihodi</v>
      </c>
      <c r="C27" s="356"/>
      <c r="D27" s="356"/>
      <c r="E27" s="356"/>
      <c r="F27" s="356"/>
      <c r="G27" s="201">
        <f>+INDEX(DataEx!$1:$1048576,MATCH('2015'!$A27,DataEx!$D:$D,0),MATCH('2015'!G$6,DataEx!$7:$7,0))</f>
        <v>1078993.6399999997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1983825.9099999992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2215879.2099999981</v>
      </c>
      <c r="M27" s="201">
        <f>+INDEX(DataEx!$1:$1048576,MATCH('2015'!$A27,DataEx!$D:$D,0),MATCH('2015'!M$6,DataEx!$7:$7,0))</f>
        <v>2312538.1100000008</v>
      </c>
      <c r="N27" s="201">
        <f>+INDEX(DataEx!$1:$1048576,MATCH('2015'!$A27,DataEx!$D:$D,0),MATCH('2015'!N$6,DataEx!$7:$7,0))</f>
        <v>2702633.3299999977</v>
      </c>
      <c r="O27" s="201">
        <f>+INDEX(DataEx!$1:$1048576,MATCH('2015'!$A27,DataEx!$D:$D,0),MATCH('2015'!O$6,DataEx!$7:$7,0))</f>
        <v>1765568.7499999993</v>
      </c>
      <c r="P27" s="201">
        <f>+INDEX(DataEx!$1:$1048576,MATCH('2015'!$A27,DataEx!$D:$D,0),MATCH('2015'!P$6,DataEx!$7:$7,0))</f>
        <v>1563644.5299999996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20713614.189999998</v>
      </c>
      <c r="T27" s="274">
        <f t="shared" si="4"/>
        <v>5.6583752260496618E-3</v>
      </c>
    </row>
    <row r="28" spans="1:20">
      <c r="A28" s="176">
        <v>73</v>
      </c>
      <c r="B28" s="355" t="str">
        <f>+VLOOKUP($A28,Master!$D$22:$G$218,4,FALSE)</f>
        <v>Primici od otplate kredita i sredstva prenesena iz prethodne godine</v>
      </c>
      <c r="C28" s="356"/>
      <c r="D28" s="356"/>
      <c r="E28" s="356"/>
      <c r="F28" s="356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79534.3</v>
      </c>
      <c r="O28" s="201">
        <f>+INDEX(DataEx!$1:$1048576,MATCH('2015'!$A28,DataEx!$D:$D,0),MATCH('2015'!O$6,DataEx!$7:$7,0))</f>
        <v>141338.74</v>
      </c>
      <c r="P28" s="201">
        <f>+INDEX(DataEx!$1:$1048576,MATCH('2015'!$A28,DataEx!$D:$D,0),MATCH('2015'!P$6,DataEx!$7:$7,0))</f>
        <v>599188.87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5424128.0300000003</v>
      </c>
      <c r="T28" s="274">
        <f t="shared" si="4"/>
        <v>1.4817188051465568E-3</v>
      </c>
    </row>
    <row r="29" spans="1:20" ht="13.5" thickBot="1">
      <c r="A29" s="176">
        <v>74</v>
      </c>
      <c r="B29" s="357" t="str">
        <f>+VLOOKUP($A29,Master!$D$22:$G$218,4,FALSE)</f>
        <v>Donacije i transferi</v>
      </c>
      <c r="C29" s="358"/>
      <c r="D29" s="358"/>
      <c r="E29" s="358"/>
      <c r="F29" s="358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752588.29</v>
      </c>
      <c r="N29" s="201">
        <f>+INDEX(DataEx!$1:$1048576,MATCH('2015'!$A29,DataEx!$D:$D,0),MATCH('2015'!N$6,DataEx!$7:$7,0))</f>
        <v>159688.91999999998</v>
      </c>
      <c r="O29" s="201">
        <f>+INDEX(DataEx!$1:$1048576,MATCH('2015'!$A29,DataEx!$D:$D,0),MATCH('2015'!O$6,DataEx!$7:$7,0))</f>
        <v>396068.30999999994</v>
      </c>
      <c r="P29" s="201">
        <f>+INDEX(DataEx!$1:$1048576,MATCH('2015'!$A29,DataEx!$D:$D,0),MATCH('2015'!P$6,DataEx!$7:$7,0))</f>
        <v>623657.68999999994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3934678.76</v>
      </c>
      <c r="T29" s="277">
        <f t="shared" si="4"/>
        <v>1.0748432704127625E-3</v>
      </c>
    </row>
    <row r="30" spans="1:20" ht="13.5" thickBot="1">
      <c r="A30" s="176">
        <v>4</v>
      </c>
      <c r="B30" s="359" t="str">
        <f>+VLOOKUP($A30,Master!$D$22:$G$218,4,FALSE)</f>
        <v>Budžetki izdaci</v>
      </c>
      <c r="C30" s="360"/>
      <c r="D30" s="360"/>
      <c r="E30" s="360"/>
      <c r="F30" s="360"/>
      <c r="G30" s="177">
        <f>+G32+G43+G49+SUM(G50:G54)</f>
        <v>93097973.25000003</v>
      </c>
      <c r="H30" s="177">
        <f t="shared" ref="H30:R30" si="5">+H32+H43+H49+SUM(H50:H54)</f>
        <v>107941846.33000004</v>
      </c>
      <c r="I30" s="177">
        <f t="shared" si="5"/>
        <v>111300663.39999999</v>
      </c>
      <c r="J30" s="177">
        <f t="shared" si="5"/>
        <v>211001406.72000003</v>
      </c>
      <c r="K30" s="177">
        <f t="shared" si="5"/>
        <v>113258638.09</v>
      </c>
      <c r="L30" s="177">
        <f t="shared" si="5"/>
        <v>207763285.97</v>
      </c>
      <c r="M30" s="177">
        <f t="shared" si="5"/>
        <v>128045572.99000002</v>
      </c>
      <c r="N30" s="177">
        <f t="shared" si="5"/>
        <v>102392345.67000003</v>
      </c>
      <c r="O30" s="177">
        <f t="shared" si="5"/>
        <v>137103444.75000006</v>
      </c>
      <c r="P30" s="177">
        <f t="shared" si="5"/>
        <v>114628371.46000001</v>
      </c>
      <c r="Q30" s="177">
        <f t="shared" si="5"/>
        <v>0</v>
      </c>
      <c r="R30" s="177">
        <f t="shared" si="5"/>
        <v>0</v>
      </c>
      <c r="S30" s="278">
        <f t="shared" si="3"/>
        <v>1326533548.6300001</v>
      </c>
      <c r="T30" s="279">
        <f t="shared" si="4"/>
        <v>0.36237155424645562</v>
      </c>
    </row>
    <row r="31" spans="1:20" ht="13.5" thickBot="1">
      <c r="A31" s="176">
        <v>41</v>
      </c>
      <c r="B31" s="361" t="str">
        <f>+VLOOKUP($A31,Master!$D$22:$G$218,4,FALSE)</f>
        <v>Tekući izdaci</v>
      </c>
      <c r="C31" s="362"/>
      <c r="D31" s="362"/>
      <c r="E31" s="362"/>
      <c r="F31" s="362"/>
      <c r="G31" s="207">
        <f>+G30-G50</f>
        <v>92906938.330000028</v>
      </c>
      <c r="H31" s="207">
        <f t="shared" ref="H31:R31" si="6">+H30-H50</f>
        <v>95101625.13000004</v>
      </c>
      <c r="I31" s="207">
        <f t="shared" si="6"/>
        <v>108006835.94999999</v>
      </c>
      <c r="J31" s="207">
        <f t="shared" si="6"/>
        <v>126925102.93000002</v>
      </c>
      <c r="K31" s="207">
        <f t="shared" si="6"/>
        <v>111061548.41</v>
      </c>
      <c r="L31" s="207">
        <f t="shared" si="6"/>
        <v>127592651.51000001</v>
      </c>
      <c r="M31" s="207">
        <f t="shared" si="6"/>
        <v>123691916.00000003</v>
      </c>
      <c r="N31" s="207">
        <f t="shared" si="6"/>
        <v>98577560.860000029</v>
      </c>
      <c r="O31" s="207">
        <f t="shared" si="6"/>
        <v>132215839.60000005</v>
      </c>
      <c r="P31" s="207">
        <f t="shared" si="6"/>
        <v>108148757.47000001</v>
      </c>
      <c r="Q31" s="207">
        <f t="shared" si="6"/>
        <v>0</v>
      </c>
      <c r="R31" s="207">
        <f t="shared" si="6"/>
        <v>0</v>
      </c>
      <c r="S31" s="280">
        <f t="shared" si="3"/>
        <v>1124228776.1900001</v>
      </c>
      <c r="T31" s="281">
        <f t="shared" si="4"/>
        <v>0.30710759586691072</v>
      </c>
    </row>
    <row r="32" spans="1:20">
      <c r="A32" s="176">
        <v>40</v>
      </c>
      <c r="B32" s="363" t="str">
        <f>+VLOOKUP($A32,Master!$D$22:$G$218,4,FALSE)</f>
        <v>Tekući budžetski izdaci</v>
      </c>
      <c r="C32" s="364"/>
      <c r="D32" s="364"/>
      <c r="E32" s="364"/>
      <c r="F32" s="364"/>
      <c r="G32" s="213">
        <f>+SUM(G33:G42)</f>
        <v>40114151.419999994</v>
      </c>
      <c r="H32" s="213">
        <f t="shared" ref="H32:R32" si="7">+SUM(H33:H42)</f>
        <v>46037742.180000022</v>
      </c>
      <c r="I32" s="213">
        <f t="shared" si="7"/>
        <v>52898763.169999994</v>
      </c>
      <c r="J32" s="213">
        <f t="shared" si="7"/>
        <v>65049024.950000003</v>
      </c>
      <c r="K32" s="213">
        <f t="shared" si="7"/>
        <v>59712106.119999997</v>
      </c>
      <c r="L32" s="213">
        <f t="shared" si="7"/>
        <v>47558961.679999992</v>
      </c>
      <c r="M32" s="213">
        <f t="shared" si="7"/>
        <v>56740389.430000037</v>
      </c>
      <c r="N32" s="213">
        <f t="shared" si="7"/>
        <v>44069723.819999993</v>
      </c>
      <c r="O32" s="213">
        <f t="shared" si="7"/>
        <v>67967691.340000004</v>
      </c>
      <c r="P32" s="213">
        <f t="shared" si="7"/>
        <v>46450452.229999997</v>
      </c>
      <c r="Q32" s="213">
        <f t="shared" si="7"/>
        <v>0</v>
      </c>
      <c r="R32" s="282">
        <f t="shared" si="7"/>
        <v>0</v>
      </c>
      <c r="S32" s="268">
        <f t="shared" si="3"/>
        <v>526599006.34000003</v>
      </c>
      <c r="T32" s="269">
        <f t="shared" si="4"/>
        <v>0.14385199725189171</v>
      </c>
    </row>
    <row r="33" spans="1:20">
      <c r="A33" s="176">
        <v>411</v>
      </c>
      <c r="B33" s="347" t="str">
        <f>+VLOOKUP($A33,Master!$D$22:$G$218,4,FALSE)</f>
        <v>Bruto zarade i doprinosi na teret poslodavca</v>
      </c>
      <c r="C33" s="348"/>
      <c r="D33" s="348"/>
      <c r="E33" s="348"/>
      <c r="F33" s="348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28050654.489999987</v>
      </c>
      <c r="O33" s="189">
        <f>+INDEX(DataEx!$1:$1048576,MATCH('2015'!$A33,DataEx!$D:$D,0),MATCH('2015'!O$6,DataEx!$7:$7,0))</f>
        <v>34903249.240000002</v>
      </c>
      <c r="P33" s="189">
        <f>+INDEX(DataEx!$1:$1048576,MATCH('2015'!$A33,DataEx!$D:$D,0),MATCH('2015'!P$6,DataEx!$7:$7,0))</f>
        <v>29141461.659999989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312550520.41999996</v>
      </c>
      <c r="T33" s="271">
        <f t="shared" si="4"/>
        <v>8.5379987548829445E-2</v>
      </c>
    </row>
    <row r="34" spans="1:20">
      <c r="A34" s="176">
        <v>412</v>
      </c>
      <c r="B34" s="347" t="str">
        <f>+VLOOKUP($A34,Master!$D$22:$G$218,4,FALSE)</f>
        <v>Ostala lična primanja</v>
      </c>
      <c r="C34" s="348"/>
      <c r="D34" s="348"/>
      <c r="E34" s="348"/>
      <c r="F34" s="348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637736.28000000026</v>
      </c>
      <c r="O34" s="189">
        <f>+INDEX(DataEx!$1:$1048576,MATCH('2015'!$A34,DataEx!$D:$D,0),MATCH('2015'!O$6,DataEx!$7:$7,0))</f>
        <v>956789.28</v>
      </c>
      <c r="P34" s="189">
        <f>+INDEX(DataEx!$1:$1048576,MATCH('2015'!$A34,DataEx!$D:$D,0),MATCH('2015'!P$6,DataEx!$7:$7,0))</f>
        <v>1028424.9800000017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10453887.300000004</v>
      </c>
      <c r="T34" s="271">
        <f t="shared" si="4"/>
        <v>2.8557071871499998E-3</v>
      </c>
    </row>
    <row r="35" spans="1:20">
      <c r="A35" s="176">
        <v>413</v>
      </c>
      <c r="B35" s="347" t="str">
        <f>+VLOOKUP($A35,Master!$D$22:$G$218,4,FALSE)</f>
        <v>Rashodi za materijal</v>
      </c>
      <c r="C35" s="348"/>
      <c r="D35" s="348"/>
      <c r="E35" s="348"/>
      <c r="F35" s="348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1897974.1600000004</v>
      </c>
      <c r="O35" s="189">
        <f>+INDEX(DataEx!$1:$1048576,MATCH('2015'!$A35,DataEx!$D:$D,0),MATCH('2015'!O$6,DataEx!$7:$7,0))</f>
        <v>1943518.7799999991</v>
      </c>
      <c r="P35" s="189">
        <f>+INDEX(DataEx!$1:$1048576,MATCH('2015'!$A35,DataEx!$D:$D,0),MATCH('2015'!P$6,DataEx!$7:$7,0))</f>
        <v>1834158.5300000005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17501827.549999997</v>
      </c>
      <c r="T35" s="271">
        <f t="shared" si="4"/>
        <v>4.7810056956319822E-3</v>
      </c>
    </row>
    <row r="36" spans="1:20">
      <c r="A36" s="176">
        <v>414</v>
      </c>
      <c r="B36" s="347" t="str">
        <f>+VLOOKUP($A36,Master!$D$22:$G$218,4,FALSE)</f>
        <v>Rashodi za usluge</v>
      </c>
      <c r="C36" s="348"/>
      <c r="D36" s="348"/>
      <c r="E36" s="348"/>
      <c r="F36" s="348"/>
      <c r="G36" s="189">
        <f>+INDEX(DataEx!$1:$1048576,MATCH('2015'!$A36,DataEx!$D:$D,0),MATCH('2015'!G$6,DataEx!$7:$7,0))</f>
        <v>1667941.2800000003</v>
      </c>
      <c r="H36" s="189">
        <f>2959220.45</f>
        <v>2959220.45</v>
      </c>
      <c r="I36" s="189">
        <f>3874037.27</f>
        <v>3874037.27</v>
      </c>
      <c r="J36" s="189">
        <f>5366232.75</f>
        <v>5366232.75</v>
      </c>
      <c r="K36" s="189">
        <f>3882305.58</f>
        <v>3882305.58</v>
      </c>
      <c r="L36" s="189">
        <f>3999739.45</f>
        <v>3999739.45</v>
      </c>
      <c r="M36" s="189">
        <f>5431030.81</f>
        <v>5431030.8099999996</v>
      </c>
      <c r="N36" s="189">
        <f>3431579.25</f>
        <v>3431579.25</v>
      </c>
      <c r="O36" s="189">
        <f>4672449.64</f>
        <v>4672449.6399999997</v>
      </c>
      <c r="P36" s="189">
        <f>+INDEX(DataEx!$1:$1048576,MATCH('2015'!$A36,DataEx!$D:$D,0),MATCH('2015'!P$6,DataEx!$7:$7,0))</f>
        <v>3900992.6500000027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39185529.130000003</v>
      </c>
      <c r="T36" s="271">
        <f t="shared" si="4"/>
        <v>1.0704381437976343E-2</v>
      </c>
    </row>
    <row r="37" spans="1:20">
      <c r="A37" s="176">
        <v>415</v>
      </c>
      <c r="B37" s="347" t="str">
        <f>+VLOOKUP($A37,Master!$D$22:$G$218,4,FALSE)</f>
        <v>Rashodi za tekuće održavanje</v>
      </c>
      <c r="C37" s="348"/>
      <c r="D37" s="348"/>
      <c r="E37" s="348"/>
      <c r="F37" s="348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787283.64</v>
      </c>
      <c r="N37" s="189">
        <f>+INDEX(DataEx!$1:$1048576,MATCH('2015'!$A37,DataEx!$D:$D,0),MATCH('2015'!N$6,DataEx!$7:$7,0))</f>
        <v>1786413.21</v>
      </c>
      <c r="O37" s="189">
        <f>+INDEX(DataEx!$1:$1048576,MATCH('2015'!$A37,DataEx!$D:$D,0),MATCH('2015'!O$6,DataEx!$7:$7,0))</f>
        <v>3880961.3100000005</v>
      </c>
      <c r="P37" s="189">
        <f>+INDEX(DataEx!$1:$1048576,MATCH('2015'!$A37,DataEx!$D:$D,0),MATCH('2015'!P$6,DataEx!$7:$7,0))</f>
        <v>962610.54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15500253.699999999</v>
      </c>
      <c r="T37" s="271">
        <f t="shared" si="4"/>
        <v>4.2342321687109021E-3</v>
      </c>
    </row>
    <row r="38" spans="1:20">
      <c r="A38" s="176">
        <v>416</v>
      </c>
      <c r="B38" s="347" t="str">
        <f>+VLOOKUP($A38,Master!$D$22:$G$218,4,FALSE)</f>
        <v>Kamate</v>
      </c>
      <c r="C38" s="348"/>
      <c r="D38" s="348"/>
      <c r="E38" s="348"/>
      <c r="F38" s="348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6120956.6900000004</v>
      </c>
      <c r="N38" s="189">
        <f>+INDEX(DataEx!$1:$1048576,MATCH('2015'!$A38,DataEx!$D:$D,0),MATCH('2015'!N$6,DataEx!$7:$7,0))</f>
        <v>983659.16</v>
      </c>
      <c r="O38" s="189">
        <f>+INDEX(DataEx!$1:$1048576,MATCH('2015'!$A38,DataEx!$D:$D,0),MATCH('2015'!O$6,DataEx!$7:$7,0))</f>
        <v>16144426.140000001</v>
      </c>
      <c r="P38" s="189">
        <f>+INDEX(DataEx!$1:$1048576,MATCH('2015'!$A38,DataEx!$D:$D,0),MATCH('2015'!P$6,DataEx!$7:$7,0))</f>
        <v>488401.27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73319622.459999993</v>
      </c>
      <c r="T38" s="271">
        <f t="shared" si="4"/>
        <v>2.0028853077280299E-2</v>
      </c>
    </row>
    <row r="39" spans="1:20">
      <c r="A39" s="176">
        <v>417</v>
      </c>
      <c r="B39" s="347" t="str">
        <f>+VLOOKUP($A39,Master!$D$22:$G$218,4,FALSE)</f>
        <v>Renta</v>
      </c>
      <c r="C39" s="348"/>
      <c r="D39" s="348"/>
      <c r="E39" s="348"/>
      <c r="F39" s="348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646855.39</v>
      </c>
      <c r="O39" s="189">
        <f>+INDEX(DataEx!$1:$1048576,MATCH('2015'!$A39,DataEx!$D:$D,0),MATCH('2015'!O$6,DataEx!$7:$7,0))</f>
        <v>645629.50000000012</v>
      </c>
      <c r="P39" s="189">
        <f>+INDEX(DataEx!$1:$1048576,MATCH('2015'!$A39,DataEx!$D:$D,0),MATCH('2015'!P$6,DataEx!$7:$7,0))</f>
        <v>307234.48999999993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6743915.8700000001</v>
      </c>
      <c r="T39" s="271">
        <f t="shared" si="4"/>
        <v>1.8422476220395006E-3</v>
      </c>
    </row>
    <row r="40" spans="1:20">
      <c r="A40" s="176">
        <v>418</v>
      </c>
      <c r="B40" s="347" t="str">
        <f>+VLOOKUP($A40,Master!$D$22:$G$218,4,FALSE)</f>
        <v>Subvencije</v>
      </c>
      <c r="C40" s="348"/>
      <c r="D40" s="348"/>
      <c r="E40" s="348"/>
      <c r="F40" s="348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2984947.5200000005</v>
      </c>
      <c r="O40" s="189">
        <f>+INDEX(DataEx!$1:$1048576,MATCH('2015'!$A40,DataEx!$D:$D,0),MATCH('2015'!O$6,DataEx!$7:$7,0))</f>
        <v>987522.90000000037</v>
      </c>
      <c r="P40" s="189">
        <f>+INDEX(DataEx!$1:$1048576,MATCH('2015'!$A40,DataEx!$D:$D,0),MATCH('2015'!P$6,DataEx!$7:$7,0))</f>
        <v>2646244.100000001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13576662.560000002</v>
      </c>
      <c r="T40" s="271">
        <f t="shared" si="4"/>
        <v>3.7087613188734403E-3</v>
      </c>
    </row>
    <row r="41" spans="1:20">
      <c r="A41" s="176">
        <v>419</v>
      </c>
      <c r="B41" s="347" t="str">
        <f>+VLOOKUP($A41,Master!$D$22:$G$218,4,FALSE)</f>
        <v>Ostali izdaci</v>
      </c>
      <c r="C41" s="348"/>
      <c r="D41" s="348"/>
      <c r="E41" s="348"/>
      <c r="F41" s="348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1631606.9099999997</v>
      </c>
      <c r="O41" s="189">
        <f>+INDEX(DataEx!$1:$1048576,MATCH('2015'!$A41,DataEx!$D:$D,0),MATCH('2015'!O$6,DataEx!$7:$7,0))</f>
        <v>2241110.1399999992</v>
      </c>
      <c r="P41" s="189">
        <f>+INDEX(DataEx!$1:$1048576,MATCH('2015'!$A41,DataEx!$D:$D,0),MATCH('2015'!P$6,DataEx!$7:$7,0))</f>
        <v>1981720.889999999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20963662.689999998</v>
      </c>
      <c r="T41" s="271">
        <f t="shared" si="4"/>
        <v>5.7266814243177528E-3</v>
      </c>
    </row>
    <row r="42" spans="1:20">
      <c r="A42" s="176">
        <v>440</v>
      </c>
      <c r="B42" s="347" t="str">
        <f>+VLOOKUP($A42,Master!$D$22:$G$218,4,FALSE)</f>
        <v>Kapitalni izdaci u tekućem budžetu</v>
      </c>
      <c r="C42" s="348"/>
      <c r="D42" s="348"/>
      <c r="E42" s="348"/>
      <c r="F42" s="348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2090071.33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2828250.97</v>
      </c>
      <c r="N42" s="189">
        <f>+INDEX(DataEx!$1:$1048576,MATCH('2015'!$A42,DataEx!$D:$D,0),MATCH('2015'!N$6,DataEx!$7:$7,0))</f>
        <v>2018297.4499999997</v>
      </c>
      <c r="O42" s="189">
        <f>+INDEX(DataEx!$1:$1048576,MATCH('2015'!$A42,DataEx!$D:$D,0),MATCH('2015'!O$6,DataEx!$7:$7,0))</f>
        <v>1592034.4099999997</v>
      </c>
      <c r="P42" s="189">
        <f>+INDEX(DataEx!$1:$1048576,MATCH('2015'!$A42,DataEx!$D:$D,0),MATCH('2015'!P$6,DataEx!$7:$7,0))</f>
        <v>4159203.1199999996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16803124.660000004</v>
      </c>
      <c r="T42" s="271">
        <f t="shared" si="4"/>
        <v>4.5901397710820342E-3</v>
      </c>
    </row>
    <row r="43" spans="1:20">
      <c r="A43" s="176">
        <v>42</v>
      </c>
      <c r="B43" s="365" t="str">
        <f>+VLOOKUP($A43,Master!$D$22:$G$218,4,FALSE)</f>
        <v>Transferi za socijalnu zaštitu</v>
      </c>
      <c r="C43" s="366"/>
      <c r="D43" s="366"/>
      <c r="E43" s="366"/>
      <c r="F43" s="366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39162482.690000027</v>
      </c>
      <c r="O43" s="219">
        <f t="shared" si="8"/>
        <v>41715778.810000032</v>
      </c>
      <c r="P43" s="219">
        <f t="shared" si="8"/>
        <v>40336270.130000018</v>
      </c>
      <c r="Q43" s="219">
        <f t="shared" si="8"/>
        <v>0</v>
      </c>
      <c r="R43" s="283">
        <f t="shared" si="8"/>
        <v>0</v>
      </c>
      <c r="S43" s="273">
        <f t="shared" si="3"/>
        <v>404764427.47000015</v>
      </c>
      <c r="T43" s="274">
        <f t="shared" si="4"/>
        <v>0.11057022631463932</v>
      </c>
    </row>
    <row r="44" spans="1:20">
      <c r="A44" s="176">
        <v>421</v>
      </c>
      <c r="B44" s="347" t="str">
        <f>+VLOOKUP($A44,Master!$D$22:$G$218,4,FALSE)</f>
        <v>Prava iz oblasti socijalne zaštite</v>
      </c>
      <c r="C44" s="348"/>
      <c r="D44" s="348"/>
      <c r="E44" s="348"/>
      <c r="F44" s="348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4825685.17</v>
      </c>
      <c r="O44" s="189">
        <f>+INDEX(DataEx!$1:$1048576,MATCH('2015'!$A44,DataEx!$D:$D,0),MATCH('2015'!O$6,DataEx!$7:$7,0))</f>
        <v>5003935.6600000011</v>
      </c>
      <c r="P44" s="189">
        <f>+INDEX(DataEx!$1:$1048576,MATCH('2015'!$A44,DataEx!$D:$D,0),MATCH('2015'!P$6,DataEx!$7:$7,0))</f>
        <v>5224803.1099999994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50355795.439999998</v>
      </c>
      <c r="T44" s="271">
        <f t="shared" si="4"/>
        <v>1.3755783167153823E-2</v>
      </c>
    </row>
    <row r="45" spans="1:20">
      <c r="A45" s="176">
        <v>422</v>
      </c>
      <c r="B45" s="347" t="str">
        <f>+VLOOKUP($A45,Master!$D$22:$G$218,4,FALSE)</f>
        <v>Sredstva za tehnološke viškove</v>
      </c>
      <c r="C45" s="348"/>
      <c r="D45" s="348"/>
      <c r="E45" s="348"/>
      <c r="F45" s="348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683868.67</v>
      </c>
      <c r="O45" s="189">
        <f>+INDEX(DataEx!$1:$1048576,MATCH('2015'!$A45,DataEx!$D:$D,0),MATCH('2015'!O$6,DataEx!$7:$7,0))</f>
        <v>2245233.77</v>
      </c>
      <c r="P45" s="189">
        <f>+INDEX(DataEx!$1:$1048576,MATCH('2015'!$A45,DataEx!$D:$D,0),MATCH('2015'!P$6,DataEx!$7:$7,0))</f>
        <v>787040.37000000011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13833197.390000001</v>
      </c>
      <c r="T45" s="271">
        <f t="shared" si="4"/>
        <v>3.7788393995683888E-3</v>
      </c>
    </row>
    <row r="46" spans="1:20">
      <c r="A46" s="176">
        <v>423</v>
      </c>
      <c r="B46" s="347" t="str">
        <f>+VLOOKUP($A46,Master!$D$22:$G$218,4,FALSE)</f>
        <v>Prava iz oblasti penzijskog i invalidskog osiguranja</v>
      </c>
      <c r="C46" s="348"/>
      <c r="D46" s="348"/>
      <c r="E46" s="348"/>
      <c r="F46" s="348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32321913.98000003</v>
      </c>
      <c r="O46" s="189">
        <f>+INDEX(DataEx!$1:$1048576,MATCH('2015'!$A46,DataEx!$D:$D,0),MATCH('2015'!O$6,DataEx!$7:$7,0))</f>
        <v>32215414.010000028</v>
      </c>
      <c r="P46" s="189">
        <f>+INDEX(DataEx!$1:$1048576,MATCH('2015'!$A46,DataEx!$D:$D,0),MATCH('2015'!P$6,DataEx!$7:$7,0))</f>
        <v>32423340.340000022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321955780.50000012</v>
      </c>
      <c r="T46" s="271">
        <f t="shared" si="4"/>
        <v>8.7949239353129219E-2</v>
      </c>
    </row>
    <row r="47" spans="1:20">
      <c r="A47" s="176">
        <v>424</v>
      </c>
      <c r="B47" s="347" t="str">
        <f>+VLOOKUP($A47,Master!$D$22:$G$218,4,FALSE)</f>
        <v>Ostala prava iz oblasti zdravstvene zaštite</v>
      </c>
      <c r="C47" s="348"/>
      <c r="D47" s="348"/>
      <c r="E47" s="348"/>
      <c r="F47" s="348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1006470.19</v>
      </c>
      <c r="O47" s="189">
        <f>+INDEX(DataEx!$1:$1048576,MATCH('2015'!$A47,DataEx!$D:$D,0),MATCH('2015'!O$6,DataEx!$7:$7,0))</f>
        <v>1242793.6300000001</v>
      </c>
      <c r="P47" s="189">
        <f>+INDEX(DataEx!$1:$1048576,MATCH('2015'!$A47,DataEx!$D:$D,0),MATCH('2015'!P$6,DataEx!$7:$7,0))</f>
        <v>1182832.1200000001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12039940.539999999</v>
      </c>
      <c r="T47" s="271">
        <f t="shared" si="4"/>
        <v>3.2889722020378615E-3</v>
      </c>
    </row>
    <row r="48" spans="1:20">
      <c r="A48" s="176">
        <v>425</v>
      </c>
      <c r="B48" s="347" t="str">
        <f>+VLOOKUP($A48,Master!$D$22:$G$218,4,FALSE)</f>
        <v>Ostala prava iz zdravstvenog osiguranja</v>
      </c>
      <c r="C48" s="348"/>
      <c r="D48" s="348"/>
      <c r="E48" s="348"/>
      <c r="F48" s="348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324544.67999999993</v>
      </c>
      <c r="O48" s="189">
        <f>+INDEX(DataEx!$1:$1048576,MATCH('2015'!$A48,DataEx!$D:$D,0),MATCH('2015'!O$6,DataEx!$7:$7,0))</f>
        <v>1008401.7400000005</v>
      </c>
      <c r="P48" s="189">
        <f>+INDEX(DataEx!$1:$1048576,MATCH('2015'!$A48,DataEx!$D:$D,0),MATCH('2015'!P$6,DataEx!$7:$7,0))</f>
        <v>718254.19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6579713.5999999996</v>
      </c>
      <c r="T48" s="271">
        <f t="shared" si="4"/>
        <v>1.7973921927500205E-3</v>
      </c>
    </row>
    <row r="49" spans="1:20">
      <c r="A49" s="176">
        <v>43</v>
      </c>
      <c r="B49" s="369" t="str">
        <f>+VLOOKUP($A49,Master!$D$22:$G$218,4,FALSE)</f>
        <v xml:space="preserve">Transferi institucijama, pojedincima, nevladinom i javnom sektoru </v>
      </c>
      <c r="C49" s="370"/>
      <c r="D49" s="370"/>
      <c r="E49" s="370"/>
      <c r="F49" s="370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11333981.32</v>
      </c>
      <c r="O49" s="201">
        <f>+INDEX(DataEx!$1:$1048576,MATCH('2015'!$A49,DataEx!$D:$D,0),MATCH('2015'!O$6,DataEx!$7:$7,0))</f>
        <v>10383700.710000008</v>
      </c>
      <c r="P49" s="201">
        <f>+INDEX(DataEx!$1:$1048576,MATCH('2015'!$A49,DataEx!$D:$D,0),MATCH('2015'!P$6,DataEx!$7:$7,0))</f>
        <v>11050474.780000005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104167155.53000003</v>
      </c>
      <c r="T49" s="274">
        <f t="shared" si="4"/>
        <v>2.8455529141967393E-2</v>
      </c>
    </row>
    <row r="50" spans="1:20">
      <c r="A50" s="176">
        <v>44</v>
      </c>
      <c r="B50" s="369" t="str">
        <f>+VLOOKUP($A50,Master!$D$22:$G$218,4,FALSE)</f>
        <v>Kapitalni budžet</v>
      </c>
      <c r="C50" s="370"/>
      <c r="D50" s="370"/>
      <c r="E50" s="370"/>
      <c r="F50" s="370"/>
      <c r="G50" s="201">
        <v>191034.92</v>
      </c>
      <c r="H50" s="201">
        <v>12840221.199999999</v>
      </c>
      <c r="I50" s="201">
        <v>3293827.45</v>
      </c>
      <c r="J50" s="201">
        <v>84076303.790000007</v>
      </c>
      <c r="K50" s="201">
        <v>2197089.6800000002</v>
      </c>
      <c r="L50" s="201">
        <v>80170634.459999993</v>
      </c>
      <c r="M50" s="201">
        <v>4353656.99</v>
      </c>
      <c r="N50" s="201">
        <v>3814784.81</v>
      </c>
      <c r="O50" s="201">
        <v>4887605.1500000004</v>
      </c>
      <c r="P50" s="201">
        <f>+INDEX(DataEx!$1:$1048576,MATCH('2015'!$A50,DataEx!$D:$D,0),MATCH('2015'!P$6,DataEx!$7:$7,0))</f>
        <v>6479613.9900000002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202304772.44000003</v>
      </c>
      <c r="T50" s="274">
        <f t="shared" si="4"/>
        <v>5.5263958379544904E-2</v>
      </c>
    </row>
    <row r="51" spans="1:20">
      <c r="A51" s="176">
        <v>451</v>
      </c>
      <c r="B51" s="371" t="str">
        <f>+VLOOKUP($A51,Master!$D$22:$G$218,4,FALSE)</f>
        <v>Pozajmice i krediti</v>
      </c>
      <c r="C51" s="372"/>
      <c r="D51" s="372"/>
      <c r="E51" s="372"/>
      <c r="F51" s="372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161666.66999999998</v>
      </c>
      <c r="O51" s="189">
        <f>+INDEX(DataEx!$1:$1048576,MATCH('2015'!$A51,DataEx!$D:$D,0),MATCH('2015'!O$6,DataEx!$7:$7,0))</f>
        <v>287766</v>
      </c>
      <c r="P51" s="189">
        <f>+INDEX(DataEx!$1:$1048576,MATCH('2015'!$A51,DataEx!$D:$D,0),MATCH('2015'!P$6,DataEx!$7:$7,0))</f>
        <v>331666.67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1847755.7999999998</v>
      </c>
      <c r="T51" s="271">
        <f t="shared" si="4"/>
        <v>5.0475477367716557E-4</v>
      </c>
    </row>
    <row r="52" spans="1:20">
      <c r="A52" s="176">
        <v>47</v>
      </c>
      <c r="B52" s="371" t="str">
        <f>+VLOOKUP($A52,Master!$D$22:$G$218,4,FALSE)</f>
        <v>Rezerve</v>
      </c>
      <c r="C52" s="372"/>
      <c r="D52" s="372"/>
      <c r="E52" s="372"/>
      <c r="F52" s="372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487975.56</v>
      </c>
      <c r="O52" s="189">
        <f>+INDEX(DataEx!$1:$1048576,MATCH('2015'!$A52,DataEx!$D:$D,0),MATCH('2015'!O$6,DataEx!$7:$7,0))</f>
        <v>3584705.7499999995</v>
      </c>
      <c r="P52" s="189">
        <f>+INDEX(DataEx!$1:$1048576,MATCH('2015'!$A52,DataEx!$D:$D,0),MATCH('2015'!P$6,DataEx!$7:$7,0))</f>
        <v>589832.69999999995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14829481.16</v>
      </c>
      <c r="T52" s="271">
        <f t="shared" si="4"/>
        <v>4.0509960280820613E-3</v>
      </c>
    </row>
    <row r="53" spans="1:20" ht="13.5" thickBot="1">
      <c r="A53" s="176">
        <v>462</v>
      </c>
      <c r="B53" s="373" t="str">
        <f>+VLOOKUP($A53,Master!$D$22:$G$218,4,FALSE)</f>
        <v>Otplata garancija</v>
      </c>
      <c r="C53" s="374"/>
      <c r="D53" s="374"/>
      <c r="E53" s="374"/>
      <c r="F53" s="374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73" t="str">
        <f>+VLOOKUP($A54,Master!$D$22:$G$218,4,TRUE)</f>
        <v>Otplata obaveza iz prethodnih godina</v>
      </c>
      <c r="C54" s="374"/>
      <c r="D54" s="374"/>
      <c r="E54" s="374"/>
      <c r="F54" s="374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11577992.679999953</v>
      </c>
      <c r="N54" s="225">
        <f>+INDEX(DataEx!$1:$1048576,MATCH('2015'!$A54,DataEx!$D:$D,0),MATCH('2015'!N$6,DataEx!$7:$7,0))</f>
        <v>3361730.8000000138</v>
      </c>
      <c r="O54" s="225">
        <f>+INDEX(DataEx!$1:$1048576,MATCH('2015'!$A54,DataEx!$D:$D,0),MATCH('2015'!O$6,DataEx!$7:$7,0))</f>
        <v>8276196.9900000012</v>
      </c>
      <c r="P54" s="225">
        <f>+INDEX(DataEx!$1:$1048576,MATCH('2015'!$A54,DataEx!$D:$D,0),MATCH('2015'!P$6,DataEx!$7:$7,0))</f>
        <v>9390060.9599999879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72020949.889999971</v>
      </c>
      <c r="T54" s="285">
        <f>+S54/$T$7</f>
        <v>1.967409235665309E-2</v>
      </c>
    </row>
    <row r="55" spans="1:20" ht="13.5" thickBot="1">
      <c r="A55" s="71">
        <v>1005</v>
      </c>
      <c r="B55" s="390" t="str">
        <f>+VLOOKUP($A55,Master!$D$22:$G$220,4,FALSE)</f>
        <v>Neto povećanje obaveza</v>
      </c>
      <c r="C55" s="391"/>
      <c r="D55" s="391"/>
      <c r="E55" s="391"/>
      <c r="F55" s="391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75" t="str">
        <f>+VLOOKUP($A56,Master!$D$22:$G$218,4,FALSE)</f>
        <v>Suficit / deficit</v>
      </c>
      <c r="C56" s="376"/>
      <c r="D56" s="376"/>
      <c r="E56" s="376"/>
      <c r="F56" s="376"/>
      <c r="G56" s="177">
        <f>+G10-G30</f>
        <v>-21916633.580000043</v>
      </c>
      <c r="H56" s="177">
        <f t="shared" ref="H56:R56" si="9">+H10-H30</f>
        <v>-21169831.990000039</v>
      </c>
      <c r="I56" s="177">
        <f t="shared" si="9"/>
        <v>-10894906.600000024</v>
      </c>
      <c r="J56" s="177">
        <f t="shared" si="9"/>
        <v>-99448261.12000002</v>
      </c>
      <c r="K56" s="177">
        <f t="shared" si="9"/>
        <v>-13456360.289999992</v>
      </c>
      <c r="L56" s="177">
        <f t="shared" si="9"/>
        <v>-89484551.379999995</v>
      </c>
      <c r="M56" s="177">
        <f t="shared" si="9"/>
        <v>-516377.85000002384</v>
      </c>
      <c r="N56" s="177">
        <f t="shared" si="9"/>
        <v>22011047.649999931</v>
      </c>
      <c r="O56" s="177">
        <f t="shared" si="9"/>
        <v>-13396308.440000042</v>
      </c>
      <c r="P56" s="177">
        <f t="shared" si="9"/>
        <v>-3955565.9599999636</v>
      </c>
      <c r="Q56" s="177">
        <f t="shared" si="9"/>
        <v>0</v>
      </c>
      <c r="R56" s="177">
        <f t="shared" si="9"/>
        <v>0</v>
      </c>
      <c r="S56" s="286">
        <f t="shared" si="3"/>
        <v>-252227749.56000024</v>
      </c>
      <c r="T56" s="287">
        <f t="shared" si="4"/>
        <v>-6.8901507788128022E-2</v>
      </c>
    </row>
    <row r="57" spans="1:20" ht="13.5" thickBot="1">
      <c r="A57" s="170">
        <v>1001</v>
      </c>
      <c r="B57" s="367" t="str">
        <f>+VLOOKUP($A57,Master!$D$22:$G$218,4,FALSE)</f>
        <v>Primarni bilans</v>
      </c>
      <c r="C57" s="368"/>
      <c r="D57" s="368"/>
      <c r="E57" s="368"/>
      <c r="F57" s="368"/>
      <c r="G57" s="231">
        <f>+G56+G38</f>
        <v>-19685182.570000045</v>
      </c>
      <c r="H57" s="231">
        <f t="shared" ref="H57:R57" si="10">+H56+H38</f>
        <v>-18279624.11000004</v>
      </c>
      <c r="I57" s="231">
        <f t="shared" si="10"/>
        <v>-5854332.6300000232</v>
      </c>
      <c r="J57" s="231">
        <f t="shared" si="10"/>
        <v>-80374408.600000024</v>
      </c>
      <c r="K57" s="231">
        <f t="shared" si="10"/>
        <v>2519834.060000008</v>
      </c>
      <c r="L57" s="231">
        <f t="shared" si="10"/>
        <v>-85114651.909999996</v>
      </c>
      <c r="M57" s="231">
        <f t="shared" si="10"/>
        <v>5604578.8399999766</v>
      </c>
      <c r="N57" s="231">
        <f t="shared" si="10"/>
        <v>22994706.809999932</v>
      </c>
      <c r="O57" s="231">
        <f t="shared" si="10"/>
        <v>2748117.6999999583</v>
      </c>
      <c r="P57" s="231">
        <f t="shared" si="10"/>
        <v>-3467164.6899999636</v>
      </c>
      <c r="Q57" s="231">
        <f t="shared" si="10"/>
        <v>0</v>
      </c>
      <c r="R57" s="231">
        <f t="shared" si="10"/>
        <v>0</v>
      </c>
      <c r="S57" s="286">
        <f t="shared" si="3"/>
        <v>-178908127.1000002</v>
      </c>
      <c r="T57" s="287">
        <f t="shared" si="4"/>
        <v>-4.8872654710847709E-2</v>
      </c>
    </row>
    <row r="58" spans="1:20">
      <c r="A58" s="170">
        <v>46</v>
      </c>
      <c r="B58" s="365" t="str">
        <f>+VLOOKUP($A58,Master!$D$22:$G$218,4,FALSE)</f>
        <v>Otplata dugova</v>
      </c>
      <c r="C58" s="366"/>
      <c r="D58" s="366"/>
      <c r="E58" s="366"/>
      <c r="F58" s="366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65561192.199999996</v>
      </c>
      <c r="N58" s="219">
        <f t="shared" si="11"/>
        <v>41358707.579999998</v>
      </c>
      <c r="O58" s="219">
        <f t="shared" si="11"/>
        <v>179755989.35000002</v>
      </c>
      <c r="P58" s="219">
        <f t="shared" si="11"/>
        <v>5631090.1799999997</v>
      </c>
      <c r="Q58" s="219">
        <f t="shared" si="11"/>
        <v>0</v>
      </c>
      <c r="R58" s="219">
        <f t="shared" si="11"/>
        <v>0</v>
      </c>
      <c r="S58" s="288">
        <f t="shared" si="3"/>
        <v>421879808.39000005</v>
      </c>
      <c r="T58" s="289">
        <f t="shared" si="4"/>
        <v>0.11524566568962222</v>
      </c>
    </row>
    <row r="59" spans="1:20">
      <c r="A59" s="170">
        <v>4611</v>
      </c>
      <c r="B59" s="377" t="str">
        <f>+VLOOKUP($A59,Master!$D$22:$G$218,4,FALSE)</f>
        <v>Otplata hartija od vrijednosti i kredita rezidentima</v>
      </c>
      <c r="C59" s="378"/>
      <c r="D59" s="378"/>
      <c r="E59" s="378"/>
      <c r="F59" s="378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37597928.459999993</v>
      </c>
      <c r="N59" s="237">
        <f>+INDEX(DataEx!$1:$1048576,MATCH('2015'!$A59,DataEx!$D:$D,0),MATCH('2015'!N$6,DataEx!$7:$7,0))</f>
        <v>40099266.369999997</v>
      </c>
      <c r="O59" s="237">
        <f>+INDEX(DataEx!$1:$1048576,MATCH('2015'!$A59,DataEx!$D:$D,0),MATCH('2015'!O$6,DataEx!$7:$7,0))</f>
        <v>12694753.58</v>
      </c>
      <c r="P59" s="237">
        <f>+INDEX(DataEx!$1:$1048576,MATCH('2015'!$A59,DataEx!$D:$D,0),MATCH('2015'!P$6,DataEx!$7:$7,0))</f>
        <v>100557.85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128623539.68999998</v>
      </c>
      <c r="T59" s="291">
        <f t="shared" si="4"/>
        <v>3.5136323569262704E-2</v>
      </c>
    </row>
    <row r="60" spans="1:20" ht="13.5" thickBot="1">
      <c r="A60" s="170">
        <v>4612</v>
      </c>
      <c r="B60" s="371" t="str">
        <f>+VLOOKUP($A60,Master!$D$22:$G$218,4,FALSE)</f>
        <v>Otplata hartija od vrijednosti i kredita nerezidentima</v>
      </c>
      <c r="C60" s="372"/>
      <c r="D60" s="372"/>
      <c r="E60" s="372"/>
      <c r="F60" s="372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27963263.740000002</v>
      </c>
      <c r="N60" s="237">
        <f>+INDEX(DataEx!$1:$1048576,MATCH('2015'!$A60,DataEx!$D:$D,0),MATCH('2015'!N$6,DataEx!$7:$7,0))</f>
        <v>1259441.21</v>
      </c>
      <c r="O60" s="237">
        <f>+INDEX(DataEx!$1:$1048576,MATCH('2015'!$A60,DataEx!$D:$D,0),MATCH('2015'!O$6,DataEx!$7:$7,0))</f>
        <v>167061235.77000001</v>
      </c>
      <c r="P60" s="237">
        <f>+INDEX(DataEx!$1:$1048576,MATCH('2015'!$A60,DataEx!$D:$D,0),MATCH('2015'!P$6,DataEx!$7:$7,0))</f>
        <v>5530532.3300000001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293256268.69999999</v>
      </c>
      <c r="T60" s="291">
        <f t="shared" si="4"/>
        <v>8.0109342120359486E-2</v>
      </c>
    </row>
    <row r="61" spans="1:20" ht="13.5" thickBot="1">
      <c r="A61" s="170">
        <v>1002</v>
      </c>
      <c r="B61" s="379" t="str">
        <f>+VLOOKUP($A61,Master!$D$22:$G$218,4,FALSE)</f>
        <v>Nedostajuća sredstva</v>
      </c>
      <c r="C61" s="380"/>
      <c r="D61" s="380"/>
      <c r="E61" s="380"/>
      <c r="F61" s="380"/>
      <c r="G61" s="243">
        <f t="shared" ref="G61:R61" si="12">+G56-G58</f>
        <v>-38960621.230000041</v>
      </c>
      <c r="H61" s="243">
        <f t="shared" si="12"/>
        <v>-23102888.240000039</v>
      </c>
      <c r="I61" s="243">
        <f t="shared" si="12"/>
        <v>-41710483.310000032</v>
      </c>
      <c r="J61" s="243">
        <f t="shared" si="12"/>
        <v>-139164641.43000001</v>
      </c>
      <c r="K61" s="243">
        <f t="shared" si="12"/>
        <v>-18621396.489999991</v>
      </c>
      <c r="L61" s="243">
        <f t="shared" si="12"/>
        <v>-124383343.34</v>
      </c>
      <c r="M61" s="243">
        <f t="shared" si="12"/>
        <v>-66077570.050000019</v>
      </c>
      <c r="N61" s="243">
        <f t="shared" si="12"/>
        <v>-19347659.930000067</v>
      </c>
      <c r="O61" s="243">
        <f t="shared" si="12"/>
        <v>-193152297.79000008</v>
      </c>
      <c r="P61" s="243">
        <f t="shared" si="12"/>
        <v>-9586656.1399999633</v>
      </c>
      <c r="Q61" s="243">
        <f t="shared" si="12"/>
        <v>0</v>
      </c>
      <c r="R61" s="243">
        <f t="shared" si="12"/>
        <v>0</v>
      </c>
      <c r="S61" s="292">
        <f t="shared" si="3"/>
        <v>-674107557.95000017</v>
      </c>
      <c r="T61" s="293">
        <f t="shared" si="4"/>
        <v>-0.1841471734777502</v>
      </c>
    </row>
    <row r="62" spans="1:20" ht="13.5" thickBot="1">
      <c r="A62" s="170">
        <v>1003</v>
      </c>
      <c r="B62" s="359" t="str">
        <f>+VLOOKUP($A62,Master!$D$22:$G$218,4,FALSE)</f>
        <v>Finansiranje</v>
      </c>
      <c r="C62" s="360"/>
      <c r="D62" s="360"/>
      <c r="E62" s="360"/>
      <c r="F62" s="360"/>
      <c r="G62" s="177">
        <f>+SUM(G63:G66)</f>
        <v>38960621.230000041</v>
      </c>
      <c r="H62" s="177">
        <f t="shared" ref="H62:R62" si="13">+SUM(H63:H66)</f>
        <v>23102888.240000039</v>
      </c>
      <c r="I62" s="177">
        <f t="shared" si="13"/>
        <v>41710483.310000002</v>
      </c>
      <c r="J62" s="177">
        <f t="shared" si="13"/>
        <v>139164641.43000001</v>
      </c>
      <c r="K62" s="177">
        <f t="shared" si="13"/>
        <v>18621396.489999991</v>
      </c>
      <c r="L62" s="177">
        <f t="shared" si="13"/>
        <v>124383343.34</v>
      </c>
      <c r="M62" s="177">
        <f t="shared" si="13"/>
        <v>66077570.050000027</v>
      </c>
      <c r="N62" s="177">
        <f t="shared" si="13"/>
        <v>19347659.930000067</v>
      </c>
      <c r="O62" s="177">
        <f t="shared" si="13"/>
        <v>193152297.79000008</v>
      </c>
      <c r="P62" s="177">
        <f t="shared" si="13"/>
        <v>9586656.1399999633</v>
      </c>
      <c r="Q62" s="177">
        <f t="shared" si="13"/>
        <v>0</v>
      </c>
      <c r="R62" s="177">
        <f t="shared" si="13"/>
        <v>0</v>
      </c>
      <c r="S62" s="294">
        <f t="shared" si="3"/>
        <v>674107557.95000017</v>
      </c>
      <c r="T62" s="295">
        <f t="shared" si="4"/>
        <v>0.1841471734777502</v>
      </c>
    </row>
    <row r="63" spans="1:20">
      <c r="A63" s="170">
        <v>7511</v>
      </c>
      <c r="B63" s="377" t="str">
        <f>+VLOOKUP($A63,Master!$D$22:$G$218,4,FALSE)</f>
        <v>Pozajmice i krediti od domaćih izvora</v>
      </c>
      <c r="C63" s="378"/>
      <c r="D63" s="378"/>
      <c r="E63" s="378"/>
      <c r="F63" s="378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15234209.67</v>
      </c>
      <c r="N63" s="237">
        <f>+INDEX(DataEx!$1:$1048576,MATCH('2015'!$A63,DataEx!$D:$D,0),MATCH('2015'!N$6,DataEx!$7:$7,0))</f>
        <v>40000000</v>
      </c>
      <c r="O63" s="237">
        <f>+INDEX(DataEx!$1:$1048576,MATCH('2015'!$A63,DataEx!$D:$D,0),MATCH('2015'!O$6,DataEx!$7:$7,0))</f>
        <v>21230000</v>
      </c>
      <c r="P63" s="237">
        <f>+INDEX(DataEx!$1:$1048576,MATCH('2015'!$A63,DataEx!$D:$D,0),MATCH('2015'!P$6,DataEx!$7:$7,0))</f>
        <v>1250090.33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113109433.14</v>
      </c>
      <c r="T63" s="291">
        <f t="shared" si="4"/>
        <v>3.0898307192613435E-2</v>
      </c>
    </row>
    <row r="64" spans="1:20">
      <c r="A64" s="170">
        <v>7512</v>
      </c>
      <c r="B64" s="371" t="str">
        <f>+VLOOKUP($A64,Master!$D$22:$G$218,4,FALSE)</f>
        <v>Pozajmice i krediti od inostranih izvora</v>
      </c>
      <c r="C64" s="372"/>
      <c r="D64" s="372"/>
      <c r="E64" s="372"/>
      <c r="F64" s="372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70655228.329999983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69672474.810000002</v>
      </c>
      <c r="M64" s="237">
        <f>+INDEX(DataEx!$1:$1048576,MATCH('2015'!$A64,DataEx!$D:$D,0),MATCH('2015'!M$6,DataEx!$7:$7,0))</f>
        <v>4037741.08</v>
      </c>
      <c r="N64" s="237">
        <f>+INDEX(DataEx!$1:$1048576,MATCH('2015'!$A64,DataEx!$D:$D,0),MATCH('2015'!N$6,DataEx!$7:$7,0))</f>
        <v>857073.49999999988</v>
      </c>
      <c r="O64" s="237">
        <f>+INDEX(DataEx!$1:$1048576,MATCH('2015'!$A64,DataEx!$D:$D,0),MATCH('2015'!O$6,DataEx!$7:$7,0))</f>
        <v>603054.99</v>
      </c>
      <c r="P64" s="237">
        <f>+INDEX(DataEx!$1:$1048576,MATCH('2015'!$A64,DataEx!$D:$D,0),MATCH('2015'!P$6,DataEx!$7:$7,0))</f>
        <v>5090177.8100000005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648651125.19999993</v>
      </c>
      <c r="T64" s="291">
        <f t="shared" si="4"/>
        <v>0.17719319397929356</v>
      </c>
    </row>
    <row r="65" spans="1:20">
      <c r="A65" s="170">
        <v>72</v>
      </c>
      <c r="B65" s="371" t="str">
        <f>+VLOOKUP($A65,Master!$D$22:$G$218,4,FALSE)</f>
        <v>Primici od prodaje imovine</v>
      </c>
      <c r="C65" s="372"/>
      <c r="D65" s="372"/>
      <c r="E65" s="372"/>
      <c r="F65" s="372"/>
      <c r="G65" s="237">
        <f>+INDEX(DataEx!$1:$1048576,MATCH('2015'!$A65,DataEx!$D:$D,0),MATCH('2015'!G$6,DataEx!$7:$7,0))</f>
        <v>11355.319999999949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1708340.73</v>
      </c>
      <c r="O65" s="237">
        <f>+INDEX(DataEx!$1:$1048576,MATCH('2015'!$A65,DataEx!$D:$D,0),MATCH('2015'!O$6,DataEx!$7:$7,0))</f>
        <v>12333.03</v>
      </c>
      <c r="P65" s="237">
        <f>+INDEX(DataEx!$1:$1048576,MATCH('2015'!$A65,DataEx!$D:$D,0),MATCH('2015'!P$6,DataEx!$7:$7,0))</f>
        <v>93178.12000000001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6557544.6600000001</v>
      </c>
      <c r="T65" s="291">
        <f t="shared" si="4"/>
        <v>1.7913362635561506E-3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17790044.940000042</v>
      </c>
      <c r="H66" s="251">
        <f t="shared" ref="H66:R66" si="14">-H61-SUM(H63:H65)</f>
        <v>21086743.22000004</v>
      </c>
      <c r="I66" s="251">
        <f t="shared" si="14"/>
        <v>-468566941.03999996</v>
      </c>
      <c r="J66" s="251">
        <f t="shared" si="14"/>
        <v>68485466.830000028</v>
      </c>
      <c r="K66" s="251">
        <f t="shared" si="14"/>
        <v>15102979.969999991</v>
      </c>
      <c r="L66" s="251">
        <f t="shared" si="14"/>
        <v>54670848.939999998</v>
      </c>
      <c r="M66" s="251">
        <f t="shared" si="14"/>
        <v>45977946.740000024</v>
      </c>
      <c r="N66" s="251">
        <f t="shared" si="14"/>
        <v>-23217754.29999993</v>
      </c>
      <c r="O66" s="251">
        <f t="shared" si="14"/>
        <v>171306909.77000007</v>
      </c>
      <c r="P66" s="251">
        <f t="shared" si="14"/>
        <v>3153209.8799999626</v>
      </c>
      <c r="Q66" s="251">
        <f t="shared" si="14"/>
        <v>0</v>
      </c>
      <c r="R66" s="251">
        <f t="shared" si="14"/>
        <v>0</v>
      </c>
      <c r="S66" s="296">
        <f t="shared" si="3"/>
        <v>-94210545.049999774</v>
      </c>
      <c r="T66" s="297">
        <f t="shared" si="4"/>
        <v>-2.5735663957712943E-2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382" t="str">
        <f>+Master!G245</f>
        <v>Plan ostvarenja budžeta</v>
      </c>
      <c r="C102" s="383"/>
      <c r="D102" s="383"/>
      <c r="E102" s="383"/>
      <c r="F102" s="383"/>
      <c r="G102" s="394">
        <v>2015</v>
      </c>
      <c r="H102" s="395"/>
      <c r="I102" s="395"/>
      <c r="J102" s="395"/>
      <c r="K102" s="395"/>
      <c r="L102" s="395"/>
      <c r="M102" s="395"/>
      <c r="N102" s="395"/>
      <c r="O102" s="395"/>
      <c r="P102" s="395"/>
      <c r="Q102" s="395"/>
      <c r="R102" s="396"/>
      <c r="S102" s="116" t="str">
        <f>+S7</f>
        <v>BDP</v>
      </c>
      <c r="T102" s="117">
        <f>+T7</f>
        <v>3660700000</v>
      </c>
    </row>
    <row r="103" spans="1:21" ht="15.75" customHeight="1">
      <c r="B103" s="384"/>
      <c r="C103" s="385"/>
      <c r="D103" s="385"/>
      <c r="E103" s="385"/>
      <c r="F103" s="386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4" t="str">
        <f>+Master!G239</f>
        <v>Jan - Dec</v>
      </c>
      <c r="T103" s="396">
        <f>+T8</f>
        <v>0</v>
      </c>
    </row>
    <row r="104" spans="1:21" ht="13.5" thickBot="1">
      <c r="B104" s="387"/>
      <c r="C104" s="388"/>
      <c r="D104" s="388"/>
      <c r="E104" s="388"/>
      <c r="F104" s="389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7" t="str">
        <f>+VLOOKUP(LEFT($A105,LEN(A105)-1)*1,Master!$D$22:$G$218,4,FALSE)</f>
        <v>Prihodi budžeta</v>
      </c>
      <c r="C105" s="398"/>
      <c r="D105" s="398"/>
      <c r="E105" s="398"/>
      <c r="F105" s="398"/>
      <c r="G105" s="97">
        <f>+G106+G115+SUM(G120:G124)</f>
        <v>69711123.673160329</v>
      </c>
      <c r="H105" s="97">
        <f t="shared" ref="H105:Q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115436070.88666166</v>
      </c>
      <c r="Q105" s="97">
        <f t="shared" si="18"/>
        <v>100830471.93450241</v>
      </c>
      <c r="R105" s="97">
        <f>+R106+R115+SUM(R120:R124)</f>
        <v>157356889.11376727</v>
      </c>
      <c r="S105" s="122">
        <f>+SUM(G105:R105)</f>
        <v>1329179261.6533833</v>
      </c>
      <c r="T105" s="123">
        <f>+S105/$T$7</f>
        <v>0.36309428842936686</v>
      </c>
      <c r="U105" s="304"/>
    </row>
    <row r="106" spans="1:21">
      <c r="A106" s="138" t="str">
        <f t="shared" si="17"/>
        <v>711p</v>
      </c>
      <c r="B106" s="399" t="str">
        <f>+VLOOKUP(LEFT($A106,LEN(A106)-1)*1,Master!$D$22:$G$218,4,FALSE)</f>
        <v>Porezi</v>
      </c>
      <c r="C106" s="400"/>
      <c r="D106" s="400"/>
      <c r="E106" s="400"/>
      <c r="F106" s="400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0.22746267641963056</v>
      </c>
      <c r="U106" s="303"/>
    </row>
    <row r="107" spans="1:21">
      <c r="A107" s="138" t="str">
        <f t="shared" si="17"/>
        <v>7111p</v>
      </c>
      <c r="B107" s="392" t="str">
        <f>+VLOOKUP(LEFT($A107,LEN(A107)-1)*1,Master!$D$22:$G$218,4,FALSE)</f>
        <v>Porez na dohodak fizičkih lica</v>
      </c>
      <c r="C107" s="393"/>
      <c r="D107" s="393"/>
      <c r="E107" s="393"/>
      <c r="F107" s="393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2.9483334560422694E-2</v>
      </c>
    </row>
    <row r="108" spans="1:21">
      <c r="A108" s="138" t="str">
        <f t="shared" si="17"/>
        <v>7112p</v>
      </c>
      <c r="B108" s="392" t="str">
        <f>+VLOOKUP(LEFT($A108,LEN(A108)-1)*1,Master!$D$22:$G$218,4,FALSE)</f>
        <v>Porez na dobit pravnih lica</v>
      </c>
      <c r="C108" s="393"/>
      <c r="D108" s="393"/>
      <c r="E108" s="393"/>
      <c r="F108" s="393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1.2739519337847272E-2</v>
      </c>
    </row>
    <row r="109" spans="1:21">
      <c r="A109" s="138" t="str">
        <f t="shared" si="17"/>
        <v>7113p</v>
      </c>
      <c r="B109" s="392" t="str">
        <f>+VLOOKUP(LEFT($A109,LEN(A109)-1)*1,Master!$D$22:$G$218,4,FALSE)</f>
        <v>Porez na promet nepokretnosti</v>
      </c>
      <c r="C109" s="393"/>
      <c r="D109" s="393"/>
      <c r="E109" s="393"/>
      <c r="F109" s="393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4.2492634063004544E-4</v>
      </c>
    </row>
    <row r="110" spans="1:21">
      <c r="A110" s="138" t="str">
        <f t="shared" si="17"/>
        <v>7114p</v>
      </c>
      <c r="B110" s="392" t="str">
        <f>+VLOOKUP(LEFT($A110,LEN(A110)-1)*1,Master!$D$22:$G$218,4,FALSE)</f>
        <v>Porez na dodatu vrijednost</v>
      </c>
      <c r="C110" s="393"/>
      <c r="D110" s="393"/>
      <c r="E110" s="393"/>
      <c r="F110" s="393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0.1311894310913358</v>
      </c>
    </row>
    <row r="111" spans="1:21">
      <c r="A111" s="138" t="str">
        <f t="shared" si="17"/>
        <v>7115p</v>
      </c>
      <c r="B111" s="392" t="str">
        <f>+VLOOKUP(LEFT($A111,LEN(A111)-1)*1,Master!$D$22:$G$218,4,FALSE)</f>
        <v>Akcize</v>
      </c>
      <c r="C111" s="393"/>
      <c r="D111" s="393"/>
      <c r="E111" s="393"/>
      <c r="F111" s="393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4.5813585223487316E-2</v>
      </c>
    </row>
    <row r="112" spans="1:21">
      <c r="A112" s="138" t="str">
        <f t="shared" si="17"/>
        <v>7116p</v>
      </c>
      <c r="B112" s="392" t="str">
        <f>+VLOOKUP(LEFT($A112,LEN(A112)-1)*1,Master!$D$22:$G$218,4,FALSE)</f>
        <v>Porez na međunarodnu trgovinu i transakcije</v>
      </c>
      <c r="C112" s="393"/>
      <c r="D112" s="393"/>
      <c r="E112" s="393"/>
      <c r="F112" s="393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6.249198881385064E-3</v>
      </c>
    </row>
    <row r="113" spans="1:20">
      <c r="A113" s="138" t="str">
        <f t="shared" si="17"/>
        <v>7117p</v>
      </c>
      <c r="B113" s="392" t="str">
        <f>+VLOOKUP(LEFT($A113,LEN(A113)-1)*1,Master!$D$22:$G$218,4,FALSE)</f>
        <v>Lokalni porezi</v>
      </c>
      <c r="C113" s="393"/>
      <c r="D113" s="393"/>
      <c r="E113" s="393"/>
      <c r="F113" s="393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2" t="str">
        <f>+VLOOKUP(LEFT($A114,LEN(A114)-1)*1,Master!$D$22:$G$218,4,FALSE)</f>
        <v>Ostali republički porezi</v>
      </c>
      <c r="C114" s="393"/>
      <c r="D114" s="393"/>
      <c r="E114" s="393"/>
      <c r="F114" s="393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1.5626809845223643E-3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0.11404708737487389</v>
      </c>
    </row>
    <row r="116" spans="1:20">
      <c r="A116" s="138" t="str">
        <f t="shared" si="17"/>
        <v>7121p</v>
      </c>
      <c r="B116" s="392" t="str">
        <f>+VLOOKUP(LEFT($A116,LEN(A116)-1)*1,Master!$D$22:$G$218,4,FALSE)</f>
        <v>Doprinosi za penzijsko i invalidsko osiguranje</v>
      </c>
      <c r="C116" s="393"/>
      <c r="D116" s="393"/>
      <c r="E116" s="393"/>
      <c r="F116" s="393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6.7311005832159376E-2</v>
      </c>
    </row>
    <row r="117" spans="1:20">
      <c r="A117" s="138" t="str">
        <f t="shared" si="17"/>
        <v>7122p</v>
      </c>
      <c r="B117" s="392" t="str">
        <f>+VLOOKUP(LEFT($A117,LEN(A117)-1)*1,Master!$D$22:$G$218,4,FALSE)</f>
        <v>Doprinosi za zdravstveno osiguranje</v>
      </c>
      <c r="C117" s="393"/>
      <c r="D117" s="393"/>
      <c r="E117" s="393"/>
      <c r="F117" s="393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3.9734438070711912E-2</v>
      </c>
    </row>
    <row r="118" spans="1:20">
      <c r="A118" s="138" t="str">
        <f t="shared" si="17"/>
        <v>7123p</v>
      </c>
      <c r="B118" s="392" t="str">
        <f>+VLOOKUP(LEFT($A118,LEN(A118)-1)*1,Master!$D$22:$G$218,4,FALSE)</f>
        <v>Doprinosi za osiguranje od nezaposlenosti</v>
      </c>
      <c r="C118" s="393"/>
      <c r="D118" s="393"/>
      <c r="E118" s="393"/>
      <c r="F118" s="393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3.475210134368723E-3</v>
      </c>
    </row>
    <row r="119" spans="1:20">
      <c r="A119" s="138" t="str">
        <f t="shared" si="17"/>
        <v>7124p</v>
      </c>
      <c r="B119" s="392" t="str">
        <f>+VLOOKUP(LEFT($A119,LEN(A119)-1)*1,Master!$D$22:$G$218,4,FALSE)</f>
        <v>Ostali doprinosi</v>
      </c>
      <c r="C119" s="393"/>
      <c r="D119" s="393"/>
      <c r="E119" s="393"/>
      <c r="F119" s="393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3.5264333376338738E-3</v>
      </c>
    </row>
    <row r="120" spans="1:20">
      <c r="A120" s="138" t="str">
        <f t="shared" si="17"/>
        <v>713p</v>
      </c>
      <c r="B120" s="401" t="str">
        <f>+VLOOKUP(LEFT($A120,LEN(A120)-1)*1,Master!$D$22:$G$218,4,FALSE)</f>
        <v>Takse</v>
      </c>
      <c r="C120" s="402"/>
      <c r="D120" s="402"/>
      <c r="E120" s="402"/>
      <c r="F120" s="402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4.6173919372392239E-3</v>
      </c>
    </row>
    <row r="121" spans="1:20">
      <c r="A121" s="138" t="str">
        <f t="shared" si="17"/>
        <v>714p</v>
      </c>
      <c r="B121" s="401" t="str">
        <f>+VLOOKUP(LEFT($A121,LEN(A121)-1)*1,Master!$D$22:$G$218,4,FALSE)</f>
        <v>Naknade</v>
      </c>
      <c r="C121" s="402"/>
      <c r="D121" s="402"/>
      <c r="E121" s="402"/>
      <c r="F121" s="402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1378353.6704010672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1342481.0432510113</v>
      </c>
      <c r="S121" s="128">
        <f t="shared" si="20"/>
        <v>13478728.643637203</v>
      </c>
      <c r="T121" s="129">
        <f t="shared" si="21"/>
        <v>3.6820085348805427E-3</v>
      </c>
    </row>
    <row r="122" spans="1:20">
      <c r="A122" s="138" t="str">
        <f t="shared" si="17"/>
        <v>715p</v>
      </c>
      <c r="B122" s="401" t="str">
        <f>+VLOOKUP(LEFT($A122,LEN(A122)-1)*1,Master!$D$22:$G$218,4,FALSE)</f>
        <v>Ostali prihodi</v>
      </c>
      <c r="C122" s="402"/>
      <c r="D122" s="402"/>
      <c r="E122" s="402"/>
      <c r="F122" s="402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1.0098338113757745E-2</v>
      </c>
    </row>
    <row r="123" spans="1:20">
      <c r="A123" s="138" t="str">
        <f t="shared" si="17"/>
        <v>73p</v>
      </c>
      <c r="B123" s="401" t="str">
        <f>+VLOOKUP(LEFT($A123,LEN(A123)-1)*1,Master!$D$22:$G$218,4,FALSE)</f>
        <v>Primici od otplate kredita i sredstva prenesena iz prethodne godine</v>
      </c>
      <c r="C123" s="402"/>
      <c r="D123" s="402"/>
      <c r="E123" s="402"/>
      <c r="F123" s="402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1.3860048294856956E-3</v>
      </c>
    </row>
    <row r="124" spans="1:20" ht="13.5" thickBot="1">
      <c r="A124" s="138" t="str">
        <f t="shared" si="17"/>
        <v>74p</v>
      </c>
      <c r="B124" s="403" t="str">
        <f>+VLOOKUP(LEFT($A124,LEN(A124)-1)*1,Master!$D$22:$G$218,4,FALSE)</f>
        <v>Donacije i transferi</v>
      </c>
      <c r="C124" s="404"/>
      <c r="D124" s="404"/>
      <c r="E124" s="404"/>
      <c r="F124" s="404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1.8007812194992079E-3</v>
      </c>
    </row>
    <row r="125" spans="1:20" ht="13.5" thickBot="1">
      <c r="A125" s="138" t="str">
        <f t="shared" si="17"/>
        <v>4p</v>
      </c>
      <c r="B125" s="405" t="str">
        <f>+VLOOKUP(LEFT($A125,LEN(A125)-1)*1,Master!$D$22:$G$218,4,FALSE)</f>
        <v>Budžetki izdaci</v>
      </c>
      <c r="C125" s="406"/>
      <c r="D125" s="406"/>
      <c r="E125" s="406"/>
      <c r="F125" s="406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0.42750534491217529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0.34973413257573693</v>
      </c>
    </row>
    <row r="127" spans="1:20">
      <c r="A127" s="138" t="str">
        <f t="shared" si="17"/>
        <v>40p</v>
      </c>
      <c r="B127" s="413" t="str">
        <f>+VLOOKUP(LEFT($A127,LEN(A127)-1)*1,Master!$D$22:$G$218,4,FALSE)</f>
        <v>Tekući budžetski izdaci</v>
      </c>
      <c r="C127" s="414"/>
      <c r="D127" s="414"/>
      <c r="E127" s="414"/>
      <c r="F127" s="414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0.17259714100308685</v>
      </c>
    </row>
    <row r="128" spans="1:20">
      <c r="A128" s="138" t="str">
        <f t="shared" si="17"/>
        <v>411p</v>
      </c>
      <c r="B128" s="392" t="str">
        <f>+VLOOKUP(LEFT($A128,LEN(A128)-1)*1,Master!$D$22:$G$218,4,FALSE)</f>
        <v>Bruto zarade i doprinosi na teret poslodavca</v>
      </c>
      <c r="C128" s="393"/>
      <c r="D128" s="393"/>
      <c r="E128" s="393"/>
      <c r="F128" s="393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0.10363143571721256</v>
      </c>
    </row>
    <row r="129" spans="1:20">
      <c r="A129" s="138" t="str">
        <f t="shared" si="17"/>
        <v>412p</v>
      </c>
      <c r="B129" s="392" t="str">
        <f>+VLOOKUP(LEFT($A129,LEN(A129)-1)*1,Master!$D$22:$G$218,4,FALSE)</f>
        <v>Ostala lična primanja</v>
      </c>
      <c r="C129" s="393"/>
      <c r="D129" s="393"/>
      <c r="E129" s="393"/>
      <c r="F129" s="393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3.1741483923839698E-3</v>
      </c>
    </row>
    <row r="130" spans="1:20">
      <c r="A130" s="138" t="str">
        <f t="shared" si="17"/>
        <v>413p</v>
      </c>
      <c r="B130" s="392" t="str">
        <f>+VLOOKUP(LEFT($A130,LEN(A130)-1)*1,Master!$D$22:$G$218,4,FALSE)</f>
        <v>Rashodi za materijal</v>
      </c>
      <c r="C130" s="393"/>
      <c r="D130" s="393"/>
      <c r="E130" s="393"/>
      <c r="F130" s="393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8.0329123063894881E-3</v>
      </c>
    </row>
    <row r="131" spans="1:20">
      <c r="A131" s="138" t="str">
        <f t="shared" si="17"/>
        <v>414p</v>
      </c>
      <c r="B131" s="392" t="str">
        <f>+VLOOKUP(LEFT($A131,LEN(A131)-1)*1,Master!$D$22:$G$218,4,FALSE)</f>
        <v>Rashodi za usluge</v>
      </c>
      <c r="C131" s="393"/>
      <c r="D131" s="393"/>
      <c r="E131" s="393"/>
      <c r="F131" s="393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1.1344981429781187E-2</v>
      </c>
    </row>
    <row r="132" spans="1:20">
      <c r="A132" s="138" t="str">
        <f t="shared" si="17"/>
        <v>415p</v>
      </c>
      <c r="B132" s="392" t="str">
        <f>+VLOOKUP(LEFT($A132,LEN(A132)-1)*1,Master!$D$22:$G$218,4,FALSE)</f>
        <v>Rashodi za tekuće održavanje</v>
      </c>
      <c r="C132" s="393"/>
      <c r="D132" s="393"/>
      <c r="E132" s="393"/>
      <c r="F132" s="393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5.6850387439560763E-3</v>
      </c>
    </row>
    <row r="133" spans="1:20">
      <c r="A133" s="138" t="str">
        <f t="shared" si="17"/>
        <v>416p</v>
      </c>
      <c r="B133" s="392" t="str">
        <f>+VLOOKUP(LEFT($A133,LEN(A133)-1)*1,Master!$D$22:$G$218,4,FALSE)</f>
        <v>Kamate</v>
      </c>
      <c r="C133" s="393"/>
      <c r="D133" s="393"/>
      <c r="E133" s="393"/>
      <c r="F133" s="393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2.0697102731717976E-2</v>
      </c>
    </row>
    <row r="134" spans="1:20">
      <c r="A134" s="138" t="str">
        <f t="shared" si="17"/>
        <v>417p</v>
      </c>
      <c r="B134" s="392" t="str">
        <f>+VLOOKUP(LEFT($A134,LEN(A134)-1)*1,Master!$D$22:$G$218,4,FALSE)</f>
        <v>Renta</v>
      </c>
      <c r="C134" s="393"/>
      <c r="D134" s="393"/>
      <c r="E134" s="393"/>
      <c r="F134" s="393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2.2749639385909793E-3</v>
      </c>
    </row>
    <row r="135" spans="1:20">
      <c r="A135" s="138" t="str">
        <f t="shared" si="17"/>
        <v>418p</v>
      </c>
      <c r="B135" s="392" t="str">
        <f>+VLOOKUP(LEFT($A135,LEN(A135)-1)*1,Master!$D$22:$G$218,4,FALSE)</f>
        <v>Subvencije</v>
      </c>
      <c r="C135" s="393"/>
      <c r="D135" s="393"/>
      <c r="E135" s="393"/>
      <c r="F135" s="393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5.8053377769279099E-3</v>
      </c>
    </row>
    <row r="136" spans="1:20">
      <c r="A136" s="138" t="str">
        <f t="shared" si="17"/>
        <v>419p</v>
      </c>
      <c r="B136" s="392" t="str">
        <f>+VLOOKUP(LEFT($A136,LEN(A136)-1)*1,Master!$D$22:$G$218,4,FALSE)</f>
        <v>Ostali izdaci</v>
      </c>
      <c r="C136" s="393"/>
      <c r="D136" s="393"/>
      <c r="E136" s="393"/>
      <c r="F136" s="393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8.1678241101428659E-3</v>
      </c>
    </row>
    <row r="137" spans="1:20">
      <c r="A137" s="138" t="str">
        <f t="shared" si="17"/>
        <v>440p</v>
      </c>
      <c r="B137" s="392" t="str">
        <f>+VLOOKUP(LEFT($A137,LEN(A137)-1)*1,Master!$D$22:$G$218,4,FALSE)</f>
        <v>Kapitalni izdaci u tekućem budžetu</v>
      </c>
      <c r="C137" s="393"/>
      <c r="D137" s="393"/>
      <c r="E137" s="393"/>
      <c r="F137" s="393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3.7833958559838269E-3</v>
      </c>
    </row>
    <row r="138" spans="1:20">
      <c r="A138" s="138" t="str">
        <f t="shared" si="17"/>
        <v>42p</v>
      </c>
      <c r="B138" s="411" t="str">
        <f>+VLOOKUP(LEFT($A138,LEN(A138)-1)*1,Master!$D$22:$G$218,4,FALSE)</f>
        <v>Transferi za socijalnu zaštitu</v>
      </c>
      <c r="C138" s="412"/>
      <c r="D138" s="412"/>
      <c r="E138" s="412"/>
      <c r="F138" s="412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0.13790955964706206</v>
      </c>
    </row>
    <row r="139" spans="1:20">
      <c r="A139" s="138" t="str">
        <f t="shared" si="17"/>
        <v>421p</v>
      </c>
      <c r="B139" s="392" t="str">
        <f>+VLOOKUP(LEFT($A139,LEN(A139)-1)*1,Master!$D$22:$G$218,4,FALSE)</f>
        <v>Prava iz oblasti socijalne zaštite</v>
      </c>
      <c r="C139" s="393"/>
      <c r="D139" s="393"/>
      <c r="E139" s="393"/>
      <c r="F139" s="393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1.6535259649793754E-2</v>
      </c>
    </row>
    <row r="140" spans="1:20">
      <c r="A140" s="138" t="str">
        <f t="shared" si="17"/>
        <v>422p</v>
      </c>
      <c r="B140" s="392" t="str">
        <f>+VLOOKUP(LEFT($A140,LEN(A140)-1)*1,Master!$D$22:$G$218,4,FALSE)</f>
        <v>Sredstva za tehnološke viškove</v>
      </c>
      <c r="C140" s="393"/>
      <c r="D140" s="393"/>
      <c r="E140" s="393"/>
      <c r="F140" s="393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5.3104597481356021E-3</v>
      </c>
    </row>
    <row r="141" spans="1:20">
      <c r="A141" s="138" t="str">
        <f t="shared" si="17"/>
        <v>423p</v>
      </c>
      <c r="B141" s="392" t="str">
        <f>+VLOOKUP(LEFT($A141,LEN(A141)-1)*1,Master!$D$22:$G$218,4,FALSE)</f>
        <v>Prava iz oblasti penzijskog i invalidskog osiguranja</v>
      </c>
      <c r="C141" s="393"/>
      <c r="D141" s="393"/>
      <c r="E141" s="393"/>
      <c r="F141" s="393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0.10993932854372113</v>
      </c>
    </row>
    <row r="142" spans="1:20">
      <c r="A142" s="138" t="str">
        <f t="shared" si="17"/>
        <v>424p</v>
      </c>
      <c r="B142" s="392" t="str">
        <f>+VLOOKUP(LEFT($A142,LEN(A142)-1)*1,Master!$D$22:$G$218,4,FALSE)</f>
        <v>Ostala prava iz oblasti zdravstvene zaštite</v>
      </c>
      <c r="C142" s="393"/>
      <c r="D142" s="393"/>
      <c r="E142" s="393"/>
      <c r="F142" s="393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4.0975769661540139E-3</v>
      </c>
    </row>
    <row r="143" spans="1:20">
      <c r="A143" s="138" t="str">
        <f t="shared" si="17"/>
        <v>425p</v>
      </c>
      <c r="B143" s="392" t="str">
        <f>+VLOOKUP(LEFT($A143,LEN(A143)-1)*1,Master!$D$22:$G$218,4,FALSE)</f>
        <v>Ostala prava iz zdravstvenog osiguranja</v>
      </c>
      <c r="C143" s="393"/>
      <c r="D143" s="393"/>
      <c r="E143" s="393"/>
      <c r="F143" s="393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2.0269347392575182E-3</v>
      </c>
    </row>
    <row r="144" spans="1:20">
      <c r="A144" s="138" t="str">
        <f t="shared" si="17"/>
        <v>43p</v>
      </c>
      <c r="B144" s="415" t="str">
        <f>+VLOOKUP(LEFT($A144,LEN(A144)-1)*1,Master!$D$22:$G$218,4,FALSE)</f>
        <v xml:space="preserve">Transferi institucijama, pojedincima, nevladinom i javnom sektoru </v>
      </c>
      <c r="C144" s="416"/>
      <c r="D144" s="416"/>
      <c r="E144" s="416"/>
      <c r="F144" s="416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3.5046492916655285E-2</v>
      </c>
    </row>
    <row r="145" spans="1:20">
      <c r="A145" s="138" t="str">
        <f t="shared" si="17"/>
        <v>44p</v>
      </c>
      <c r="B145" s="415" t="str">
        <f>+VLOOKUP(LEFT($A145,LEN(A145)-1)*1,Master!$D$22:$G$218,4,FALSE)</f>
        <v>Kapitalni budžet</v>
      </c>
      <c r="C145" s="416"/>
      <c r="D145" s="416"/>
      <c r="E145" s="416"/>
      <c r="F145" s="416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7.777121233643837E-2</v>
      </c>
    </row>
    <row r="146" spans="1:20">
      <c r="A146" s="138" t="str">
        <f t="shared" si="17"/>
        <v>451p</v>
      </c>
      <c r="B146" s="417" t="str">
        <f>+VLOOKUP(LEFT($A146,LEN(A146)-1)*1,Master!$D$22:$G$218,4,FALSE)</f>
        <v>Pozajmice i krediti</v>
      </c>
      <c r="C146" s="418"/>
      <c r="D146" s="418"/>
      <c r="E146" s="418"/>
      <c r="F146" s="418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6.1463654492310209E-4</v>
      </c>
    </row>
    <row r="147" spans="1:20">
      <c r="A147" s="138" t="str">
        <f t="shared" si="17"/>
        <v>47p</v>
      </c>
      <c r="B147" s="417" t="str">
        <f>+VLOOKUP(LEFT($A147,LEN(A147)-1)*1,Master!$D$22:$G$218,4,FALSE)</f>
        <v>Rezerve</v>
      </c>
      <c r="C147" s="418"/>
      <c r="D147" s="418"/>
      <c r="E147" s="418"/>
      <c r="F147" s="418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3.5663024640096149E-3</v>
      </c>
    </row>
    <row r="148" spans="1:20" ht="13.5" thickBot="1">
      <c r="A148" s="138" t="str">
        <f t="shared" si="17"/>
        <v>462p</v>
      </c>
      <c r="B148" s="390" t="str">
        <f>+VLOOKUP(LEFT($A148,LEN(A148)-1)*1,Master!$D$22:$G$218,4,FALSE)</f>
        <v>Otplata garancija</v>
      </c>
      <c r="C148" s="391"/>
      <c r="D148" s="391"/>
      <c r="E148" s="391"/>
      <c r="F148" s="391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19" t="str">
        <f>+VLOOKUP(LEFT($A149,LEN(A149)-1)*1,Master!$D$22:$G$218,4,FALSE)</f>
        <v>Suficit / deficit</v>
      </c>
      <c r="C149" s="420"/>
      <c r="D149" s="420"/>
      <c r="E149" s="420"/>
      <c r="F149" s="420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-14977997.123338342</v>
      </c>
      <c r="Q149" s="97">
        <f t="shared" si="27"/>
        <v>-29583596.075497597</v>
      </c>
      <c r="R149" s="97">
        <f t="shared" si="27"/>
        <v>26942821.103767261</v>
      </c>
      <c r="S149" s="114">
        <f t="shared" si="20"/>
        <v>-235789554.46661687</v>
      </c>
      <c r="T149" s="115">
        <f t="shared" si="21"/>
        <v>-6.441105648280844E-2</v>
      </c>
    </row>
    <row r="150" spans="1:20" ht="13.5" thickBot="1">
      <c r="A150" s="139" t="str">
        <f>+CONCATENATE(A57,"p")</f>
        <v>1001p</v>
      </c>
      <c r="B150" s="421" t="str">
        <f>+VLOOKUP(LEFT($A150,LEN(A150)-1)*1,Master!$D$22:$G$218,4,FALSE)</f>
        <v>Primarni bilans</v>
      </c>
      <c r="C150" s="422"/>
      <c r="D150" s="422"/>
      <c r="E150" s="422"/>
      <c r="F150" s="422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-8664173.4591716751</v>
      </c>
      <c r="Q150" s="98">
        <f t="shared" si="28"/>
        <v>-23269772.411330931</v>
      </c>
      <c r="R150" s="98">
        <f t="shared" si="28"/>
        <v>33256644.767933927</v>
      </c>
      <c r="S150" s="114">
        <f t="shared" si="20"/>
        <v>-160023670.49661687</v>
      </c>
      <c r="T150" s="115">
        <f t="shared" si="21"/>
        <v>-4.3713953751090467E-2</v>
      </c>
    </row>
    <row r="151" spans="1:20">
      <c r="A151" s="139" t="str">
        <f>+CONCATENATE(A58,"p")</f>
        <v>46p</v>
      </c>
      <c r="B151" s="411" t="str">
        <f>+VLOOKUP(LEFT($A151,LEN(A151)-1)*1,Master!$D$22:$G$218,4,FALSE)</f>
        <v>Otplata dugova</v>
      </c>
      <c r="C151" s="412"/>
      <c r="D151" s="412"/>
      <c r="E151" s="412"/>
      <c r="F151" s="412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0.10880216471439892</v>
      </c>
    </row>
    <row r="152" spans="1:20">
      <c r="A152" s="139" t="str">
        <f>+CONCATENATE(A59,"p")</f>
        <v>4611p</v>
      </c>
      <c r="B152" s="423" t="str">
        <f>+VLOOKUP(LEFT($A152,LEN(A152)-1)*1,Master!$D$22:$G$218,4,FALSE)</f>
        <v>Otplata hartija od vrijednosti i kredita rezidentima</v>
      </c>
      <c r="C152" s="424"/>
      <c r="D152" s="424"/>
      <c r="E152" s="424"/>
      <c r="F152" s="424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1.2759887977709179E-2</v>
      </c>
    </row>
    <row r="153" spans="1:20">
      <c r="A153" s="139" t="str">
        <f>+CONCATENATE(A60,"p")</f>
        <v>4612p</v>
      </c>
      <c r="B153" s="417" t="str">
        <f>+VLOOKUP(LEFT($A153,LEN(A153)-1)*1,Master!$D$22:$G$218,4,FALSE)</f>
        <v>Otplata hartija od vrijednosti i kredita nerezidentima</v>
      </c>
      <c r="C153" s="418"/>
      <c r="D153" s="418"/>
      <c r="E153" s="418"/>
      <c r="F153" s="418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8.6806043229436997E-2</v>
      </c>
    </row>
    <row r="154" spans="1:20" ht="13.5" thickBot="1">
      <c r="A154" s="139" t="str">
        <f>+CONCATENATE(A54,"p")</f>
        <v>4630p</v>
      </c>
      <c r="B154" s="390" t="str">
        <f>+VLOOKUP(LEFT($A154,LEN(A154)-1)*1,Master!$D$22:$G$218,4,FALSE)</f>
        <v>Otplata obaveza iz prethodnih godina</v>
      </c>
      <c r="C154" s="391"/>
      <c r="D154" s="391"/>
      <c r="E154" s="391"/>
      <c r="F154" s="391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9.236233507252712E-3</v>
      </c>
    </row>
    <row r="155" spans="1:20" ht="13.5" thickBot="1">
      <c r="A155" s="139" t="str">
        <f t="shared" ref="A155:A160" si="30">+CONCATENATE(A61,"p")</f>
        <v>1002p</v>
      </c>
      <c r="B155" s="425" t="str">
        <f>+VLOOKUP(LEFT($A155,LEN(A155)-1)*1,Master!$D$22:$G$218,4,FALSE)</f>
        <v>Nedostajuća sredstva</v>
      </c>
      <c r="C155" s="426"/>
      <c r="D155" s="426"/>
      <c r="E155" s="426"/>
      <c r="F155" s="426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-48169004.154171675</v>
      </c>
      <c r="Q155" s="79">
        <f t="shared" si="31"/>
        <v>-62774603.106330931</v>
      </c>
      <c r="R155" s="79">
        <f t="shared" si="31"/>
        <v>-6248185.9270660728</v>
      </c>
      <c r="S155" s="118">
        <f t="shared" si="20"/>
        <v>-634081638.83661699</v>
      </c>
      <c r="T155" s="119">
        <f t="shared" si="21"/>
        <v>-0.17321322119720736</v>
      </c>
    </row>
    <row r="156" spans="1:20" ht="13.5" thickBot="1">
      <c r="A156" s="139" t="str">
        <f t="shared" si="30"/>
        <v>1003p</v>
      </c>
      <c r="B156" s="405" t="str">
        <f>+VLOOKUP(LEFT($A156,LEN(A156)-1)*1,Master!$D$22:$G$218,4,FALSE)</f>
        <v>Finansiranje</v>
      </c>
      <c r="C156" s="406"/>
      <c r="D156" s="406"/>
      <c r="E156" s="406"/>
      <c r="F156" s="406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48169004.154171675</v>
      </c>
      <c r="Q156" s="97">
        <f t="shared" si="32"/>
        <v>62774603.106330931</v>
      </c>
      <c r="R156" s="97">
        <f t="shared" si="32"/>
        <v>6248185.9270660728</v>
      </c>
      <c r="S156" s="120">
        <f t="shared" si="20"/>
        <v>634081638.83661699</v>
      </c>
      <c r="T156" s="121">
        <f t="shared" si="21"/>
        <v>0.17321322119720736</v>
      </c>
    </row>
    <row r="157" spans="1:20">
      <c r="A157" s="139" t="str">
        <f t="shared" si="30"/>
        <v>7511p</v>
      </c>
      <c r="B157" s="423" t="str">
        <f>+VLOOKUP(LEFT($A157,LEN(A157)-1)*1,Master!$D$22:$G$218,4,FALSE)</f>
        <v>Pozajmice i krediti od domaćih izvora</v>
      </c>
      <c r="C157" s="424"/>
      <c r="D157" s="424"/>
      <c r="E157" s="424"/>
      <c r="F157" s="424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417" t="str">
        <f>+VLOOKUP(LEFT($A158,LEN(A158)-1)*1,Master!$D$22:$G$218,4,FALSE)</f>
        <v>Pozajmice i krediti od inostranih izvora</v>
      </c>
      <c r="C158" s="418"/>
      <c r="D158" s="418"/>
      <c r="E158" s="418"/>
      <c r="F158" s="418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0.17321322119720742</v>
      </c>
    </row>
    <row r="159" spans="1:20">
      <c r="A159" s="139" t="str">
        <f t="shared" si="30"/>
        <v>72p</v>
      </c>
      <c r="B159" s="417" t="str">
        <f>+VLOOKUP(LEFT($A159,LEN(A159)-1)*1,Master!$D$22:$G$218,4,FALSE)</f>
        <v>Primici od prodaje imovine</v>
      </c>
      <c r="C159" s="418"/>
      <c r="D159" s="418"/>
      <c r="E159" s="418"/>
      <c r="F159" s="418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-4671132.4155464172</v>
      </c>
      <c r="Q160" s="101">
        <f t="shared" si="33"/>
        <v>9934466.5366128385</v>
      </c>
      <c r="R160" s="101">
        <f t="shared" si="33"/>
        <v>-46591950.64265202</v>
      </c>
      <c r="S160" s="112">
        <f t="shared" si="20"/>
        <v>-2.384185791015625E-7</v>
      </c>
      <c r="T160" s="113">
        <f t="shared" si="21"/>
        <v>-6.5129231868648758E-17</v>
      </c>
    </row>
  </sheetData>
  <mergeCells count="117"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381" t="str">
        <f>+Master!G244</f>
        <v>Ostvarenje budžeta</v>
      </c>
      <c r="C7" s="332"/>
      <c r="D7" s="332"/>
      <c r="E7" s="332"/>
      <c r="F7" s="332"/>
      <c r="G7" s="339">
        <v>2014</v>
      </c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3"/>
      <c r="S7" s="261" t="str">
        <f>+Master!G241</f>
        <v>BDP</v>
      </c>
      <c r="T7" s="262">
        <v>3424880000</v>
      </c>
    </row>
    <row r="8" spans="1:20" ht="16.5" customHeight="1">
      <c r="A8" s="170"/>
      <c r="B8" s="333"/>
      <c r="C8" s="334"/>
      <c r="D8" s="334"/>
      <c r="E8" s="334"/>
      <c r="F8" s="335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39" t="s">
        <v>712</v>
      </c>
      <c r="T8" s="343"/>
    </row>
    <row r="9" spans="1:20" ht="13.5" thickBot="1">
      <c r="A9" s="170"/>
      <c r="B9" s="336"/>
      <c r="C9" s="337"/>
      <c r="D9" s="337"/>
      <c r="E9" s="337"/>
      <c r="F9" s="338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9" t="str">
        <f>+VLOOKUP($A10,Master!$D$22:$G$218,4,FALSE)</f>
        <v>Prihodi budžeta</v>
      </c>
      <c r="C10" s="350"/>
      <c r="D10" s="350"/>
      <c r="E10" s="350"/>
      <c r="F10" s="350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51" t="str">
        <f>+VLOOKUP($A11,Master!$D$22:$G$218,4,FALSE)</f>
        <v>Porezi</v>
      </c>
      <c r="C11" s="352"/>
      <c r="D11" s="352"/>
      <c r="E11" s="352"/>
      <c r="F11" s="352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7" t="str">
        <f>+VLOOKUP($A12,Master!$D$22:$G$218,4,FALSE)</f>
        <v>Porez na dohodak fizičkih lica</v>
      </c>
      <c r="C12" s="348"/>
      <c r="D12" s="348"/>
      <c r="E12" s="348"/>
      <c r="F12" s="348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7" t="str">
        <f>+VLOOKUP($A13,Master!$D$22:$G$218,4,FALSE)</f>
        <v>Porez na dobit pravnih lica</v>
      </c>
      <c r="C13" s="348"/>
      <c r="D13" s="348"/>
      <c r="E13" s="348"/>
      <c r="F13" s="348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7" t="str">
        <f>+VLOOKUP($A14,Master!$D$22:$G$218,4,FALSE)</f>
        <v>Porez na promet nepokretnosti</v>
      </c>
      <c r="C14" s="348"/>
      <c r="D14" s="348"/>
      <c r="E14" s="348"/>
      <c r="F14" s="348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7" t="str">
        <f>+VLOOKUP($A15,Master!$D$22:$G$218,4,FALSE)</f>
        <v>Porez na dodatu vrijednost</v>
      </c>
      <c r="C15" s="348"/>
      <c r="D15" s="348"/>
      <c r="E15" s="348"/>
      <c r="F15" s="348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7" t="str">
        <f>+VLOOKUP($A16,Master!$D$22:$G$218,4,FALSE)</f>
        <v>Akcize</v>
      </c>
      <c r="C16" s="348"/>
      <c r="D16" s="348"/>
      <c r="E16" s="348"/>
      <c r="F16" s="348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7" t="str">
        <f>+VLOOKUP($A17,Master!$D$22:$G$218,4,FALSE)</f>
        <v>Porez na međunarodnu trgovinu i transakcije</v>
      </c>
      <c r="C17" s="348"/>
      <c r="D17" s="348"/>
      <c r="E17" s="348"/>
      <c r="F17" s="348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7" t="str">
        <f>+VLOOKUP($A18,Master!$D$22:$G$218,4,FALSE)</f>
        <v>Lokalni porezi</v>
      </c>
      <c r="C18" s="348"/>
      <c r="D18" s="348"/>
      <c r="E18" s="348"/>
      <c r="F18" s="348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7" t="str">
        <f>+VLOOKUP($A19,Master!$D$22:$G$218,4,FALSE)</f>
        <v>Ostali republički porezi</v>
      </c>
      <c r="C19" s="348"/>
      <c r="D19" s="348"/>
      <c r="E19" s="348"/>
      <c r="F19" s="348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53" t="str">
        <f>+VLOOKUP($A20,Master!$D$22:$G$218,4,FALSE)</f>
        <v>Doprinosi</v>
      </c>
      <c r="C20" s="354"/>
      <c r="D20" s="354"/>
      <c r="E20" s="354"/>
      <c r="F20" s="354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7" t="str">
        <f>+VLOOKUP($A21,Master!$D$22:$G$218,4,FALSE)</f>
        <v>Doprinosi za penzijsko i invalidsko osiguranje</v>
      </c>
      <c r="C21" s="348"/>
      <c r="D21" s="348"/>
      <c r="E21" s="348"/>
      <c r="F21" s="348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7" t="str">
        <f>+VLOOKUP($A22,Master!$D$22:$G$218,4,FALSE)</f>
        <v>Doprinosi za zdravstveno osiguranje</v>
      </c>
      <c r="C22" s="348"/>
      <c r="D22" s="348"/>
      <c r="E22" s="348"/>
      <c r="F22" s="348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7" t="str">
        <f>+VLOOKUP($A23,Master!$D$22:$G$218,4,FALSE)</f>
        <v>Doprinosi za osiguranje od nezaposlenosti</v>
      </c>
      <c r="C23" s="348"/>
      <c r="D23" s="348"/>
      <c r="E23" s="348"/>
      <c r="F23" s="348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7" t="str">
        <f>+VLOOKUP($A24,Master!$D$22:$G$218,4,FALSE)</f>
        <v>Ostali doprinosi</v>
      </c>
      <c r="C24" s="348"/>
      <c r="D24" s="348"/>
      <c r="E24" s="348"/>
      <c r="F24" s="348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5" t="str">
        <f>+VLOOKUP($A25,Master!$D$22:$G$218,4,FALSE)</f>
        <v>Takse</v>
      </c>
      <c r="C25" s="356"/>
      <c r="D25" s="356"/>
      <c r="E25" s="356"/>
      <c r="F25" s="356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5" t="str">
        <f>+VLOOKUP($A26,Master!$D$22:$G$218,4,FALSE)</f>
        <v>Naknade</v>
      </c>
      <c r="C26" s="356"/>
      <c r="D26" s="356"/>
      <c r="E26" s="356"/>
      <c r="F26" s="356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5" t="str">
        <f>+VLOOKUP($A27,Master!$D$22:$G$218,4,FALSE)</f>
        <v>Ostali prihodi</v>
      </c>
      <c r="C27" s="356"/>
      <c r="D27" s="356"/>
      <c r="E27" s="356"/>
      <c r="F27" s="356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5" t="str">
        <f>+VLOOKUP($A28,Master!$D$22:$G$218,4,FALSE)</f>
        <v>Primici od otplate kredita i sredstva prenesena iz prethodne godine</v>
      </c>
      <c r="C28" s="356"/>
      <c r="D28" s="356"/>
      <c r="E28" s="356"/>
      <c r="F28" s="356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7" t="str">
        <f>+VLOOKUP($A29,Master!$D$22:$G$218,4,FALSE)</f>
        <v>Donacije i transferi</v>
      </c>
      <c r="C29" s="358"/>
      <c r="D29" s="358"/>
      <c r="E29" s="358"/>
      <c r="F29" s="358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59" t="str">
        <f>+VLOOKUP($A30,Master!$D$22:$G$218,4,FALSE)</f>
        <v>Budžetki izdaci</v>
      </c>
      <c r="C30" s="360"/>
      <c r="D30" s="360"/>
      <c r="E30" s="360"/>
      <c r="F30" s="360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61" t="str">
        <f>+VLOOKUP($A31,Master!$D$22:$G$218,4,FALSE)</f>
        <v>Tekući izdaci</v>
      </c>
      <c r="C31" s="362"/>
      <c r="D31" s="362"/>
      <c r="E31" s="362"/>
      <c r="F31" s="362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63" t="str">
        <f>+VLOOKUP($A32,Master!$D$22:$G$218,4,FALSE)</f>
        <v>Tekući budžetski izdaci</v>
      </c>
      <c r="C32" s="364"/>
      <c r="D32" s="364"/>
      <c r="E32" s="364"/>
      <c r="F32" s="364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7" t="str">
        <f>+VLOOKUP($A33,Master!$D$22:$G$218,4,FALSE)</f>
        <v>Bruto zarade i doprinosi na teret poslodavca</v>
      </c>
      <c r="C33" s="348"/>
      <c r="D33" s="348"/>
      <c r="E33" s="348"/>
      <c r="F33" s="348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7" t="str">
        <f>+VLOOKUP($A34,Master!$D$22:$G$218,4,FALSE)</f>
        <v>Ostala lična primanja</v>
      </c>
      <c r="C34" s="348"/>
      <c r="D34" s="348"/>
      <c r="E34" s="348"/>
      <c r="F34" s="348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7" t="str">
        <f>+VLOOKUP($A35,Master!$D$22:$G$218,4,FALSE)</f>
        <v>Rashodi za materijal</v>
      </c>
      <c r="C35" s="348"/>
      <c r="D35" s="348"/>
      <c r="E35" s="348"/>
      <c r="F35" s="348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7" t="str">
        <f>+VLOOKUP($A36,Master!$D$22:$G$218,4,FALSE)</f>
        <v>Rashodi za usluge</v>
      </c>
      <c r="C36" s="348"/>
      <c r="D36" s="348"/>
      <c r="E36" s="348"/>
      <c r="F36" s="348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7" t="str">
        <f>+VLOOKUP($A37,Master!$D$22:$G$218,4,FALSE)</f>
        <v>Rashodi za tekuće održavanje</v>
      </c>
      <c r="C37" s="348"/>
      <c r="D37" s="348"/>
      <c r="E37" s="348"/>
      <c r="F37" s="348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7" t="str">
        <f>+VLOOKUP($A38,Master!$D$22:$G$218,4,FALSE)</f>
        <v>Kamate</v>
      </c>
      <c r="C38" s="348"/>
      <c r="D38" s="348"/>
      <c r="E38" s="348"/>
      <c r="F38" s="348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7" t="str">
        <f>+VLOOKUP($A39,Master!$D$22:$G$218,4,FALSE)</f>
        <v>Renta</v>
      </c>
      <c r="C39" s="348"/>
      <c r="D39" s="348"/>
      <c r="E39" s="348"/>
      <c r="F39" s="348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7" t="str">
        <f>+VLOOKUP($A40,Master!$D$22:$G$218,4,FALSE)</f>
        <v>Subvencije</v>
      </c>
      <c r="C40" s="348"/>
      <c r="D40" s="348"/>
      <c r="E40" s="348"/>
      <c r="F40" s="348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7" t="str">
        <f>+VLOOKUP($A41,Master!$D$22:$G$218,4,FALSE)</f>
        <v>Ostali izdaci</v>
      </c>
      <c r="C41" s="348"/>
      <c r="D41" s="348"/>
      <c r="E41" s="348"/>
      <c r="F41" s="348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7" t="str">
        <f>+VLOOKUP($A42,Master!$D$22:$G$218,4,FALSE)</f>
        <v>Kapitalni izdaci u tekućem budžetu</v>
      </c>
      <c r="C42" s="348"/>
      <c r="D42" s="348"/>
      <c r="E42" s="348"/>
      <c r="F42" s="348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65" t="str">
        <f>+VLOOKUP($A43,Master!$D$22:$G$218,4,FALSE)</f>
        <v>Transferi za socijalnu zaštitu</v>
      </c>
      <c r="C43" s="366"/>
      <c r="D43" s="366"/>
      <c r="E43" s="366"/>
      <c r="F43" s="366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7" t="str">
        <f>+VLOOKUP($A44,Master!$D$22:$G$218,4,FALSE)</f>
        <v>Prava iz oblasti socijalne zaštite</v>
      </c>
      <c r="C44" s="348"/>
      <c r="D44" s="348"/>
      <c r="E44" s="348"/>
      <c r="F44" s="348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7" t="str">
        <f>+VLOOKUP($A45,Master!$D$22:$G$218,4,FALSE)</f>
        <v>Sredstva za tehnološke viškove</v>
      </c>
      <c r="C45" s="348"/>
      <c r="D45" s="348"/>
      <c r="E45" s="348"/>
      <c r="F45" s="348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7" t="str">
        <f>+VLOOKUP($A46,Master!$D$22:$G$218,4,FALSE)</f>
        <v>Prava iz oblasti penzijskog i invalidskog osiguranja</v>
      </c>
      <c r="C46" s="348"/>
      <c r="D46" s="348"/>
      <c r="E46" s="348"/>
      <c r="F46" s="348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7" t="str">
        <f>+VLOOKUP($A47,Master!$D$22:$G$218,4,FALSE)</f>
        <v>Ostala prava iz oblasti zdravstvene zaštite</v>
      </c>
      <c r="C47" s="348"/>
      <c r="D47" s="348"/>
      <c r="E47" s="348"/>
      <c r="F47" s="348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7" t="str">
        <f>+VLOOKUP($A48,Master!$D$22:$G$218,4,FALSE)</f>
        <v>Ostala prava iz zdravstvenog osiguranja</v>
      </c>
      <c r="C48" s="348"/>
      <c r="D48" s="348"/>
      <c r="E48" s="348"/>
      <c r="F48" s="348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69" t="str">
        <f>+VLOOKUP($A49,Master!$D$22:$G$218,4,FALSE)</f>
        <v xml:space="preserve">Transferi institucijama, pojedincima, nevladinom i javnom sektoru </v>
      </c>
      <c r="C49" s="370"/>
      <c r="D49" s="370"/>
      <c r="E49" s="370"/>
      <c r="F49" s="370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69" t="str">
        <f>+VLOOKUP($A50,Master!$D$22:$G$218,4,FALSE)</f>
        <v>Kapitalni budžet</v>
      </c>
      <c r="C50" s="370"/>
      <c r="D50" s="370"/>
      <c r="E50" s="370"/>
      <c r="F50" s="370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71" t="str">
        <f>+VLOOKUP($A51,Master!$D$22:$G$218,4,FALSE)</f>
        <v>Pozajmice i krediti</v>
      </c>
      <c r="C51" s="372"/>
      <c r="D51" s="372"/>
      <c r="E51" s="372"/>
      <c r="F51" s="372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71" t="str">
        <f>+VLOOKUP($A52,Master!$D$22:$G$218,4,FALSE)</f>
        <v>Rezerve</v>
      </c>
      <c r="C52" s="372"/>
      <c r="D52" s="372"/>
      <c r="E52" s="372"/>
      <c r="F52" s="372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73" t="str">
        <f>+VLOOKUP($A53,Master!$D$22:$G$218,4,FALSE)</f>
        <v>Otplata garancija</v>
      </c>
      <c r="C53" s="374"/>
      <c r="D53" s="374"/>
      <c r="E53" s="374"/>
      <c r="F53" s="374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73" t="str">
        <f>+VLOOKUP($A54,Master!$D$22:$G$218,4,TRUE)</f>
        <v>Otplata obaveza iz prethodnih godina</v>
      </c>
      <c r="C54" s="374"/>
      <c r="D54" s="374"/>
      <c r="E54" s="374"/>
      <c r="F54" s="374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90" t="str">
        <f>+VLOOKUP($A55,Master!$D$22:$G$220,4,FALSE)</f>
        <v>Neto povećanje obaveza</v>
      </c>
      <c r="C55" s="391"/>
      <c r="D55" s="391"/>
      <c r="E55" s="391"/>
      <c r="F55" s="391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75" t="str">
        <f>+VLOOKUP($A56,Master!$D$22:$G$218,4,FALSE)</f>
        <v>Suficit / deficit</v>
      </c>
      <c r="C56" s="376"/>
      <c r="D56" s="376"/>
      <c r="E56" s="376"/>
      <c r="F56" s="376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67" t="str">
        <f>+VLOOKUP($A57,Master!$D$22:$G$218,4,FALSE)</f>
        <v>Primarni bilans</v>
      </c>
      <c r="C57" s="368"/>
      <c r="D57" s="368"/>
      <c r="E57" s="368"/>
      <c r="F57" s="368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65" t="str">
        <f>+VLOOKUP($A58,Master!$D$22:$G$218,4,FALSE)</f>
        <v>Otplata dugova</v>
      </c>
      <c r="C58" s="366"/>
      <c r="D58" s="366"/>
      <c r="E58" s="366"/>
      <c r="F58" s="366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77" t="str">
        <f>+VLOOKUP($A59,Master!$D$22:$G$218,4,FALSE)</f>
        <v>Otplata hartija od vrijednosti i kredita rezidentima</v>
      </c>
      <c r="C59" s="378"/>
      <c r="D59" s="378"/>
      <c r="E59" s="378"/>
      <c r="F59" s="378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71" t="str">
        <f>+VLOOKUP($A60,Master!$D$22:$G$218,4,FALSE)</f>
        <v>Otplata hartija od vrijednosti i kredita nerezidentima</v>
      </c>
      <c r="C60" s="372"/>
      <c r="D60" s="372"/>
      <c r="E60" s="372"/>
      <c r="F60" s="372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79" t="str">
        <f>+VLOOKUP($A61,Master!$D$22:$G$218,4,FALSE)</f>
        <v>Nedostajuća sredstva</v>
      </c>
      <c r="C61" s="380"/>
      <c r="D61" s="380"/>
      <c r="E61" s="380"/>
      <c r="F61" s="380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59" t="str">
        <f>+VLOOKUP($A62,Master!$D$22:$G$218,4,FALSE)</f>
        <v>Finansiranje</v>
      </c>
      <c r="C62" s="360"/>
      <c r="D62" s="360"/>
      <c r="E62" s="360"/>
      <c r="F62" s="360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77" t="str">
        <f>+VLOOKUP($A63,Master!$D$22:$G$218,4,FALSE)</f>
        <v>Pozajmice i krediti od domaćih izvora</v>
      </c>
      <c r="C63" s="378"/>
      <c r="D63" s="378"/>
      <c r="E63" s="378"/>
      <c r="F63" s="378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71" t="str">
        <f>+VLOOKUP($A64,Master!$D$22:$G$218,4,FALSE)</f>
        <v>Pozajmice i krediti od inostranih izvora</v>
      </c>
      <c r="C64" s="372"/>
      <c r="D64" s="372"/>
      <c r="E64" s="372"/>
      <c r="F64" s="372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71" t="str">
        <f>+VLOOKUP($A65,Master!$D$22:$G$218,4,FALSE)</f>
        <v>Primici od prodaje imovine</v>
      </c>
      <c r="C65" s="372"/>
      <c r="D65" s="372"/>
      <c r="E65" s="372"/>
      <c r="F65" s="372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382" t="str">
        <f>+Master!G245</f>
        <v>Plan ostvarenja budžeta</v>
      </c>
      <c r="C102" s="383"/>
      <c r="D102" s="383"/>
      <c r="E102" s="383"/>
      <c r="F102" s="383"/>
      <c r="G102" s="394">
        <v>2014</v>
      </c>
      <c r="H102" s="395"/>
      <c r="I102" s="395"/>
      <c r="J102" s="395"/>
      <c r="K102" s="395"/>
      <c r="L102" s="395"/>
      <c r="M102" s="395"/>
      <c r="N102" s="395"/>
      <c r="O102" s="395"/>
      <c r="P102" s="395"/>
      <c r="Q102" s="395"/>
      <c r="R102" s="396"/>
      <c r="S102" s="116" t="str">
        <f>+S7</f>
        <v>BDP</v>
      </c>
      <c r="T102" s="117">
        <v>3393200615</v>
      </c>
    </row>
    <row r="103" spans="1:21" ht="15.75" customHeight="1">
      <c r="B103" s="384"/>
      <c r="C103" s="385"/>
      <c r="D103" s="385"/>
      <c r="E103" s="385"/>
      <c r="F103" s="386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4" t="str">
        <f>+Master!G239</f>
        <v>Jan - Dec</v>
      </c>
      <c r="T103" s="396">
        <f>+T8</f>
        <v>0</v>
      </c>
    </row>
    <row r="104" spans="1:21" ht="13.5" thickBot="1">
      <c r="B104" s="387"/>
      <c r="C104" s="388"/>
      <c r="D104" s="388"/>
      <c r="E104" s="388"/>
      <c r="F104" s="389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7" t="str">
        <f>+VLOOKUP(LEFT($A105,LEN(A105)-1)*1,Master!$D$22:$G$218,4,FALSE)</f>
        <v>Prihodi budžeta</v>
      </c>
      <c r="C105" s="398"/>
      <c r="D105" s="398"/>
      <c r="E105" s="398"/>
      <c r="F105" s="398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399" t="str">
        <f>+VLOOKUP(LEFT($A106,LEN(A106)-1)*1,Master!$D$22:$G$218,4,FALSE)</f>
        <v>Porezi</v>
      </c>
      <c r="C106" s="400"/>
      <c r="D106" s="400"/>
      <c r="E106" s="400"/>
      <c r="F106" s="400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2" t="str">
        <f>+VLOOKUP(LEFT($A107,LEN(A107)-1)*1,Master!$D$22:$G$218,4,FALSE)</f>
        <v>Porez na dohodak fizičkih lica</v>
      </c>
      <c r="C107" s="393"/>
      <c r="D107" s="393"/>
      <c r="E107" s="393"/>
      <c r="F107" s="393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2" t="str">
        <f>+VLOOKUP(LEFT($A108,LEN(A108)-1)*1,Master!$D$22:$G$218,4,FALSE)</f>
        <v>Porez na dobit pravnih lica</v>
      </c>
      <c r="C108" s="393"/>
      <c r="D108" s="393"/>
      <c r="E108" s="393"/>
      <c r="F108" s="393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2" t="str">
        <f>+VLOOKUP(LEFT($A109,LEN(A109)-1)*1,Master!$D$22:$G$218,4,FALSE)</f>
        <v>Porez na promet nepokretnosti</v>
      </c>
      <c r="C109" s="393"/>
      <c r="D109" s="393"/>
      <c r="E109" s="393"/>
      <c r="F109" s="393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2" t="str">
        <f>+VLOOKUP(LEFT($A110,LEN(A110)-1)*1,Master!$D$22:$G$218,4,FALSE)</f>
        <v>Porez na dodatu vrijednost</v>
      </c>
      <c r="C110" s="393"/>
      <c r="D110" s="393"/>
      <c r="E110" s="393"/>
      <c r="F110" s="393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2" t="str">
        <f>+VLOOKUP(LEFT($A111,LEN(A111)-1)*1,Master!$D$22:$G$218,4,FALSE)</f>
        <v>Akcize</v>
      </c>
      <c r="C111" s="393"/>
      <c r="D111" s="393"/>
      <c r="E111" s="393"/>
      <c r="F111" s="393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2" t="str">
        <f>+VLOOKUP(LEFT($A112,LEN(A112)-1)*1,Master!$D$22:$G$218,4,FALSE)</f>
        <v>Porez na međunarodnu trgovinu i transakcije</v>
      </c>
      <c r="C112" s="393"/>
      <c r="D112" s="393"/>
      <c r="E112" s="393"/>
      <c r="F112" s="393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2" t="str">
        <f>+VLOOKUP(LEFT($A113,LEN(A113)-1)*1,Master!$D$22:$G$218,4,FALSE)</f>
        <v>Lokalni porezi</v>
      </c>
      <c r="C113" s="393"/>
      <c r="D113" s="393"/>
      <c r="E113" s="393"/>
      <c r="F113" s="393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2" t="str">
        <f>+VLOOKUP(LEFT($A114,LEN(A114)-1)*1,Master!$D$22:$G$218,4,FALSE)</f>
        <v>Ostali republički porezi</v>
      </c>
      <c r="C114" s="393"/>
      <c r="D114" s="393"/>
      <c r="E114" s="393"/>
      <c r="F114" s="393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9" t="str">
        <f>+VLOOKUP(LEFT($A115,LEN(A115)-1)*1,Master!$D$22:$G$218,4,FALSE)</f>
        <v>Doprinosi</v>
      </c>
      <c r="C115" s="410"/>
      <c r="D115" s="410"/>
      <c r="E115" s="410"/>
      <c r="F115" s="410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2" t="str">
        <f>+VLOOKUP(LEFT($A116,LEN(A116)-1)*1,Master!$D$22:$G$218,4,FALSE)</f>
        <v>Doprinosi za penzijsko i invalidsko osiguranje</v>
      </c>
      <c r="C116" s="393"/>
      <c r="D116" s="393"/>
      <c r="E116" s="393"/>
      <c r="F116" s="393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2" t="str">
        <f>+VLOOKUP(LEFT($A117,LEN(A117)-1)*1,Master!$D$22:$G$218,4,FALSE)</f>
        <v>Doprinosi za zdravstveno osiguranje</v>
      </c>
      <c r="C117" s="393"/>
      <c r="D117" s="393"/>
      <c r="E117" s="393"/>
      <c r="F117" s="393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2" t="str">
        <f>+VLOOKUP(LEFT($A118,LEN(A118)-1)*1,Master!$D$22:$G$218,4,FALSE)</f>
        <v>Doprinosi za osiguranje od nezaposlenosti</v>
      </c>
      <c r="C118" s="393"/>
      <c r="D118" s="393"/>
      <c r="E118" s="393"/>
      <c r="F118" s="393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2" t="str">
        <f>+VLOOKUP(LEFT($A119,LEN(A119)-1)*1,Master!$D$22:$G$218,4,FALSE)</f>
        <v>Ostali doprinosi</v>
      </c>
      <c r="C119" s="393"/>
      <c r="D119" s="393"/>
      <c r="E119" s="393"/>
      <c r="F119" s="393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1" t="str">
        <f>+VLOOKUP(LEFT($A120,LEN(A120)-1)*1,Master!$D$22:$G$218,4,FALSE)</f>
        <v>Takse</v>
      </c>
      <c r="C120" s="402"/>
      <c r="D120" s="402"/>
      <c r="E120" s="402"/>
      <c r="F120" s="402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1" t="str">
        <f>+VLOOKUP(LEFT($A121,LEN(A121)-1)*1,Master!$D$22:$G$218,4,FALSE)</f>
        <v>Naknade</v>
      </c>
      <c r="C121" s="402"/>
      <c r="D121" s="402"/>
      <c r="E121" s="402"/>
      <c r="F121" s="402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1" t="str">
        <f>+VLOOKUP(LEFT($A122,LEN(A122)-1)*1,Master!$D$22:$G$218,4,FALSE)</f>
        <v>Ostali prihodi</v>
      </c>
      <c r="C122" s="402"/>
      <c r="D122" s="402"/>
      <c r="E122" s="402"/>
      <c r="F122" s="402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1" t="str">
        <f>+VLOOKUP(LEFT($A123,LEN(A123)-1)*1,Master!$D$22:$G$218,4,FALSE)</f>
        <v>Primici od otplate kredita i sredstva prenesena iz prethodne godine</v>
      </c>
      <c r="C123" s="402"/>
      <c r="D123" s="402"/>
      <c r="E123" s="402"/>
      <c r="F123" s="402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3" t="str">
        <f>+VLOOKUP(LEFT($A124,LEN(A124)-1)*1,Master!$D$22:$G$218,4,FALSE)</f>
        <v>Donacije i transferi</v>
      </c>
      <c r="C124" s="404"/>
      <c r="D124" s="404"/>
      <c r="E124" s="404"/>
      <c r="F124" s="404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405" t="str">
        <f>+VLOOKUP(LEFT($A125,LEN(A125)-1)*1,Master!$D$22:$G$218,4,FALSE)</f>
        <v>Budžetki izdaci</v>
      </c>
      <c r="C125" s="406"/>
      <c r="D125" s="406"/>
      <c r="E125" s="406"/>
      <c r="F125" s="406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7" t="str">
        <f>+VLOOKUP(LEFT($A126,LEN(A126)-1)*1,Master!$D$22:$G$218,4,FALSE)</f>
        <v>Tekući izdaci</v>
      </c>
      <c r="C126" s="408"/>
      <c r="D126" s="408"/>
      <c r="E126" s="408"/>
      <c r="F126" s="408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13" t="str">
        <f>+VLOOKUP(LEFT($A127,LEN(A127)-1)*1,Master!$D$22:$G$218,4,FALSE)</f>
        <v>Tekući budžetski izdaci</v>
      </c>
      <c r="C127" s="414"/>
      <c r="D127" s="414"/>
      <c r="E127" s="414"/>
      <c r="F127" s="414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2" t="str">
        <f>+VLOOKUP(LEFT($A128,LEN(A128)-1)*1,Master!$D$22:$G$218,4,FALSE)</f>
        <v>Bruto zarade i doprinosi na teret poslodavca</v>
      </c>
      <c r="C128" s="393"/>
      <c r="D128" s="393"/>
      <c r="E128" s="393"/>
      <c r="F128" s="393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2" t="str">
        <f>+VLOOKUP(LEFT($A129,LEN(A129)-1)*1,Master!$D$22:$G$218,4,FALSE)</f>
        <v>Ostala lična primanja</v>
      </c>
      <c r="C129" s="393"/>
      <c r="D129" s="393"/>
      <c r="E129" s="393"/>
      <c r="F129" s="393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2" t="str">
        <f>+VLOOKUP(LEFT($A130,LEN(A130)-1)*1,Master!$D$22:$G$218,4,FALSE)</f>
        <v>Rashodi za materijal</v>
      </c>
      <c r="C130" s="393"/>
      <c r="D130" s="393"/>
      <c r="E130" s="393"/>
      <c r="F130" s="393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2" t="str">
        <f>+VLOOKUP(LEFT($A131,LEN(A131)-1)*1,Master!$D$22:$G$218,4,FALSE)</f>
        <v>Rashodi za usluge</v>
      </c>
      <c r="C131" s="393"/>
      <c r="D131" s="393"/>
      <c r="E131" s="393"/>
      <c r="F131" s="393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2" t="str">
        <f>+VLOOKUP(LEFT($A132,LEN(A132)-1)*1,Master!$D$22:$G$218,4,FALSE)</f>
        <v>Rashodi za tekuće održavanje</v>
      </c>
      <c r="C132" s="393"/>
      <c r="D132" s="393"/>
      <c r="E132" s="393"/>
      <c r="F132" s="393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2" t="str">
        <f>+VLOOKUP(LEFT($A133,LEN(A133)-1)*1,Master!$D$22:$G$218,4,FALSE)</f>
        <v>Kamate</v>
      </c>
      <c r="C133" s="393"/>
      <c r="D133" s="393"/>
      <c r="E133" s="393"/>
      <c r="F133" s="393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2" t="str">
        <f>+VLOOKUP(LEFT($A134,LEN(A134)-1)*1,Master!$D$22:$G$218,4,FALSE)</f>
        <v>Renta</v>
      </c>
      <c r="C134" s="393"/>
      <c r="D134" s="393"/>
      <c r="E134" s="393"/>
      <c r="F134" s="393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2" t="str">
        <f>+VLOOKUP(LEFT($A135,LEN(A135)-1)*1,Master!$D$22:$G$218,4,FALSE)</f>
        <v>Subvencije</v>
      </c>
      <c r="C135" s="393"/>
      <c r="D135" s="393"/>
      <c r="E135" s="393"/>
      <c r="F135" s="393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2" t="str">
        <f>+VLOOKUP(LEFT($A136,LEN(A136)-1)*1,Master!$D$22:$G$218,4,FALSE)</f>
        <v>Ostali izdaci</v>
      </c>
      <c r="C136" s="393"/>
      <c r="D136" s="393"/>
      <c r="E136" s="393"/>
      <c r="F136" s="393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2" t="str">
        <f>+VLOOKUP(LEFT($A137,LEN(A137)-1)*1,Master!$D$22:$G$218,4,FALSE)</f>
        <v>Kapitalni izdaci u tekućem budžetu</v>
      </c>
      <c r="C137" s="393"/>
      <c r="D137" s="393"/>
      <c r="E137" s="393"/>
      <c r="F137" s="393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411" t="str">
        <f>+VLOOKUP(LEFT($A138,LEN(A138)-1)*1,Master!$D$22:$G$218,4,FALSE)</f>
        <v>Transferi za socijalnu zaštitu</v>
      </c>
      <c r="C138" s="412"/>
      <c r="D138" s="412"/>
      <c r="E138" s="412"/>
      <c r="F138" s="412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2" t="str">
        <f>+VLOOKUP(LEFT($A139,LEN(A139)-1)*1,Master!$D$22:$G$218,4,FALSE)</f>
        <v>Prava iz oblasti socijalne zaštite</v>
      </c>
      <c r="C139" s="393"/>
      <c r="D139" s="393"/>
      <c r="E139" s="393"/>
      <c r="F139" s="393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2" t="str">
        <f>+VLOOKUP(LEFT($A140,LEN(A140)-1)*1,Master!$D$22:$G$218,4,FALSE)</f>
        <v>Sredstva za tehnološke viškove</v>
      </c>
      <c r="C140" s="393"/>
      <c r="D140" s="393"/>
      <c r="E140" s="393"/>
      <c r="F140" s="393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2" t="str">
        <f>+VLOOKUP(LEFT($A141,LEN(A141)-1)*1,Master!$D$22:$G$218,4,FALSE)</f>
        <v>Prava iz oblasti penzijskog i invalidskog osiguranja</v>
      </c>
      <c r="C141" s="393"/>
      <c r="D141" s="393"/>
      <c r="E141" s="393"/>
      <c r="F141" s="393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2" t="str">
        <f>+VLOOKUP(LEFT($A142,LEN(A142)-1)*1,Master!$D$22:$G$218,4,FALSE)</f>
        <v>Ostala prava iz oblasti zdravstvene zaštite</v>
      </c>
      <c r="C142" s="393"/>
      <c r="D142" s="393"/>
      <c r="E142" s="393"/>
      <c r="F142" s="393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2" t="str">
        <f>+VLOOKUP(LEFT($A143,LEN(A143)-1)*1,Master!$D$22:$G$218,4,FALSE)</f>
        <v>Ostala prava iz zdravstvenog osiguranja</v>
      </c>
      <c r="C143" s="393"/>
      <c r="D143" s="393"/>
      <c r="E143" s="393"/>
      <c r="F143" s="393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415" t="str">
        <f>+VLOOKUP(LEFT($A144,LEN(A144)-1)*1,Master!$D$22:$G$218,4,FALSE)</f>
        <v xml:space="preserve">Transferi institucijama, pojedincima, nevladinom i javnom sektoru </v>
      </c>
      <c r="C144" s="416"/>
      <c r="D144" s="416"/>
      <c r="E144" s="416"/>
      <c r="F144" s="416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415" t="str">
        <f>+VLOOKUP(LEFT($A145,LEN(A145)-1)*1,Master!$D$22:$G$218,4,FALSE)</f>
        <v>Kapitalni budžet</v>
      </c>
      <c r="C145" s="416"/>
      <c r="D145" s="416"/>
      <c r="E145" s="416"/>
      <c r="F145" s="416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417" t="str">
        <f>+VLOOKUP(LEFT($A146,LEN(A146)-1)*1,Master!$D$22:$G$218,4,FALSE)</f>
        <v>Pozajmice i krediti</v>
      </c>
      <c r="C146" s="418"/>
      <c r="D146" s="418"/>
      <c r="E146" s="418"/>
      <c r="F146" s="418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417" t="str">
        <f>+VLOOKUP(LEFT($A147,LEN(A147)-1)*1,Master!$D$22:$G$218,4,FALSE)</f>
        <v>Rezerve</v>
      </c>
      <c r="C147" s="418"/>
      <c r="D147" s="418"/>
      <c r="E147" s="418"/>
      <c r="F147" s="418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90" t="str">
        <f>+VLOOKUP(LEFT($A148,LEN(A148)-1)*1,Master!$D$22:$G$218,4,FALSE)</f>
        <v>Otplata garancija</v>
      </c>
      <c r="C148" s="391"/>
      <c r="D148" s="391"/>
      <c r="E148" s="391"/>
      <c r="F148" s="391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19" t="str">
        <f>+VLOOKUP(LEFT($A149,LEN(A149)-1)*1,Master!$D$22:$G$218,4,FALSE)</f>
        <v>Suficit / deficit</v>
      </c>
      <c r="C149" s="420"/>
      <c r="D149" s="420"/>
      <c r="E149" s="420"/>
      <c r="F149" s="420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421" t="str">
        <f>+VLOOKUP(LEFT($A150,LEN(A150)-1)*1,Master!$D$22:$G$218,4,FALSE)</f>
        <v>Primarni bilans</v>
      </c>
      <c r="C150" s="422"/>
      <c r="D150" s="422"/>
      <c r="E150" s="422"/>
      <c r="F150" s="422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411" t="str">
        <f>+VLOOKUP(LEFT($A151,LEN(A151)-1)*1,Master!$D$22:$G$218,4,FALSE)</f>
        <v>Otplata dugova</v>
      </c>
      <c r="C151" s="412"/>
      <c r="D151" s="412"/>
      <c r="E151" s="412"/>
      <c r="F151" s="412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423" t="str">
        <f>+VLOOKUP(LEFT($A152,LEN(A152)-1)*1,Master!$D$22:$G$218,4,FALSE)</f>
        <v>Otplata hartija od vrijednosti i kredita rezidentima</v>
      </c>
      <c r="C152" s="424"/>
      <c r="D152" s="424"/>
      <c r="E152" s="424"/>
      <c r="F152" s="424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417" t="str">
        <f>+VLOOKUP(LEFT($A153,LEN(A153)-1)*1,Master!$D$22:$G$218,4,FALSE)</f>
        <v>Otplata hartija od vrijednosti i kredita nerezidentima</v>
      </c>
      <c r="C153" s="418"/>
      <c r="D153" s="418"/>
      <c r="E153" s="418"/>
      <c r="F153" s="418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90" t="str">
        <f>+VLOOKUP(LEFT($A154,LEN(A154)-1)*1,Master!$D$22:$G$218,4,FALSE)</f>
        <v>Otplata obaveza iz prethodnih godina</v>
      </c>
      <c r="C154" s="391"/>
      <c r="D154" s="391"/>
      <c r="E154" s="391"/>
      <c r="F154" s="391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425" t="str">
        <f>+VLOOKUP(LEFT($A155,LEN(A155)-1)*1,Master!$D$22:$G$218,4,FALSE)</f>
        <v>Nedostajuća sredstva</v>
      </c>
      <c r="C155" s="426"/>
      <c r="D155" s="426"/>
      <c r="E155" s="426"/>
      <c r="F155" s="426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405" t="str">
        <f>+VLOOKUP(LEFT($A156,LEN(A156)-1)*1,Master!$D$22:$G$218,4,FALSE)</f>
        <v>Finansiranje</v>
      </c>
      <c r="C156" s="406"/>
      <c r="D156" s="406"/>
      <c r="E156" s="406"/>
      <c r="F156" s="406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423" t="str">
        <f>+VLOOKUP(LEFT($A157,LEN(A157)-1)*1,Master!$D$22:$G$218,4,FALSE)</f>
        <v>Pozajmice i krediti od domaćih izvora</v>
      </c>
      <c r="C157" s="424"/>
      <c r="D157" s="424"/>
      <c r="E157" s="424"/>
      <c r="F157" s="424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417" t="str">
        <f>+VLOOKUP(LEFT($A158,LEN(A158)-1)*1,Master!$D$22:$G$218,4,FALSE)</f>
        <v>Pozajmice i krediti od inostranih izvora</v>
      </c>
      <c r="C158" s="418"/>
      <c r="D158" s="418"/>
      <c r="E158" s="418"/>
      <c r="F158" s="418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417" t="str">
        <f>+VLOOKUP(LEFT($A159,LEN(A159)-1)*1,Master!$D$22:$G$218,4,FALSE)</f>
        <v>Primici od prodaje imovine</v>
      </c>
      <c r="C159" s="418"/>
      <c r="D159" s="418"/>
      <c r="E159" s="418"/>
      <c r="F159" s="418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ySplit="5" topLeftCell="A6" activePane="bottomLeft" state="frozen"/>
      <selection activeCell="DK219" sqref="DK219"/>
      <selection pane="bottomLeft" activeCell="B7" sqref="B7:F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82" t="str">
        <f>+Master!G244</f>
        <v>Ostvarenje budžeta</v>
      </c>
      <c r="C7" s="383"/>
      <c r="D7" s="383"/>
      <c r="E7" s="383"/>
      <c r="F7" s="383"/>
      <c r="G7" s="394">
        <v>2013</v>
      </c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6"/>
      <c r="S7" s="116" t="str">
        <f>+Master!G241</f>
        <v>BDP</v>
      </c>
      <c r="T7" s="117">
        <v>3327000000</v>
      </c>
    </row>
    <row r="8" spans="1:20" ht="16.5" customHeight="1">
      <c r="B8" s="384"/>
      <c r="C8" s="385"/>
      <c r="D8" s="385"/>
      <c r="E8" s="385"/>
      <c r="F8" s="386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4" t="s">
        <v>713</v>
      </c>
      <c r="T8" s="396"/>
    </row>
    <row r="9" spans="1:20" ht="13.5" thickBot="1">
      <c r="B9" s="387"/>
      <c r="C9" s="388"/>
      <c r="D9" s="388"/>
      <c r="E9" s="388"/>
      <c r="F9" s="389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7" t="str">
        <f>+VLOOKUP($A10,Master!$D$22:$G$218,4,FALSE)</f>
        <v>Prihodi budžeta</v>
      </c>
      <c r="C10" s="398"/>
      <c r="D10" s="398"/>
      <c r="E10" s="398"/>
      <c r="F10" s="398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399" t="str">
        <f>+VLOOKUP($A11,Master!$D$22:$G$218,4,FALSE)</f>
        <v>Porezi</v>
      </c>
      <c r="C11" s="400"/>
      <c r="D11" s="400"/>
      <c r="E11" s="400"/>
      <c r="F11" s="400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2" t="str">
        <f>+VLOOKUP($A12,Master!$D$22:$G$218,4,FALSE)</f>
        <v>Porez na dohodak fizičkih lica</v>
      </c>
      <c r="C12" s="393"/>
      <c r="D12" s="393"/>
      <c r="E12" s="393"/>
      <c r="F12" s="393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2" t="str">
        <f>+VLOOKUP($A13,Master!$D$22:$G$218,4,FALSE)</f>
        <v>Porez na dobit pravnih lica</v>
      </c>
      <c r="C13" s="393"/>
      <c r="D13" s="393"/>
      <c r="E13" s="393"/>
      <c r="F13" s="393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2" t="str">
        <f>+VLOOKUP($A14,Master!$D$22:$G$218,4,FALSE)</f>
        <v>Porez na promet nepokretnosti</v>
      </c>
      <c r="C14" s="393"/>
      <c r="D14" s="393"/>
      <c r="E14" s="393"/>
      <c r="F14" s="393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2" t="str">
        <f>+VLOOKUP($A15,Master!$D$22:$G$218,4,FALSE)</f>
        <v>Porez na dodatu vrijednost</v>
      </c>
      <c r="C15" s="393"/>
      <c r="D15" s="393"/>
      <c r="E15" s="393"/>
      <c r="F15" s="393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2" t="str">
        <f>+VLOOKUP($A16,Master!$D$22:$G$218,4,FALSE)</f>
        <v>Akcize</v>
      </c>
      <c r="C16" s="393"/>
      <c r="D16" s="393"/>
      <c r="E16" s="393"/>
      <c r="F16" s="393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2" t="str">
        <f>+VLOOKUP($A17,Master!$D$22:$G$218,4,FALSE)</f>
        <v>Porez na međunarodnu trgovinu i transakcije</v>
      </c>
      <c r="C17" s="393"/>
      <c r="D17" s="393"/>
      <c r="E17" s="393"/>
      <c r="F17" s="393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2" t="str">
        <f>+VLOOKUP($A18,Master!$D$22:$G$218,4,FALSE)</f>
        <v>Lokalni porezi</v>
      </c>
      <c r="C18" s="393"/>
      <c r="D18" s="393"/>
      <c r="E18" s="393"/>
      <c r="F18" s="393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2" t="str">
        <f>+VLOOKUP($A19,Master!$D$22:$G$218,4,FALSE)</f>
        <v>Ostali republički porezi</v>
      </c>
      <c r="C19" s="393"/>
      <c r="D19" s="393"/>
      <c r="E19" s="393"/>
      <c r="F19" s="393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2" t="str">
        <f>+VLOOKUP($A21,Master!$D$22:$G$218,4,FALSE)</f>
        <v>Doprinosi za penzijsko i invalidsko osiguranje</v>
      </c>
      <c r="C21" s="393"/>
      <c r="D21" s="393"/>
      <c r="E21" s="393"/>
      <c r="F21" s="393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2" t="str">
        <f>+VLOOKUP($A22,Master!$D$22:$G$218,4,FALSE)</f>
        <v>Doprinosi za zdravstveno osiguranje</v>
      </c>
      <c r="C22" s="393"/>
      <c r="D22" s="393"/>
      <c r="E22" s="393"/>
      <c r="F22" s="393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2" t="str">
        <f>+VLOOKUP($A23,Master!$D$22:$G$218,4,FALSE)</f>
        <v>Doprinosi za osiguranje od nezaposlenosti</v>
      </c>
      <c r="C23" s="393"/>
      <c r="D23" s="393"/>
      <c r="E23" s="393"/>
      <c r="F23" s="393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2" t="str">
        <f>+VLOOKUP($A24,Master!$D$22:$G$218,4,FALSE)</f>
        <v>Ostali doprinosi</v>
      </c>
      <c r="C24" s="393"/>
      <c r="D24" s="393"/>
      <c r="E24" s="393"/>
      <c r="F24" s="393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1" t="str">
        <f>+VLOOKUP($A25,Master!$D$22:$G$218,4,FALSE)</f>
        <v>Takse</v>
      </c>
      <c r="C25" s="402"/>
      <c r="D25" s="402"/>
      <c r="E25" s="402"/>
      <c r="F25" s="402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1" t="str">
        <f>+VLOOKUP($A26,Master!$D$22:$G$218,4,FALSE)</f>
        <v>Naknade</v>
      </c>
      <c r="C26" s="402"/>
      <c r="D26" s="402"/>
      <c r="E26" s="402"/>
      <c r="F26" s="402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1" t="str">
        <f>+VLOOKUP($A27,Master!$D$22:$G$218,4,FALSE)</f>
        <v>Ostali prihodi</v>
      </c>
      <c r="C27" s="402"/>
      <c r="D27" s="402"/>
      <c r="E27" s="402"/>
      <c r="F27" s="402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1" t="str">
        <f>+VLOOKUP($A28,Master!$D$22:$G$218,4,FALSE)</f>
        <v>Primici od otplate kredita i sredstva prenesena iz prethodne godine</v>
      </c>
      <c r="C28" s="402"/>
      <c r="D28" s="402"/>
      <c r="E28" s="402"/>
      <c r="F28" s="402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3" t="str">
        <f>+VLOOKUP($A29,Master!$D$22:$G$218,4,FALSE)</f>
        <v>Donacije i transferi</v>
      </c>
      <c r="C29" s="404"/>
      <c r="D29" s="404"/>
      <c r="E29" s="404"/>
      <c r="F29" s="404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405" t="str">
        <f>+VLOOKUP($A30,Master!$D$22:$G$218,4,FALSE)</f>
        <v>Budžetki izdaci</v>
      </c>
      <c r="C30" s="406"/>
      <c r="D30" s="406"/>
      <c r="E30" s="406"/>
      <c r="F30" s="406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13" t="str">
        <f>+VLOOKUP($A32,Master!$D$22:$G$218,4,FALSE)</f>
        <v>Tekući budžetski izdaci</v>
      </c>
      <c r="C32" s="414"/>
      <c r="D32" s="414"/>
      <c r="E32" s="414"/>
      <c r="F32" s="414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2" t="str">
        <f>+VLOOKUP($A33,Master!$D$22:$G$218,4,FALSE)</f>
        <v>Bruto zarade i doprinosi na teret poslodavca</v>
      </c>
      <c r="C33" s="393"/>
      <c r="D33" s="393"/>
      <c r="E33" s="393"/>
      <c r="F33" s="393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2" t="str">
        <f>+VLOOKUP($A34,Master!$D$22:$G$218,4,FALSE)</f>
        <v>Ostala lična primanja</v>
      </c>
      <c r="C34" s="393"/>
      <c r="D34" s="393"/>
      <c r="E34" s="393"/>
      <c r="F34" s="393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2" t="str">
        <f>+VLOOKUP($A35,Master!$D$22:$G$218,4,FALSE)</f>
        <v>Rashodi za materijal</v>
      </c>
      <c r="C35" s="393"/>
      <c r="D35" s="393"/>
      <c r="E35" s="393"/>
      <c r="F35" s="393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2" t="str">
        <f>+VLOOKUP($A36,Master!$D$22:$G$218,4,FALSE)</f>
        <v>Rashodi za usluge</v>
      </c>
      <c r="C36" s="393"/>
      <c r="D36" s="393"/>
      <c r="E36" s="393"/>
      <c r="F36" s="393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2" t="str">
        <f>+VLOOKUP($A37,Master!$D$22:$G$218,4,FALSE)</f>
        <v>Rashodi za tekuće održavanje</v>
      </c>
      <c r="C37" s="393"/>
      <c r="D37" s="393"/>
      <c r="E37" s="393"/>
      <c r="F37" s="393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2" t="str">
        <f>+VLOOKUP($A38,Master!$D$22:$G$218,4,FALSE)</f>
        <v>Kamate</v>
      </c>
      <c r="C38" s="393"/>
      <c r="D38" s="393"/>
      <c r="E38" s="393"/>
      <c r="F38" s="393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2" t="str">
        <f>+VLOOKUP($A39,Master!$D$22:$G$218,4,FALSE)</f>
        <v>Renta</v>
      </c>
      <c r="C39" s="393"/>
      <c r="D39" s="393"/>
      <c r="E39" s="393"/>
      <c r="F39" s="393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2" t="str">
        <f>+VLOOKUP($A40,Master!$D$22:$G$218,4,FALSE)</f>
        <v>Subvencije</v>
      </c>
      <c r="C40" s="393"/>
      <c r="D40" s="393"/>
      <c r="E40" s="393"/>
      <c r="F40" s="393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2" t="str">
        <f>+VLOOKUP($A41,Master!$D$22:$G$218,4,FALSE)</f>
        <v>Ostali izdaci</v>
      </c>
      <c r="C41" s="393"/>
      <c r="D41" s="393"/>
      <c r="E41" s="393"/>
      <c r="F41" s="393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2" t="str">
        <f>+VLOOKUP($A42,Master!$D$22:$G$218,4,FALSE)</f>
        <v>Kapitalni izdaci u tekućem budžetu</v>
      </c>
      <c r="C42" s="393"/>
      <c r="D42" s="393"/>
      <c r="E42" s="393"/>
      <c r="F42" s="393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411" t="str">
        <f>+VLOOKUP($A43,Master!$D$22:$G$218,4,FALSE)</f>
        <v>Transferi za socijalnu zaštitu</v>
      </c>
      <c r="C43" s="412"/>
      <c r="D43" s="412"/>
      <c r="E43" s="412"/>
      <c r="F43" s="412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2" t="str">
        <f>+VLOOKUP($A44,Master!$D$22:$G$218,4,FALSE)</f>
        <v>Prava iz oblasti socijalne zaštite</v>
      </c>
      <c r="C44" s="393"/>
      <c r="D44" s="393"/>
      <c r="E44" s="393"/>
      <c r="F44" s="393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2" t="str">
        <f>+VLOOKUP($A45,Master!$D$22:$G$218,4,FALSE)</f>
        <v>Sredstva za tehnološke viškove</v>
      </c>
      <c r="C45" s="393"/>
      <c r="D45" s="393"/>
      <c r="E45" s="393"/>
      <c r="F45" s="393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2" t="str">
        <f>+VLOOKUP($A46,Master!$D$22:$G$218,4,FALSE)</f>
        <v>Prava iz oblasti penzijskog i invalidskog osiguranja</v>
      </c>
      <c r="C46" s="393"/>
      <c r="D46" s="393"/>
      <c r="E46" s="393"/>
      <c r="F46" s="393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2" t="str">
        <f>+VLOOKUP($A47,Master!$D$22:$G$218,4,FALSE)</f>
        <v>Ostala prava iz oblasti zdravstvene zaštite</v>
      </c>
      <c r="C47" s="393"/>
      <c r="D47" s="393"/>
      <c r="E47" s="393"/>
      <c r="F47" s="393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2" t="str">
        <f>+VLOOKUP($A48,Master!$D$22:$G$218,4,FALSE)</f>
        <v>Ostala prava iz zdravstvenog osiguranja</v>
      </c>
      <c r="C48" s="393"/>
      <c r="D48" s="393"/>
      <c r="E48" s="393"/>
      <c r="F48" s="393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415" t="str">
        <f>+VLOOKUP($A49,Master!$D$22:$G$218,4,FALSE)</f>
        <v xml:space="preserve">Transferi institucijama, pojedincima, nevladinom i javnom sektoru </v>
      </c>
      <c r="C49" s="416"/>
      <c r="D49" s="416"/>
      <c r="E49" s="416"/>
      <c r="F49" s="416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415" t="str">
        <f>+VLOOKUP($A50,Master!$D$22:$G$218,4,FALSE)</f>
        <v>Kapitalni budžet</v>
      </c>
      <c r="C50" s="416"/>
      <c r="D50" s="416"/>
      <c r="E50" s="416"/>
      <c r="F50" s="416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417" t="str">
        <f>+VLOOKUP($A51,Master!$D$22:$G$218,4,FALSE)</f>
        <v>Pozajmice i krediti</v>
      </c>
      <c r="C51" s="418"/>
      <c r="D51" s="418"/>
      <c r="E51" s="418"/>
      <c r="F51" s="418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417" t="str">
        <f>+VLOOKUP($A52,Master!$D$22:$G$218,4,FALSE)</f>
        <v>Rezerve</v>
      </c>
      <c r="C52" s="418"/>
      <c r="D52" s="418"/>
      <c r="E52" s="418"/>
      <c r="F52" s="418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90" t="str">
        <f>+VLOOKUP($A54,Master!$D$22:$G$218,4,FALSE)</f>
        <v>Otplata obaveza iz prethodnih godina</v>
      </c>
      <c r="C54" s="391"/>
      <c r="D54" s="391"/>
      <c r="E54" s="391"/>
      <c r="F54" s="391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90" t="str">
        <f>+VLOOKUP($A55,Master!$D$22:$G$220,4,FALSE)</f>
        <v>Neto povećanje obaveza</v>
      </c>
      <c r="C55" s="391"/>
      <c r="D55" s="391"/>
      <c r="E55" s="391"/>
      <c r="F55" s="391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419" t="str">
        <f>+VLOOKUP($A56,Master!$D$22:$G$218,4,FALSE)</f>
        <v>Suficit / deficit</v>
      </c>
      <c r="C56" s="420"/>
      <c r="D56" s="420"/>
      <c r="E56" s="420"/>
      <c r="F56" s="420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421" t="str">
        <f>+VLOOKUP($A57,Master!$D$22:$G$218,4,FALSE)</f>
        <v>Primarni bilans</v>
      </c>
      <c r="C57" s="422"/>
      <c r="D57" s="422"/>
      <c r="E57" s="422"/>
      <c r="F57" s="422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411" t="str">
        <f>+VLOOKUP($A58,Master!$D$22:$G$218,4,FALSE)</f>
        <v>Otplata dugova</v>
      </c>
      <c r="C58" s="412"/>
      <c r="D58" s="412"/>
      <c r="E58" s="412"/>
      <c r="F58" s="412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423" t="str">
        <f>+VLOOKUP($A59,Master!$D$22:$G$218,4,FALSE)</f>
        <v>Otplata hartija od vrijednosti i kredita rezidentima</v>
      </c>
      <c r="C59" s="424"/>
      <c r="D59" s="424"/>
      <c r="E59" s="424"/>
      <c r="F59" s="424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417" t="str">
        <f>+VLOOKUP($A60,Master!$D$22:$G$218,4,FALSE)</f>
        <v>Otplata hartija od vrijednosti i kredita nerezidentima</v>
      </c>
      <c r="C60" s="418"/>
      <c r="D60" s="418"/>
      <c r="E60" s="418"/>
      <c r="F60" s="418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425" t="str">
        <f>+VLOOKUP($A61,Master!$D$22:$G$218,4,FALSE)</f>
        <v>Nedostajuća sredstva</v>
      </c>
      <c r="C61" s="426"/>
      <c r="D61" s="426"/>
      <c r="E61" s="426"/>
      <c r="F61" s="426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405" t="str">
        <f>+VLOOKUP($A62,Master!$D$22:$G$218,4,FALSE)</f>
        <v>Finansiranje</v>
      </c>
      <c r="C62" s="406"/>
      <c r="D62" s="406"/>
      <c r="E62" s="406"/>
      <c r="F62" s="406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423" t="str">
        <f>+VLOOKUP($A63,Master!$D$22:$G$218,4,FALSE)</f>
        <v>Pozajmice i krediti od domaćih izvora</v>
      </c>
      <c r="C63" s="424"/>
      <c r="D63" s="424"/>
      <c r="E63" s="424"/>
      <c r="F63" s="424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417" t="str">
        <f>+VLOOKUP($A64,Master!$D$22:$G$218,4,FALSE)</f>
        <v>Pozajmice i krediti od inostranih izvora</v>
      </c>
      <c r="C64" s="418"/>
      <c r="D64" s="418"/>
      <c r="E64" s="418"/>
      <c r="F64" s="418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417" t="str">
        <f>+VLOOKUP($A65,Master!$D$22:$G$218,4,FALSE)</f>
        <v>Primici od prodaje imovine</v>
      </c>
      <c r="C65" s="418"/>
      <c r="D65" s="418"/>
      <c r="E65" s="418"/>
      <c r="F65" s="418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381" t="str">
        <f>+Master!G245</f>
        <v>Plan ostvarenja budžeta</v>
      </c>
      <c r="C102" s="332"/>
      <c r="D102" s="332"/>
      <c r="E102" s="332"/>
      <c r="F102" s="332"/>
      <c r="G102" s="339">
        <v>2013</v>
      </c>
      <c r="H102" s="340"/>
      <c r="I102" s="340"/>
      <c r="J102" s="340"/>
      <c r="K102" s="340"/>
      <c r="L102" s="340"/>
      <c r="M102" s="340"/>
      <c r="N102" s="340"/>
      <c r="O102" s="340"/>
      <c r="P102" s="340"/>
      <c r="Q102" s="340"/>
      <c r="R102" s="343"/>
      <c r="S102" s="261" t="str">
        <f>+S7</f>
        <v>BDP</v>
      </c>
      <c r="T102" s="262">
        <v>3393200615</v>
      </c>
    </row>
    <row r="103" spans="1:20" ht="15.75" customHeight="1">
      <c r="A103" s="170"/>
      <c r="B103" s="333"/>
      <c r="C103" s="334"/>
      <c r="D103" s="334"/>
      <c r="E103" s="334"/>
      <c r="F103" s="335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39" t="str">
        <f>+Master!G239</f>
        <v>Jan - Dec</v>
      </c>
      <c r="T103" s="343">
        <f>+T8</f>
        <v>0</v>
      </c>
    </row>
    <row r="104" spans="1:20" ht="13.5" thickBot="1">
      <c r="A104" s="170"/>
      <c r="B104" s="336"/>
      <c r="C104" s="337"/>
      <c r="D104" s="337"/>
      <c r="E104" s="337"/>
      <c r="F104" s="338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49" t="str">
        <f>+VLOOKUP(LEFT($A105,LEN(A105)-1)*1,Master!$D$22:$G$218,4,FALSE)</f>
        <v>Prihodi budžeta</v>
      </c>
      <c r="C105" s="350"/>
      <c r="D105" s="350"/>
      <c r="E105" s="350"/>
      <c r="F105" s="350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51" t="str">
        <f>+VLOOKUP(LEFT($A106,LEN(A106)-1)*1,Master!$D$22:$G$218,4,FALSE)</f>
        <v>Porezi</v>
      </c>
      <c r="C106" s="352"/>
      <c r="D106" s="352"/>
      <c r="E106" s="352"/>
      <c r="F106" s="352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7" t="str">
        <f>+VLOOKUP(LEFT($A107,LEN(A107)-1)*1,Master!$D$22:$G$218,4,FALSE)</f>
        <v>Porez na dohodak fizičkih lica</v>
      </c>
      <c r="C107" s="348"/>
      <c r="D107" s="348"/>
      <c r="E107" s="348"/>
      <c r="F107" s="348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7" t="str">
        <f>+VLOOKUP(LEFT($A108,LEN(A108)-1)*1,Master!$D$22:$G$218,4,FALSE)</f>
        <v>Porez na dobit pravnih lica</v>
      </c>
      <c r="C108" s="348"/>
      <c r="D108" s="348"/>
      <c r="E108" s="348"/>
      <c r="F108" s="348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7" t="str">
        <f>+VLOOKUP(LEFT($A109,LEN(A109)-1)*1,Master!$D$22:$G$218,4,FALSE)</f>
        <v>Porez na promet nepokretnosti</v>
      </c>
      <c r="C109" s="348"/>
      <c r="D109" s="348"/>
      <c r="E109" s="348"/>
      <c r="F109" s="348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7" t="str">
        <f>+VLOOKUP(LEFT($A110,LEN(A110)-1)*1,Master!$D$22:$G$218,4,FALSE)</f>
        <v>Porez na dodatu vrijednost</v>
      </c>
      <c r="C110" s="348"/>
      <c r="D110" s="348"/>
      <c r="E110" s="348"/>
      <c r="F110" s="348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7" t="str">
        <f>+VLOOKUP(LEFT($A111,LEN(A111)-1)*1,Master!$D$22:$G$218,4,FALSE)</f>
        <v>Akcize</v>
      </c>
      <c r="C111" s="348"/>
      <c r="D111" s="348"/>
      <c r="E111" s="348"/>
      <c r="F111" s="348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7" t="str">
        <f>+VLOOKUP(LEFT($A112,LEN(A112)-1)*1,Master!$D$22:$G$218,4,FALSE)</f>
        <v>Porez na međunarodnu trgovinu i transakcije</v>
      </c>
      <c r="C112" s="348"/>
      <c r="D112" s="348"/>
      <c r="E112" s="348"/>
      <c r="F112" s="348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7" t="str">
        <f>+VLOOKUP(LEFT($A113,LEN(A113)-1)*1,Master!$D$22:$G$218,4,FALSE)</f>
        <v>Lokalni porezi</v>
      </c>
      <c r="C113" s="348"/>
      <c r="D113" s="348"/>
      <c r="E113" s="348"/>
      <c r="F113" s="348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7" t="str">
        <f>+VLOOKUP(LEFT($A114,LEN(A114)-1)*1,Master!$D$22:$G$218,4,FALSE)</f>
        <v>Ostali republički porezi</v>
      </c>
      <c r="C114" s="348"/>
      <c r="D114" s="348"/>
      <c r="E114" s="348"/>
      <c r="F114" s="348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53" t="str">
        <f>+VLOOKUP(LEFT($A115,LEN(A115)-1)*1,Master!$D$22:$G$218,4,FALSE)</f>
        <v>Doprinosi</v>
      </c>
      <c r="C115" s="354"/>
      <c r="D115" s="354"/>
      <c r="E115" s="354"/>
      <c r="F115" s="354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7" t="str">
        <f>+VLOOKUP(LEFT($A116,LEN(A116)-1)*1,Master!$D$22:$G$218,4,FALSE)</f>
        <v>Doprinosi za penzijsko i invalidsko osiguranje</v>
      </c>
      <c r="C116" s="348"/>
      <c r="D116" s="348"/>
      <c r="E116" s="348"/>
      <c r="F116" s="348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7" t="str">
        <f>+VLOOKUP(LEFT($A117,LEN(A117)-1)*1,Master!$D$22:$G$218,4,FALSE)</f>
        <v>Doprinosi za zdravstveno osiguranje</v>
      </c>
      <c r="C117" s="348"/>
      <c r="D117" s="348"/>
      <c r="E117" s="348"/>
      <c r="F117" s="348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7" t="str">
        <f>+VLOOKUP(LEFT($A118,LEN(A118)-1)*1,Master!$D$22:$G$218,4,FALSE)</f>
        <v>Doprinosi za osiguranje od nezaposlenosti</v>
      </c>
      <c r="C118" s="348"/>
      <c r="D118" s="348"/>
      <c r="E118" s="348"/>
      <c r="F118" s="348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7" t="str">
        <f>+VLOOKUP(LEFT($A119,LEN(A119)-1)*1,Master!$D$22:$G$218,4,FALSE)</f>
        <v>Ostali doprinosi</v>
      </c>
      <c r="C119" s="348"/>
      <c r="D119" s="348"/>
      <c r="E119" s="348"/>
      <c r="F119" s="348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5" t="str">
        <f>+VLOOKUP(LEFT($A120,LEN(A120)-1)*1,Master!$D$22:$G$218,4,FALSE)</f>
        <v>Takse</v>
      </c>
      <c r="C120" s="356"/>
      <c r="D120" s="356"/>
      <c r="E120" s="356"/>
      <c r="F120" s="356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5" t="str">
        <f>+VLOOKUP(LEFT($A121,LEN(A121)-1)*1,Master!$D$22:$G$218,4,FALSE)</f>
        <v>Naknade</v>
      </c>
      <c r="C121" s="356"/>
      <c r="D121" s="356"/>
      <c r="E121" s="356"/>
      <c r="F121" s="356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5" t="str">
        <f>+VLOOKUP(LEFT($A122,LEN(A122)-1)*1,Master!$D$22:$G$218,4,FALSE)</f>
        <v>Ostali prihodi</v>
      </c>
      <c r="C122" s="356"/>
      <c r="D122" s="356"/>
      <c r="E122" s="356"/>
      <c r="F122" s="356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5" t="str">
        <f>+VLOOKUP(LEFT($A123,LEN(A123)-1)*1,Master!$D$22:$G$218,4,FALSE)</f>
        <v>Primici od otplate kredita i sredstva prenesena iz prethodne godine</v>
      </c>
      <c r="C123" s="356"/>
      <c r="D123" s="356"/>
      <c r="E123" s="356"/>
      <c r="F123" s="356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7" t="str">
        <f>+VLOOKUP(LEFT($A124,LEN(A124)-1)*1,Master!$D$22:$G$218,4,FALSE)</f>
        <v>Donacije i transferi</v>
      </c>
      <c r="C124" s="358"/>
      <c r="D124" s="358"/>
      <c r="E124" s="358"/>
      <c r="F124" s="358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59" t="str">
        <f>+VLOOKUP(LEFT($A125,LEN(A125)-1)*1,Master!$D$22:$G$218,4,FALSE)</f>
        <v>Budžetki izdaci</v>
      </c>
      <c r="C125" s="360"/>
      <c r="D125" s="360"/>
      <c r="E125" s="360"/>
      <c r="F125" s="360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61" t="str">
        <f>+VLOOKUP(LEFT($A126,LEN(A126)-1)*1,Master!$D$22:$G$218,4,FALSE)</f>
        <v>Tekući izdaci</v>
      </c>
      <c r="C126" s="362"/>
      <c r="D126" s="362"/>
      <c r="E126" s="362"/>
      <c r="F126" s="362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63" t="str">
        <f>+VLOOKUP(LEFT($A127,LEN(A127)-1)*1,Master!$D$22:$G$218,4,FALSE)</f>
        <v>Tekući budžetski izdaci</v>
      </c>
      <c r="C127" s="364"/>
      <c r="D127" s="364"/>
      <c r="E127" s="364"/>
      <c r="F127" s="364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7" t="str">
        <f>+VLOOKUP(LEFT($A128,LEN(A128)-1)*1,Master!$D$22:$G$218,4,FALSE)</f>
        <v>Bruto zarade i doprinosi na teret poslodavca</v>
      </c>
      <c r="C128" s="348"/>
      <c r="D128" s="348"/>
      <c r="E128" s="348"/>
      <c r="F128" s="348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7" t="str">
        <f>+VLOOKUP(LEFT($A129,LEN(A129)-1)*1,Master!$D$22:$G$218,4,FALSE)</f>
        <v>Ostala lična primanja</v>
      </c>
      <c r="C129" s="348"/>
      <c r="D129" s="348"/>
      <c r="E129" s="348"/>
      <c r="F129" s="348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7" t="str">
        <f>+VLOOKUP(LEFT($A130,LEN(A130)-1)*1,Master!$D$22:$G$218,4,FALSE)</f>
        <v>Rashodi za materijal</v>
      </c>
      <c r="C130" s="348"/>
      <c r="D130" s="348"/>
      <c r="E130" s="348"/>
      <c r="F130" s="348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7" t="str">
        <f>+VLOOKUP(LEFT($A131,LEN(A131)-1)*1,Master!$D$22:$G$218,4,FALSE)</f>
        <v>Rashodi za usluge</v>
      </c>
      <c r="C131" s="348"/>
      <c r="D131" s="348"/>
      <c r="E131" s="348"/>
      <c r="F131" s="348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7" t="str">
        <f>+VLOOKUP(LEFT($A132,LEN(A132)-1)*1,Master!$D$22:$G$218,4,FALSE)</f>
        <v>Rashodi za tekuće održavanje</v>
      </c>
      <c r="C132" s="348"/>
      <c r="D132" s="348"/>
      <c r="E132" s="348"/>
      <c r="F132" s="348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7" t="str">
        <f>+VLOOKUP(LEFT($A133,LEN(A133)-1)*1,Master!$D$22:$G$218,4,FALSE)</f>
        <v>Kamate</v>
      </c>
      <c r="C133" s="348"/>
      <c r="D133" s="348"/>
      <c r="E133" s="348"/>
      <c r="F133" s="348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7" t="str">
        <f>+VLOOKUP(LEFT($A134,LEN(A134)-1)*1,Master!$D$22:$G$218,4,FALSE)</f>
        <v>Renta</v>
      </c>
      <c r="C134" s="348"/>
      <c r="D134" s="348"/>
      <c r="E134" s="348"/>
      <c r="F134" s="348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7" t="str">
        <f>+VLOOKUP(LEFT($A135,LEN(A135)-1)*1,Master!$D$22:$G$218,4,FALSE)</f>
        <v>Subvencije</v>
      </c>
      <c r="C135" s="348"/>
      <c r="D135" s="348"/>
      <c r="E135" s="348"/>
      <c r="F135" s="348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7" t="str">
        <f>+VLOOKUP(LEFT($A136,LEN(A136)-1)*1,Master!$D$22:$G$218,4,FALSE)</f>
        <v>Ostali izdaci</v>
      </c>
      <c r="C136" s="348"/>
      <c r="D136" s="348"/>
      <c r="E136" s="348"/>
      <c r="F136" s="348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7" t="str">
        <f>+VLOOKUP(LEFT($A137,LEN(A137)-1)*1,Master!$D$22:$G$218,4,FALSE)</f>
        <v>Kapitalni izdaci u tekućem budžetu</v>
      </c>
      <c r="C137" s="348"/>
      <c r="D137" s="348"/>
      <c r="E137" s="348"/>
      <c r="F137" s="348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65" t="str">
        <f>+VLOOKUP(LEFT($A138,LEN(A138)-1)*1,Master!$D$22:$G$218,4,FALSE)</f>
        <v>Transferi za socijalnu zaštitu</v>
      </c>
      <c r="C138" s="366"/>
      <c r="D138" s="366"/>
      <c r="E138" s="366"/>
      <c r="F138" s="366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7" t="str">
        <f>+VLOOKUP(LEFT($A139,LEN(A139)-1)*1,Master!$D$22:$G$218,4,FALSE)</f>
        <v>Prava iz oblasti socijalne zaštite</v>
      </c>
      <c r="C139" s="348"/>
      <c r="D139" s="348"/>
      <c r="E139" s="348"/>
      <c r="F139" s="348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7" t="str">
        <f>+VLOOKUP(LEFT($A140,LEN(A140)-1)*1,Master!$D$22:$G$218,4,FALSE)</f>
        <v>Sredstva za tehnološke viškove</v>
      </c>
      <c r="C140" s="348"/>
      <c r="D140" s="348"/>
      <c r="E140" s="348"/>
      <c r="F140" s="348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7" t="str">
        <f>+VLOOKUP(LEFT($A141,LEN(A141)-1)*1,Master!$D$22:$G$218,4,FALSE)</f>
        <v>Prava iz oblasti penzijskog i invalidskog osiguranja</v>
      </c>
      <c r="C141" s="348"/>
      <c r="D141" s="348"/>
      <c r="E141" s="348"/>
      <c r="F141" s="348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7" t="str">
        <f>+VLOOKUP(LEFT($A142,LEN(A142)-1)*1,Master!$D$22:$G$218,4,FALSE)</f>
        <v>Ostala prava iz oblasti zdravstvene zaštite</v>
      </c>
      <c r="C142" s="348"/>
      <c r="D142" s="348"/>
      <c r="E142" s="348"/>
      <c r="F142" s="348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7" t="str">
        <f>+VLOOKUP(LEFT($A143,LEN(A143)-1)*1,Master!$D$22:$G$218,4,FALSE)</f>
        <v>Ostala prava iz zdravstvenog osiguranja</v>
      </c>
      <c r="C143" s="348"/>
      <c r="D143" s="348"/>
      <c r="E143" s="348"/>
      <c r="F143" s="348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69" t="str">
        <f>+VLOOKUP(LEFT($A144,LEN(A144)-1)*1,Master!$D$22:$G$218,4,FALSE)</f>
        <v xml:space="preserve">Transferi institucijama, pojedincima, nevladinom i javnom sektoru </v>
      </c>
      <c r="C144" s="370"/>
      <c r="D144" s="370"/>
      <c r="E144" s="370"/>
      <c r="F144" s="370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69" t="str">
        <f>+VLOOKUP(LEFT($A145,LEN(A145)-1)*1,Master!$D$22:$G$218,4,FALSE)</f>
        <v>Kapitalni budžet</v>
      </c>
      <c r="C145" s="370"/>
      <c r="D145" s="370"/>
      <c r="E145" s="370"/>
      <c r="F145" s="370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71" t="str">
        <f>+VLOOKUP(LEFT($A146,LEN(A146)-1)*1,Master!$D$22:$G$218,4,FALSE)</f>
        <v>Pozajmice i krediti</v>
      </c>
      <c r="C146" s="372"/>
      <c r="D146" s="372"/>
      <c r="E146" s="372"/>
      <c r="F146" s="372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71" t="str">
        <f>+VLOOKUP(LEFT($A147,LEN(A147)-1)*1,Master!$D$22:$G$218,4,FALSE)</f>
        <v>Rezerve</v>
      </c>
      <c r="C147" s="372"/>
      <c r="D147" s="372"/>
      <c r="E147" s="372"/>
      <c r="F147" s="372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73" t="str">
        <f>+VLOOKUP(LEFT($A148,LEN(A148)-1)*1,Master!$D$22:$G$218,4,FALSE)</f>
        <v>Otplata garancija</v>
      </c>
      <c r="C148" s="374"/>
      <c r="D148" s="374"/>
      <c r="E148" s="374"/>
      <c r="F148" s="374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75" t="str">
        <f>+VLOOKUP(LEFT($A149,LEN(A149)-1)*1,Master!$D$22:$G$218,4,FALSE)</f>
        <v>Suficit / deficit</v>
      </c>
      <c r="C149" s="376"/>
      <c r="D149" s="376"/>
      <c r="E149" s="376"/>
      <c r="F149" s="376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67" t="str">
        <f>+VLOOKUP(LEFT($A150,LEN(A150)-1)*1,Master!$D$22:$G$218,4,FALSE)</f>
        <v>Primarni bilans</v>
      </c>
      <c r="C150" s="368"/>
      <c r="D150" s="368"/>
      <c r="E150" s="368"/>
      <c r="F150" s="368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65" t="str">
        <f>+VLOOKUP(LEFT($A151,LEN(A151)-1)*1,Master!$D$22:$G$218,4,FALSE)</f>
        <v>Otplata dugova</v>
      </c>
      <c r="C151" s="366"/>
      <c r="D151" s="366"/>
      <c r="E151" s="366"/>
      <c r="F151" s="366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77" t="str">
        <f>+VLOOKUP(LEFT($A152,LEN(A152)-1)*1,Master!$D$22:$G$218,4,FALSE)</f>
        <v>Otplata hartija od vrijednosti i kredita rezidentima</v>
      </c>
      <c r="C152" s="378"/>
      <c r="D152" s="378"/>
      <c r="E152" s="378"/>
      <c r="F152" s="378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71" t="str">
        <f>+VLOOKUP(LEFT($A153,LEN(A153)-1)*1,Master!$D$22:$G$218,4,FALSE)</f>
        <v>Otplata hartija od vrijednosti i kredita nerezidentima</v>
      </c>
      <c r="C153" s="372"/>
      <c r="D153" s="372"/>
      <c r="E153" s="372"/>
      <c r="F153" s="37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73" t="str">
        <f>+VLOOKUP(LEFT($A154,LEN(A154)-1)*1,Master!$D$22:$G$218,4,FALSE)</f>
        <v>Otplata obaveza iz prethodnih godina</v>
      </c>
      <c r="C154" s="374"/>
      <c r="D154" s="374"/>
      <c r="E154" s="374"/>
      <c r="F154" s="374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79" t="str">
        <f>+VLOOKUP(LEFT($A155,LEN(A155)-1)*1,Master!$D$22:$G$218,4,FALSE)</f>
        <v>Nedostajuća sredstva</v>
      </c>
      <c r="C155" s="380"/>
      <c r="D155" s="380"/>
      <c r="E155" s="380"/>
      <c r="F155" s="380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59" t="str">
        <f>+VLOOKUP(LEFT($A156,LEN(A156)-1)*1,Master!$D$22:$G$218,4,FALSE)</f>
        <v>Finansiranje</v>
      </c>
      <c r="C156" s="360"/>
      <c r="D156" s="360"/>
      <c r="E156" s="360"/>
      <c r="F156" s="360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77" t="str">
        <f>+VLOOKUP(LEFT($A157,LEN(A157)-1)*1,Master!$D$22:$G$218,4,FALSE)</f>
        <v>Pozajmice i krediti od domaćih izvora</v>
      </c>
      <c r="C157" s="378"/>
      <c r="D157" s="378"/>
      <c r="E157" s="378"/>
      <c r="F157" s="378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71" t="str">
        <f>+VLOOKUP(LEFT($A158,LEN(A158)-1)*1,Master!$D$22:$G$218,4,FALSE)</f>
        <v>Pozajmice i krediti od inostranih izvora</v>
      </c>
      <c r="C158" s="372"/>
      <c r="D158" s="372"/>
      <c r="E158" s="372"/>
      <c r="F158" s="37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71" t="str">
        <f>+VLOOKUP(LEFT($A159,LEN(A159)-1)*1,Master!$D$22:$G$218,4,FALSE)</f>
        <v>Primici od prodaje imovine</v>
      </c>
      <c r="C159" s="372"/>
      <c r="D159" s="372"/>
      <c r="E159" s="372"/>
      <c r="F159" s="37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82" t="str">
        <f>+Master!G244</f>
        <v>Ostvarenje budžeta</v>
      </c>
      <c r="C7" s="383"/>
      <c r="D7" s="383"/>
      <c r="E7" s="383"/>
      <c r="F7" s="383"/>
      <c r="G7" s="394">
        <v>2013</v>
      </c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6"/>
      <c r="S7" s="116" t="str">
        <f>+Master!G241</f>
        <v>BDP</v>
      </c>
      <c r="T7" s="117">
        <v>3393200615</v>
      </c>
    </row>
    <row r="8" spans="1:20" ht="16.5" customHeight="1">
      <c r="B8" s="384"/>
      <c r="C8" s="385"/>
      <c r="D8" s="385"/>
      <c r="E8" s="385"/>
      <c r="F8" s="386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4" t="str">
        <f>+Master!G238</f>
        <v>Jan - Okt</v>
      </c>
      <c r="T8" s="396"/>
    </row>
    <row r="9" spans="1:20" ht="13.5" thickBot="1">
      <c r="B9" s="387"/>
      <c r="C9" s="388"/>
      <c r="D9" s="388"/>
      <c r="E9" s="388"/>
      <c r="F9" s="389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7" t="str">
        <f>+VLOOKUP($A10,Master!$D$22:$G$218,4,FALSE)</f>
        <v>Prihodi budžeta</v>
      </c>
      <c r="C10" s="398"/>
      <c r="D10" s="398"/>
      <c r="E10" s="398"/>
      <c r="F10" s="398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399" t="str">
        <f>+VLOOKUP($A11,Master!$D$22:$G$218,4,FALSE)</f>
        <v>Porezi</v>
      </c>
      <c r="C11" s="400"/>
      <c r="D11" s="400"/>
      <c r="E11" s="400"/>
      <c r="F11" s="400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2" t="str">
        <f>+VLOOKUP($A12,Master!$D$22:$G$218,4,FALSE)</f>
        <v>Porez na dohodak fizičkih lica</v>
      </c>
      <c r="C12" s="393"/>
      <c r="D12" s="393"/>
      <c r="E12" s="393"/>
      <c r="F12" s="393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2" t="str">
        <f>+VLOOKUP($A13,Master!$D$22:$G$218,4,FALSE)</f>
        <v>Porez na dobit pravnih lica</v>
      </c>
      <c r="C13" s="393"/>
      <c r="D13" s="393"/>
      <c r="E13" s="393"/>
      <c r="F13" s="393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2" t="str">
        <f>+VLOOKUP($A14,Master!$D$22:$G$218,4,FALSE)</f>
        <v>Porez na promet nepokretnosti</v>
      </c>
      <c r="C14" s="393"/>
      <c r="D14" s="393"/>
      <c r="E14" s="393"/>
      <c r="F14" s="393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2" t="str">
        <f>+VLOOKUP($A15,Master!$D$22:$G$218,4,FALSE)</f>
        <v>Porez na dodatu vrijednost</v>
      </c>
      <c r="C15" s="393"/>
      <c r="D15" s="393"/>
      <c r="E15" s="393"/>
      <c r="F15" s="393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2" t="str">
        <f>+VLOOKUP($A16,Master!$D$22:$G$218,4,FALSE)</f>
        <v>Akcize</v>
      </c>
      <c r="C16" s="393"/>
      <c r="D16" s="393"/>
      <c r="E16" s="393"/>
      <c r="F16" s="393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2" t="str">
        <f>+VLOOKUP($A17,Master!$D$22:$G$218,4,FALSE)</f>
        <v>Porez na međunarodnu trgovinu i transakcije</v>
      </c>
      <c r="C17" s="393"/>
      <c r="D17" s="393"/>
      <c r="E17" s="393"/>
      <c r="F17" s="393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2" t="str">
        <f>+VLOOKUP($A18,Master!$D$22:$G$218,4,FALSE)</f>
        <v>Lokalni porezi</v>
      </c>
      <c r="C18" s="393"/>
      <c r="D18" s="393"/>
      <c r="E18" s="393"/>
      <c r="F18" s="393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2" t="str">
        <f>+VLOOKUP($A19,Master!$D$22:$G$218,4,FALSE)</f>
        <v>Ostali republički porezi</v>
      </c>
      <c r="C19" s="393"/>
      <c r="D19" s="393"/>
      <c r="E19" s="393"/>
      <c r="F19" s="393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9" t="str">
        <f>+VLOOKUP($A20,Master!$D$22:$G$218,4,FALSE)</f>
        <v>Doprinosi</v>
      </c>
      <c r="C20" s="410"/>
      <c r="D20" s="410"/>
      <c r="E20" s="410"/>
      <c r="F20" s="41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2" t="str">
        <f>+VLOOKUP($A21,Master!$D$22:$G$218,4,FALSE)</f>
        <v>Doprinosi za penzijsko i invalidsko osiguranje</v>
      </c>
      <c r="C21" s="393"/>
      <c r="D21" s="393"/>
      <c r="E21" s="393"/>
      <c r="F21" s="393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2" t="str">
        <f>+VLOOKUP($A22,Master!$D$22:$G$218,4,FALSE)</f>
        <v>Doprinosi za zdravstveno osiguranje</v>
      </c>
      <c r="C22" s="393"/>
      <c r="D22" s="393"/>
      <c r="E22" s="393"/>
      <c r="F22" s="393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2" t="str">
        <f>+VLOOKUP($A23,Master!$D$22:$G$218,4,FALSE)</f>
        <v>Doprinosi za osiguranje od nezaposlenosti</v>
      </c>
      <c r="C23" s="393"/>
      <c r="D23" s="393"/>
      <c r="E23" s="393"/>
      <c r="F23" s="393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2" t="str">
        <f>+VLOOKUP($A24,Master!$D$22:$G$218,4,FALSE)</f>
        <v>Ostali doprinosi</v>
      </c>
      <c r="C24" s="393"/>
      <c r="D24" s="393"/>
      <c r="E24" s="393"/>
      <c r="F24" s="393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1" t="str">
        <f>+VLOOKUP($A25,Master!$D$22:$G$218,4,FALSE)</f>
        <v>Takse</v>
      </c>
      <c r="C25" s="402"/>
      <c r="D25" s="402"/>
      <c r="E25" s="402"/>
      <c r="F25" s="402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1" t="str">
        <f>+VLOOKUP($A26,Master!$D$22:$G$218,4,FALSE)</f>
        <v>Naknade</v>
      </c>
      <c r="C26" s="402"/>
      <c r="D26" s="402"/>
      <c r="E26" s="402"/>
      <c r="F26" s="402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1" t="str">
        <f>+VLOOKUP($A27,Master!$D$22:$G$218,4,FALSE)</f>
        <v>Ostali prihodi</v>
      </c>
      <c r="C27" s="402"/>
      <c r="D27" s="402"/>
      <c r="E27" s="402"/>
      <c r="F27" s="402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1" t="str">
        <f>+VLOOKUP($A28,Master!$D$22:$G$218,4,FALSE)</f>
        <v>Primici od otplate kredita i sredstva prenesena iz prethodne godine</v>
      </c>
      <c r="C28" s="402"/>
      <c r="D28" s="402"/>
      <c r="E28" s="402"/>
      <c r="F28" s="402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3" t="str">
        <f>+VLOOKUP($A29,Master!$D$22:$G$218,4,FALSE)</f>
        <v>Donacije i transferi</v>
      </c>
      <c r="C29" s="404"/>
      <c r="D29" s="404"/>
      <c r="E29" s="404"/>
      <c r="F29" s="404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05" t="str">
        <f>+VLOOKUP($A30,Master!$D$22:$G$218,4,FALSE)</f>
        <v>Budžetki izdaci</v>
      </c>
      <c r="C30" s="406"/>
      <c r="D30" s="406"/>
      <c r="E30" s="406"/>
      <c r="F30" s="406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7" t="str">
        <f>+VLOOKUP($A31,Master!$D$22:$G$218,4,FALSE)</f>
        <v>Tekući izdaci</v>
      </c>
      <c r="C31" s="408"/>
      <c r="D31" s="408"/>
      <c r="E31" s="408"/>
      <c r="F31" s="40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13" t="str">
        <f>+VLOOKUP($A32,Master!$D$22:$G$218,4,FALSE)</f>
        <v>Tekući budžetski izdaci</v>
      </c>
      <c r="C32" s="414"/>
      <c r="D32" s="414"/>
      <c r="E32" s="414"/>
      <c r="F32" s="414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2" t="str">
        <f>+VLOOKUP($A33,Master!$D$22:$G$218,4,FALSE)</f>
        <v>Bruto zarade i doprinosi na teret poslodavca</v>
      </c>
      <c r="C33" s="393"/>
      <c r="D33" s="393"/>
      <c r="E33" s="393"/>
      <c r="F33" s="393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2" t="str">
        <f>+VLOOKUP($A34,Master!$D$22:$G$218,4,FALSE)</f>
        <v>Ostala lična primanja</v>
      </c>
      <c r="C34" s="393"/>
      <c r="D34" s="393"/>
      <c r="E34" s="393"/>
      <c r="F34" s="393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2" t="str">
        <f>+VLOOKUP($A35,Master!$D$22:$G$218,4,FALSE)</f>
        <v>Rashodi za materijal</v>
      </c>
      <c r="C35" s="393"/>
      <c r="D35" s="393"/>
      <c r="E35" s="393"/>
      <c r="F35" s="393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2" t="str">
        <f>+VLOOKUP($A36,Master!$D$22:$G$218,4,FALSE)</f>
        <v>Rashodi za usluge</v>
      </c>
      <c r="C36" s="393"/>
      <c r="D36" s="393"/>
      <c r="E36" s="393"/>
      <c r="F36" s="393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2" t="str">
        <f>+VLOOKUP($A37,Master!$D$22:$G$218,4,FALSE)</f>
        <v>Rashodi za tekuće održavanje</v>
      </c>
      <c r="C37" s="393"/>
      <c r="D37" s="393"/>
      <c r="E37" s="393"/>
      <c r="F37" s="393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2" t="str">
        <f>+VLOOKUP($A38,Master!$D$22:$G$218,4,FALSE)</f>
        <v>Kamate</v>
      </c>
      <c r="C38" s="393"/>
      <c r="D38" s="393"/>
      <c r="E38" s="393"/>
      <c r="F38" s="393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2" t="str">
        <f>+VLOOKUP($A39,Master!$D$22:$G$218,4,FALSE)</f>
        <v>Renta</v>
      </c>
      <c r="C39" s="393"/>
      <c r="D39" s="393"/>
      <c r="E39" s="393"/>
      <c r="F39" s="393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2" t="str">
        <f>+VLOOKUP($A40,Master!$D$22:$G$218,4,FALSE)</f>
        <v>Subvencije</v>
      </c>
      <c r="C40" s="393"/>
      <c r="D40" s="393"/>
      <c r="E40" s="393"/>
      <c r="F40" s="393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2" t="str">
        <f>+VLOOKUP($A41,Master!$D$22:$G$218,4,FALSE)</f>
        <v>Ostali izdaci</v>
      </c>
      <c r="C41" s="393"/>
      <c r="D41" s="393"/>
      <c r="E41" s="393"/>
      <c r="F41" s="393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2" t="str">
        <f>+VLOOKUP($A42,Master!$D$22:$G$218,4,FALSE)</f>
        <v>Kapitalni izdaci u tekućem budžetu</v>
      </c>
      <c r="C42" s="393"/>
      <c r="D42" s="393"/>
      <c r="E42" s="393"/>
      <c r="F42" s="393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11" t="str">
        <f>+VLOOKUP($A43,Master!$D$22:$G$218,4,FALSE)</f>
        <v>Transferi za socijalnu zaštitu</v>
      </c>
      <c r="C43" s="412"/>
      <c r="D43" s="412"/>
      <c r="E43" s="412"/>
      <c r="F43" s="412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2" t="str">
        <f>+VLOOKUP($A44,Master!$D$22:$G$218,4,FALSE)</f>
        <v>Prava iz oblasti socijalne zaštite</v>
      </c>
      <c r="C44" s="393"/>
      <c r="D44" s="393"/>
      <c r="E44" s="393"/>
      <c r="F44" s="393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2" t="str">
        <f>+VLOOKUP($A45,Master!$D$22:$G$218,4,FALSE)</f>
        <v>Sredstva za tehnološke viškove</v>
      </c>
      <c r="C45" s="393"/>
      <c r="D45" s="393"/>
      <c r="E45" s="393"/>
      <c r="F45" s="393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2" t="str">
        <f>+VLOOKUP($A46,Master!$D$22:$G$218,4,FALSE)</f>
        <v>Prava iz oblasti penzijskog i invalidskog osiguranja</v>
      </c>
      <c r="C46" s="393"/>
      <c r="D46" s="393"/>
      <c r="E46" s="393"/>
      <c r="F46" s="393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2" t="str">
        <f>+VLOOKUP($A47,Master!$D$22:$G$218,4,FALSE)</f>
        <v>Ostala prava iz oblasti zdravstvene zaštite</v>
      </c>
      <c r="C47" s="393"/>
      <c r="D47" s="393"/>
      <c r="E47" s="393"/>
      <c r="F47" s="393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2" t="str">
        <f>+VLOOKUP($A48,Master!$D$22:$G$218,4,FALSE)</f>
        <v>Ostala prava iz zdravstvenog osiguranja</v>
      </c>
      <c r="C48" s="393"/>
      <c r="D48" s="393"/>
      <c r="E48" s="393"/>
      <c r="F48" s="393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15" t="str">
        <f>+VLOOKUP($A49,Master!$D$22:$G$218,4,FALSE)</f>
        <v xml:space="preserve">Transferi institucijama, pojedincima, nevladinom i javnom sektoru </v>
      </c>
      <c r="C49" s="416"/>
      <c r="D49" s="416"/>
      <c r="E49" s="416"/>
      <c r="F49" s="416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15" t="str">
        <f>+VLOOKUP($A50,Master!$D$22:$G$218,4,FALSE)</f>
        <v>Kapitalni budžet</v>
      </c>
      <c r="C50" s="416"/>
      <c r="D50" s="416"/>
      <c r="E50" s="416"/>
      <c r="F50" s="416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17" t="str">
        <f>+VLOOKUP($A51,Master!$D$22:$G$218,4,FALSE)</f>
        <v>Pozajmice i krediti</v>
      </c>
      <c r="C51" s="418"/>
      <c r="D51" s="418"/>
      <c r="E51" s="418"/>
      <c r="F51" s="418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17" t="str">
        <f>+VLOOKUP($A52,Master!$D$22:$G$218,4,FALSE)</f>
        <v>Rezerve</v>
      </c>
      <c r="C52" s="418"/>
      <c r="D52" s="418"/>
      <c r="E52" s="418"/>
      <c r="F52" s="418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19" t="str">
        <f>+VLOOKUP($A54,Master!$D$22:$G$218,4,FALSE)</f>
        <v>Suficit / deficit</v>
      </c>
      <c r="C54" s="420"/>
      <c r="D54" s="420"/>
      <c r="E54" s="420"/>
      <c r="F54" s="420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421" t="str">
        <f>+VLOOKUP($A55,Master!$D$22:$G$218,4,FALSE)</f>
        <v>Primarni bilans</v>
      </c>
      <c r="C55" s="422"/>
      <c r="D55" s="422"/>
      <c r="E55" s="422"/>
      <c r="F55" s="422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411" t="str">
        <f>+VLOOKUP($A56,Master!$D$22:$G$218,4,FALSE)</f>
        <v>Otplata dugova</v>
      </c>
      <c r="C56" s="412"/>
      <c r="D56" s="412"/>
      <c r="E56" s="412"/>
      <c r="F56" s="412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23" t="str">
        <f>+VLOOKUP($A57,Master!$D$22:$G$218,4,FALSE)</f>
        <v>Otplata hartija od vrijednosti i kredita rezidentima</v>
      </c>
      <c r="C57" s="424"/>
      <c r="D57" s="424"/>
      <c r="E57" s="424"/>
      <c r="F57" s="424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17" t="str">
        <f>+VLOOKUP($A58,Master!$D$22:$G$218,4,FALSE)</f>
        <v>Otplata hartija od vrijednosti i kredita nerezidentima</v>
      </c>
      <c r="C58" s="418"/>
      <c r="D58" s="418"/>
      <c r="E58" s="418"/>
      <c r="F58" s="418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25" t="str">
        <f>+VLOOKUP($A60,Master!$D$22:$G$218,4,FALSE)</f>
        <v>Nedostajuća sredstva</v>
      </c>
      <c r="C60" s="426"/>
      <c r="D60" s="426"/>
      <c r="E60" s="426"/>
      <c r="F60" s="426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405" t="str">
        <f>+VLOOKUP($A61,Master!$D$22:$G$218,4,FALSE)</f>
        <v>Finansiranje</v>
      </c>
      <c r="C61" s="406"/>
      <c r="D61" s="406"/>
      <c r="E61" s="406"/>
      <c r="F61" s="406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423" t="str">
        <f>+VLOOKUP($A62,Master!$D$22:$G$218,4,FALSE)</f>
        <v>Pozajmice i krediti od domaćih izvora</v>
      </c>
      <c r="C62" s="424"/>
      <c r="D62" s="424"/>
      <c r="E62" s="424"/>
      <c r="F62" s="424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17" t="str">
        <f>+VLOOKUP($A63,Master!$D$22:$G$218,4,FALSE)</f>
        <v>Pozajmice i krediti od inostranih izvora</v>
      </c>
      <c r="C63" s="418"/>
      <c r="D63" s="418"/>
      <c r="E63" s="418"/>
      <c r="F63" s="418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17" t="str">
        <f>+VLOOKUP($A64,Master!$D$22:$G$218,4,FALSE)</f>
        <v>Primici od prodaje imovine</v>
      </c>
      <c r="C64" s="418"/>
      <c r="D64" s="418"/>
      <c r="E64" s="418"/>
      <c r="F64" s="418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381" t="str">
        <f>+Master!G245</f>
        <v>Plan ostvarenja budžeta</v>
      </c>
      <c r="C101" s="332"/>
      <c r="D101" s="332"/>
      <c r="E101" s="332"/>
      <c r="F101" s="332"/>
      <c r="G101" s="339">
        <v>2014</v>
      </c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3"/>
      <c r="S101" s="261" t="str">
        <f>+S7</f>
        <v>BDP</v>
      </c>
      <c r="T101" s="262">
        <v>3393200615</v>
      </c>
    </row>
    <row r="102" spans="1:20" ht="15.75" customHeight="1">
      <c r="A102" s="170"/>
      <c r="B102" s="333"/>
      <c r="C102" s="334"/>
      <c r="D102" s="334"/>
      <c r="E102" s="334"/>
      <c r="F102" s="335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39" t="str">
        <f>+Master!G239</f>
        <v>Jan - Dec</v>
      </c>
      <c r="T102" s="343">
        <f t="shared" si="16"/>
        <v>0</v>
      </c>
    </row>
    <row r="103" spans="1:20" ht="13.5" thickBot="1">
      <c r="A103" s="170"/>
      <c r="B103" s="336"/>
      <c r="C103" s="337"/>
      <c r="D103" s="337"/>
      <c r="E103" s="337"/>
      <c r="F103" s="338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49" t="str">
        <f>+VLOOKUP(LEFT($A104,LEN(A104)-1)*1,Master!$D$22:$G$218,4,FALSE)</f>
        <v>Prihodi budžeta</v>
      </c>
      <c r="C104" s="350"/>
      <c r="D104" s="350"/>
      <c r="E104" s="350"/>
      <c r="F104" s="350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51" t="str">
        <f>+VLOOKUP(LEFT($A105,LEN(A105)-1)*1,Master!$D$22:$G$218,4,FALSE)</f>
        <v>Porezi</v>
      </c>
      <c r="C105" s="352"/>
      <c r="D105" s="352"/>
      <c r="E105" s="352"/>
      <c r="F105" s="352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7" t="str">
        <f>+VLOOKUP(LEFT($A106,LEN(A106)-1)*1,Master!$D$22:$G$218,4,FALSE)</f>
        <v>Porez na dohodak fizičkih lica</v>
      </c>
      <c r="C106" s="348"/>
      <c r="D106" s="348"/>
      <c r="E106" s="348"/>
      <c r="F106" s="348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7" t="str">
        <f>+VLOOKUP(LEFT($A107,LEN(A107)-1)*1,Master!$D$22:$G$218,4,FALSE)</f>
        <v>Porez na dobit pravnih lica</v>
      </c>
      <c r="C107" s="348"/>
      <c r="D107" s="348"/>
      <c r="E107" s="348"/>
      <c r="F107" s="348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7" t="str">
        <f>+VLOOKUP(LEFT($A108,LEN(A108)-1)*1,Master!$D$22:$G$218,4,FALSE)</f>
        <v>Porez na promet nepokretnosti</v>
      </c>
      <c r="C108" s="348"/>
      <c r="D108" s="348"/>
      <c r="E108" s="348"/>
      <c r="F108" s="348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7" t="str">
        <f>+VLOOKUP(LEFT($A109,LEN(A109)-1)*1,Master!$D$22:$G$218,4,FALSE)</f>
        <v>Porez na dodatu vrijednost</v>
      </c>
      <c r="C109" s="348"/>
      <c r="D109" s="348"/>
      <c r="E109" s="348"/>
      <c r="F109" s="348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7" t="str">
        <f>+VLOOKUP(LEFT($A110,LEN(A110)-1)*1,Master!$D$22:$G$218,4,FALSE)</f>
        <v>Akcize</v>
      </c>
      <c r="C110" s="348"/>
      <c r="D110" s="348"/>
      <c r="E110" s="348"/>
      <c r="F110" s="348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7" t="str">
        <f>+VLOOKUP(LEFT($A111,LEN(A111)-1)*1,Master!$D$22:$G$218,4,FALSE)</f>
        <v>Porez na međunarodnu trgovinu i transakcije</v>
      </c>
      <c r="C111" s="348"/>
      <c r="D111" s="348"/>
      <c r="E111" s="348"/>
      <c r="F111" s="348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7" t="str">
        <f>+VLOOKUP(LEFT($A112,LEN(A112)-1)*1,Master!$D$22:$G$218,4,FALSE)</f>
        <v>Lokalni porezi</v>
      </c>
      <c r="C112" s="348"/>
      <c r="D112" s="348"/>
      <c r="E112" s="348"/>
      <c r="F112" s="348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7" t="str">
        <f>+VLOOKUP(LEFT($A113,LEN(A113)-1)*1,Master!$D$22:$G$218,4,FALSE)</f>
        <v>Ostali republički porezi</v>
      </c>
      <c r="C113" s="348"/>
      <c r="D113" s="348"/>
      <c r="E113" s="348"/>
      <c r="F113" s="348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53" t="str">
        <f>+VLOOKUP(LEFT($A114,LEN(A114)-1)*1,Master!$D$22:$G$218,4,FALSE)</f>
        <v>Doprinosi</v>
      </c>
      <c r="C114" s="354"/>
      <c r="D114" s="354"/>
      <c r="E114" s="354"/>
      <c r="F114" s="35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7" t="str">
        <f>+VLOOKUP(LEFT($A115,LEN(A115)-1)*1,Master!$D$22:$G$218,4,FALSE)</f>
        <v>Doprinosi za penzijsko i invalidsko osiguranje</v>
      </c>
      <c r="C115" s="348"/>
      <c r="D115" s="348"/>
      <c r="E115" s="348"/>
      <c r="F115" s="348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7" t="str">
        <f>+VLOOKUP(LEFT($A116,LEN(A116)-1)*1,Master!$D$22:$G$218,4,FALSE)</f>
        <v>Doprinosi za zdravstveno osiguranje</v>
      </c>
      <c r="C116" s="348"/>
      <c r="D116" s="348"/>
      <c r="E116" s="348"/>
      <c r="F116" s="348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7" t="str">
        <f>+VLOOKUP(LEFT($A117,LEN(A117)-1)*1,Master!$D$22:$G$218,4,FALSE)</f>
        <v>Doprinosi za osiguranje od nezaposlenosti</v>
      </c>
      <c r="C117" s="348"/>
      <c r="D117" s="348"/>
      <c r="E117" s="348"/>
      <c r="F117" s="348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7" t="str">
        <f>+VLOOKUP(LEFT($A118,LEN(A118)-1)*1,Master!$D$22:$G$218,4,FALSE)</f>
        <v>Ostali doprinosi</v>
      </c>
      <c r="C118" s="348"/>
      <c r="D118" s="348"/>
      <c r="E118" s="348"/>
      <c r="F118" s="348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5" t="str">
        <f>+VLOOKUP(LEFT($A119,LEN(A119)-1)*1,Master!$D$22:$G$218,4,FALSE)</f>
        <v>Takse</v>
      </c>
      <c r="C119" s="356"/>
      <c r="D119" s="356"/>
      <c r="E119" s="356"/>
      <c r="F119" s="356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5" t="str">
        <f>+VLOOKUP(LEFT($A120,LEN(A120)-1)*1,Master!$D$22:$G$218,4,FALSE)</f>
        <v>Naknade</v>
      </c>
      <c r="C120" s="356"/>
      <c r="D120" s="356"/>
      <c r="E120" s="356"/>
      <c r="F120" s="356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5" t="str">
        <f>+VLOOKUP(LEFT($A121,LEN(A121)-1)*1,Master!$D$22:$G$218,4,FALSE)</f>
        <v>Ostali prihodi</v>
      </c>
      <c r="C121" s="356"/>
      <c r="D121" s="356"/>
      <c r="E121" s="356"/>
      <c r="F121" s="356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5" t="str">
        <f>+VLOOKUP(LEFT($A122,LEN(A122)-1)*1,Master!$D$22:$G$218,4,FALSE)</f>
        <v>Primici od otplate kredita i sredstva prenesena iz prethodne godine</v>
      </c>
      <c r="C122" s="356"/>
      <c r="D122" s="356"/>
      <c r="E122" s="356"/>
      <c r="F122" s="356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7" t="str">
        <f>+VLOOKUP(LEFT($A123,LEN(A123)-1)*1,Master!$D$22:$G$218,4,FALSE)</f>
        <v>Donacije i transferi</v>
      </c>
      <c r="C123" s="358"/>
      <c r="D123" s="358"/>
      <c r="E123" s="358"/>
      <c r="F123" s="358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59" t="str">
        <f>+VLOOKUP(LEFT($A124,LEN(A124)-1)*1,Master!$D$22:$G$218,4,FALSE)</f>
        <v>Budžetki izdaci</v>
      </c>
      <c r="C124" s="360"/>
      <c r="D124" s="360"/>
      <c r="E124" s="360"/>
      <c r="F124" s="36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61" t="str">
        <f>+VLOOKUP(LEFT($A125,LEN(A125)-1)*1,Master!$D$22:$G$218,4,FALSE)</f>
        <v>Tekući izdaci</v>
      </c>
      <c r="C125" s="362"/>
      <c r="D125" s="362"/>
      <c r="E125" s="362"/>
      <c r="F125" s="362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63" t="str">
        <f>+VLOOKUP(LEFT($A126,LEN(A126)-1)*1,Master!$D$22:$G$218,4,FALSE)</f>
        <v>Tekući budžetski izdaci</v>
      </c>
      <c r="C126" s="364"/>
      <c r="D126" s="364"/>
      <c r="E126" s="364"/>
      <c r="F126" s="364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7" t="str">
        <f>+VLOOKUP(LEFT($A127,LEN(A127)-1)*1,Master!$D$22:$G$218,4,FALSE)</f>
        <v>Bruto zarade i doprinosi na teret poslodavca</v>
      </c>
      <c r="C127" s="348"/>
      <c r="D127" s="348"/>
      <c r="E127" s="348"/>
      <c r="F127" s="348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7" t="str">
        <f>+VLOOKUP(LEFT($A128,LEN(A128)-1)*1,Master!$D$22:$G$218,4,FALSE)</f>
        <v>Ostala lična primanja</v>
      </c>
      <c r="C128" s="348"/>
      <c r="D128" s="348"/>
      <c r="E128" s="348"/>
      <c r="F128" s="348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7" t="str">
        <f>+VLOOKUP(LEFT($A129,LEN(A129)-1)*1,Master!$D$22:$G$218,4,FALSE)</f>
        <v>Rashodi za materijal</v>
      </c>
      <c r="C129" s="348"/>
      <c r="D129" s="348"/>
      <c r="E129" s="348"/>
      <c r="F129" s="348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7" t="str">
        <f>+VLOOKUP(LEFT($A130,LEN(A130)-1)*1,Master!$D$22:$G$218,4,FALSE)</f>
        <v>Rashodi za usluge</v>
      </c>
      <c r="C130" s="348"/>
      <c r="D130" s="348"/>
      <c r="E130" s="348"/>
      <c r="F130" s="348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7" t="str">
        <f>+VLOOKUP(LEFT($A131,LEN(A131)-1)*1,Master!$D$22:$G$218,4,FALSE)</f>
        <v>Rashodi za tekuće održavanje</v>
      </c>
      <c r="C131" s="348"/>
      <c r="D131" s="348"/>
      <c r="E131" s="348"/>
      <c r="F131" s="348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7" t="str">
        <f>+VLOOKUP(LEFT($A132,LEN(A132)-1)*1,Master!$D$22:$G$218,4,FALSE)</f>
        <v>Kamate</v>
      </c>
      <c r="C132" s="348"/>
      <c r="D132" s="348"/>
      <c r="E132" s="348"/>
      <c r="F132" s="348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7" t="str">
        <f>+VLOOKUP(LEFT($A133,LEN(A133)-1)*1,Master!$D$22:$G$218,4,FALSE)</f>
        <v>Renta</v>
      </c>
      <c r="C133" s="348"/>
      <c r="D133" s="348"/>
      <c r="E133" s="348"/>
      <c r="F133" s="348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7" t="str">
        <f>+VLOOKUP(LEFT($A134,LEN(A134)-1)*1,Master!$D$22:$G$218,4,FALSE)</f>
        <v>Subvencije</v>
      </c>
      <c r="C134" s="348"/>
      <c r="D134" s="348"/>
      <c r="E134" s="348"/>
      <c r="F134" s="348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7" t="str">
        <f>+VLOOKUP(LEFT($A135,LEN(A135)-1)*1,Master!$D$22:$G$218,4,FALSE)</f>
        <v>Ostali izdaci</v>
      </c>
      <c r="C135" s="348"/>
      <c r="D135" s="348"/>
      <c r="E135" s="348"/>
      <c r="F135" s="348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7" t="str">
        <f>+VLOOKUP(LEFT($A136,LEN(A136)-1)*1,Master!$D$22:$G$218,4,FALSE)</f>
        <v>Kapitalni izdaci u tekućem budžetu</v>
      </c>
      <c r="C136" s="348"/>
      <c r="D136" s="348"/>
      <c r="E136" s="348"/>
      <c r="F136" s="348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65" t="str">
        <f>+VLOOKUP(LEFT($A137,LEN(A137)-1)*1,Master!$D$22:$G$218,4,FALSE)</f>
        <v>Transferi za socijalnu zaštitu</v>
      </c>
      <c r="C137" s="366"/>
      <c r="D137" s="366"/>
      <c r="E137" s="366"/>
      <c r="F137" s="366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7" t="str">
        <f>+VLOOKUP(LEFT($A138,LEN(A138)-1)*1,Master!$D$22:$G$218,4,FALSE)</f>
        <v>Prava iz oblasti socijalne zaštite</v>
      </c>
      <c r="C138" s="348"/>
      <c r="D138" s="348"/>
      <c r="E138" s="348"/>
      <c r="F138" s="348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7" t="str">
        <f>+VLOOKUP(LEFT($A139,LEN(A139)-1)*1,Master!$D$22:$G$218,4,FALSE)</f>
        <v>Sredstva za tehnološke viškove</v>
      </c>
      <c r="C139" s="348"/>
      <c r="D139" s="348"/>
      <c r="E139" s="348"/>
      <c r="F139" s="348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7" t="str">
        <f>+VLOOKUP(LEFT($A140,LEN(A140)-1)*1,Master!$D$22:$G$218,4,FALSE)</f>
        <v>Prava iz oblasti penzijskog i invalidskog osiguranja</v>
      </c>
      <c r="C140" s="348"/>
      <c r="D140" s="348"/>
      <c r="E140" s="348"/>
      <c r="F140" s="348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7" t="str">
        <f>+VLOOKUP(LEFT($A141,LEN(A141)-1)*1,Master!$D$22:$G$218,4,FALSE)</f>
        <v>Ostala prava iz oblasti zdravstvene zaštite</v>
      </c>
      <c r="C141" s="348"/>
      <c r="D141" s="348"/>
      <c r="E141" s="348"/>
      <c r="F141" s="348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7" t="str">
        <f>+VLOOKUP(LEFT($A142,LEN(A142)-1)*1,Master!$D$22:$G$218,4,FALSE)</f>
        <v>Ostala prava iz zdravstvenog osiguranja</v>
      </c>
      <c r="C142" s="348"/>
      <c r="D142" s="348"/>
      <c r="E142" s="348"/>
      <c r="F142" s="348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69" t="str">
        <f>+VLOOKUP(LEFT($A143,LEN(A143)-1)*1,Master!$D$22:$G$218,4,FALSE)</f>
        <v xml:space="preserve">Transferi institucijama, pojedincima, nevladinom i javnom sektoru </v>
      </c>
      <c r="C143" s="370"/>
      <c r="D143" s="370"/>
      <c r="E143" s="370"/>
      <c r="F143" s="370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69" t="str">
        <f>+VLOOKUP(LEFT($A144,LEN(A144)-1)*1,Master!$D$22:$G$218,4,FALSE)</f>
        <v>Kapitalni budžet</v>
      </c>
      <c r="C144" s="370"/>
      <c r="D144" s="370"/>
      <c r="E144" s="370"/>
      <c r="F144" s="370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71" t="str">
        <f>+VLOOKUP(LEFT($A145,LEN(A145)-1)*1,Master!$D$22:$G$218,4,FALSE)</f>
        <v>Pozajmice i krediti</v>
      </c>
      <c r="C145" s="372"/>
      <c r="D145" s="372"/>
      <c r="E145" s="372"/>
      <c r="F145" s="372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71" t="str">
        <f>+VLOOKUP(LEFT($A146,LEN(A146)-1)*1,Master!$D$22:$G$218,4,FALSE)</f>
        <v>Rezerve</v>
      </c>
      <c r="C146" s="372"/>
      <c r="D146" s="372"/>
      <c r="E146" s="372"/>
      <c r="F146" s="372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73" t="str">
        <f>+VLOOKUP(LEFT($A147,LEN(A147)-1)*1,Master!$D$22:$G$218,4,FALSE)</f>
        <v>Otplata garancija</v>
      </c>
      <c r="C147" s="374"/>
      <c r="D147" s="374"/>
      <c r="E147" s="374"/>
      <c r="F147" s="374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75" t="str">
        <f>+VLOOKUP(LEFT($A148,LEN(A148)-1)*1,Master!$D$22:$G$218,4,FALSE)</f>
        <v>Suficit / deficit</v>
      </c>
      <c r="C148" s="376"/>
      <c r="D148" s="376"/>
      <c r="E148" s="376"/>
      <c r="F148" s="376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67" t="str">
        <f>+VLOOKUP(LEFT($A149,LEN(A149)-1)*1,Master!$D$22:$G$218,4,FALSE)</f>
        <v>Primarni bilans</v>
      </c>
      <c r="C149" s="368"/>
      <c r="D149" s="368"/>
      <c r="E149" s="368"/>
      <c r="F149" s="368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65" t="str">
        <f>+VLOOKUP(LEFT($A150,LEN(A150)-1)*1,Master!$D$22:$G$218,4,FALSE)</f>
        <v>Otplata dugova</v>
      </c>
      <c r="C150" s="366"/>
      <c r="D150" s="366"/>
      <c r="E150" s="366"/>
      <c r="F150" s="366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77" t="str">
        <f>+VLOOKUP(LEFT($A151,LEN(A151)-1)*1,Master!$D$22:$G$218,4,FALSE)</f>
        <v>Otplata hartija od vrijednosti i kredita rezidentima</v>
      </c>
      <c r="C151" s="378"/>
      <c r="D151" s="378"/>
      <c r="E151" s="378"/>
      <c r="F151" s="378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71" t="str">
        <f>+VLOOKUP(LEFT($A152,LEN(A152)-1)*1,Master!$D$22:$G$218,4,FALSE)</f>
        <v>Otplata hartija od vrijednosti i kredita nerezidentima</v>
      </c>
      <c r="C152" s="372"/>
      <c r="D152" s="372"/>
      <c r="E152" s="372"/>
      <c r="F152" s="37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73" t="str">
        <f>+VLOOKUP(LEFT($A153,LEN(A153)-1)*1,Master!$D$22:$G$218,4,FALSE)</f>
        <v>Otplata obaveza iz prethodnih godina</v>
      </c>
      <c r="C153" s="374"/>
      <c r="D153" s="374"/>
      <c r="E153" s="374"/>
      <c r="F153" s="374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79" t="str">
        <f>+VLOOKUP(LEFT($A154,LEN(A154)-1)*1,Master!$D$22:$G$218,4,FALSE)</f>
        <v>Nedostajuća sredstva</v>
      </c>
      <c r="C154" s="380"/>
      <c r="D154" s="380"/>
      <c r="E154" s="380"/>
      <c r="F154" s="380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59" t="str">
        <f>+VLOOKUP(LEFT($A155,LEN(A155)-1)*1,Master!$D$22:$G$218,4,FALSE)</f>
        <v>Finansiranje</v>
      </c>
      <c r="C155" s="360"/>
      <c r="D155" s="360"/>
      <c r="E155" s="360"/>
      <c r="F155" s="360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77" t="str">
        <f>+VLOOKUP(LEFT($A156,LEN(A156)-1)*1,Master!$D$22:$G$218,4,FALSE)</f>
        <v>Pozajmice i krediti od domaćih izvora</v>
      </c>
      <c r="C156" s="378"/>
      <c r="D156" s="378"/>
      <c r="E156" s="378"/>
      <c r="F156" s="378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71" t="str">
        <f>+VLOOKUP(LEFT($A157,LEN(A157)-1)*1,Master!$D$22:$G$218,4,FALSE)</f>
        <v>Pozajmice i krediti od inostranih izvora</v>
      </c>
      <c r="C157" s="372"/>
      <c r="D157" s="372"/>
      <c r="E157" s="372"/>
      <c r="F157" s="37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71" t="str">
        <f>+VLOOKUP(LEFT($A158,LEN(A158)-1)*1,Master!$D$22:$G$218,4,FALSE)</f>
        <v>Primici od prodaje imovine</v>
      </c>
      <c r="C158" s="372"/>
      <c r="D158" s="372"/>
      <c r="E158" s="372"/>
      <c r="F158" s="37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V411"/>
  <sheetViews>
    <sheetView workbookViewId="0">
      <pane xSplit="5" ySplit="7" topLeftCell="DJ8" activePane="bottomRight" state="frozen"/>
      <selection pane="topRight" activeCell="F1" sqref="F1"/>
      <selection pane="bottomLeft" activeCell="A8" sqref="A8"/>
      <selection pane="bottomRight" activeCell="DL18" sqref="DL18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26" width="15.42578125" style="41" bestFit="1" customWidth="1"/>
    <col min="127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30" t="s">
        <v>575</v>
      </c>
      <c r="F6" s="427">
        <v>2006</v>
      </c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9"/>
      <c r="R6" s="427">
        <v>2007</v>
      </c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9"/>
      <c r="AD6" s="427">
        <v>2008</v>
      </c>
      <c r="AE6" s="428"/>
      <c r="AF6" s="428"/>
      <c r="AG6" s="428"/>
      <c r="AH6" s="428"/>
      <c r="AI6" s="428"/>
      <c r="AJ6" s="428"/>
      <c r="AK6" s="428"/>
      <c r="AL6" s="428"/>
      <c r="AM6" s="428"/>
      <c r="AN6" s="428"/>
      <c r="AO6" s="429"/>
      <c r="AP6" s="427">
        <v>2009</v>
      </c>
      <c r="AQ6" s="428"/>
      <c r="AR6" s="428"/>
      <c r="AS6" s="428"/>
      <c r="AT6" s="428"/>
      <c r="AU6" s="428"/>
      <c r="AV6" s="428"/>
      <c r="AW6" s="428"/>
      <c r="AX6" s="428"/>
      <c r="AY6" s="428"/>
      <c r="AZ6" s="428"/>
      <c r="BA6" s="429"/>
      <c r="BB6" s="427">
        <v>2010</v>
      </c>
      <c r="BC6" s="428"/>
      <c r="BD6" s="428"/>
      <c r="BE6" s="428"/>
      <c r="BF6" s="428"/>
      <c r="BG6" s="428"/>
      <c r="BH6" s="428"/>
      <c r="BI6" s="428"/>
      <c r="BJ6" s="428"/>
      <c r="BK6" s="428"/>
      <c r="BL6" s="428"/>
      <c r="BM6" s="429"/>
      <c r="BN6" s="427">
        <v>2011</v>
      </c>
      <c r="BO6" s="428"/>
      <c r="BP6" s="428"/>
      <c r="BQ6" s="428"/>
      <c r="BR6" s="428"/>
      <c r="BS6" s="428"/>
      <c r="BT6" s="428"/>
      <c r="BU6" s="428"/>
      <c r="BV6" s="428"/>
      <c r="BW6" s="428"/>
      <c r="BX6" s="428"/>
      <c r="BY6" s="429"/>
      <c r="BZ6" s="428">
        <v>2012</v>
      </c>
      <c r="CA6" s="428"/>
      <c r="CB6" s="428"/>
      <c r="CC6" s="428"/>
      <c r="CD6" s="428"/>
      <c r="CE6" s="428"/>
      <c r="CF6" s="428"/>
      <c r="CG6" s="428"/>
      <c r="CH6" s="428"/>
      <c r="CI6" s="428"/>
      <c r="CJ6" s="428"/>
      <c r="CK6" s="428"/>
      <c r="CL6" s="427">
        <v>2013</v>
      </c>
      <c r="CM6" s="428"/>
      <c r="CN6" s="428"/>
      <c r="CO6" s="428"/>
      <c r="CP6" s="428"/>
      <c r="CQ6" s="428"/>
      <c r="CR6" s="428"/>
      <c r="CS6" s="428"/>
      <c r="CT6" s="428"/>
      <c r="CU6" s="428"/>
      <c r="CV6" s="428"/>
      <c r="CW6" s="429"/>
      <c r="CX6" s="427">
        <v>2014</v>
      </c>
      <c r="CY6" s="428"/>
      <c r="CZ6" s="428"/>
      <c r="DA6" s="428"/>
      <c r="DB6" s="428"/>
      <c r="DC6" s="428"/>
      <c r="DD6" s="428"/>
      <c r="DE6" s="428"/>
      <c r="DF6" s="428"/>
      <c r="DG6" s="428"/>
      <c r="DH6" s="428"/>
      <c r="DI6" s="429"/>
      <c r="DJ6" s="427">
        <v>2015</v>
      </c>
      <c r="DK6" s="428"/>
      <c r="DL6" s="428"/>
      <c r="DM6" s="428"/>
      <c r="DN6" s="428"/>
      <c r="DO6" s="428"/>
      <c r="DP6" s="428"/>
      <c r="DQ6" s="428"/>
      <c r="DR6" s="428"/>
      <c r="DS6" s="428"/>
      <c r="DT6" s="428"/>
      <c r="DU6" s="429"/>
    </row>
    <row r="7" spans="1:125">
      <c r="E7" s="430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92351915.959999979</v>
      </c>
      <c r="DK8" s="105">
        <v>88788159.359999999</v>
      </c>
      <c r="DL8" s="105">
        <v>610683181.14999986</v>
      </c>
      <c r="DM8" s="105">
        <v>182232320.19999999</v>
      </c>
      <c r="DN8" s="105">
        <v>103320694.32000001</v>
      </c>
      <c r="DO8" s="105">
        <v>187991228.99000001</v>
      </c>
      <c r="DP8" s="105">
        <v>147628818.44999999</v>
      </c>
      <c r="DQ8" s="105">
        <v>166968807.54999995</v>
      </c>
      <c r="DR8" s="105">
        <v>145552524.33000001</v>
      </c>
      <c r="DS8" s="105">
        <v>117106251.76000005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86772014.340000004</v>
      </c>
      <c r="DL9" s="105">
        <v>100405756.79999995</v>
      </c>
      <c r="DM9" s="105">
        <v>111553145.60000001</v>
      </c>
      <c r="DN9" s="105">
        <v>99802277.799999997</v>
      </c>
      <c r="DO9" s="105">
        <v>118278734.59</v>
      </c>
      <c r="DP9" s="105">
        <v>127529195.14</v>
      </c>
      <c r="DQ9" s="105">
        <v>124403393.31999995</v>
      </c>
      <c r="DR9" s="105">
        <v>123707136.31</v>
      </c>
      <c r="DS9" s="105">
        <v>110672805.50000004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48200089.809999995</v>
      </c>
      <c r="DS14" s="105">
        <v>32697450.309999999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721824.67999999982</v>
      </c>
      <c r="DR18" s="105">
        <v>652826.26</v>
      </c>
      <c r="DS18" s="105">
        <v>545196.38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38587920.599999979</v>
      </c>
      <c r="DR19" s="143">
        <v>37149241.379999995</v>
      </c>
      <c r="DS19" s="143">
        <v>40193107.020000026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23215461.899999999</v>
      </c>
      <c r="DR20" s="105">
        <v>22364190.540000003</v>
      </c>
      <c r="DS20" s="105">
        <v>23824814.610000018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13329494.45999999</v>
      </c>
      <c r="DR21" s="105">
        <v>12780379.539999986</v>
      </c>
      <c r="DS21" s="105">
        <v>14186939.740000004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1073369.5099999995</v>
      </c>
      <c r="DR22" s="105">
        <v>1037271.42</v>
      </c>
      <c r="DS22" s="105">
        <v>1099016.6800000006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969594.72999999986</v>
      </c>
      <c r="DR23" s="105">
        <v>967399.87999999954</v>
      </c>
      <c r="DS23" s="105">
        <v>1082335.99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1347126.1600000001</v>
      </c>
      <c r="DP24" s="143">
        <v>1276781.7799999998</v>
      </c>
      <c r="DQ24" s="143">
        <v>1455129.9900000002</v>
      </c>
      <c r="DR24" s="143">
        <v>1280973.7399999998</v>
      </c>
      <c r="DS24" s="143">
        <v>1096309.4100000001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958002.76000000024</v>
      </c>
      <c r="DP25" s="105">
        <v>746600.32</v>
      </c>
      <c r="DQ25" s="105">
        <v>765465.40000000026</v>
      </c>
      <c r="DR25" s="105">
        <v>751632.22999999986</v>
      </c>
      <c r="DS25" s="105">
        <v>695558.98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147618.66000000006</v>
      </c>
      <c r="DR26" s="105">
        <v>135965.31000000006</v>
      </c>
      <c r="DS26" s="105">
        <v>145879.53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296917.56999999995</v>
      </c>
      <c r="DR27" s="105">
        <v>123895.80999999998</v>
      </c>
      <c r="DS27" s="105">
        <v>52619.149999999994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181479.16999999995</v>
      </c>
      <c r="DQ30" s="105">
        <v>245128.36</v>
      </c>
      <c r="DR30" s="105">
        <v>269480.39</v>
      </c>
      <c r="DS30" s="105">
        <v>202251.75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3067345.37</v>
      </c>
      <c r="DP31" s="143">
        <v>3701757.8800000008</v>
      </c>
      <c r="DQ31" s="143">
        <v>3472067.07</v>
      </c>
      <c r="DR31" s="143">
        <v>4203901.9700000007</v>
      </c>
      <c r="DS31" s="143">
        <v>3485443.8899999997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71448.240000000005</v>
      </c>
      <c r="DR32" s="105">
        <v>100000.09999999998</v>
      </c>
      <c r="DS32" s="105">
        <v>58422.01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104769.60999999999</v>
      </c>
      <c r="DR33" s="105">
        <v>102156.98</v>
      </c>
      <c r="DS33" s="105">
        <v>124206.12999999999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14159.26</v>
      </c>
      <c r="DR34" s="105">
        <v>17809.689999999999</v>
      </c>
      <c r="DS34" s="105">
        <v>21494.939999999995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678925.78000000014</v>
      </c>
      <c r="DR35" s="105">
        <v>668593.31999999995</v>
      </c>
      <c r="DS35" s="105">
        <v>489848.26999999996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2143300.5900000008</v>
      </c>
      <c r="DQ39" s="105">
        <v>2473196.61</v>
      </c>
      <c r="DR39" s="105">
        <v>3019846.4600000009</v>
      </c>
      <c r="DS39" s="105">
        <v>1897296.93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129567.57000000002</v>
      </c>
      <c r="DR40" s="105">
        <v>295495.41999999993</v>
      </c>
      <c r="DS40" s="105">
        <v>894175.60999999975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1078993.6399999997</v>
      </c>
      <c r="DK41" s="143">
        <v>1357152.6799999995</v>
      </c>
      <c r="DL41" s="143">
        <v>1983825.9099999992</v>
      </c>
      <c r="DM41" s="143">
        <v>3053596.8600000003</v>
      </c>
      <c r="DN41" s="143">
        <v>2679781.1700000018</v>
      </c>
      <c r="DO41" s="143">
        <v>2215879.2099999981</v>
      </c>
      <c r="DP41" s="143">
        <v>2312538.1100000008</v>
      </c>
      <c r="DQ41" s="143">
        <v>2702633.3299999977</v>
      </c>
      <c r="DR41" s="143">
        <v>1765568.7499999993</v>
      </c>
      <c r="DS41" s="143">
        <v>1563644.5299999996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94468.24</v>
      </c>
      <c r="DK42" s="105">
        <v>11948.380000000003</v>
      </c>
      <c r="DL42" s="105">
        <v>385981.36000000004</v>
      </c>
      <c r="DM42" s="105">
        <v>710303.47</v>
      </c>
      <c r="DN42" s="105">
        <v>301859.41000000003</v>
      </c>
      <c r="DO42" s="105">
        <v>102862.66</v>
      </c>
      <c r="DP42" s="105">
        <v>65896.25</v>
      </c>
      <c r="DQ42" s="105">
        <v>26410.94</v>
      </c>
      <c r="DR42" s="105">
        <v>54288.5</v>
      </c>
      <c r="DS42" s="105">
        <v>64385.83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1454883.4800000009</v>
      </c>
      <c r="DQ43" s="105">
        <v>1669311.7199999983</v>
      </c>
      <c r="DR43" s="105">
        <v>1030777.3999999996</v>
      </c>
      <c r="DS43" s="105">
        <v>859172.76999999932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192790.5</v>
      </c>
      <c r="DR44" s="105">
        <v>161271.62000000005</v>
      </c>
      <c r="DS44" s="105">
        <v>202040.25000000003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626866.83999999973</v>
      </c>
      <c r="DQ46" s="105">
        <v>814120.16999999946</v>
      </c>
      <c r="DR46" s="105">
        <v>519231.22999999975</v>
      </c>
      <c r="DS46" s="105">
        <v>438045.68000000023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11355.319999999949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1708340.73</v>
      </c>
      <c r="DR47" s="143">
        <v>12333.03</v>
      </c>
      <c r="DS47" s="143">
        <v>93178.12000000001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11355.319999999949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1708340.73</v>
      </c>
      <c r="DR48" s="105">
        <v>12333.03</v>
      </c>
      <c r="DS48" s="105">
        <v>93178.12000000001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90543.209999999992</v>
      </c>
      <c r="DQ50" s="143">
        <v>79534.3</v>
      </c>
      <c r="DR50" s="143">
        <v>141338.74</v>
      </c>
      <c r="DS50" s="143">
        <v>599188.87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90543.209999999992</v>
      </c>
      <c r="DQ51" s="105">
        <v>79534.3</v>
      </c>
      <c r="DR51" s="105">
        <v>141338.74</v>
      </c>
      <c r="DS51" s="105">
        <v>599188.87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752588.29</v>
      </c>
      <c r="DQ53" s="143">
        <v>159688.91999999998</v>
      </c>
      <c r="DR53" s="143">
        <v>396068.30999999994</v>
      </c>
      <c r="DS53" s="143">
        <v>623657.68999999994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752588.29</v>
      </c>
      <c r="DQ54" s="105">
        <v>159688.91999999998</v>
      </c>
      <c r="DR54" s="105">
        <v>396068.30999999994</v>
      </c>
      <c r="DS54" s="105">
        <v>623657.68999999994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70655228.329999983</v>
      </c>
      <c r="DN56" s="143">
        <v>844590.42999999993</v>
      </c>
      <c r="DO56" s="143">
        <v>69672474.810000002</v>
      </c>
      <c r="DP56" s="143">
        <v>19271950.75</v>
      </c>
      <c r="DQ56" s="143">
        <v>40857073.5</v>
      </c>
      <c r="DR56" s="143">
        <v>21833054.989999998</v>
      </c>
      <c r="DS56" s="143">
        <v>6340268.1400000006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70655228.329999983</v>
      </c>
      <c r="DN57" s="105">
        <v>844590.42999999993</v>
      </c>
      <c r="DO57" s="105">
        <v>69672474.810000002</v>
      </c>
      <c r="DP57" s="105">
        <v>19271950.75</v>
      </c>
      <c r="DQ57" s="105">
        <v>40857073.5</v>
      </c>
      <c r="DR57" s="105">
        <v>21833054.989999998</v>
      </c>
      <c r="DS57" s="105">
        <v>6340268.1400000006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15234209.67</v>
      </c>
      <c r="DQ58" s="105">
        <v>40000000</v>
      </c>
      <c r="DR58" s="105">
        <v>21230000</v>
      </c>
      <c r="DS58" s="105">
        <v>1250090.33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70655228.329999983</v>
      </c>
      <c r="DN59" s="105">
        <v>844590.42999999993</v>
      </c>
      <c r="DO59" s="105">
        <v>69672474.810000002</v>
      </c>
      <c r="DP59" s="105">
        <v>4037741.08</v>
      </c>
      <c r="DQ59" s="105">
        <v>857073.49999999988</v>
      </c>
      <c r="DR59" s="105">
        <v>603054.99</v>
      </c>
      <c r="DS59" s="105">
        <v>5090177.8100000005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246732920.69</v>
      </c>
      <c r="DN60" s="105">
        <v>116025559.72000001</v>
      </c>
      <c r="DO60" s="105">
        <v>215439881.51999998</v>
      </c>
      <c r="DP60" s="105">
        <v>182066976.71000007</v>
      </c>
      <c r="DQ60" s="105">
        <v>140414378.29000002</v>
      </c>
      <c r="DR60" s="105">
        <v>309248427.56000006</v>
      </c>
      <c r="DS60" s="105">
        <v>110869400.68000002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64330069.110000007</v>
      </c>
      <c r="DN61" s="105">
        <v>59572004.990000002</v>
      </c>
      <c r="DO61" s="105">
        <v>46793420.569999993</v>
      </c>
      <c r="DP61" s="105">
        <v>56435102.910000034</v>
      </c>
      <c r="DQ61" s="105">
        <v>43906963.54999999</v>
      </c>
      <c r="DR61" s="105">
        <v>67396812.680000007</v>
      </c>
      <c r="DS61" s="105">
        <v>46450452.229999997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28050654.489999987</v>
      </c>
      <c r="DR62" s="105">
        <v>34903249.240000002</v>
      </c>
      <c r="DS62" s="105">
        <v>29141461.659999989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17852104.219999988</v>
      </c>
      <c r="DR63" s="105">
        <v>18750182.190000005</v>
      </c>
      <c r="DS63" s="105">
        <v>18466417.239999983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2002758.5399999996</v>
      </c>
      <c r="DR64" s="105">
        <v>3298968.2999999984</v>
      </c>
      <c r="DS64" s="105">
        <v>2101454.4200000004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5060799.5999999968</v>
      </c>
      <c r="DR65" s="105">
        <v>8081364.7399999993</v>
      </c>
      <c r="DS65" s="105">
        <v>5301625.0700000022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2815699.8800000013</v>
      </c>
      <c r="DR66" s="105">
        <v>4297429.7400000067</v>
      </c>
      <c r="DS66" s="105">
        <v>2973218.0700000008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319292.24999999971</v>
      </c>
      <c r="DR67" s="105">
        <v>475304.26999999944</v>
      </c>
      <c r="DS67" s="105">
        <v>298746.86000000016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637736.28000000026</v>
      </c>
      <c r="DR68" s="105">
        <v>956789.28</v>
      </c>
      <c r="DS68" s="105">
        <v>1028424.9800000017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159610.72000000003</v>
      </c>
      <c r="DR70" s="105">
        <v>177017.31999999998</v>
      </c>
      <c r="DS70" s="105">
        <v>184511.68999999989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9687.9699999999975</v>
      </c>
      <c r="DR71" s="105">
        <v>16575.490000000002</v>
      </c>
      <c r="DS71" s="105">
        <v>16325.65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805.82</v>
      </c>
      <c r="DS72" s="105">
        <v>913.11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19070</v>
      </c>
      <c r="DR73" s="105">
        <v>116401.85</v>
      </c>
      <c r="DS73" s="105">
        <v>133549.82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43620.53</v>
      </c>
      <c r="DR74" s="105">
        <v>31470.530000000002</v>
      </c>
      <c r="DS74" s="105">
        <v>31382.89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405747.06000000029</v>
      </c>
      <c r="DR75" s="105">
        <v>614518.27</v>
      </c>
      <c r="DS75" s="105">
        <v>661741.82000000181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1570319.5000000002</v>
      </c>
      <c r="DQ76" s="105">
        <v>1897974.1600000004</v>
      </c>
      <c r="DR76" s="105">
        <v>1943518.7799999991</v>
      </c>
      <c r="DS76" s="105">
        <v>1834158.5300000005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214198.51000000018</v>
      </c>
      <c r="DQ77" s="105">
        <v>319910.18999999994</v>
      </c>
      <c r="DR77" s="105">
        <v>395481.64999999979</v>
      </c>
      <c r="DS77" s="105">
        <v>262292.9200000001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65151.12</v>
      </c>
      <c r="DR78" s="105">
        <v>59732.159999999996</v>
      </c>
      <c r="DS78" s="105">
        <v>60135.98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379815.09000000026</v>
      </c>
      <c r="DR79" s="105">
        <v>350416.36999999994</v>
      </c>
      <c r="DS79" s="105">
        <v>361116.42000000016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587547.57000000007</v>
      </c>
      <c r="DR80" s="105">
        <v>780215.44999999937</v>
      </c>
      <c r="DS80" s="105">
        <v>259446.22999999998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544542.09000000008</v>
      </c>
      <c r="DR81" s="105">
        <v>356854.52999999997</v>
      </c>
      <c r="DS81" s="105">
        <v>882739.91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1008.1</v>
      </c>
      <c r="DR82" s="105">
        <v>818.62</v>
      </c>
      <c r="DS82" s="105">
        <v>8427.0700000000015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3234198.3400000026</v>
      </c>
      <c r="DP83" s="105">
        <v>5125744.2900000028</v>
      </c>
      <c r="DQ83" s="105">
        <v>3268818.9799999995</v>
      </c>
      <c r="DR83" s="105">
        <v>4101570.9799999991</v>
      </c>
      <c r="DS83" s="105">
        <v>3900992.6500000027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502101.75000000029</v>
      </c>
      <c r="DQ84" s="105">
        <v>320657.53000000003</v>
      </c>
      <c r="DR84" s="105">
        <v>624503.57999999949</v>
      </c>
      <c r="DS84" s="105">
        <v>638375.55999999982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21940.289999999997</v>
      </c>
      <c r="DR85" s="105">
        <v>44757.55999999999</v>
      </c>
      <c r="DS85" s="105">
        <v>52314.790000000052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769400.97999999975</v>
      </c>
      <c r="DQ86" s="105">
        <v>464877.89000000054</v>
      </c>
      <c r="DR86" s="105">
        <v>424296.41000000067</v>
      </c>
      <c r="DS86" s="105">
        <v>384158.81000000011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249294.97</v>
      </c>
      <c r="DP87" s="105">
        <v>293139.49999999988</v>
      </c>
      <c r="DQ87" s="105">
        <v>131022.75000000004</v>
      </c>
      <c r="DR87" s="105">
        <v>595314.59000000008</v>
      </c>
      <c r="DS87" s="105">
        <v>130057.37999999992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70128.929999999993</v>
      </c>
      <c r="DR88" s="105">
        <v>81326.840000000026</v>
      </c>
      <c r="DS88" s="105">
        <v>101200.34999999999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38868.05999999999</v>
      </c>
      <c r="DR89" s="105">
        <v>52794.389999999985</v>
      </c>
      <c r="DS89" s="105">
        <v>91109.239999999991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2292498.2300000028</v>
      </c>
      <c r="DQ90" s="105">
        <v>1695589.3399999992</v>
      </c>
      <c r="DR90" s="105">
        <v>1697585.68</v>
      </c>
      <c r="DS90" s="105">
        <v>1499015.1500000036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42144.87</v>
      </c>
      <c r="DR91" s="105">
        <v>78205.280000000013</v>
      </c>
      <c r="DS91" s="105">
        <v>45486.609999999979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965720.97999999975</v>
      </c>
      <c r="DQ92" s="105">
        <v>483589.32</v>
      </c>
      <c r="DR92" s="105">
        <v>502786.6499999995</v>
      </c>
      <c r="DS92" s="105">
        <v>959274.75999999943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787283.64</v>
      </c>
      <c r="DQ93" s="105">
        <v>1786413.21</v>
      </c>
      <c r="DR93" s="105">
        <v>3880961.3100000005</v>
      </c>
      <c r="DS93" s="105">
        <v>962610.54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1490817.88</v>
      </c>
      <c r="DR94" s="105">
        <v>3578133.5800000005</v>
      </c>
      <c r="DS94" s="105">
        <v>601357.14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139380.09999999998</v>
      </c>
      <c r="DR95" s="105">
        <v>114079.71</v>
      </c>
      <c r="DS95" s="105">
        <v>84473.700000000041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122656.16</v>
      </c>
      <c r="DQ96" s="105">
        <v>156215.23000000007</v>
      </c>
      <c r="DR96" s="105">
        <v>188748.02000000019</v>
      </c>
      <c r="DS96" s="105">
        <v>276779.6999999999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4369899.47</v>
      </c>
      <c r="DP97" s="105">
        <v>6120956.6900000004</v>
      </c>
      <c r="DQ97" s="105">
        <v>983659.16</v>
      </c>
      <c r="DR97" s="105">
        <v>16144426.140000001</v>
      </c>
      <c r="DS97" s="105">
        <v>488401.27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351618.79</v>
      </c>
      <c r="DQ98" s="105">
        <v>131072.01999999999</v>
      </c>
      <c r="DR98" s="105">
        <v>1544582.9600000004</v>
      </c>
      <c r="DS98" s="105">
        <v>52709.009999999995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5769337.9000000004</v>
      </c>
      <c r="DQ99" s="105">
        <v>852587.14</v>
      </c>
      <c r="DR99" s="105">
        <v>14599843.18</v>
      </c>
      <c r="DS99" s="105">
        <v>435692.26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646855.39</v>
      </c>
      <c r="DR100" s="105">
        <v>645629.50000000012</v>
      </c>
      <c r="DS100" s="105">
        <v>307234.48999999993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621210.34</v>
      </c>
      <c r="DR101" s="105">
        <v>610094.97000000009</v>
      </c>
      <c r="DS101" s="105">
        <v>282238.55999999994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25328.25</v>
      </c>
      <c r="DR102" s="105">
        <v>34299.729999999996</v>
      </c>
      <c r="DS102" s="105">
        <v>24547.129999999997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316.8</v>
      </c>
      <c r="DR103" s="105">
        <v>1234.8</v>
      </c>
      <c r="DS103" s="105">
        <v>448.79999999999995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2646244.100000001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2984947.5200000005</v>
      </c>
      <c r="DR105" s="105">
        <v>987522.90000000037</v>
      </c>
      <c r="DS105" s="105">
        <v>2646244.100000001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1631606.9099999997</v>
      </c>
      <c r="DR108" s="105">
        <v>2241110.1399999992</v>
      </c>
      <c r="DS108" s="105">
        <v>1981720.889999999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396259.63999999955</v>
      </c>
      <c r="DR109" s="105">
        <v>595246.11999999941</v>
      </c>
      <c r="DS109" s="105">
        <v>492074.81999999966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31940.940000000017</v>
      </c>
      <c r="DR110" s="105">
        <v>59699.930000000044</v>
      </c>
      <c r="DS110" s="105">
        <v>229752.15999999995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500282.08</v>
      </c>
      <c r="DR111" s="105">
        <v>756320.94</v>
      </c>
      <c r="DS111" s="105">
        <v>466485.88999999966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166065.71000000005</v>
      </c>
      <c r="DR112" s="105">
        <v>174239.58000000002</v>
      </c>
      <c r="DS112" s="105">
        <v>134370.63999999998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64773.39</v>
      </c>
      <c r="DR113" s="105">
        <v>79115.670000000013</v>
      </c>
      <c r="DS113" s="105">
        <v>163015.41999999995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373719.19000000029</v>
      </c>
      <c r="DR114" s="105">
        <v>351863.64000000019</v>
      </c>
      <c r="DS114" s="105">
        <v>339805.98999999987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41.67</v>
      </c>
      <c r="DR115" s="105">
        <v>41.67</v>
      </c>
      <c r="DS115" s="105">
        <v>41.67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1405.2099999999998</v>
      </c>
      <c r="DR116" s="105">
        <v>1454.9400000000003</v>
      </c>
      <c r="DS116" s="105">
        <v>1113.4599999999998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97119.079999999973</v>
      </c>
      <c r="DR117" s="105">
        <v>223127.65000000005</v>
      </c>
      <c r="DS117" s="105">
        <v>155060.84000000003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39162482.690000027</v>
      </c>
      <c r="DR118" s="105">
        <v>41715778.810000032</v>
      </c>
      <c r="DS118" s="105">
        <v>40336270.130000018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4825685.17</v>
      </c>
      <c r="DR119" s="105">
        <v>5003935.6600000011</v>
      </c>
      <c r="DS119" s="105">
        <v>5224803.1099999994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345178.28</v>
      </c>
      <c r="DR120" s="105">
        <v>324346.10000000003</v>
      </c>
      <c r="DS120" s="105">
        <v>435416.45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586430.07999999996</v>
      </c>
      <c r="DR121" s="105">
        <v>581917.16999999993</v>
      </c>
      <c r="DS121" s="105">
        <v>678352.48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1060525.06</v>
      </c>
      <c r="DR122" s="105">
        <v>1122304.45</v>
      </c>
      <c r="DS122" s="105">
        <v>1108062.3499999999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1445734.21</v>
      </c>
      <c r="DR123" s="105">
        <v>1449683.0500000003</v>
      </c>
      <c r="DS123" s="105">
        <v>1627060.7399999998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982933.07000000007</v>
      </c>
      <c r="DR124" s="105">
        <v>1023250.99</v>
      </c>
      <c r="DS124" s="105">
        <v>1020312.4400000002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120386.34</v>
      </c>
      <c r="DR125" s="105">
        <v>179287.87</v>
      </c>
      <c r="DS125" s="105">
        <v>50427.02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284498.13</v>
      </c>
      <c r="DR126" s="105">
        <v>323146.02999999997</v>
      </c>
      <c r="DS126" s="105">
        <v>305171.62999999995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2245233.77</v>
      </c>
      <c r="DS127" s="105">
        <v>787040.37000000011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1346957.91</v>
      </c>
      <c r="DS129" s="105">
        <v>98603.880000000019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898275.86</v>
      </c>
      <c r="DS131" s="105">
        <v>688436.49000000011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32215414.010000028</v>
      </c>
      <c r="DS133" s="105">
        <v>32423340.340000022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18652141.210000023</v>
      </c>
      <c r="DS134" s="105">
        <v>18787969.120000023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5585563.7200000025</v>
      </c>
      <c r="DS135" s="105">
        <v>5596628.5399999954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6322847.9700000016</v>
      </c>
      <c r="DS136" s="105">
        <v>6286233.4000000032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776691.32999999973</v>
      </c>
      <c r="DS137" s="105">
        <v>729121.30999999971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186152.52999999997</v>
      </c>
      <c r="DS138" s="105">
        <v>185419.8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692017.25</v>
      </c>
      <c r="DS139" s="105">
        <v>837968.17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1242793.6300000001</v>
      </c>
      <c r="DS141" s="105">
        <v>1182832.1200000001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1182832.1200000001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1008401.7400000005</v>
      </c>
      <c r="DS143" s="105">
        <v>718254.19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67718.299999999988</v>
      </c>
      <c r="DS144" s="105">
        <v>145906.90000000002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201440.21000000008</v>
      </c>
      <c r="DS145" s="105">
        <v>202643.86999999991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739243.23000000045</v>
      </c>
      <c r="DS146" s="105">
        <v>369703.42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10744092.740000006</v>
      </c>
      <c r="DQ147" s="105">
        <v>11333981.32</v>
      </c>
      <c r="DR147" s="105">
        <v>10383700.710000008</v>
      </c>
      <c r="DS147" s="105">
        <v>11050474.780000005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10541092.800000006</v>
      </c>
      <c r="DQ148" s="105">
        <v>11333981.32</v>
      </c>
      <c r="DR148" s="105">
        <v>10383700.710000008</v>
      </c>
      <c r="DS148" s="105">
        <v>11050474.780000005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5017138.6900000088</v>
      </c>
      <c r="DS149" s="105">
        <v>5157752.2200000035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1733810.6800000002</v>
      </c>
      <c r="DS150" s="105">
        <v>1606402.17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412220</v>
      </c>
      <c r="DS151" s="105">
        <v>204373.29999999987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44150</v>
      </c>
      <c r="DS152" s="105">
        <v>61760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348750.45000000013</v>
      </c>
      <c r="DS153" s="105">
        <v>388917.07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76313.909999999989</v>
      </c>
      <c r="DS154" s="105">
        <v>220363.19999999998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848986.98999999987</v>
      </c>
      <c r="DS155" s="105">
        <v>834822.32999999984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786771.90000000142</v>
      </c>
      <c r="DQ156" s="105">
        <v>671148.39000000199</v>
      </c>
      <c r="DR156" s="105">
        <v>588789.3600000008</v>
      </c>
      <c r="DS156" s="105">
        <v>954967.48000000254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1313540.6299999997</v>
      </c>
      <c r="DS157" s="105">
        <v>1621117.01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6123674.2600000026</v>
      </c>
      <c r="DS165" s="105">
        <v>6479613.9900000002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2090071.33</v>
      </c>
      <c r="DN166" s="105">
        <v>1154162.4099999999</v>
      </c>
      <c r="DO166" s="105">
        <v>968554.92</v>
      </c>
      <c r="DP166" s="105">
        <v>2828250.97</v>
      </c>
      <c r="DQ166" s="105">
        <v>2018297.4499999997</v>
      </c>
      <c r="DR166" s="105">
        <v>1592034.4099999997</v>
      </c>
      <c r="DS166" s="105">
        <v>4159203.1199999996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11691.01</v>
      </c>
      <c r="DS167" s="105">
        <v>2000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12298.45</v>
      </c>
      <c r="DS168" s="105">
        <v>198096.49999999997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39085.33</v>
      </c>
      <c r="DS169" s="105">
        <v>42332.42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80900.41</v>
      </c>
      <c r="DS170" s="105">
        <v>59083.34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406161.24999999983</v>
      </c>
      <c r="DQ171" s="105">
        <v>1120390.2799999998</v>
      </c>
      <c r="DR171" s="105">
        <v>921270.4499999996</v>
      </c>
      <c r="DS171" s="105">
        <v>1096503.7999999998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1682080.7000000002</v>
      </c>
      <c r="DN172" s="105">
        <v>465071.95999999996</v>
      </c>
      <c r="DO172" s="105">
        <v>201405.9</v>
      </c>
      <c r="DP172" s="105">
        <v>2139806.4700000002</v>
      </c>
      <c r="DQ172" s="105">
        <v>670605.22</v>
      </c>
      <c r="DR172" s="105">
        <v>524972.54</v>
      </c>
      <c r="DS172" s="105">
        <v>2752022.2800000003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1816.22</v>
      </c>
      <c r="DS173" s="105">
        <v>9164.7800000000007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287766</v>
      </c>
      <c r="DS176" s="105">
        <v>331666.67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331666.67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287766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331666.67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34898791.960000001</v>
      </c>
      <c r="DP183" s="105">
        <v>65561192.199999996</v>
      </c>
      <c r="DQ183" s="105">
        <v>41358707.579999998</v>
      </c>
      <c r="DR183" s="105">
        <v>179755989.35000002</v>
      </c>
      <c r="DS183" s="105">
        <v>5631090.1799999997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34898791.960000001</v>
      </c>
      <c r="DP184" s="105">
        <v>65561192.199999996</v>
      </c>
      <c r="DQ184" s="105">
        <v>41358707.579999998</v>
      </c>
      <c r="DR184" s="105">
        <v>179755989.35000002</v>
      </c>
      <c r="DS184" s="105">
        <v>5631090.1799999997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37597928.459999993</v>
      </c>
      <c r="DQ185" s="105">
        <v>40099266.369999997</v>
      </c>
      <c r="DR185" s="105">
        <v>12694753.58</v>
      </c>
      <c r="DS185" s="105">
        <v>100557.85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167061235.77000001</v>
      </c>
      <c r="DS186" s="105">
        <v>5530532.3300000001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27513982.240000013</v>
      </c>
      <c r="DP190" s="105">
        <v>11577992.679999953</v>
      </c>
      <c r="DQ190" s="105">
        <v>3361730.8000000138</v>
      </c>
      <c r="DR190" s="105">
        <v>8276196.9900000012</v>
      </c>
      <c r="DS190" s="105">
        <v>9390060.9599999879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3584705.7499999995</v>
      </c>
      <c r="DS191" s="105">
        <v>589832.69999999995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589832.69999999995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6">
      <c r="E221" s="430" t="s">
        <v>696</v>
      </c>
      <c r="F221" s="427">
        <v>2006</v>
      </c>
      <c r="G221" s="428"/>
      <c r="H221" s="428"/>
      <c r="I221" s="428"/>
      <c r="J221" s="428"/>
      <c r="K221" s="428"/>
      <c r="L221" s="428"/>
      <c r="M221" s="428"/>
      <c r="N221" s="428"/>
      <c r="O221" s="428"/>
      <c r="P221" s="428"/>
      <c r="Q221" s="429"/>
      <c r="R221" s="427">
        <v>2007</v>
      </c>
      <c r="S221" s="428"/>
      <c r="T221" s="428"/>
      <c r="U221" s="428"/>
      <c r="V221" s="428"/>
      <c r="W221" s="428"/>
      <c r="X221" s="428"/>
      <c r="Y221" s="428"/>
      <c r="Z221" s="428"/>
      <c r="AA221" s="428"/>
      <c r="AB221" s="428"/>
      <c r="AC221" s="429"/>
      <c r="AD221" s="427">
        <v>2008</v>
      </c>
      <c r="AE221" s="428"/>
      <c r="AF221" s="428"/>
      <c r="AG221" s="428"/>
      <c r="AH221" s="428"/>
      <c r="AI221" s="428"/>
      <c r="AJ221" s="428"/>
      <c r="AK221" s="428"/>
      <c r="AL221" s="428"/>
      <c r="AM221" s="428"/>
      <c r="AN221" s="428"/>
      <c r="AO221" s="429"/>
      <c r="AP221" s="427">
        <v>2009</v>
      </c>
      <c r="AQ221" s="428"/>
      <c r="AR221" s="428"/>
      <c r="AS221" s="428"/>
      <c r="AT221" s="428"/>
      <c r="AU221" s="428"/>
      <c r="AV221" s="428"/>
      <c r="AW221" s="428"/>
      <c r="AX221" s="428"/>
      <c r="AY221" s="428"/>
      <c r="AZ221" s="428"/>
      <c r="BA221" s="429"/>
      <c r="BB221" s="427">
        <v>2010</v>
      </c>
      <c r="BC221" s="428"/>
      <c r="BD221" s="428"/>
      <c r="BE221" s="428"/>
      <c r="BF221" s="428"/>
      <c r="BG221" s="428"/>
      <c r="BH221" s="428"/>
      <c r="BI221" s="428"/>
      <c r="BJ221" s="428"/>
      <c r="BK221" s="428"/>
      <c r="BL221" s="428"/>
      <c r="BM221" s="429"/>
      <c r="BN221" s="427">
        <v>2011</v>
      </c>
      <c r="BO221" s="428"/>
      <c r="BP221" s="428"/>
      <c r="BQ221" s="428"/>
      <c r="BR221" s="428"/>
      <c r="BS221" s="428"/>
      <c r="BT221" s="428"/>
      <c r="BU221" s="428"/>
      <c r="BV221" s="428"/>
      <c r="BW221" s="428"/>
      <c r="BX221" s="428"/>
      <c r="BY221" s="429"/>
      <c r="BZ221" s="428">
        <v>2012</v>
      </c>
      <c r="CA221" s="428"/>
      <c r="CB221" s="428"/>
      <c r="CC221" s="428"/>
      <c r="CD221" s="428"/>
      <c r="CE221" s="428"/>
      <c r="CF221" s="428"/>
      <c r="CG221" s="428"/>
      <c r="CH221" s="428"/>
      <c r="CI221" s="428"/>
      <c r="CJ221" s="428"/>
      <c r="CK221" s="428"/>
      <c r="CL221" s="427">
        <v>2013</v>
      </c>
      <c r="CM221" s="428"/>
      <c r="CN221" s="428"/>
      <c r="CO221" s="428"/>
      <c r="CP221" s="428"/>
      <c r="CQ221" s="428"/>
      <c r="CR221" s="428"/>
      <c r="CS221" s="428"/>
      <c r="CT221" s="428"/>
      <c r="CU221" s="428"/>
      <c r="CV221" s="428"/>
      <c r="CW221" s="429"/>
      <c r="CX221" s="427">
        <v>2014</v>
      </c>
      <c r="CY221" s="428"/>
      <c r="CZ221" s="428"/>
      <c r="DA221" s="428"/>
      <c r="DB221" s="428"/>
      <c r="DC221" s="428"/>
      <c r="DD221" s="428"/>
      <c r="DE221" s="428"/>
      <c r="DF221" s="428"/>
      <c r="DG221" s="428"/>
      <c r="DH221" s="428"/>
      <c r="DI221" s="429"/>
      <c r="DJ221" s="427">
        <v>2015</v>
      </c>
      <c r="DK221" s="428"/>
      <c r="DL221" s="428"/>
      <c r="DM221" s="428"/>
      <c r="DN221" s="428"/>
      <c r="DO221" s="428"/>
      <c r="DP221" s="428"/>
      <c r="DQ221" s="428"/>
      <c r="DR221" s="428"/>
      <c r="DS221" s="428"/>
      <c r="DT221" s="428"/>
      <c r="DU221" s="429"/>
    </row>
    <row r="222" spans="1:126">
      <c r="E222" s="430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6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6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07">
        <f>+DV225+DV234+DV239+DV246+DV256+DV265+DV268</f>
        <v>1329179261.6533833</v>
      </c>
    </row>
    <row r="225" spans="1:126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  <c r="DV225" s="328">
        <f>+SUM(DJ225:DU225)</f>
        <v>832672619.56934154</v>
      </c>
    </row>
    <row r="226" spans="1:126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6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6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6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6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6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6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6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6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  <c r="DV234" s="328">
        <f>+SUM(DJ234:DU234)</f>
        <v>417492172.75320083</v>
      </c>
    </row>
    <row r="235" spans="1:126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6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6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6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6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  <c r="DV239" s="328">
        <f>+SUM(DJ239:DU239)</f>
        <v>16902886.664651629</v>
      </c>
    </row>
    <row r="240" spans="1:126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6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6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6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6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6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6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1378353.6704010672</v>
      </c>
      <c r="DT246" s="143">
        <f t="shared" si="24"/>
        <v>1123435.7637199732</v>
      </c>
      <c r="DU246" s="144">
        <f t="shared" si="24"/>
        <v>1342481.0432510113</v>
      </c>
      <c r="DV246" s="328">
        <f>+SUM(DJ246:DU246)</f>
        <v>13478728.643637203</v>
      </c>
    </row>
    <row r="247" spans="1:126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6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6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6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6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6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6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6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6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</row>
    <row r="256" spans="1:126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  <c r="DV256" s="328">
        <f>+SUM(DJ256:DU256)</f>
        <v>36966986.333032973</v>
      </c>
    </row>
    <row r="257" spans="1:126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6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6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6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6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6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28">
        <f>+SUM(DJ262:DU262)</f>
        <v>0</v>
      </c>
    </row>
    <row r="263" spans="1:126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6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6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28">
        <f>+SUM(DJ265:DU265)</f>
        <v>5073747.8792982856</v>
      </c>
    </row>
    <row r="266" spans="1:126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6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6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28">
        <f>+SUM(DJ268:DU268)</f>
        <v>6592119.81022075</v>
      </c>
    </row>
    <row r="269" spans="1:126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6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6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6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1:E222"/>
    <mergeCell ref="F221:Q221"/>
    <mergeCell ref="R221:AC221"/>
    <mergeCell ref="AD221:AO221"/>
    <mergeCell ref="CX221:DI221"/>
    <mergeCell ref="DJ221:DU221"/>
    <mergeCell ref="AP221:BA221"/>
    <mergeCell ref="BB221:BM221"/>
    <mergeCell ref="BN221:BY221"/>
    <mergeCell ref="BZ221:CK221"/>
    <mergeCell ref="CL221:CW2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203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Oktobar</v>
      </c>
    </row>
    <row r="238" spans="3:7">
      <c r="D238" s="49"/>
      <c r="E238" s="9"/>
      <c r="F238" s="10"/>
      <c r="G238" s="52" t="str">
        <f>+CONCATENATE("Jan - ",LEFT(G237,3))</f>
        <v>Jan - Okt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Okt</v>
      </c>
      <c r="F246" s="10" t="str">
        <f>+CONCATENATE("Analytics for period ",G238)</f>
        <v>Analytics for period Jan - Okt</v>
      </c>
      <c r="G246" s="52" t="str">
        <f>+IF(ISBLANK(IF($B$2=1,E246,F246)),"",IF($B$2=1,E246,F246))</f>
        <v>Analitika za period Jan - Okt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Oktobar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Oktobar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Oktobar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Oktobar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Oktobar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Oktobar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marija.goranovic</cp:lastModifiedBy>
  <cp:lastPrinted>2015-11-20T10:12:27Z</cp:lastPrinted>
  <dcterms:created xsi:type="dcterms:W3CDTF">2014-09-15T13:41:17Z</dcterms:created>
  <dcterms:modified xsi:type="dcterms:W3CDTF">2015-11-20T14:16:33Z</dcterms:modified>
</cp:coreProperties>
</file>