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4000" windowHeight="9000" tabRatio="587" firstSheet="1" activeTab="2"/>
  </bookViews>
  <sheets>
    <sheet name="Analitika - 2014" sheetId="3" state="hidden" r:id="rId1"/>
    <sheet name="Breakdown" sheetId="1" r:id="rId2"/>
    <sheet name="Analytics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</workbook>
</file>

<file path=xl/calcChain.xml><?xml version="1.0" encoding="utf-8"?>
<calcChain xmlns="http://schemas.openxmlformats.org/spreadsheetml/2006/main">
  <c r="R64" i="11" l="1"/>
  <c r="R65" i="11"/>
  <c r="R66" i="11"/>
  <c r="R57" i="11"/>
  <c r="R58" i="11"/>
  <c r="R59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H54" i="16"/>
  <c r="I54" i="16"/>
  <c r="J54" i="16"/>
  <c r="K54" i="16"/>
  <c r="L54" i="16"/>
  <c r="M54" i="16"/>
  <c r="N54" i="16"/>
  <c r="O54" i="16"/>
  <c r="R54" i="11" s="1"/>
  <c r="P54" i="16"/>
  <c r="Q54" i="16"/>
  <c r="R54" i="16"/>
  <c r="G54" i="16"/>
  <c r="R61" i="11" l="1"/>
  <c r="N61" i="11"/>
  <c r="T61" i="11" l="1"/>
  <c r="S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Q61" i="11" l="1"/>
  <c r="P61" i="11"/>
  <c r="S155" i="13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1" i="11" l="1"/>
  <c r="L61" i="11" s="1"/>
  <c r="M61" i="11"/>
  <c r="G64" i="13"/>
  <c r="A160" i="16" l="1"/>
  <c r="A159" i="16"/>
  <c r="A158" i="16"/>
  <c r="A157" i="16"/>
  <c r="A156" i="16"/>
  <c r="A155" i="16"/>
  <c r="G154" i="16"/>
  <c r="A154" i="16"/>
  <c r="M154" i="16" s="1"/>
  <c r="I153" i="16"/>
  <c r="G153" i="16"/>
  <c r="A153" i="16"/>
  <c r="M153" i="16" s="1"/>
  <c r="I152" i="16"/>
  <c r="G152" i="16"/>
  <c r="A152" i="16"/>
  <c r="M152" i="16" s="1"/>
  <c r="A151" i="16"/>
  <c r="A150" i="16"/>
  <c r="A149" i="16"/>
  <c r="S148" i="16"/>
  <c r="T148" i="16" s="1"/>
  <c r="G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R19" i="11" s="1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N143" i="16" l="1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G137" i="16"/>
  <c r="K137" i="16"/>
  <c r="O137" i="16"/>
  <c r="I137" i="16"/>
  <c r="M137" i="16"/>
  <c r="Q137" i="16"/>
  <c r="K64" i="11"/>
  <c r="K65" i="11"/>
  <c r="K66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R10" i="11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K57" i="11"/>
  <c r="K31" i="11"/>
  <c r="G124" i="16"/>
  <c r="G125" i="16" s="1"/>
  <c r="R105" i="16"/>
  <c r="I29" i="16"/>
  <c r="H10" i="16"/>
  <c r="K42" i="11"/>
  <c r="I124" i="16"/>
  <c r="I125" i="16" s="1"/>
  <c r="G10" i="16"/>
  <c r="K11" i="11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R56" i="11" s="1"/>
  <c r="R55" i="11"/>
  <c r="N30" i="16"/>
  <c r="J149" i="16"/>
  <c r="J150" i="16" s="1"/>
  <c r="L149" i="16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K10" i="1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K29" i="11"/>
  <c r="G55" i="16"/>
  <c r="K155" i="16"/>
  <c r="K160" i="16" s="1"/>
  <c r="K156" i="16" s="1"/>
  <c r="S124" i="16"/>
  <c r="T124" i="16" s="1"/>
  <c r="Q55" i="16"/>
  <c r="Q56" i="16" s="1"/>
  <c r="Q57" i="16" s="1"/>
  <c r="P149" i="16"/>
  <c r="P150" i="16" s="1"/>
  <c r="S29" i="16"/>
  <c r="T29" i="16" s="1"/>
  <c r="R55" i="16"/>
  <c r="R56" i="16" s="1"/>
  <c r="R57" i="16" s="1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P57" i="16" s="1"/>
  <c r="G149" i="16"/>
  <c r="S105" i="16"/>
  <c r="T105" i="16" s="1"/>
  <c r="L155" i="16"/>
  <c r="L160" i="16" s="1"/>
  <c r="L156" i="16" s="1"/>
  <c r="L150" i="16"/>
  <c r="M125" i="16"/>
  <c r="S125" i="16" s="1"/>
  <c r="T125" i="16" s="1"/>
  <c r="M149" i="16"/>
  <c r="S151" i="16"/>
  <c r="T151" i="16" s="1"/>
  <c r="O66" i="16" l="1"/>
  <c r="R62" i="11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K55" i="11"/>
  <c r="K30" i="11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R66" i="16" s="1"/>
  <c r="R62" i="16" s="1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O62" i="16" l="1"/>
  <c r="R63" i="11" s="1"/>
  <c r="R67" i="11"/>
  <c r="G57" i="16"/>
  <c r="K56" i="11" s="1"/>
  <c r="S56" i="16"/>
  <c r="N66" i="16"/>
  <c r="M66" i="16"/>
  <c r="J66" i="16"/>
  <c r="I66" i="16"/>
  <c r="K62" i="11"/>
  <c r="H66" i="16"/>
  <c r="G160" i="16"/>
  <c r="S155" i="16"/>
  <c r="T155" i="16" s="1"/>
  <c r="G62" i="16"/>
  <c r="S150" i="16"/>
  <c r="T150" i="16" s="1"/>
  <c r="S57" i="16" l="1"/>
  <c r="T57" i="16" s="1"/>
  <c r="S61" i="16"/>
  <c r="T61" i="16" s="1"/>
  <c r="T56" i="16"/>
  <c r="N62" i="16"/>
  <c r="M62" i="16"/>
  <c r="T60" i="11"/>
  <c r="S60" i="11"/>
  <c r="J62" i="16"/>
  <c r="I62" i="16"/>
  <c r="S66" i="16"/>
  <c r="K67" i="11"/>
  <c r="H62" i="16"/>
  <c r="S160" i="16"/>
  <c r="T160" i="16" s="1"/>
  <c r="G156" i="16"/>
  <c r="S156" i="16" s="1"/>
  <c r="T156" i="16" s="1"/>
  <c r="T66" i="16" l="1"/>
  <c r="S62" i="16"/>
  <c r="T62" i="16" s="1"/>
  <c r="K63" i="1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M60" i="11" l="1"/>
  <c r="L60" i="11"/>
  <c r="O60" i="11" l="1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7" i="2" l="1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6" i="11" s="1"/>
  <c r="N65" i="13"/>
  <c r="M65" i="13"/>
  <c r="L65" i="13"/>
  <c r="K65" i="13"/>
  <c r="J65" i="13"/>
  <c r="I65" i="13"/>
  <c r="H65" i="13"/>
  <c r="G65" i="13"/>
  <c r="R64" i="13"/>
  <c r="Q64" i="13"/>
  <c r="P64" i="13"/>
  <c r="O64" i="13"/>
  <c r="N65" i="11" s="1"/>
  <c r="N64" i="13"/>
  <c r="M64" i="13"/>
  <c r="L64" i="13"/>
  <c r="K64" i="13"/>
  <c r="J64" i="13"/>
  <c r="I64" i="13"/>
  <c r="H64" i="13"/>
  <c r="R63" i="13"/>
  <c r="Q63" i="13"/>
  <c r="P63" i="13"/>
  <c r="O63" i="13"/>
  <c r="N64" i="11" s="1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1" s="1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1" s="1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1" s="1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1" s="1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1" s="1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1" s="1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1" s="1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1" s="1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1" s="1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1" s="1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1" s="1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1" s="1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1" s="1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1" s="1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1" s="1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1" s="1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1" s="1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1" s="1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1" s="1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1" s="1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1" s="1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1" s="1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1" s="1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1" s="1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1" s="1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1" s="1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1" s="1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1" s="1"/>
  <c r="N25" i="13"/>
  <c r="M25" i="13"/>
  <c r="K25" i="13"/>
  <c r="J25" i="13"/>
  <c r="I25" i="13"/>
  <c r="H25" i="13"/>
  <c r="G25" i="13"/>
  <c r="R24" i="13"/>
  <c r="Q24" i="13"/>
  <c r="P24" i="13"/>
  <c r="O24" i="13"/>
  <c r="N24" i="11" s="1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1" s="1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1" s="1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1" s="1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1" s="1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1" s="1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1" s="1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1" s="1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1" s="1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1" s="1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1" s="1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1" s="1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1" s="1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61" i="11" l="1"/>
  <c r="H53" i="11"/>
  <c r="G28" i="11"/>
  <c r="T64" i="11"/>
  <c r="S64" i="11"/>
  <c r="T65" i="11"/>
  <c r="S65" i="11"/>
  <c r="T66" i="11"/>
  <c r="S66" i="11"/>
  <c r="G12" i="11"/>
  <c r="G26" i="11"/>
  <c r="G27" i="11"/>
  <c r="G32" i="11"/>
  <c r="G33" i="11"/>
  <c r="G34" i="11"/>
  <c r="G19" i="11"/>
  <c r="G21" i="11"/>
  <c r="G24" i="11"/>
  <c r="G13" i="11"/>
  <c r="G15" i="11"/>
  <c r="G17" i="11"/>
  <c r="G22" i="11"/>
  <c r="G25" i="11"/>
  <c r="G14" i="11"/>
  <c r="G16" i="11"/>
  <c r="G18" i="11"/>
  <c r="G20" i="11"/>
  <c r="G23" i="11"/>
  <c r="G66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4" i="11"/>
  <c r="G65" i="11"/>
  <c r="H12" i="11"/>
  <c r="H41" i="11"/>
  <c r="K57" i="13"/>
  <c r="O57" i="13"/>
  <c r="N57" i="11" s="1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N42" i="11" s="1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N31" i="11" s="1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H43" i="11"/>
  <c r="S32" i="13"/>
  <c r="T32" i="13" s="1"/>
  <c r="S44" i="13"/>
  <c r="T44" i="13" s="1"/>
  <c r="S65" i="13"/>
  <c r="T65" i="13" s="1"/>
  <c r="H32" i="11"/>
  <c r="H34" i="11"/>
  <c r="H36" i="11"/>
  <c r="H38" i="11"/>
  <c r="H40" i="11"/>
  <c r="G11" i="13"/>
  <c r="H13" i="11"/>
  <c r="H14" i="11"/>
  <c r="H15" i="11"/>
  <c r="H16" i="11"/>
  <c r="H17" i="11"/>
  <c r="Q106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6" i="13"/>
  <c r="T136" i="13" s="1"/>
  <c r="S138" i="13"/>
  <c r="T138" i="13" s="1"/>
  <c r="H44" i="11"/>
  <c r="H45" i="11"/>
  <c r="H47" i="11"/>
  <c r="H51" i="11"/>
  <c r="R35" i="12"/>
  <c r="R19" i="12"/>
  <c r="I61" i="11" l="1"/>
  <c r="J61" i="11"/>
  <c r="O10" i="13"/>
  <c r="N10" i="11" s="1"/>
  <c r="N11" i="11"/>
  <c r="N10" i="13"/>
  <c r="G31" i="11"/>
  <c r="M10" i="13"/>
  <c r="L10" i="13"/>
  <c r="K10" i="13"/>
  <c r="J10" i="13"/>
  <c r="I10" i="13"/>
  <c r="G11" i="11"/>
  <c r="G57" i="11"/>
  <c r="G42" i="11"/>
  <c r="H10" i="13"/>
  <c r="L29" i="13"/>
  <c r="P29" i="13"/>
  <c r="P30" i="13" s="1"/>
  <c r="G29" i="13"/>
  <c r="O29" i="13"/>
  <c r="N29" i="13"/>
  <c r="S147" i="13"/>
  <c r="T147" i="13" s="1"/>
  <c r="H52" i="11"/>
  <c r="S141" i="13"/>
  <c r="T141" i="13" s="1"/>
  <c r="H46" i="11"/>
  <c r="S130" i="13"/>
  <c r="T130" i="13" s="1"/>
  <c r="H35" i="11"/>
  <c r="J29" i="13"/>
  <c r="I29" i="13"/>
  <c r="S145" i="13"/>
  <c r="T145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O30" i="13" l="1"/>
  <c r="N30" i="11" s="1"/>
  <c r="N29" i="11"/>
  <c r="N55" i="13"/>
  <c r="L30" i="13"/>
  <c r="J30" i="13"/>
  <c r="G10" i="11"/>
  <c r="I30" i="13"/>
  <c r="G30" i="13"/>
  <c r="G29" i="11"/>
  <c r="G124" i="13"/>
  <c r="P55" i="13"/>
  <c r="N30" i="13"/>
  <c r="L55" i="13"/>
  <c r="H31" i="11"/>
  <c r="H19" i="11"/>
  <c r="H11" i="11"/>
  <c r="O55" i="13"/>
  <c r="J55" i="13"/>
  <c r="J61" i="13" s="1"/>
  <c r="I55" i="13"/>
  <c r="I61" i="13" s="1"/>
  <c r="S137" i="13"/>
  <c r="T137" i="13" s="1"/>
  <c r="H42" i="11"/>
  <c r="R55" i="13"/>
  <c r="H55" i="13"/>
  <c r="S29" i="13"/>
  <c r="T29" i="13" s="1"/>
  <c r="K30" i="13"/>
  <c r="K55" i="13"/>
  <c r="Q30" i="13"/>
  <c r="Q55" i="13"/>
  <c r="Q61" i="13" s="1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G61" i="13" s="1"/>
  <c r="S114" i="13"/>
  <c r="T114" i="13" s="1"/>
  <c r="Q19" i="12"/>
  <c r="O61" i="13" l="1"/>
  <c r="N62" i="11" s="1"/>
  <c r="N55" i="11"/>
  <c r="N56" i="13"/>
  <c r="N61" i="13"/>
  <c r="M61" i="13"/>
  <c r="H61" i="13"/>
  <c r="H66" i="13" s="1"/>
  <c r="H62" i="13" s="1"/>
  <c r="R61" i="13"/>
  <c r="R66" i="13" s="1"/>
  <c r="R62" i="13" s="1"/>
  <c r="L61" i="13"/>
  <c r="K61" i="13"/>
  <c r="P56" i="13"/>
  <c r="P61" i="13"/>
  <c r="P66" i="13" s="1"/>
  <c r="P62" i="13" s="1"/>
  <c r="G30" i="11"/>
  <c r="I56" i="13"/>
  <c r="H10" i="11"/>
  <c r="G55" i="11"/>
  <c r="L56" i="13"/>
  <c r="O66" i="13"/>
  <c r="O56" i="13"/>
  <c r="N56" i="11" s="1"/>
  <c r="J56" i="13"/>
  <c r="R56" i="13"/>
  <c r="H56" i="13"/>
  <c r="S30" i="13"/>
  <c r="T30" i="13" s="1"/>
  <c r="Q56" i="13"/>
  <c r="Q66" i="13"/>
  <c r="Q62" i="13" s="1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O62" i="13" l="1"/>
  <c r="N63" i="11" s="1"/>
  <c r="N67" i="11"/>
  <c r="N66" i="13"/>
  <c r="M66" i="13"/>
  <c r="M62" i="13" s="1"/>
  <c r="L66" i="13"/>
  <c r="K66" i="13"/>
  <c r="J66" i="13"/>
  <c r="I66" i="13"/>
  <c r="G62" i="11"/>
  <c r="G56" i="11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X217" i="6" s="1"/>
  <c r="DY219" i="6"/>
  <c r="DY218" i="6" s="1"/>
  <c r="DZ219" i="6"/>
  <c r="DZ218" i="6" s="1"/>
  <c r="EA219" i="6"/>
  <c r="EA218" i="6" s="1"/>
  <c r="EB219" i="6"/>
  <c r="EB218" i="6" s="1"/>
  <c r="EB217" i="6" s="1"/>
  <c r="EC219" i="6"/>
  <c r="EC218" i="6" s="1"/>
  <c r="ED219" i="6"/>
  <c r="ED218" i="6" s="1"/>
  <c r="EE219" i="6"/>
  <c r="EE218" i="6" s="1"/>
  <c r="EF219" i="6"/>
  <c r="EF218" i="6" s="1"/>
  <c r="EF217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 s="1"/>
  <c r="P8" i="11" s="1"/>
  <c r="S8" i="11" s="1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 s="1"/>
  <c r="H103" i="13" s="1"/>
  <c r="G229" i="2"/>
  <c r="G8" i="13" s="1"/>
  <c r="G103" i="13" s="1"/>
  <c r="G228" i="2"/>
  <c r="G227" i="2"/>
  <c r="G225" i="2"/>
  <c r="B54" i="13" s="1"/>
  <c r="G223" i="2"/>
  <c r="B66" i="12" s="1"/>
  <c r="G222" i="2"/>
  <c r="G221" i="2"/>
  <c r="B62" i="12" s="1"/>
  <c r="G220" i="2"/>
  <c r="B61" i="12" s="1"/>
  <c r="G219" i="2"/>
  <c r="G218" i="2"/>
  <c r="B57" i="12" s="1"/>
  <c r="G217" i="2"/>
  <c r="B55" i="12" s="1"/>
  <c r="G215" i="2"/>
  <c r="G214" i="2"/>
  <c r="G213" i="2"/>
  <c r="G212" i="2"/>
  <c r="B51" i="12" s="1"/>
  <c r="G211" i="2"/>
  <c r="B154" i="12" s="1"/>
  <c r="G210" i="2"/>
  <c r="G209" i="2"/>
  <c r="G208" i="2"/>
  <c r="B52" i="12" s="1"/>
  <c r="G207" i="2"/>
  <c r="B60" i="12" s="1"/>
  <c r="G206" i="2"/>
  <c r="B59" i="12" s="1"/>
  <c r="G205" i="2"/>
  <c r="G204" i="2"/>
  <c r="B58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4" i="12" s="1"/>
  <c r="G75" i="2"/>
  <c r="B63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5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B22" i="8" s="1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8" i="3" s="1"/>
  <c r="N8" i="3" s="1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E2" i="3" s="1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Q386" i="6" s="1"/>
  <c r="DP390" i="6"/>
  <c r="DO390" i="6"/>
  <c r="DN390" i="6"/>
  <c r="DM390" i="6"/>
  <c r="DL390" i="6"/>
  <c r="DK390" i="6"/>
  <c r="DJ390" i="6"/>
  <c r="DI390" i="6"/>
  <c r="DI386" i="6" s="1"/>
  <c r="DH390" i="6"/>
  <c r="DG390" i="6"/>
  <c r="DF390" i="6"/>
  <c r="DE390" i="6"/>
  <c r="DE386" i="6" s="1"/>
  <c r="DD390" i="6"/>
  <c r="DC390" i="6"/>
  <c r="DB390" i="6"/>
  <c r="DA390" i="6"/>
  <c r="DA386" i="6" s="1"/>
  <c r="CZ390" i="6"/>
  <c r="CY390" i="6"/>
  <c r="CX390" i="6"/>
  <c r="CW390" i="6"/>
  <c r="CW386" i="6" s="1"/>
  <c r="CV390" i="6"/>
  <c r="CU390" i="6"/>
  <c r="CT390" i="6"/>
  <c r="CS390" i="6"/>
  <c r="CS386" i="6" s="1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O350" i="6" s="1"/>
  <c r="DN361" i="6"/>
  <c r="DM361" i="6"/>
  <c r="DL361" i="6"/>
  <c r="DK361" i="6"/>
  <c r="DK350" i="6" s="1"/>
  <c r="DJ361" i="6"/>
  <c r="DI361" i="6"/>
  <c r="DH361" i="6"/>
  <c r="DG361" i="6"/>
  <c r="DG350" i="6" s="1"/>
  <c r="DF361" i="6"/>
  <c r="DE361" i="6"/>
  <c r="DD361" i="6"/>
  <c r="DC361" i="6"/>
  <c r="DC350" i="6" s="1"/>
  <c r="DB361" i="6"/>
  <c r="DA361" i="6"/>
  <c r="CZ361" i="6"/>
  <c r="CY361" i="6"/>
  <c r="CY350" i="6" s="1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0" i="6" s="1"/>
  <c r="CL361" i="6"/>
  <c r="D361" i="6"/>
  <c r="D360" i="6"/>
  <c r="D359" i="6"/>
  <c r="D358" i="6"/>
  <c r="D357" i="6"/>
  <c r="D356" i="6"/>
  <c r="D355" i="6"/>
  <c r="D354" i="6"/>
  <c r="D353" i="6"/>
  <c r="D352" i="6"/>
  <c r="DU351" i="6"/>
  <c r="DU350" i="6" s="1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X321" i="6" s="1"/>
  <c r="CW330" i="6"/>
  <c r="CV330" i="6"/>
  <c r="CU330" i="6"/>
  <c r="CT330" i="6"/>
  <c r="CT321" i="6" s="1"/>
  <c r="CS330" i="6"/>
  <c r="CR330" i="6"/>
  <c r="CQ330" i="6"/>
  <c r="CP330" i="6"/>
  <c r="CP321" i="6" s="1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R321" i="6" s="1"/>
  <c r="DQ322" i="6"/>
  <c r="DP322" i="6"/>
  <c r="DO322" i="6"/>
  <c r="DN322" i="6"/>
  <c r="DN321" i="6" s="1"/>
  <c r="DM322" i="6"/>
  <c r="DL322" i="6"/>
  <c r="DK322" i="6"/>
  <c r="DJ322" i="6"/>
  <c r="DJ321" i="6" s="1"/>
  <c r="DI322" i="6"/>
  <c r="DH322" i="6"/>
  <c r="DG322" i="6"/>
  <c r="DF322" i="6"/>
  <c r="DF321" i="6" s="1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B119" i="10" s="1"/>
  <c r="A120" i="10"/>
  <c r="A121" i="10"/>
  <c r="P121" i="10" s="1"/>
  <c r="A122" i="10"/>
  <c r="A123" i="10"/>
  <c r="A127" i="10"/>
  <c r="A128" i="10"/>
  <c r="L128" i="10" s="1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A136" i="10"/>
  <c r="A138" i="10"/>
  <c r="L138" i="10" s="1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32" i="11"/>
  <c r="B27" i="11"/>
  <c r="B15" i="11"/>
  <c r="B12" i="11"/>
  <c r="E4" i="11"/>
  <c r="E3" i="11"/>
  <c r="H21" i="1"/>
  <c r="D17" i="1"/>
  <c r="D21" i="1" s="1"/>
  <c r="H17" i="1"/>
  <c r="H13" i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39" i="4"/>
  <c r="T25" i="4"/>
  <c r="T26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H14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1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H117" i="10"/>
  <c r="M112" i="10"/>
  <c r="K112" i="10"/>
  <c r="Q110" i="10"/>
  <c r="Q109" i="10"/>
  <c r="Q116" i="10"/>
  <c r="I145" i="10"/>
  <c r="I107" i="10"/>
  <c r="I120" i="10"/>
  <c r="I117" i="10"/>
  <c r="I113" i="10"/>
  <c r="L130" i="10"/>
  <c r="Q108" i="10"/>
  <c r="Q107" i="10"/>
  <c r="B151" i="10"/>
  <c r="N144" i="10"/>
  <c r="Q135" i="10"/>
  <c r="H133" i="10"/>
  <c r="B115" i="10"/>
  <c r="J115" i="10"/>
  <c r="N115" i="10"/>
  <c r="R115" i="10"/>
  <c r="L115" i="10"/>
  <c r="P115" i="10"/>
  <c r="R111" i="10"/>
  <c r="I111" i="10"/>
  <c r="B153" i="10"/>
  <c r="P153" i="10"/>
  <c r="H153" i="10"/>
  <c r="O122" i="10"/>
  <c r="G122" i="10"/>
  <c r="P118" i="10"/>
  <c r="Q118" i="10"/>
  <c r="G118" i="10"/>
  <c r="N118" i="10"/>
  <c r="Q132" i="10"/>
  <c r="P130" i="10"/>
  <c r="I157" i="10"/>
  <c r="K120" i="12"/>
  <c r="P121" i="12"/>
  <c r="H115" i="12"/>
  <c r="H110" i="12"/>
  <c r="R158" i="12"/>
  <c r="J140" i="12"/>
  <c r="Q153" i="12"/>
  <c r="L123" i="12"/>
  <c r="H154" i="12"/>
  <c r="P122" i="12"/>
  <c r="L121" i="12"/>
  <c r="L117" i="12"/>
  <c r="P113" i="12"/>
  <c r="H111" i="12"/>
  <c r="P109" i="12"/>
  <c r="B158" i="12"/>
  <c r="M140" i="12"/>
  <c r="B153" i="12"/>
  <c r="B127" i="4"/>
  <c r="H120" i="10" l="1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2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S62" i="11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7" i="2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4" i="2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G67" i="11"/>
  <c r="Q60" i="11"/>
  <c r="P60" i="11"/>
  <c r="I62" i="13"/>
  <c r="O6" i="11"/>
  <c r="O20" i="11" s="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1" i="2"/>
  <c r="G251" i="2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4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O32" i="11" l="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9" i="11"/>
  <c r="P19" i="11" s="1"/>
  <c r="O10" i="11"/>
  <c r="O151" i="8"/>
  <c r="H138" i="8"/>
  <c r="J105" i="9"/>
  <c r="O29" i="10"/>
  <c r="O30" i="10" s="1"/>
  <c r="G137" i="4"/>
  <c r="G106" i="10"/>
  <c r="L114" i="4"/>
  <c r="L104" i="4" s="1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P104" i="4" s="1"/>
  <c r="L105" i="9"/>
  <c r="L104" i="9" s="1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M105" i="8" s="1"/>
  <c r="O105" i="9"/>
  <c r="O104" i="9" s="1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G124" i="12" s="1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O124" i="10" s="1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7" i="11"/>
  <c r="T67" i="11"/>
  <c r="S63" i="11"/>
  <c r="O51" i="11"/>
  <c r="Q51" i="11" s="1"/>
  <c r="O42" i="11"/>
  <c r="Q42" i="11" s="1"/>
  <c r="O41" i="11"/>
  <c r="Q41" i="11" s="1"/>
  <c r="O16" i="11"/>
  <c r="Q16" i="11" s="1"/>
  <c r="O43" i="11"/>
  <c r="P43" i="11" s="1"/>
  <c r="O22" i="11"/>
  <c r="P22" i="11" s="1"/>
  <c r="O21" i="11"/>
  <c r="P21" i="11" s="1"/>
  <c r="O15" i="11"/>
  <c r="P15" i="11" s="1"/>
  <c r="O47" i="11"/>
  <c r="Q47" i="11" s="1"/>
  <c r="O48" i="11"/>
  <c r="Q48" i="11" s="1"/>
  <c r="O35" i="11"/>
  <c r="P35" i="11" s="1"/>
  <c r="O58" i="11"/>
  <c r="Q58" i="11" s="1"/>
  <c r="O38" i="11"/>
  <c r="Q38" i="11" s="1"/>
  <c r="O18" i="11"/>
  <c r="Q18" i="11" s="1"/>
  <c r="O39" i="11"/>
  <c r="P39" i="11" s="1"/>
  <c r="O11" i="11"/>
  <c r="P11" i="11" s="1"/>
  <c r="O37" i="11"/>
  <c r="Q37" i="11" s="1"/>
  <c r="O17" i="11"/>
  <c r="P17" i="11" s="1"/>
  <c r="O44" i="11"/>
  <c r="Q44" i="11" s="1"/>
  <c r="O28" i="11"/>
  <c r="P28" i="11" s="1"/>
  <c r="O12" i="11"/>
  <c r="Q12" i="11" s="1"/>
  <c r="O27" i="11"/>
  <c r="Q27" i="11" s="1"/>
  <c r="O50" i="11"/>
  <c r="P50" i="11" s="1"/>
  <c r="O34" i="11"/>
  <c r="Q34" i="11" s="1"/>
  <c r="O14" i="11"/>
  <c r="Q14" i="11" s="1"/>
  <c r="O31" i="11"/>
  <c r="Q31" i="11" s="1"/>
  <c r="O49" i="11"/>
  <c r="Q49" i="11" s="1"/>
  <c r="O33" i="11"/>
  <c r="P33" i="11" s="1"/>
  <c r="O13" i="11"/>
  <c r="Q13" i="11" s="1"/>
  <c r="O40" i="11"/>
  <c r="P40" i="11" s="1"/>
  <c r="O24" i="11"/>
  <c r="Q24" i="11" s="1"/>
  <c r="O46" i="11"/>
  <c r="P46" i="11" s="1"/>
  <c r="O26" i="11"/>
  <c r="P26" i="11" s="1"/>
  <c r="O59" i="11"/>
  <c r="P59" i="11" s="1"/>
  <c r="O23" i="11"/>
  <c r="P23" i="11" s="1"/>
  <c r="O45" i="11"/>
  <c r="P45" i="11" s="1"/>
  <c r="O25" i="11"/>
  <c r="P25" i="11" s="1"/>
  <c r="O52" i="11"/>
  <c r="Q52" i="11" s="1"/>
  <c r="O36" i="11"/>
  <c r="P36" i="11" s="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G63" i="11"/>
  <c r="O64" i="11"/>
  <c r="O66" i="11"/>
  <c r="O65" i="1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H58" i="11"/>
  <c r="H59" i="11"/>
  <c r="I59" i="11" s="1"/>
  <c r="H60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H66" i="11"/>
  <c r="I66" i="11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H48" i="11"/>
  <c r="J48" i="11" s="1"/>
  <c r="I151" i="13"/>
  <c r="H64" i="11"/>
  <c r="J64" i="11" s="1"/>
  <c r="S158" i="13"/>
  <c r="T158" i="13" s="1"/>
  <c r="L124" i="13"/>
  <c r="P151" i="13"/>
  <c r="N151" i="13"/>
  <c r="Q125" i="13"/>
  <c r="Q149" i="13"/>
  <c r="K151" i="13"/>
  <c r="H49" i="11"/>
  <c r="I49" i="11" s="1"/>
  <c r="S144" i="13"/>
  <c r="T144" i="13" s="1"/>
  <c r="O124" i="13"/>
  <c r="S152" i="13"/>
  <c r="T152" i="13" s="1"/>
  <c r="H151" i="13"/>
  <c r="S159" i="13"/>
  <c r="T159" i="13" s="1"/>
  <c r="H65" i="11"/>
  <c r="I65" i="11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H104" i="4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T49" i="11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Q20" i="11"/>
  <c r="T36" i="11"/>
  <c r="T20" i="11"/>
  <c r="J15" i="11"/>
  <c r="S50" i="11"/>
  <c r="M43" i="11"/>
  <c r="S40" i="11"/>
  <c r="P2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M64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P53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Q53" i="1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P54" i="11"/>
  <c r="Q54" i="11"/>
  <c r="L38" i="11"/>
  <c r="L40" i="11"/>
  <c r="J12" i="11"/>
  <c r="Q32" i="11"/>
  <c r="L47" i="11"/>
  <c r="T22" i="11"/>
  <c r="S38" i="11"/>
  <c r="J46" i="11"/>
  <c r="L26" i="11"/>
  <c r="M39" i="11"/>
  <c r="J47" i="11"/>
  <c r="M66" i="11"/>
  <c r="S25" i="11"/>
  <c r="T44" i="11"/>
  <c r="G7" i="11"/>
  <c r="K8" i="11"/>
  <c r="K8" i="3"/>
  <c r="S8" i="12"/>
  <c r="S8" i="9"/>
  <c r="E252" i="2"/>
  <c r="F252" i="2"/>
  <c r="L48" i="11"/>
  <c r="I26" i="11"/>
  <c r="L34" i="11"/>
  <c r="T54" i="11"/>
  <c r="L65" i="11"/>
  <c r="S58" i="12"/>
  <c r="T58" i="12" s="1"/>
  <c r="J27" i="11"/>
  <c r="J34" i="11"/>
  <c r="I28" i="11"/>
  <c r="I34" i="11"/>
  <c r="J53" i="11"/>
  <c r="M51" i="11"/>
  <c r="I35" i="11"/>
  <c r="L33" i="11"/>
  <c r="I17" i="11"/>
  <c r="L66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G105" i="12" l="1"/>
  <c r="G149" i="12" s="1"/>
  <c r="G150" i="12" s="1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48" i="10" s="1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4" i="11"/>
  <c r="Q64" i="11"/>
  <c r="P65" i="11"/>
  <c r="Q65" i="11"/>
  <c r="P66" i="11"/>
  <c r="Q66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O29" i="11"/>
  <c r="P29" i="11" s="1"/>
  <c r="Q17" i="11"/>
  <c r="P27" i="11"/>
  <c r="P52" i="11"/>
  <c r="Q40" i="11"/>
  <c r="I21" i="1"/>
  <c r="I13" i="1"/>
  <c r="E17" i="1"/>
  <c r="E21" i="1" s="1"/>
  <c r="I17" i="1"/>
  <c r="L31" i="9"/>
  <c r="S56" i="8"/>
  <c r="S61" i="8" s="1"/>
  <c r="S66" i="8" s="1"/>
  <c r="S62" i="8" s="1"/>
  <c r="S31" i="8"/>
  <c r="CV192" i="6"/>
  <c r="T31" i="8"/>
  <c r="H29" i="11"/>
  <c r="I60" i="11"/>
  <c r="J60" i="11"/>
  <c r="O57" i="11"/>
  <c r="P57" i="11" s="1"/>
  <c r="H57" i="11"/>
  <c r="J57" i="11" s="1"/>
  <c r="K125" i="13"/>
  <c r="J67" i="11"/>
  <c r="J66" i="11"/>
  <c r="I64" i="11"/>
  <c r="J65" i="11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2" i="2"/>
  <c r="B7" i="11" s="1"/>
  <c r="S126" i="4"/>
  <c r="T126" i="4" s="1"/>
  <c r="I30" i="12"/>
  <c r="G125" i="12"/>
  <c r="Q19" i="11"/>
  <c r="P149" i="8"/>
  <c r="P150" i="8" s="1"/>
  <c r="P42" i="11"/>
  <c r="H16" i="1"/>
  <c r="I16" i="1" s="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O125" i="10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K149" i="8" l="1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O30" i="11"/>
  <c r="P30" i="11" s="1"/>
  <c r="S57" i="8"/>
  <c r="S31" i="9"/>
  <c r="T31" i="9" s="1"/>
  <c r="O55" i="11"/>
  <c r="H55" i="1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H30" i="11"/>
  <c r="P161" i="13"/>
  <c r="P157" i="13" s="1"/>
  <c r="P150" i="13"/>
  <c r="P149" i="9"/>
  <c r="G155" i="12"/>
  <c r="G160" i="12" s="1"/>
  <c r="G156" i="12" s="1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H12" i="1"/>
  <c r="I12" i="1" s="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K150" i="8" l="1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O56" i="11"/>
  <c r="P56" i="11" s="1"/>
  <c r="H56" i="11"/>
  <c r="O62" i="11"/>
  <c r="H62" i="11"/>
  <c r="I55" i="11"/>
  <c r="S150" i="13"/>
  <c r="T150" i="13" s="1"/>
  <c r="H161" i="13"/>
  <c r="O67" i="11" s="1"/>
  <c r="S156" i="13"/>
  <c r="T156" i="13" s="1"/>
  <c r="G65" i="9"/>
  <c r="S60" i="9"/>
  <c r="T60" i="9" s="1"/>
  <c r="M30" i="11"/>
  <c r="S57" i="12"/>
  <c r="T57" i="12" s="1"/>
  <c r="L56" i="11"/>
  <c r="G66" i="12"/>
  <c r="L62" i="11"/>
  <c r="L55" i="11"/>
  <c r="H20" i="1"/>
  <c r="I20" i="1" s="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7" i="11"/>
  <c r="P67" i="11"/>
  <c r="P62" i="11"/>
  <c r="Q62" i="11"/>
  <c r="S159" i="4"/>
  <c r="T159" i="4" s="1"/>
  <c r="J55" i="11"/>
  <c r="H157" i="13"/>
  <c r="O63" i="11" s="1"/>
  <c r="H67" i="11"/>
  <c r="I67" i="11" s="1"/>
  <c r="S161" i="13"/>
  <c r="T161" i="13" s="1"/>
  <c r="G61" i="9"/>
  <c r="S61" i="9" s="1"/>
  <c r="T61" i="9" s="1"/>
  <c r="S65" i="9"/>
  <c r="T65" i="9" s="1"/>
  <c r="M62" i="11"/>
  <c r="L67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J62" i="11"/>
  <c r="I62" i="11"/>
  <c r="T66" i="12" l="1"/>
  <c r="S62" i="12"/>
  <c r="T62" i="12" s="1"/>
  <c r="G156" i="8"/>
  <c r="W156" i="8" s="1"/>
  <c r="X156" i="8" s="1"/>
  <c r="Q63" i="11"/>
  <c r="P63" i="11"/>
  <c r="S157" i="13"/>
  <c r="T157" i="13" s="1"/>
  <c r="H63" i="11"/>
  <c r="M63" i="11"/>
  <c r="G62" i="8"/>
  <c r="W62" i="8" s="1"/>
  <c r="X62" i="8" s="1"/>
  <c r="W66" i="8"/>
  <c r="X66" i="8" s="1"/>
  <c r="S156" i="12"/>
  <c r="T156" i="12" s="1"/>
  <c r="L63" i="11" l="1"/>
  <c r="J63" i="11"/>
  <c r="I63" i="1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<sst xmlns="http://schemas.openxmlformats.org/spreadsheetml/2006/main" count="1540" uniqueCount="780">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</sst>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8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 applyProtection="1">
      <alignment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Budget realization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Total Revenues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Total Expenditures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844944"/>
        <c:axId val="1314847120"/>
      </c:lineChart>
      <c:catAx>
        <c:axId val="131484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314847120"/>
        <c:crosses val="autoZero"/>
        <c:auto val="1"/>
        <c:lblAlgn val="ctr"/>
        <c:lblOffset val="100"/>
        <c:tickLblSkip val="3"/>
        <c:noMultiLvlLbl val="0"/>
      </c:catAx>
      <c:valAx>
        <c:axId val="1314847120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31484494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Surplus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496432"/>
        <c:axId val="1466490992"/>
      </c:lineChart>
      <c:catAx>
        <c:axId val="146649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466490992"/>
        <c:crosses val="autoZero"/>
        <c:auto val="1"/>
        <c:lblAlgn val="ctr"/>
        <c:lblOffset val="100"/>
        <c:tickLblSkip val="3"/>
        <c:noMultiLvlLbl val="0"/>
      </c:catAx>
      <c:valAx>
        <c:axId val="1466490992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46649643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PRESS</a:t>
          </a:r>
          <a:r>
            <a:rPr lang="sr-Latn-ME" sz="1100" baseline="0"/>
            <a:t> RELEASE: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revenues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January-September amounted to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1.273,1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and they are at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level of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planned. Compared to the same period in 2017 revenues are higher by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157,0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 14,1%. In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September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budget revenues amounted to 187,3 mill.€ and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lower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1,2 mill.€ or 0,6% compared to the plan,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but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 by 48,6 mill.€ or 35,1% compared to the same month 2017.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expenditures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same period amounted to 1.298,4 mill.€ or 29,3% GDP which is higher by 79,7 mill. € or 6,5% compared to the same period 2017. Compared to the plan budget expenditures are lower by 76,9 mill.€ or 5,6%. Budget expenditures in September amounted to 166,1 mill.€ or 3,7% and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28,6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 20,8% compared to September 2017 and compared to the plan they are lower by 8,2 mill.€ or 4,7%.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January-September of the current year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was 25,3 mill.€ or 0,6% of the estimated GDP while in September budget surplus was 21,2 mill.€ or 0,5% GDP.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January-September 2018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primary budget surplus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amounted to 45,3 mill.€ or 1,0% of GDP.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>
            <a:effectLst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ethodological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remarks</a:t>
          </a: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Data on categories "Gross salaries and contributions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i "Pension and disability insurance" have been got on the basis of accrual adjustment, while other categories are in cash.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item Expenditures for purchase of securities is methodologically adjusted according to GFSM2014 and it is the financial transactions and as such it is not a part of the budget deficit.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835998" cy="264560"/>
    <xdr:sp macro="" textlink="Master!G277">
      <xdr:nvSpPr>
        <xdr:cNvPr id="15" name="TextBox 14"/>
        <xdr:cNvSpPr txBox="1"/>
      </xdr:nvSpPr>
      <xdr:spPr>
        <a:xfrm>
          <a:off x="1266825" y="1390650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666750</xdr:colOff>
      <xdr:row>2</xdr:row>
      <xdr:rowOff>9524</xdr:rowOff>
    </xdr:from>
    <xdr:to>
      <xdr:col>13</xdr:col>
      <xdr:colOff>457200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13</xdr:col>
      <xdr:colOff>742950</xdr:colOff>
      <xdr:row>0</xdr:row>
      <xdr:rowOff>104775</xdr:rowOff>
    </xdr:from>
    <xdr:to>
      <xdr:col>16</xdr:col>
      <xdr:colOff>140981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/>
  </xdr:twoCellAnchor>
  <xdr:twoCellAnchor editAs="absolute">
    <xdr:from>
      <xdr:col>13</xdr:col>
      <xdr:colOff>742950</xdr:colOff>
      <xdr:row>2</xdr:row>
      <xdr:rowOff>9525</xdr:rowOff>
    </xdr:from>
    <xdr:to>
      <xdr:col>16</xdr:col>
      <xdr:colOff>140981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13</xdr:col>
      <xdr:colOff>762000</xdr:colOff>
      <xdr:row>3</xdr:row>
      <xdr:rowOff>133350</xdr:rowOff>
    </xdr:from>
    <xdr:to>
      <xdr:col>16</xdr:col>
      <xdr:colOff>160031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2018-09</v>
      </c>
      <c r="O6" s="168" t="str">
        <f>+CONCATENATE(N6,"p")</f>
        <v>2018-09p</v>
      </c>
      <c r="P6" s="152"/>
      <c r="Q6" s="152"/>
      <c r="R6" s="168" t="str">
        <f>+IF(Master!B3-10&gt;=0,CONCATENATE(Master!B4-1,"-",Master!B3),CONCATENATE(Master!B4-1,"-0",Master!B3))</f>
        <v>2017-09</v>
      </c>
      <c r="S6" s="152"/>
      <c r="T6" s="152"/>
    </row>
    <row r="7" spans="1:20">
      <c r="A7" s="169"/>
      <c r="B7" s="458" t="s">
        <v>707</v>
      </c>
      <c r="C7" s="459"/>
      <c r="D7" s="459"/>
      <c r="E7" s="459"/>
      <c r="F7" s="459"/>
      <c r="G7" s="467" t="s">
        <v>705</v>
      </c>
      <c r="H7" s="468"/>
      <c r="I7" s="468"/>
      <c r="J7" s="468"/>
      <c r="K7" s="468"/>
      <c r="L7" s="468"/>
      <c r="M7" s="469"/>
      <c r="N7" s="470" t="str">
        <f>+Master!G240</f>
        <v>December</v>
      </c>
      <c r="O7" s="468"/>
      <c r="P7" s="468"/>
      <c r="Q7" s="468"/>
      <c r="R7" s="468"/>
      <c r="S7" s="468"/>
      <c r="T7" s="471"/>
    </row>
    <row r="8" spans="1:20">
      <c r="A8" s="169"/>
      <c r="B8" s="460"/>
      <c r="C8" s="461"/>
      <c r="D8" s="461"/>
      <c r="E8" s="461"/>
      <c r="F8" s="462"/>
      <c r="G8" s="170" t="str">
        <f>+Master!G21</f>
        <v>Execution</v>
      </c>
      <c r="H8" s="170" t="str">
        <f>+Master!G20</f>
        <v>Plan</v>
      </c>
      <c r="I8" s="454" t="str">
        <f>+Master!G258</f>
        <v>Deviation</v>
      </c>
      <c r="J8" s="454"/>
      <c r="K8" s="170" t="str">
        <f>+CONCATENATE(Master!G243," ",Master!B4-1)</f>
        <v>Jan - Sep 2017</v>
      </c>
      <c r="L8" s="454" t="str">
        <f>+I8</f>
        <v>Deviation</v>
      </c>
      <c r="M8" s="466"/>
      <c r="N8" s="171" t="str">
        <f>+G8</f>
        <v>Execution</v>
      </c>
      <c r="O8" s="170" t="str">
        <f>+H8</f>
        <v>Plan</v>
      </c>
      <c r="P8" s="454" t="str">
        <f>+I8</f>
        <v>Deviation</v>
      </c>
      <c r="Q8" s="454"/>
      <c r="R8" s="170" t="str">
        <f>+CONCATENATE(Master!G242," ",Master!B4-1)</f>
        <v>September 2017</v>
      </c>
      <c r="S8" s="454" t="str">
        <f>+P8</f>
        <v>Deviation</v>
      </c>
      <c r="T8" s="455"/>
    </row>
    <row r="9" spans="1:20" ht="15.7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8" t="e">
        <f>+VLOOKUP($A18,Master!$D$25:$G$223,4,FALSE)</f>
        <v>#N/A</v>
      </c>
      <c r="C18" s="489"/>
      <c r="D18" s="489"/>
      <c r="E18" s="489"/>
      <c r="F18" s="489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8" t="str">
        <f>+VLOOKUP($A19,Master!$D$25:$G$223,4,FALSE)</f>
        <v>Other Republic Taxes</v>
      </c>
      <c r="C19" s="489"/>
      <c r="D19" s="489"/>
      <c r="E19" s="489"/>
      <c r="F19" s="489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8" t="str">
        <f>+VLOOKUP($A20,Master!$D$25:$G$223,4,FALSE)</f>
        <v>Contributions</v>
      </c>
      <c r="C20" s="499"/>
      <c r="D20" s="499"/>
      <c r="E20" s="499"/>
      <c r="F20" s="499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8" t="str">
        <f>+VLOOKUP($A21,Master!$D$25:$G$223,4,FALSE)</f>
        <v>Contributions for Pension and Disability Insurance</v>
      </c>
      <c r="C21" s="489"/>
      <c r="D21" s="489"/>
      <c r="E21" s="489"/>
      <c r="F21" s="489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8" t="str">
        <f>+VLOOKUP($A22,Master!$D$25:$G$223,4,FALSE)</f>
        <v>Contributions for Health Insurance</v>
      </c>
      <c r="C22" s="489"/>
      <c r="D22" s="489"/>
      <c r="E22" s="489"/>
      <c r="F22" s="489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8" t="str">
        <f>+VLOOKUP($A23,Master!$D$25:$G$223,4,FALSE)</f>
        <v>Contributions for  Unemployment Insurance</v>
      </c>
      <c r="C23" s="489"/>
      <c r="D23" s="489"/>
      <c r="E23" s="489"/>
      <c r="F23" s="489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8" t="str">
        <f>+VLOOKUP($A24,Master!$D$25:$G$223,4,FALSE)</f>
        <v>Other contributions</v>
      </c>
      <c r="C24" s="489"/>
      <c r="D24" s="489"/>
      <c r="E24" s="489"/>
      <c r="F24" s="489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90" t="str">
        <f>+VLOOKUP($A25,Master!$D$25:$G$223,4,FALSE)</f>
        <v>Duties</v>
      </c>
      <c r="C25" s="491"/>
      <c r="D25" s="491"/>
      <c r="E25" s="491"/>
      <c r="F25" s="491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90" t="str">
        <f>+VLOOKUP($A26,Master!$D$25:$G$223,4,FALSE)</f>
        <v>Fees</v>
      </c>
      <c r="C26" s="491"/>
      <c r="D26" s="491"/>
      <c r="E26" s="491"/>
      <c r="F26" s="491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90" t="str">
        <f>+VLOOKUP($A27,Master!$D$25:$G$223,4,FALSE)</f>
        <v>Other revenues</v>
      </c>
      <c r="C27" s="491"/>
      <c r="D27" s="491"/>
      <c r="E27" s="491"/>
      <c r="F27" s="491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90" t="str">
        <f>+VLOOKUP($A28,Master!$D$25:$G$223,4,FALSE)</f>
        <v>Receipts from Repayment of Loans and Funds Carried over from Previous Year</v>
      </c>
      <c r="C28" s="491"/>
      <c r="D28" s="491"/>
      <c r="E28" s="491"/>
      <c r="F28" s="491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92" t="str">
        <f>+VLOOKUP($A29,Master!$D$25:$G$223,4,FALSE)</f>
        <v>Grants and Transfers</v>
      </c>
      <c r="C29" s="493"/>
      <c r="D29" s="493"/>
      <c r="E29" s="493"/>
      <c r="F29" s="493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8" t="str">
        <f>+VLOOKUP($A30,Master!$D$25:$G$223,4,FALSE)</f>
        <v>Total Expenditures</v>
      </c>
      <c r="C30" s="479"/>
      <c r="D30" s="479"/>
      <c r="E30" s="479"/>
      <c r="F30" s="479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94" t="str">
        <f>+VLOOKUP($A31,Master!$D$25:$G$223,4,FALSE)</f>
        <v>Current Expenditures</v>
      </c>
      <c r="C31" s="495"/>
      <c r="D31" s="495"/>
      <c r="E31" s="495"/>
      <c r="F31" s="495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6" t="str">
        <f>+VLOOKUP($A32,Master!$D$25:$G$223,4,FALSE)</f>
        <v>Current Budgetary Expenditures</v>
      </c>
      <c r="C32" s="497"/>
      <c r="D32" s="497"/>
      <c r="E32" s="497"/>
      <c r="F32" s="497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8" t="str">
        <f>+VLOOKUP($A33,Master!$D$25:$G$223,4,FALSE)</f>
        <v>Gross Salaries and Contributions</v>
      </c>
      <c r="C33" s="489"/>
      <c r="D33" s="489"/>
      <c r="E33" s="489"/>
      <c r="F33" s="489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8" t="str">
        <f>+VLOOKUP($A34,Master!$D$25:$G$223,4,FALSE)</f>
        <v>Other Personal Income</v>
      </c>
      <c r="C34" s="489"/>
      <c r="D34" s="489"/>
      <c r="E34" s="489"/>
      <c r="F34" s="489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8" t="str">
        <f>+VLOOKUP($A35,Master!$D$25:$G$223,4,FALSE)</f>
        <v>Expenditures for Supplies</v>
      </c>
      <c r="C35" s="489"/>
      <c r="D35" s="489"/>
      <c r="E35" s="489"/>
      <c r="F35" s="489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8" t="str">
        <f>+VLOOKUP($A36,Master!$D$25:$G$223,4,FALSE)</f>
        <v>Expenditures for Services</v>
      </c>
      <c r="C36" s="489"/>
      <c r="D36" s="489"/>
      <c r="E36" s="489"/>
      <c r="F36" s="489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8" t="str">
        <f>+VLOOKUP($A37,Master!$D$25:$G$223,4,FALSE)</f>
        <v>Current Maintenance</v>
      </c>
      <c r="C37" s="489"/>
      <c r="D37" s="489"/>
      <c r="E37" s="489"/>
      <c r="F37" s="489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8" t="str">
        <f>+VLOOKUP($A38,Master!$D$25:$G$223,4,FALSE)</f>
        <v>Interests</v>
      </c>
      <c r="C38" s="489"/>
      <c r="D38" s="489"/>
      <c r="E38" s="489"/>
      <c r="F38" s="489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8" t="str">
        <f>+VLOOKUP($A39,Master!$D$25:$G$223,4,FALSE)</f>
        <v>Rent</v>
      </c>
      <c r="C39" s="489"/>
      <c r="D39" s="489"/>
      <c r="E39" s="489"/>
      <c r="F39" s="489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8" t="str">
        <f>+VLOOKUP($A40,Master!$D$25:$G$223,4,FALSE)</f>
        <v>Subsidies</v>
      </c>
      <c r="C40" s="489"/>
      <c r="D40" s="489"/>
      <c r="E40" s="489"/>
      <c r="F40" s="489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8" t="str">
        <f>+VLOOKUP($A41,Master!$D$25:$G$223,4,FALSE)</f>
        <v>Other expenditures</v>
      </c>
      <c r="C41" s="489"/>
      <c r="D41" s="489"/>
      <c r="E41" s="489"/>
      <c r="F41" s="489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8" t="str">
        <f>+VLOOKUP($A42,Master!$D$25:$G$223,4,FALSE)</f>
        <v>Current Capital Expenditure</v>
      </c>
      <c r="C42" s="489"/>
      <c r="D42" s="489"/>
      <c r="E42" s="489"/>
      <c r="F42" s="489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4" t="str">
        <f>+VLOOKUP($A43,Master!$D$25:$G$223,4,FALSE)</f>
        <v>Social Security Transfers</v>
      </c>
      <c r="C43" s="485"/>
      <c r="D43" s="485"/>
      <c r="E43" s="485"/>
      <c r="F43" s="485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8" t="str">
        <f>+VLOOKUP($A44,Master!$D$25:$G$223,4,FALSE)</f>
        <v>Social Security</v>
      </c>
      <c r="C44" s="489"/>
      <c r="D44" s="489"/>
      <c r="E44" s="489"/>
      <c r="F44" s="489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8" t="str">
        <f>+VLOOKUP($A45,Master!$D$25:$G$223,4,FALSE)</f>
        <v>Funds for redundant labor</v>
      </c>
      <c r="C45" s="489"/>
      <c r="D45" s="489"/>
      <c r="E45" s="489"/>
      <c r="F45" s="489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8" t="str">
        <f>+VLOOKUP($A46,Master!$D$25:$G$223,4,FALSE)</f>
        <v>Pension and Disability Insurance</v>
      </c>
      <c r="C46" s="489"/>
      <c r="D46" s="489"/>
      <c r="E46" s="489"/>
      <c r="F46" s="489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8" t="str">
        <f>+VLOOKUP($A47,Master!$D$25:$G$223,4,FALSE)</f>
        <v>Other Health Care Transfers</v>
      </c>
      <c r="C47" s="489"/>
      <c r="D47" s="489"/>
      <c r="E47" s="489"/>
      <c r="F47" s="489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8" t="str">
        <f>+VLOOKUP($A48,Master!$D$25:$G$223,4,FALSE)</f>
        <v>Other Health Care Insurance</v>
      </c>
      <c r="C48" s="489"/>
      <c r="D48" s="489"/>
      <c r="E48" s="489"/>
      <c r="F48" s="489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6" t="str">
        <f>+VLOOKUP($A49,Master!$D$25:$G$223,4,FALSE)</f>
        <v xml:space="preserve">Transfers to Institutions, Individuals, NGO and Public Sector </v>
      </c>
      <c r="C49" s="487"/>
      <c r="D49" s="487"/>
      <c r="E49" s="487"/>
      <c r="F49" s="487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6" t="str">
        <f>+VLOOKUP($A50,Master!$D$25:$G$223,4,FALSE)</f>
        <v>Capital Expenditure</v>
      </c>
      <c r="C50" s="487"/>
      <c r="D50" s="487"/>
      <c r="E50" s="487"/>
      <c r="F50" s="487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6" t="str">
        <f>+VLOOKUP($A51,Master!$D$25:$G$223,4,FALSE)</f>
        <v>Credits and Borrowings</v>
      </c>
      <c r="C51" s="457"/>
      <c r="D51" s="457"/>
      <c r="E51" s="457"/>
      <c r="F51" s="457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6" t="str">
        <f>+VLOOKUP($A52,Master!$D$25:$G$223,4,FALSE)</f>
        <v>Reserves</v>
      </c>
      <c r="C52" s="457"/>
      <c r="D52" s="457"/>
      <c r="E52" s="457"/>
      <c r="F52" s="457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4" t="str">
        <f>+VLOOKUP($A53,Master!$D$25:$G$223,4,FALSE)</f>
        <v>Repayment of Guarantees</v>
      </c>
      <c r="C53" s="475"/>
      <c r="D53" s="475"/>
      <c r="E53" s="475"/>
      <c r="F53" s="475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4" t="str">
        <f>+VLOOKUP($A54,Master!$D$25:$G$223,4,FALSE)</f>
        <v>Repayments of Arrears</v>
      </c>
      <c r="C54" s="475"/>
      <c r="D54" s="475"/>
      <c r="E54" s="475"/>
      <c r="F54" s="475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4" t="str">
        <f>+VLOOKUP($A55,Master!$D$25:$G$225,4,FALSE)</f>
        <v>Net increase of liabilities</v>
      </c>
      <c r="C55" s="475"/>
      <c r="D55" s="475"/>
      <c r="E55" s="475"/>
      <c r="F55" s="475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80" t="str">
        <f>+VLOOKUP($A56,Master!$D$25:$G$223,4,FALSE)</f>
        <v>Surplus / deficit</v>
      </c>
      <c r="C56" s="481"/>
      <c r="D56" s="481"/>
      <c r="E56" s="481"/>
      <c r="F56" s="481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82" t="str">
        <f>+VLOOKUP($A57,Master!$D$25:$G$223,4,FALSE)</f>
        <v>Primary balance</v>
      </c>
      <c r="C57" s="483"/>
      <c r="D57" s="483"/>
      <c r="E57" s="483"/>
      <c r="F57" s="483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4" t="str">
        <f>+VLOOKUP($A58,Master!$D$25:$G$223,4,FALSE)</f>
        <v>Repayment of Debt</v>
      </c>
      <c r="C58" s="485"/>
      <c r="D58" s="485"/>
      <c r="E58" s="485"/>
      <c r="F58" s="485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72" t="str">
        <f>+VLOOKUP($A59,Master!$D$25:$G$223,4,FALSE)</f>
        <v>Repayment of Domestic Debt</v>
      </c>
      <c r="C59" s="473"/>
      <c r="D59" s="473"/>
      <c r="E59" s="473"/>
      <c r="F59" s="473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6" t="str">
        <f>+VLOOKUP($A60,Master!$D$25:$G$223,4,FALSE)</f>
        <v>Repayment of Foreign Debt</v>
      </c>
      <c r="C60" s="457"/>
      <c r="D60" s="457"/>
      <c r="E60" s="457"/>
      <c r="F60" s="457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Repayments of Arrears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6" t="str">
        <f>+VLOOKUP($A62,Master!$D$25:$G$223,4,FALSE)</f>
        <v>Financing needs</v>
      </c>
      <c r="C62" s="477"/>
      <c r="D62" s="477"/>
      <c r="E62" s="477"/>
      <c r="F62" s="477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8" t="str">
        <f>+VLOOKUP($A63,Master!$D$25:$G$223,4,FALSE)</f>
        <v>Financing</v>
      </c>
      <c r="C63" s="479"/>
      <c r="D63" s="479"/>
      <c r="E63" s="479"/>
      <c r="F63" s="479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72" t="str">
        <f>+VLOOKUP($A64,Master!$D$25:$G$223,4,FALSE)</f>
        <v>Domestic Loans and Borrowings</v>
      </c>
      <c r="C64" s="473"/>
      <c r="D64" s="473"/>
      <c r="E64" s="473"/>
      <c r="F64" s="473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6" t="str">
        <f>+VLOOKUP($A65,Master!$D$25:$G$223,4,FALSE)</f>
        <v>Foreign Loans and Borrowings</v>
      </c>
      <c r="C65" s="457"/>
      <c r="D65" s="457"/>
      <c r="E65" s="457"/>
      <c r="F65" s="457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6" t="str">
        <f>+VLOOKUP($A66,Master!$D$25:$G$223,4,FALSE)</f>
        <v>Revenues from Selling Assets</v>
      </c>
      <c r="C66" s="457"/>
      <c r="D66" s="457"/>
      <c r="E66" s="457"/>
      <c r="F66" s="457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40" t="str">
        <f>+Master!G249</f>
        <v>Budget Execution</v>
      </c>
      <c r="C7" s="541"/>
      <c r="D7" s="541"/>
      <c r="E7" s="541"/>
      <c r="F7" s="541"/>
      <c r="G7" s="534">
        <v>2013</v>
      </c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35"/>
      <c r="S7" s="115" t="str">
        <f>+Master!G246</f>
        <v>GDP</v>
      </c>
      <c r="T7" s="116">
        <v>3393200615</v>
      </c>
    </row>
    <row r="8" spans="1:20" ht="16.5" customHeight="1">
      <c r="B8" s="542"/>
      <c r="C8" s="543"/>
      <c r="D8" s="543"/>
      <c r="E8" s="543"/>
      <c r="F8" s="544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534" t="str">
        <f>+Master!G243</f>
        <v>Jan - Sep</v>
      </c>
      <c r="T8" s="535"/>
    </row>
    <row r="9" spans="1:20" ht="13.5" thickBot="1">
      <c r="B9" s="545"/>
      <c r="C9" s="546"/>
      <c r="D9" s="546"/>
      <c r="E9" s="546"/>
      <c r="F9" s="547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536" t="str">
        <f>+VLOOKUP($A10,Master!$D$25:$G$223,4,FALSE)</f>
        <v>Total Revenues</v>
      </c>
      <c r="C10" s="537"/>
      <c r="D10" s="537"/>
      <c r="E10" s="537"/>
      <c r="F10" s="537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8" t="str">
        <f>+VLOOKUP($A11,Master!$D$25:$G$223,4,FALSE)</f>
        <v>Taxes</v>
      </c>
      <c r="C11" s="539"/>
      <c r="D11" s="539"/>
      <c r="E11" s="539"/>
      <c r="F11" s="539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20" t="str">
        <f>+VLOOKUP($A12,Master!$D$25:$G$223,4,FALSE)</f>
        <v>Personal Income Tax</v>
      </c>
      <c r="C12" s="521"/>
      <c r="D12" s="521"/>
      <c r="E12" s="521"/>
      <c r="F12" s="521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20" t="str">
        <f>+VLOOKUP($A13,Master!$D$25:$G$223,4,FALSE)</f>
        <v>Corporate Income Tax</v>
      </c>
      <c r="C13" s="521"/>
      <c r="D13" s="521"/>
      <c r="E13" s="521"/>
      <c r="F13" s="521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20" t="str">
        <f>+VLOOKUP($A14,Master!$D$25:$G$223,4,FALSE)</f>
        <v xml:space="preserve">Taxes on Sales of Property </v>
      </c>
      <c r="C14" s="521"/>
      <c r="D14" s="521"/>
      <c r="E14" s="521"/>
      <c r="F14" s="521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20" t="str">
        <f>+VLOOKUP($A15,Master!$D$25:$G$223,4,FALSE)</f>
        <v>Value Added Tax</v>
      </c>
      <c r="C15" s="521"/>
      <c r="D15" s="521"/>
      <c r="E15" s="521"/>
      <c r="F15" s="521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20" t="str">
        <f>+VLOOKUP($A16,Master!$D$25:$G$223,4,FALSE)</f>
        <v>Excises</v>
      </c>
      <c r="C16" s="521"/>
      <c r="D16" s="521"/>
      <c r="E16" s="521"/>
      <c r="F16" s="521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20" t="str">
        <f>+VLOOKUP($A17,Master!$D$25:$G$223,4,FALSE)</f>
        <v>Tax on International Trade and Transactions</v>
      </c>
      <c r="C17" s="521"/>
      <c r="D17" s="521"/>
      <c r="E17" s="521"/>
      <c r="F17" s="521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20" t="e">
        <f>+VLOOKUP($A18,Master!$D$25:$G$223,4,FALSE)</f>
        <v>#N/A</v>
      </c>
      <c r="C18" s="521"/>
      <c r="D18" s="521"/>
      <c r="E18" s="521"/>
      <c r="F18" s="521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20" t="str">
        <f>+VLOOKUP($A19,Master!$D$25:$G$223,4,FALSE)</f>
        <v>Other Republic Taxes</v>
      </c>
      <c r="C19" s="521"/>
      <c r="D19" s="521"/>
      <c r="E19" s="521"/>
      <c r="F19" s="521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32" t="str">
        <f>+VLOOKUP($A20,Master!$D$25:$G$223,4,FALSE)</f>
        <v>Contributions</v>
      </c>
      <c r="C20" s="533"/>
      <c r="D20" s="533"/>
      <c r="E20" s="533"/>
      <c r="F20" s="533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20" t="str">
        <f>+VLOOKUP($A21,Master!$D$25:$G$223,4,FALSE)</f>
        <v>Contributions for Pension and Disability Insurance</v>
      </c>
      <c r="C21" s="521"/>
      <c r="D21" s="521"/>
      <c r="E21" s="521"/>
      <c r="F21" s="521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20" t="str">
        <f>+VLOOKUP($A22,Master!$D$25:$G$223,4,FALSE)</f>
        <v>Contributions for Health Insurance</v>
      </c>
      <c r="C22" s="521"/>
      <c r="D22" s="521"/>
      <c r="E22" s="521"/>
      <c r="F22" s="521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20" t="str">
        <f>+VLOOKUP($A23,Master!$D$25:$G$223,4,FALSE)</f>
        <v>Contributions for  Unemployment Insurance</v>
      </c>
      <c r="C23" s="521"/>
      <c r="D23" s="521"/>
      <c r="E23" s="521"/>
      <c r="F23" s="521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20" t="str">
        <f>+VLOOKUP($A24,Master!$D$25:$G$223,4,FALSE)</f>
        <v>Other contributions</v>
      </c>
      <c r="C24" s="521"/>
      <c r="D24" s="521"/>
      <c r="E24" s="521"/>
      <c r="F24" s="521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4" t="str">
        <f>+VLOOKUP($A25,Master!$D$25:$G$223,4,FALSE)</f>
        <v>Duties</v>
      </c>
      <c r="C25" s="525"/>
      <c r="D25" s="525"/>
      <c r="E25" s="525"/>
      <c r="F25" s="525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4" t="str">
        <f>+VLOOKUP($A26,Master!$D$25:$G$223,4,FALSE)</f>
        <v>Fees</v>
      </c>
      <c r="C26" s="525"/>
      <c r="D26" s="525"/>
      <c r="E26" s="525"/>
      <c r="F26" s="525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4" t="str">
        <f>+VLOOKUP($A27,Master!$D$25:$G$223,4,FALSE)</f>
        <v>Other revenues</v>
      </c>
      <c r="C27" s="525"/>
      <c r="D27" s="525"/>
      <c r="E27" s="525"/>
      <c r="F27" s="525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4" t="str">
        <f>+VLOOKUP($A28,Master!$D$25:$G$223,4,FALSE)</f>
        <v>Receipts from Repayment of Loans and Funds Carried over from Previous Year</v>
      </c>
      <c r="C28" s="525"/>
      <c r="D28" s="525"/>
      <c r="E28" s="525"/>
      <c r="F28" s="525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6" t="str">
        <f>+VLOOKUP($A29,Master!$D$25:$G$223,4,FALSE)</f>
        <v>Grants and Transfers</v>
      </c>
      <c r="C29" s="527"/>
      <c r="D29" s="527"/>
      <c r="E29" s="527"/>
      <c r="F29" s="527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10" t="str">
        <f>+VLOOKUP($A30,Master!$D$25:$G$223,4,FALSE)</f>
        <v>Total Expenditures</v>
      </c>
      <c r="C30" s="511"/>
      <c r="D30" s="511"/>
      <c r="E30" s="511"/>
      <c r="F30" s="511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8" t="str">
        <f>+VLOOKUP($A31,Master!$D$25:$G$223,4,FALSE)</f>
        <v>Current Expenditures</v>
      </c>
      <c r="C31" s="529"/>
      <c r="D31" s="529"/>
      <c r="E31" s="529"/>
      <c r="F31" s="529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30" t="str">
        <f>+VLOOKUP($A32,Master!$D$25:$G$223,4,FALSE)</f>
        <v>Current Budgetary Expenditures</v>
      </c>
      <c r="C32" s="531"/>
      <c r="D32" s="531"/>
      <c r="E32" s="531"/>
      <c r="F32" s="531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20" t="str">
        <f>+VLOOKUP($A33,Master!$D$25:$G$223,4,FALSE)</f>
        <v>Gross Salaries and Contributions</v>
      </c>
      <c r="C33" s="521"/>
      <c r="D33" s="521"/>
      <c r="E33" s="521"/>
      <c r="F33" s="521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20" t="str">
        <f>+VLOOKUP($A34,Master!$D$25:$G$223,4,FALSE)</f>
        <v>Other Personal Income</v>
      </c>
      <c r="C34" s="521"/>
      <c r="D34" s="521"/>
      <c r="E34" s="521"/>
      <c r="F34" s="521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20" t="str">
        <f>+VLOOKUP($A35,Master!$D$25:$G$223,4,FALSE)</f>
        <v>Expenditures for Supplies</v>
      </c>
      <c r="C35" s="521"/>
      <c r="D35" s="521"/>
      <c r="E35" s="521"/>
      <c r="F35" s="521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20" t="str">
        <f>+VLOOKUP($A36,Master!$D$25:$G$223,4,FALSE)</f>
        <v>Expenditures for Services</v>
      </c>
      <c r="C36" s="521"/>
      <c r="D36" s="521"/>
      <c r="E36" s="521"/>
      <c r="F36" s="521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20" t="str">
        <f>+VLOOKUP($A37,Master!$D$25:$G$223,4,FALSE)</f>
        <v>Current Maintenance</v>
      </c>
      <c r="C37" s="521"/>
      <c r="D37" s="521"/>
      <c r="E37" s="521"/>
      <c r="F37" s="521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20" t="str">
        <f>+VLOOKUP($A38,Master!$D$25:$G$223,4,FALSE)</f>
        <v>Interests</v>
      </c>
      <c r="C38" s="521"/>
      <c r="D38" s="521"/>
      <c r="E38" s="521"/>
      <c r="F38" s="521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20" t="str">
        <f>+VLOOKUP($A39,Master!$D$25:$G$223,4,FALSE)</f>
        <v>Rent</v>
      </c>
      <c r="C39" s="521"/>
      <c r="D39" s="521"/>
      <c r="E39" s="521"/>
      <c r="F39" s="521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20" t="str">
        <f>+VLOOKUP($A40,Master!$D$25:$G$223,4,FALSE)</f>
        <v>Subsidies</v>
      </c>
      <c r="C40" s="521"/>
      <c r="D40" s="521"/>
      <c r="E40" s="521"/>
      <c r="F40" s="521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20" t="str">
        <f>+VLOOKUP($A41,Master!$D$25:$G$223,4,FALSE)</f>
        <v>Other expenditures</v>
      </c>
      <c r="C41" s="521"/>
      <c r="D41" s="521"/>
      <c r="E41" s="521"/>
      <c r="F41" s="521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20" t="str">
        <f>+VLOOKUP($A42,Master!$D$25:$G$223,4,FALSE)</f>
        <v>Current Capital Expenditure</v>
      </c>
      <c r="C42" s="521"/>
      <c r="D42" s="521"/>
      <c r="E42" s="521"/>
      <c r="F42" s="521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8" t="str">
        <f>+VLOOKUP($A43,Master!$D$25:$G$223,4,FALSE)</f>
        <v>Social Security Transfers</v>
      </c>
      <c r="C43" s="519"/>
      <c r="D43" s="519"/>
      <c r="E43" s="519"/>
      <c r="F43" s="519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20" t="str">
        <f>+VLOOKUP($A44,Master!$D$25:$G$223,4,FALSE)</f>
        <v>Social Security</v>
      </c>
      <c r="C44" s="521"/>
      <c r="D44" s="521"/>
      <c r="E44" s="521"/>
      <c r="F44" s="521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20" t="str">
        <f>+VLOOKUP($A45,Master!$D$25:$G$223,4,FALSE)</f>
        <v>Funds for redundant labor</v>
      </c>
      <c r="C45" s="521"/>
      <c r="D45" s="521"/>
      <c r="E45" s="521"/>
      <c r="F45" s="521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20" t="str">
        <f>+VLOOKUP($A46,Master!$D$25:$G$223,4,FALSE)</f>
        <v>Pension and Disability Insurance</v>
      </c>
      <c r="C46" s="521"/>
      <c r="D46" s="521"/>
      <c r="E46" s="521"/>
      <c r="F46" s="521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20" t="str">
        <f>+VLOOKUP($A47,Master!$D$25:$G$223,4,FALSE)</f>
        <v>Other Health Care Transfers</v>
      </c>
      <c r="C47" s="521"/>
      <c r="D47" s="521"/>
      <c r="E47" s="521"/>
      <c r="F47" s="521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20" t="str">
        <f>+VLOOKUP($A48,Master!$D$25:$G$223,4,FALSE)</f>
        <v>Other Health Care Insurance</v>
      </c>
      <c r="C48" s="521"/>
      <c r="D48" s="521"/>
      <c r="E48" s="521"/>
      <c r="F48" s="521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22" t="str">
        <f>+VLOOKUP($A49,Master!$D$25:$G$223,4,FALSE)</f>
        <v xml:space="preserve">Transfers to Institutions, Individuals, NGO and Public Sector </v>
      </c>
      <c r="C49" s="523"/>
      <c r="D49" s="523"/>
      <c r="E49" s="523"/>
      <c r="F49" s="523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22" t="str">
        <f>+VLOOKUP($A50,Master!$D$25:$G$223,4,FALSE)</f>
        <v>Capital Expenditure</v>
      </c>
      <c r="C50" s="523"/>
      <c r="D50" s="523"/>
      <c r="E50" s="523"/>
      <c r="F50" s="523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6" t="str">
        <f>+VLOOKUP($A51,Master!$D$25:$G$223,4,FALSE)</f>
        <v>Credits and Borrowings</v>
      </c>
      <c r="C51" s="507"/>
      <c r="D51" s="507"/>
      <c r="E51" s="507"/>
      <c r="F51" s="507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6" t="str">
        <f>+VLOOKUP($A52,Master!$D$25:$G$223,4,FALSE)</f>
        <v>Reserves</v>
      </c>
      <c r="C52" s="507"/>
      <c r="D52" s="507"/>
      <c r="E52" s="507"/>
      <c r="F52" s="507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60" t="str">
        <f>+VLOOKUP($A53,Master!$D$25:$G$223,4,FALSE)</f>
        <v>Repayment of Guarantees</v>
      </c>
      <c r="C53" s="561"/>
      <c r="D53" s="561"/>
      <c r="E53" s="561"/>
      <c r="F53" s="561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14" t="str">
        <f>+VLOOKUP($A54,Master!$D$25:$G$223,4,FALSE)</f>
        <v>Surplus / deficit</v>
      </c>
      <c r="C54" s="515"/>
      <c r="D54" s="515"/>
      <c r="E54" s="515"/>
      <c r="F54" s="515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6" t="str">
        <f>+VLOOKUP($A55,Master!$D$25:$G$223,4,FALSE)</f>
        <v>Primary balance</v>
      </c>
      <c r="C55" s="517"/>
      <c r="D55" s="517"/>
      <c r="E55" s="517"/>
      <c r="F55" s="517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8" t="str">
        <f>+VLOOKUP($A56,Master!$D$25:$G$223,4,FALSE)</f>
        <v>Repayment of Debt</v>
      </c>
      <c r="C56" s="519"/>
      <c r="D56" s="519"/>
      <c r="E56" s="519"/>
      <c r="F56" s="519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12" t="str">
        <f>+VLOOKUP($A57,Master!$D$25:$G$223,4,FALSE)</f>
        <v>Repayment of Domestic Debt</v>
      </c>
      <c r="C57" s="513"/>
      <c r="D57" s="513"/>
      <c r="E57" s="513"/>
      <c r="F57" s="513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6" t="str">
        <f>+VLOOKUP($A58,Master!$D$25:$G$223,4,FALSE)</f>
        <v>Repayment of Foreign Debt</v>
      </c>
      <c r="C58" s="507"/>
      <c r="D58" s="507"/>
      <c r="E58" s="507"/>
      <c r="F58" s="507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60" t="str">
        <f>+VLOOKUP($A59,Master!$D$25:$G$223,4,FALSE)</f>
        <v>Repayments of Arrears</v>
      </c>
      <c r="C59" s="561"/>
      <c r="D59" s="561"/>
      <c r="E59" s="561"/>
      <c r="F59" s="561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8" t="str">
        <f>+VLOOKUP($A60,Master!$D$25:$G$223,4,FALSE)</f>
        <v>Financing needs</v>
      </c>
      <c r="C60" s="509"/>
      <c r="D60" s="509"/>
      <c r="E60" s="509"/>
      <c r="F60" s="509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10" t="str">
        <f>+VLOOKUP($A61,Master!$D$25:$G$223,4,FALSE)</f>
        <v>Financing</v>
      </c>
      <c r="C61" s="511"/>
      <c r="D61" s="511"/>
      <c r="E61" s="511"/>
      <c r="F61" s="511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12" t="str">
        <f>+VLOOKUP($A62,Master!$D$25:$G$223,4,FALSE)</f>
        <v>Domestic Loans and Borrowings</v>
      </c>
      <c r="C62" s="513"/>
      <c r="D62" s="513"/>
      <c r="E62" s="513"/>
      <c r="F62" s="513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6" t="str">
        <f>+VLOOKUP($A63,Master!$D$25:$G$223,4,FALSE)</f>
        <v>Foreign Loans and Borrowings</v>
      </c>
      <c r="C63" s="507"/>
      <c r="D63" s="507"/>
      <c r="E63" s="507"/>
      <c r="F63" s="507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6" t="str">
        <f>+VLOOKUP($A64,Master!$D$25:$G$223,4,FALSE)</f>
        <v>Revenues from Selling Assets</v>
      </c>
      <c r="C64" s="507"/>
      <c r="D64" s="507"/>
      <c r="E64" s="507"/>
      <c r="F64" s="507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9" t="str">
        <f>+Master!G250</f>
        <v>Planned Budget Execution</v>
      </c>
      <c r="C101" s="459"/>
      <c r="D101" s="459"/>
      <c r="E101" s="459"/>
      <c r="F101" s="459"/>
      <c r="G101" s="467">
        <v>2014</v>
      </c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71"/>
      <c r="S101" s="260" t="str">
        <f>+S7</f>
        <v>GDP</v>
      </c>
      <c r="T101" s="261">
        <v>3393200615</v>
      </c>
    </row>
    <row r="102" spans="1:20" ht="15.75" customHeight="1">
      <c r="A102" s="169"/>
      <c r="B102" s="460"/>
      <c r="C102" s="461"/>
      <c r="D102" s="461"/>
      <c r="E102" s="461"/>
      <c r="F102" s="462"/>
      <c r="G102" s="170" t="str">
        <f>+G8</f>
        <v>January</v>
      </c>
      <c r="H102" s="170" t="str">
        <f t="shared" ref="H102:T102" si="16">+H8</f>
        <v>February</v>
      </c>
      <c r="I102" s="170" t="str">
        <f t="shared" si="16"/>
        <v>March</v>
      </c>
      <c r="J102" s="170" t="str">
        <f t="shared" si="16"/>
        <v>April</v>
      </c>
      <c r="K102" s="170" t="str">
        <f t="shared" si="16"/>
        <v>May</v>
      </c>
      <c r="L102" s="170" t="str">
        <f t="shared" si="16"/>
        <v>June</v>
      </c>
      <c r="M102" s="170" t="str">
        <f t="shared" si="16"/>
        <v>July</v>
      </c>
      <c r="N102" s="170" t="str">
        <f t="shared" si="16"/>
        <v>August</v>
      </c>
      <c r="O102" s="170" t="str">
        <f t="shared" si="16"/>
        <v>September</v>
      </c>
      <c r="P102" s="170" t="str">
        <f t="shared" si="16"/>
        <v>October</v>
      </c>
      <c r="Q102" s="170" t="str">
        <f t="shared" si="16"/>
        <v>November</v>
      </c>
      <c r="R102" s="170" t="str">
        <f t="shared" si="16"/>
        <v>December</v>
      </c>
      <c r="S102" s="467" t="str">
        <f>+Master!G244</f>
        <v>Jan - Dec</v>
      </c>
      <c r="T102" s="471">
        <f t="shared" si="16"/>
        <v>0</v>
      </c>
    </row>
    <row r="103" spans="1:20" ht="13.5" thickBot="1">
      <c r="A103" s="169"/>
      <c r="B103" s="463"/>
      <c r="C103" s="464"/>
      <c r="D103" s="464"/>
      <c r="E103" s="464"/>
      <c r="F103" s="465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GDP</v>
      </c>
    </row>
    <row r="104" spans="1:20" ht="13.5" thickBot="1">
      <c r="A104" s="297" t="str">
        <f>+CONCATENATE(A10,"p")</f>
        <v>7p</v>
      </c>
      <c r="B104" s="500" t="str">
        <f>+VLOOKUP(LEFT($A104,LEN(A104)-1)*1,Master!$D$25:$G$223,4,FALSE)</f>
        <v>Total Revenues</v>
      </c>
      <c r="C104" s="501"/>
      <c r="D104" s="501"/>
      <c r="E104" s="501"/>
      <c r="F104" s="501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502" t="str">
        <f>+VLOOKUP(LEFT($A105,LEN(A105)-1)*1,Master!$D$25:$G$223,4,FALSE)</f>
        <v>Taxes</v>
      </c>
      <c r="C105" s="503"/>
      <c r="D105" s="503"/>
      <c r="E105" s="503"/>
      <c r="F105" s="503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8" t="str">
        <f>+VLOOKUP(LEFT($A106,LEN(A106)-1)*1,Master!$D$25:$G$223,4,FALSE)</f>
        <v>Personal Income Tax</v>
      </c>
      <c r="C106" s="489"/>
      <c r="D106" s="489"/>
      <c r="E106" s="489"/>
      <c r="F106" s="489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8" t="str">
        <f>+VLOOKUP(LEFT($A107,LEN(A107)-1)*1,Master!$D$25:$G$223,4,FALSE)</f>
        <v>Corporate Income Tax</v>
      </c>
      <c r="C107" s="489"/>
      <c r="D107" s="489"/>
      <c r="E107" s="489"/>
      <c r="F107" s="489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8" t="str">
        <f>+VLOOKUP(LEFT($A108,LEN(A108)-1)*1,Master!$D$25:$G$223,4,FALSE)</f>
        <v xml:space="preserve">Taxes on Sales of Property </v>
      </c>
      <c r="C108" s="489"/>
      <c r="D108" s="489"/>
      <c r="E108" s="489"/>
      <c r="F108" s="489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8" t="str">
        <f>+VLOOKUP(LEFT($A109,LEN(A109)-1)*1,Master!$D$25:$G$223,4,FALSE)</f>
        <v>Value Added Tax</v>
      </c>
      <c r="C109" s="489"/>
      <c r="D109" s="489"/>
      <c r="E109" s="489"/>
      <c r="F109" s="489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8" t="str">
        <f>+VLOOKUP(LEFT($A110,LEN(A110)-1)*1,Master!$D$25:$G$223,4,FALSE)</f>
        <v>Excises</v>
      </c>
      <c r="C110" s="489"/>
      <c r="D110" s="489"/>
      <c r="E110" s="489"/>
      <c r="F110" s="489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8" t="str">
        <f>+VLOOKUP(LEFT($A111,LEN(A111)-1)*1,Master!$D$25:$G$223,4,FALSE)</f>
        <v>Tax on International Trade and Transactions</v>
      </c>
      <c r="C111" s="489"/>
      <c r="D111" s="489"/>
      <c r="E111" s="489"/>
      <c r="F111" s="489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8" t="e">
        <f>+VLOOKUP(LEFT($A112,LEN(A112)-1)*1,Master!$D$25:$G$223,4,FALSE)</f>
        <v>#N/A</v>
      </c>
      <c r="C112" s="489"/>
      <c r="D112" s="489"/>
      <c r="E112" s="489"/>
      <c r="F112" s="489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8" t="str">
        <f>+VLOOKUP(LEFT($A113,LEN(A113)-1)*1,Master!$D$25:$G$223,4,FALSE)</f>
        <v>Other Republic Taxes</v>
      </c>
      <c r="C113" s="489"/>
      <c r="D113" s="489"/>
      <c r="E113" s="489"/>
      <c r="F113" s="489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8" t="str">
        <f>+VLOOKUP(LEFT($A114,LEN(A114)-1)*1,Master!$D$25:$G$223,4,FALSE)</f>
        <v>Contributions</v>
      </c>
      <c r="C114" s="499"/>
      <c r="D114" s="499"/>
      <c r="E114" s="499"/>
      <c r="F114" s="499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8" t="str">
        <f>+VLOOKUP(LEFT($A115,LEN(A115)-1)*1,Master!$D$25:$G$223,4,FALSE)</f>
        <v>Contributions for Pension and Disability Insurance</v>
      </c>
      <c r="C115" s="489"/>
      <c r="D115" s="489"/>
      <c r="E115" s="489"/>
      <c r="F115" s="489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8" t="str">
        <f>+VLOOKUP(LEFT($A116,LEN(A116)-1)*1,Master!$D$25:$G$223,4,FALSE)</f>
        <v>Contributions for Health Insurance</v>
      </c>
      <c r="C116" s="489"/>
      <c r="D116" s="489"/>
      <c r="E116" s="489"/>
      <c r="F116" s="489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8" t="str">
        <f>+VLOOKUP(LEFT($A117,LEN(A117)-1)*1,Master!$D$25:$G$223,4,FALSE)</f>
        <v>Contributions for  Unemployment Insurance</v>
      </c>
      <c r="C117" s="489"/>
      <c r="D117" s="489"/>
      <c r="E117" s="489"/>
      <c r="F117" s="489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8" t="str">
        <f>+VLOOKUP(LEFT($A118,LEN(A118)-1)*1,Master!$D$25:$G$223,4,FALSE)</f>
        <v>Other contributions</v>
      </c>
      <c r="C118" s="489"/>
      <c r="D118" s="489"/>
      <c r="E118" s="489"/>
      <c r="F118" s="489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90" t="str">
        <f>+VLOOKUP(LEFT($A119,LEN(A119)-1)*1,Master!$D$25:$G$223,4,FALSE)</f>
        <v>Duties</v>
      </c>
      <c r="C119" s="491"/>
      <c r="D119" s="491"/>
      <c r="E119" s="491"/>
      <c r="F119" s="491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90" t="str">
        <f>+VLOOKUP(LEFT($A120,LEN(A120)-1)*1,Master!$D$25:$G$223,4,FALSE)</f>
        <v>Fees</v>
      </c>
      <c r="C120" s="491"/>
      <c r="D120" s="491"/>
      <c r="E120" s="491"/>
      <c r="F120" s="491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90" t="str">
        <f>+VLOOKUP(LEFT($A121,LEN(A121)-1)*1,Master!$D$25:$G$223,4,FALSE)</f>
        <v>Other revenues</v>
      </c>
      <c r="C121" s="491"/>
      <c r="D121" s="491"/>
      <c r="E121" s="491"/>
      <c r="F121" s="491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90" t="str">
        <f>+VLOOKUP(LEFT($A122,LEN(A122)-1)*1,Master!$D$25:$G$223,4,FALSE)</f>
        <v>Receipts from Repayment of Loans and Funds Carried over from Previous Year</v>
      </c>
      <c r="C122" s="491"/>
      <c r="D122" s="491"/>
      <c r="E122" s="491"/>
      <c r="F122" s="491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92" t="str">
        <f>+VLOOKUP(LEFT($A123,LEN(A123)-1)*1,Master!$D$25:$G$223,4,FALSE)</f>
        <v>Grants and Transfers</v>
      </c>
      <c r="C123" s="493"/>
      <c r="D123" s="493"/>
      <c r="E123" s="493"/>
      <c r="F123" s="493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8" t="str">
        <f>+VLOOKUP(LEFT($A124,LEN(A124)-1)*1,Master!$D$25:$G$223,4,FALSE)</f>
        <v>Total Expenditures</v>
      </c>
      <c r="C124" s="479"/>
      <c r="D124" s="479"/>
      <c r="E124" s="479"/>
      <c r="F124" s="479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94" t="str">
        <f>+VLOOKUP(LEFT($A125,LEN(A125)-1)*1,Master!$D$25:$G$223,4,FALSE)</f>
        <v>Current Expenditures</v>
      </c>
      <c r="C125" s="495"/>
      <c r="D125" s="495"/>
      <c r="E125" s="495"/>
      <c r="F125" s="495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6" t="str">
        <f>+VLOOKUP(LEFT($A126,LEN(A126)-1)*1,Master!$D$25:$G$223,4,FALSE)</f>
        <v>Current Budgetary Expenditures</v>
      </c>
      <c r="C126" s="497"/>
      <c r="D126" s="497"/>
      <c r="E126" s="497"/>
      <c r="F126" s="497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8" t="str">
        <f>+VLOOKUP(LEFT($A127,LEN(A127)-1)*1,Master!$D$25:$G$223,4,FALSE)</f>
        <v>Gross Salaries and Contributions</v>
      </c>
      <c r="C127" s="489"/>
      <c r="D127" s="489"/>
      <c r="E127" s="489"/>
      <c r="F127" s="489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8" t="str">
        <f>+VLOOKUP(LEFT($A128,LEN(A128)-1)*1,Master!$D$25:$G$223,4,FALSE)</f>
        <v>Other Personal Income</v>
      </c>
      <c r="C128" s="489"/>
      <c r="D128" s="489"/>
      <c r="E128" s="489"/>
      <c r="F128" s="489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8" t="str">
        <f>+VLOOKUP(LEFT($A129,LEN(A129)-1)*1,Master!$D$25:$G$223,4,FALSE)</f>
        <v>Expenditures for Supplies</v>
      </c>
      <c r="C129" s="489"/>
      <c r="D129" s="489"/>
      <c r="E129" s="489"/>
      <c r="F129" s="489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8" t="str">
        <f>+VLOOKUP(LEFT($A130,LEN(A130)-1)*1,Master!$D$25:$G$223,4,FALSE)</f>
        <v>Expenditures for Services</v>
      </c>
      <c r="C130" s="489"/>
      <c r="D130" s="489"/>
      <c r="E130" s="489"/>
      <c r="F130" s="489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8" t="str">
        <f>+VLOOKUP(LEFT($A131,LEN(A131)-1)*1,Master!$D$25:$G$223,4,FALSE)</f>
        <v>Current Maintenance</v>
      </c>
      <c r="C131" s="489"/>
      <c r="D131" s="489"/>
      <c r="E131" s="489"/>
      <c r="F131" s="489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8" t="str">
        <f>+VLOOKUP(LEFT($A132,LEN(A132)-1)*1,Master!$D$25:$G$223,4,FALSE)</f>
        <v>Interests</v>
      </c>
      <c r="C132" s="489"/>
      <c r="D132" s="489"/>
      <c r="E132" s="489"/>
      <c r="F132" s="489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8" t="str">
        <f>+VLOOKUP(LEFT($A133,LEN(A133)-1)*1,Master!$D$25:$G$223,4,FALSE)</f>
        <v>Rent</v>
      </c>
      <c r="C133" s="489"/>
      <c r="D133" s="489"/>
      <c r="E133" s="489"/>
      <c r="F133" s="489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8" t="str">
        <f>+VLOOKUP(LEFT($A134,LEN(A134)-1)*1,Master!$D$25:$G$223,4,FALSE)</f>
        <v>Subsidies</v>
      </c>
      <c r="C134" s="489"/>
      <c r="D134" s="489"/>
      <c r="E134" s="489"/>
      <c r="F134" s="489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8" t="str">
        <f>+VLOOKUP(LEFT($A135,LEN(A135)-1)*1,Master!$D$25:$G$223,4,FALSE)</f>
        <v>Other expenditures</v>
      </c>
      <c r="C135" s="489"/>
      <c r="D135" s="489"/>
      <c r="E135" s="489"/>
      <c r="F135" s="489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8" t="str">
        <f>+VLOOKUP(LEFT($A136,LEN(A136)-1)*1,Master!$D$25:$G$223,4,FALSE)</f>
        <v>Current Capital Expenditure</v>
      </c>
      <c r="C136" s="489"/>
      <c r="D136" s="489"/>
      <c r="E136" s="489"/>
      <c r="F136" s="489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4" t="str">
        <f>+VLOOKUP(LEFT($A137,LEN(A137)-1)*1,Master!$D$25:$G$223,4,FALSE)</f>
        <v>Social Security Transfers</v>
      </c>
      <c r="C137" s="485"/>
      <c r="D137" s="485"/>
      <c r="E137" s="485"/>
      <c r="F137" s="485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8" t="str">
        <f>+VLOOKUP(LEFT($A138,LEN(A138)-1)*1,Master!$D$25:$G$223,4,FALSE)</f>
        <v>Social Security</v>
      </c>
      <c r="C138" s="489"/>
      <c r="D138" s="489"/>
      <c r="E138" s="489"/>
      <c r="F138" s="489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8" t="str">
        <f>+VLOOKUP(LEFT($A139,LEN(A139)-1)*1,Master!$D$25:$G$223,4,FALSE)</f>
        <v>Funds for redundant labor</v>
      </c>
      <c r="C139" s="489"/>
      <c r="D139" s="489"/>
      <c r="E139" s="489"/>
      <c r="F139" s="489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8" t="str">
        <f>+VLOOKUP(LEFT($A140,LEN(A140)-1)*1,Master!$D$25:$G$223,4,FALSE)</f>
        <v>Pension and Disability Insurance</v>
      </c>
      <c r="C140" s="489"/>
      <c r="D140" s="489"/>
      <c r="E140" s="489"/>
      <c r="F140" s="489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8" t="str">
        <f>+VLOOKUP(LEFT($A141,LEN(A141)-1)*1,Master!$D$25:$G$223,4,FALSE)</f>
        <v>Other Health Care Transfers</v>
      </c>
      <c r="C141" s="489"/>
      <c r="D141" s="489"/>
      <c r="E141" s="489"/>
      <c r="F141" s="489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8" t="str">
        <f>+VLOOKUP(LEFT($A142,LEN(A142)-1)*1,Master!$D$25:$G$223,4,FALSE)</f>
        <v>Other Health Care Insurance</v>
      </c>
      <c r="C142" s="489"/>
      <c r="D142" s="489"/>
      <c r="E142" s="489"/>
      <c r="F142" s="489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6" t="str">
        <f>+VLOOKUP(LEFT($A143,LEN(A143)-1)*1,Master!$D$25:$G$223,4,FALSE)</f>
        <v xml:space="preserve">Transfers to Institutions, Individuals, NGO and Public Sector </v>
      </c>
      <c r="C143" s="487"/>
      <c r="D143" s="487"/>
      <c r="E143" s="487"/>
      <c r="F143" s="487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6" t="str">
        <f>+VLOOKUP(LEFT($A144,LEN(A144)-1)*1,Master!$D$25:$G$223,4,FALSE)</f>
        <v>Capital Expenditure</v>
      </c>
      <c r="C144" s="487"/>
      <c r="D144" s="487"/>
      <c r="E144" s="487"/>
      <c r="F144" s="487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6" t="str">
        <f>+VLOOKUP(LEFT($A145,LEN(A145)-1)*1,Master!$D$25:$G$223,4,FALSE)</f>
        <v>Credits and Borrowings</v>
      </c>
      <c r="C145" s="457"/>
      <c r="D145" s="457"/>
      <c r="E145" s="457"/>
      <c r="F145" s="457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6" t="str">
        <f>+VLOOKUP(LEFT($A146,LEN(A146)-1)*1,Master!$D$25:$G$223,4,FALSE)</f>
        <v>Reserves</v>
      </c>
      <c r="C146" s="457"/>
      <c r="D146" s="457"/>
      <c r="E146" s="457"/>
      <c r="F146" s="457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4" t="str">
        <f>+VLOOKUP(LEFT($A147,LEN(A147)-1)*1,Master!$D$25:$G$223,4,FALSE)</f>
        <v>Repayment of Guarantees</v>
      </c>
      <c r="C147" s="475"/>
      <c r="D147" s="475"/>
      <c r="E147" s="475"/>
      <c r="F147" s="475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80" t="str">
        <f>+VLOOKUP(LEFT($A148,LEN(A148)-1)*1,Master!$D$25:$G$223,4,FALSE)</f>
        <v>Surplus / deficit</v>
      </c>
      <c r="C148" s="481"/>
      <c r="D148" s="481"/>
      <c r="E148" s="481"/>
      <c r="F148" s="481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82" t="str">
        <f>+VLOOKUP(LEFT($A149,LEN(A149)-1)*1,Master!$D$25:$G$223,4,FALSE)</f>
        <v>Primary balance</v>
      </c>
      <c r="C149" s="483"/>
      <c r="D149" s="483"/>
      <c r="E149" s="483"/>
      <c r="F149" s="483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4" t="str">
        <f>+VLOOKUP(LEFT($A150,LEN(A150)-1)*1,Master!$D$25:$G$223,4,FALSE)</f>
        <v>Repayment of Debt</v>
      </c>
      <c r="C150" s="485"/>
      <c r="D150" s="485"/>
      <c r="E150" s="485"/>
      <c r="F150" s="485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72" t="str">
        <f>+VLOOKUP(LEFT($A151,LEN(A151)-1)*1,Master!$D$25:$G$223,4,FALSE)</f>
        <v>Repayment of Domestic Debt</v>
      </c>
      <c r="C151" s="473"/>
      <c r="D151" s="473"/>
      <c r="E151" s="473"/>
      <c r="F151" s="473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6" t="str">
        <f>+VLOOKUP(LEFT($A152,LEN(A152)-1)*1,Master!$D$25:$G$223,4,FALSE)</f>
        <v>Repayment of Foreign Debt</v>
      </c>
      <c r="C152" s="457"/>
      <c r="D152" s="457"/>
      <c r="E152" s="457"/>
      <c r="F152" s="457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4" t="str">
        <f>+VLOOKUP(LEFT($A153,LEN(A153)-1)*1,Master!$D$25:$G$223,4,FALSE)</f>
        <v>Repayments of Arrears</v>
      </c>
      <c r="C153" s="475"/>
      <c r="D153" s="475"/>
      <c r="E153" s="475"/>
      <c r="F153" s="475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6" t="str">
        <f>+VLOOKUP(LEFT($A154,LEN(A154)-1)*1,Master!$D$25:$G$223,4,FALSE)</f>
        <v>Financing needs</v>
      </c>
      <c r="C154" s="477"/>
      <c r="D154" s="477"/>
      <c r="E154" s="477"/>
      <c r="F154" s="477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8" t="str">
        <f>+VLOOKUP(LEFT($A155,LEN(A155)-1)*1,Master!$D$25:$G$223,4,FALSE)</f>
        <v>Financing</v>
      </c>
      <c r="C155" s="479"/>
      <c r="D155" s="479"/>
      <c r="E155" s="479"/>
      <c r="F155" s="479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72" t="str">
        <f>+VLOOKUP(LEFT($A156,LEN(A156)-1)*1,Master!$D$25:$G$223,4,FALSE)</f>
        <v>Domestic Loans and Borrowings</v>
      </c>
      <c r="C156" s="473"/>
      <c r="D156" s="473"/>
      <c r="E156" s="473"/>
      <c r="F156" s="473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6" t="str">
        <f>+VLOOKUP(LEFT($A157,LEN(A157)-1)*1,Master!$D$25:$G$223,4,FALSE)</f>
        <v>Foreign Loans and Borrowings</v>
      </c>
      <c r="C157" s="457"/>
      <c r="D157" s="457"/>
      <c r="E157" s="457"/>
      <c r="F157" s="457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6" t="str">
        <f>+VLOOKUP(LEFT($A158,LEN(A158)-1)*1,Master!$D$25:$G$223,4,FALSE)</f>
        <v>Revenues from Selling Assets</v>
      </c>
      <c r="C158" s="457"/>
      <c r="D158" s="457"/>
      <c r="E158" s="457"/>
      <c r="F158" s="457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+VLOOKUP(LEFT($A159,LEN(A159)-1)*1,Master!$D$25:$G$223,4,FALSE)</f>
        <v>Increase / decrease of deposits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T8" activePane="bottomRight" state="frozen"/>
      <selection pane="topRight" activeCell="F1" sqref="F1"/>
      <selection pane="bottomLeft" activeCell="A8" sqref="A8"/>
      <selection pane="bottomRight" activeCell="EU18" sqref="EU18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55" width="12.7109375" style="41" customWidth="1"/>
    <col min="156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7" t="s">
        <v>569</v>
      </c>
      <c r="F6" s="564">
        <v>2006</v>
      </c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6"/>
      <c r="R6" s="564">
        <v>2007</v>
      </c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6"/>
      <c r="AD6" s="564">
        <v>2008</v>
      </c>
      <c r="AE6" s="565"/>
      <c r="AF6" s="565"/>
      <c r="AG6" s="565"/>
      <c r="AH6" s="565"/>
      <c r="AI6" s="565"/>
      <c r="AJ6" s="565"/>
      <c r="AK6" s="565"/>
      <c r="AL6" s="565"/>
      <c r="AM6" s="565"/>
      <c r="AN6" s="565"/>
      <c r="AO6" s="566"/>
      <c r="AP6" s="564">
        <v>2009</v>
      </c>
      <c r="AQ6" s="565"/>
      <c r="AR6" s="565"/>
      <c r="AS6" s="565"/>
      <c r="AT6" s="565"/>
      <c r="AU6" s="565"/>
      <c r="AV6" s="565"/>
      <c r="AW6" s="565"/>
      <c r="AX6" s="565"/>
      <c r="AY6" s="565"/>
      <c r="AZ6" s="565"/>
      <c r="BA6" s="566"/>
      <c r="BB6" s="564">
        <v>2010</v>
      </c>
      <c r="BC6" s="565"/>
      <c r="BD6" s="565"/>
      <c r="BE6" s="565"/>
      <c r="BF6" s="565"/>
      <c r="BG6" s="565"/>
      <c r="BH6" s="565"/>
      <c r="BI6" s="565"/>
      <c r="BJ6" s="565"/>
      <c r="BK6" s="565"/>
      <c r="BL6" s="565"/>
      <c r="BM6" s="566"/>
      <c r="BN6" s="564">
        <v>2011</v>
      </c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6"/>
      <c r="BZ6" s="565">
        <v>2012</v>
      </c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4">
        <v>2013</v>
      </c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6"/>
      <c r="CX6" s="564">
        <v>2014</v>
      </c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6"/>
      <c r="DJ6" s="564">
        <v>2015</v>
      </c>
      <c r="DK6" s="565"/>
      <c r="DL6" s="565"/>
      <c r="DM6" s="565"/>
      <c r="DN6" s="565"/>
      <c r="DO6" s="565"/>
      <c r="DP6" s="565"/>
      <c r="DQ6" s="565"/>
      <c r="DR6" s="565"/>
      <c r="DS6" s="565"/>
      <c r="DT6" s="565"/>
      <c r="DU6" s="566"/>
    </row>
    <row r="7" spans="1:321">
      <c r="E7" s="567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7" t="s">
        <v>760</v>
      </c>
      <c r="EU7" s="397" t="s">
        <v>761</v>
      </c>
      <c r="EV7" s="397" t="s">
        <v>762</v>
      </c>
      <c r="EW7" s="397" t="s">
        <v>763</v>
      </c>
      <c r="EX7" s="397" t="s">
        <v>764</v>
      </c>
      <c r="EY7" s="397" t="s">
        <v>765</v>
      </c>
      <c r="EZ7" s="397" t="s">
        <v>766</v>
      </c>
      <c r="FA7" s="397" t="s">
        <v>767</v>
      </c>
      <c r="FB7" s="397" t="s">
        <v>768</v>
      </c>
      <c r="FC7" s="397" t="s">
        <v>769</v>
      </c>
      <c r="FD7" s="397" t="s">
        <v>770</v>
      </c>
      <c r="FE7" s="397" t="s">
        <v>771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2">
        <v>79855347.849999994</v>
      </c>
      <c r="EU9" s="422">
        <v>106190042</v>
      </c>
      <c r="EV9" s="422">
        <v>137417391.37</v>
      </c>
      <c r="EW9" s="376">
        <v>147833434.00999999</v>
      </c>
      <c r="EX9" s="376">
        <v>135934065.38</v>
      </c>
      <c r="EY9" s="376"/>
      <c r="EZ9" s="376"/>
      <c r="FA9" s="376"/>
      <c r="FB9" s="376"/>
      <c r="FC9" s="376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23">
        <v>60295851.509999998</v>
      </c>
      <c r="EU10" s="423">
        <v>64797597.329999998</v>
      </c>
      <c r="EV10" s="423">
        <v>89261850.609999999</v>
      </c>
      <c r="EW10" s="378">
        <v>97799793.079999998</v>
      </c>
      <c r="EX10" s="378">
        <v>90553351.069999993</v>
      </c>
      <c r="EY10" s="378">
        <v>87503254.430000007</v>
      </c>
      <c r="EZ10" s="378">
        <v>105015545.47</v>
      </c>
      <c r="FA10" s="378">
        <v>107951400.73999999</v>
      </c>
      <c r="FB10" s="378">
        <v>102839740.52</v>
      </c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422">
        <v>3496624.83</v>
      </c>
      <c r="EU11" s="422">
        <v>8897390.9499999993</v>
      </c>
      <c r="EV11" s="422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/>
      <c r="FD11" s="376"/>
      <c r="FE11" s="376"/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422">
        <v>475602.8</v>
      </c>
      <c r="EU12" s="422">
        <v>1641570.62</v>
      </c>
      <c r="EV12" s="422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/>
      <c r="FD12" s="376"/>
      <c r="FE12" s="376"/>
      <c r="FF12" s="376"/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422">
        <v>93380.49</v>
      </c>
      <c r="EU13" s="422">
        <v>116565.53</v>
      </c>
      <c r="EV13" s="422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/>
      <c r="FD13" s="376"/>
      <c r="FE13" s="376"/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422">
        <v>40926868.810000002</v>
      </c>
      <c r="EU14" s="422">
        <v>38270122.18</v>
      </c>
      <c r="EV14" s="422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/>
      <c r="FD14" s="376"/>
      <c r="FE14" s="376"/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422">
        <v>13370061.67</v>
      </c>
      <c r="EU15" s="422">
        <v>13585674.48</v>
      </c>
      <c r="EV15" s="422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/>
      <c r="FD15" s="376"/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422">
        <v>1218936.71</v>
      </c>
      <c r="EU16" s="422">
        <v>1678360</v>
      </c>
      <c r="EV16" s="422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/>
      <c r="FD16" s="376"/>
      <c r="FE16" s="376"/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422">
        <v>714376.2</v>
      </c>
      <c r="EU17" s="422">
        <v>607913.56999999995</v>
      </c>
      <c r="EV17" s="422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/>
      <c r="FD17" s="376"/>
      <c r="FE17" s="376"/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423">
        <v>14572676.99</v>
      </c>
      <c r="EU18" s="423">
        <v>36938118.07</v>
      </c>
      <c r="EV18" s="423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422">
        <v>8994145.9900000002</v>
      </c>
      <c r="EU19" s="422">
        <v>22424749.280000001</v>
      </c>
      <c r="EV19" s="422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/>
      <c r="FD19" s="376"/>
      <c r="FE19" s="376"/>
      <c r="FF19" s="376"/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422">
        <v>4907250.76</v>
      </c>
      <c r="EU20" s="422">
        <v>12702016.77</v>
      </c>
      <c r="EV20" s="422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/>
      <c r="FD20" s="376"/>
      <c r="FE20" s="376"/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422">
        <v>365962.97</v>
      </c>
      <c r="EU21" s="422">
        <v>960588.74</v>
      </c>
      <c r="EV21" s="422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/>
      <c r="FD21" s="376"/>
      <c r="FE21" s="376"/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422">
        <v>305317.27</v>
      </c>
      <c r="EU22" s="422">
        <v>850763.28</v>
      </c>
      <c r="EV22" s="422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/>
      <c r="FD22" s="376"/>
      <c r="FE22" s="376"/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423">
        <v>785627.24</v>
      </c>
      <c r="EU23" s="423">
        <v>993423.94</v>
      </c>
      <c r="EV23" s="423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/>
      <c r="FD23" s="378"/>
      <c r="FE23" s="378"/>
      <c r="FF23" s="378"/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422">
        <v>572123.71</v>
      </c>
      <c r="EU24" s="422">
        <v>691468.91</v>
      </c>
      <c r="EV24" s="422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/>
      <c r="FD24" s="376"/>
      <c r="FE24" s="376"/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422">
        <v>93434.6</v>
      </c>
      <c r="EU25" s="422">
        <v>109385.74</v>
      </c>
      <c r="EV25" s="422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/>
      <c r="FD25" s="376"/>
      <c r="FE25" s="376"/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422">
        <v>21633.83</v>
      </c>
      <c r="EU26" s="422">
        <v>24453.21</v>
      </c>
      <c r="EV26" s="422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/>
      <c r="FD26" s="376"/>
      <c r="FE26" s="376"/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422">
        <v>98435.1</v>
      </c>
      <c r="EU27" s="422">
        <v>168116.08</v>
      </c>
      <c r="EV27" s="422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/>
      <c r="FD27" s="376"/>
      <c r="FE27" s="376"/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423">
        <v>1774503.57</v>
      </c>
      <c r="EU28" s="423">
        <v>1885893.46</v>
      </c>
      <c r="EV28" s="423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/>
      <c r="FD28" s="378"/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422">
        <v>29715.1</v>
      </c>
      <c r="EU29" s="422">
        <v>46180.29</v>
      </c>
      <c r="EV29" s="422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/>
      <c r="FD29" s="376"/>
      <c r="FE29" s="376"/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422">
        <v>120406.14</v>
      </c>
      <c r="EU30" s="422">
        <v>138658.04999999999</v>
      </c>
      <c r="EV30" s="422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/>
      <c r="FD30" s="376"/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422">
        <v>1567.64</v>
      </c>
      <c r="EU31" s="422">
        <v>1648.75</v>
      </c>
      <c r="EV31" s="422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/>
      <c r="FD31" s="376"/>
      <c r="FE31" s="376"/>
      <c r="FF31" s="376"/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422">
        <v>564026.22</v>
      </c>
      <c r="EU32" s="422">
        <v>552007.56999999995</v>
      </c>
      <c r="EV32" s="422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/>
      <c r="FD32" s="376"/>
      <c r="FE32" s="376"/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422">
        <v>202641</v>
      </c>
      <c r="EU33" s="422">
        <v>112102.37</v>
      </c>
      <c r="EV33" s="422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/>
      <c r="FD33" s="376"/>
      <c r="FE33" s="376"/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422">
        <v>856147.47</v>
      </c>
      <c r="EU34" s="422">
        <v>1035296.43</v>
      </c>
      <c r="EV34" s="422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/>
      <c r="FD34" s="376"/>
      <c r="FE34" s="376"/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423">
        <v>2425520.81</v>
      </c>
      <c r="EU35" s="423">
        <v>1609741.96</v>
      </c>
      <c r="EV35" s="423">
        <v>2046839.31</v>
      </c>
      <c r="EW35" s="378">
        <v>5482431.4299999997</v>
      </c>
      <c r="EX35" s="378">
        <v>2149512.65</v>
      </c>
      <c r="EY35" s="378">
        <v>2742352.51</v>
      </c>
      <c r="EZ35" s="378">
        <v>3928944.25</v>
      </c>
      <c r="FA35" s="378">
        <v>3453341.6</v>
      </c>
      <c r="FB35" s="378">
        <v>37466612.939999998</v>
      </c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424">
        <v>757682.7</v>
      </c>
      <c r="EU36" s="422">
        <v>26758.59</v>
      </c>
      <c r="EV36" s="422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/>
      <c r="FD36" s="376"/>
      <c r="FE36" s="376"/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422">
        <v>657232.74</v>
      </c>
      <c r="EU37" s="422">
        <v>844736.49</v>
      </c>
      <c r="EV37" s="422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/>
      <c r="FD37" s="376"/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422">
        <v>126122.18</v>
      </c>
      <c r="EU38" s="422">
        <v>179834.33</v>
      </c>
      <c r="EV38" s="422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422">
        <v>884483.19</v>
      </c>
      <c r="EU39" s="422">
        <v>558412.55000000005</v>
      </c>
      <c r="EV39" s="422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/>
      <c r="FD39" s="376"/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423">
        <v>136671.79999999999</v>
      </c>
      <c r="EU40" s="423">
        <v>273046.61</v>
      </c>
      <c r="EV40" s="423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376"/>
      <c r="EU41" s="376"/>
      <c r="EV41" s="376"/>
      <c r="EW41" s="376"/>
      <c r="EX41" s="376"/>
      <c r="EY41" s="376"/>
      <c r="EZ41" s="376"/>
      <c r="FA41" s="376"/>
      <c r="FB41" s="376"/>
      <c r="FC41" s="376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376"/>
      <c r="EU42" s="376"/>
      <c r="EV42" s="376"/>
      <c r="EW42" s="376"/>
      <c r="EX42" s="376"/>
      <c r="EY42" s="376"/>
      <c r="EZ42" s="376"/>
      <c r="FA42" s="376"/>
      <c r="FB42" s="376"/>
      <c r="FC42" s="376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423">
        <v>172043.05</v>
      </c>
      <c r="EU43" s="423">
        <v>78777.210000000006</v>
      </c>
      <c r="EV43" s="423">
        <v>195694.06</v>
      </c>
      <c r="EW43" s="378">
        <v>433978.03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/>
      <c r="FD43" s="378"/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376"/>
      <c r="EU44" s="376"/>
      <c r="EV44" s="376"/>
      <c r="EW44" s="376"/>
      <c r="EX44" s="376"/>
      <c r="EY44" s="376"/>
      <c r="EZ44" s="376"/>
      <c r="FA44" s="376"/>
      <c r="FB44" s="376"/>
      <c r="FC44" s="376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376"/>
      <c r="EU45" s="376"/>
      <c r="EV45" s="376"/>
      <c r="EW45" s="376"/>
      <c r="EX45" s="376"/>
      <c r="EY45" s="376"/>
      <c r="EZ45" s="376"/>
      <c r="FA45" s="376"/>
      <c r="FB45" s="376"/>
      <c r="FC45" s="376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423">
        <v>1518621.66</v>
      </c>
      <c r="EU46" s="423">
        <v>776556.18</v>
      </c>
      <c r="EV46" s="423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/>
      <c r="FD46" s="378"/>
      <c r="FE46" s="378"/>
      <c r="FF46" s="378"/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376"/>
      <c r="EU47" s="376"/>
      <c r="EV47" s="376"/>
      <c r="EW47" s="376"/>
      <c r="EX47" s="376"/>
      <c r="EY47" s="376"/>
      <c r="EZ47" s="376"/>
      <c r="FA47" s="376"/>
      <c r="FB47" s="376"/>
      <c r="FC47" s="376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423">
        <v>24756264.800000001</v>
      </c>
      <c r="EU49" s="423">
        <v>75548588.189999998</v>
      </c>
      <c r="EV49" s="423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16543114.029999999</v>
      </c>
      <c r="FC49" s="378"/>
      <c r="FD49" s="378"/>
      <c r="FE49" s="378"/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376"/>
      <c r="EU50" s="376"/>
      <c r="EV50" s="376"/>
      <c r="EW50" s="376"/>
      <c r="EX50" s="376"/>
      <c r="EY50" s="376"/>
      <c r="EZ50" s="376"/>
      <c r="FA50" s="376"/>
      <c r="FB50" s="376"/>
      <c r="FC50" s="376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424">
        <v>24535941.960000001</v>
      </c>
      <c r="EU51" s="424">
        <v>75357443.420000002</v>
      </c>
      <c r="EV51" s="424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424">
        <v>220322.84</v>
      </c>
      <c r="EU52" s="424">
        <v>191078.77</v>
      </c>
      <c r="EV52" s="424">
        <v>5238085.6500000004</v>
      </c>
      <c r="EW52" s="376">
        <v>125398354.06999999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16543114.029999999</v>
      </c>
      <c r="FC52" s="376"/>
      <c r="FD52" s="376"/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422">
        <v>104498495.13</v>
      </c>
      <c r="EU53" s="422">
        <v>123153743.48</v>
      </c>
      <c r="EV53" s="422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422">
        <v>17822596.359999999</v>
      </c>
      <c r="EU54" s="422">
        <v>53222053.950000003</v>
      </c>
      <c r="EV54" s="422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422">
        <v>37313745.240000002</v>
      </c>
      <c r="EU55" s="422">
        <v>38053361.399999999</v>
      </c>
      <c r="EV55" s="422">
        <v>36623552.420000002</v>
      </c>
      <c r="EW55" s="376">
        <v>38350938.119999997</v>
      </c>
      <c r="EX55" s="376">
        <v>38447534.82</v>
      </c>
      <c r="EY55" s="376">
        <v>38983346.57</v>
      </c>
      <c r="EZ55" s="376">
        <v>37411972.93</v>
      </c>
      <c r="FA55" s="376">
        <v>36767851.93</v>
      </c>
      <c r="FB55" s="376">
        <v>38163591.060000002</v>
      </c>
      <c r="FC55" s="376"/>
      <c r="FD55" s="376"/>
      <c r="FE55" s="376"/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422"/>
      <c r="EV56" s="422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422"/>
      <c r="EV57" s="422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422"/>
      <c r="EV58" s="422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422"/>
      <c r="EV59" s="422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422"/>
      <c r="EV60" s="422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422">
        <v>363127.64</v>
      </c>
      <c r="EU61" s="422">
        <v>848575.97</v>
      </c>
      <c r="EV61" s="422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/>
      <c r="FD61" s="376"/>
      <c r="FE61" s="376"/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422"/>
      <c r="EV62" s="422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422"/>
      <c r="EV63" s="422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376"/>
      <c r="EU64" s="422"/>
      <c r="EV64" s="422"/>
      <c r="EW64" s="376"/>
      <c r="EX64" s="376"/>
      <c r="EY64" s="376"/>
      <c r="EZ64" s="376"/>
      <c r="FA64" s="376"/>
      <c r="FB64" s="376"/>
      <c r="FC64" s="376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376"/>
      <c r="EU65" s="422"/>
      <c r="EV65" s="422"/>
      <c r="EW65" s="376"/>
      <c r="EX65" s="376"/>
      <c r="EY65" s="376"/>
      <c r="EZ65" s="376"/>
      <c r="FA65" s="376"/>
      <c r="FB65" s="376"/>
      <c r="FC65" s="376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376"/>
      <c r="EU66" s="422"/>
      <c r="EV66" s="422"/>
      <c r="EW66" s="376"/>
      <c r="EX66" s="376"/>
      <c r="EY66" s="376"/>
      <c r="EZ66" s="376"/>
      <c r="FA66" s="376"/>
      <c r="FB66" s="376"/>
      <c r="FC66" s="376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376"/>
      <c r="EU67" s="422"/>
      <c r="EV67" s="422"/>
      <c r="EW67" s="376"/>
      <c r="EX67" s="376"/>
      <c r="EY67" s="376"/>
      <c r="EZ67" s="376"/>
      <c r="FA67" s="376"/>
      <c r="FB67" s="376"/>
      <c r="FC67" s="376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376"/>
      <c r="EU68" s="422"/>
      <c r="EV68" s="422"/>
      <c r="EW68" s="376"/>
      <c r="EX68" s="376"/>
      <c r="EY68" s="376"/>
      <c r="EZ68" s="376"/>
      <c r="FA68" s="376"/>
      <c r="FB68" s="376"/>
      <c r="FC68" s="376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422">
        <v>1027061</v>
      </c>
      <c r="EU69" s="422">
        <v>2339456.96</v>
      </c>
      <c r="EV69" s="422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422"/>
      <c r="EV70" s="422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422"/>
      <c r="EV71" s="422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422"/>
      <c r="EV72" s="422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422"/>
      <c r="EV73" s="422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422"/>
      <c r="EV74" s="422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422"/>
      <c r="EV75" s="422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422">
        <v>1697415.73</v>
      </c>
      <c r="EU76" s="422">
        <v>3151750.86</v>
      </c>
      <c r="EV76" s="422">
        <v>4225810.8600000003</v>
      </c>
      <c r="EW76" s="376">
        <v>4576692.6500000004</v>
      </c>
      <c r="EX76" s="376">
        <v>4902792.45</v>
      </c>
      <c r="EY76" s="376">
        <v>14378909.960000001</v>
      </c>
      <c r="EZ76" s="376">
        <v>4958236.41</v>
      </c>
      <c r="FA76" s="376">
        <v>3624827.41</v>
      </c>
      <c r="FB76" s="376">
        <v>5520757.9299999997</v>
      </c>
      <c r="FC76" s="376"/>
      <c r="FD76" s="376"/>
      <c r="FE76" s="376"/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422"/>
      <c r="EV77" s="422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422"/>
      <c r="EV78" s="422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422"/>
      <c r="EV79" s="422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422"/>
      <c r="EV80" s="422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422"/>
      <c r="EV81" s="422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422"/>
      <c r="EV82" s="422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422"/>
      <c r="EV83" s="422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422"/>
      <c r="EV84" s="422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422"/>
      <c r="EV85" s="422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422">
        <v>106817.18</v>
      </c>
      <c r="EU86" s="422">
        <v>1254053.07</v>
      </c>
      <c r="EV86" s="422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/>
      <c r="FD86" s="376"/>
      <c r="FE86" s="376"/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422"/>
      <c r="EV87" s="422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422"/>
      <c r="EV88" s="422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422"/>
      <c r="EV89" s="422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422">
        <v>4324077.55</v>
      </c>
      <c r="EU90" s="422">
        <v>1050801.23</v>
      </c>
      <c r="EV90" s="422">
        <v>39514676.710000001</v>
      </c>
      <c r="EW90" s="376">
        <v>1628189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/>
      <c r="FD90" s="376"/>
      <c r="FE90" s="376"/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422"/>
      <c r="EV91" s="422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422"/>
      <c r="EV92" s="422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422">
        <v>175603.34</v>
      </c>
      <c r="EU93" s="422">
        <v>1124463.03</v>
      </c>
      <c r="EV93" s="422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/>
      <c r="FD93" s="376"/>
      <c r="FE93" s="376"/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422"/>
      <c r="EV94" s="422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422"/>
      <c r="EV95" s="422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422"/>
      <c r="EV96" s="422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422">
        <v>31033.66</v>
      </c>
      <c r="EU97" s="422">
        <v>2281116.2599999998</v>
      </c>
      <c r="EV97" s="422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/>
      <c r="FD97" s="376"/>
      <c r="FE97" s="376"/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422"/>
      <c r="EV98" s="422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422"/>
      <c r="EV99" s="422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422"/>
      <c r="EV100" s="422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422">
        <v>585935.19999999995</v>
      </c>
      <c r="EU101" s="422">
        <v>3390433.55</v>
      </c>
      <c r="EV101" s="422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/>
      <c r="FD101" s="376"/>
      <c r="FE101" s="376"/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422"/>
      <c r="EV102" s="422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422"/>
      <c r="EV103" s="422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422"/>
      <c r="EV104" s="422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422"/>
      <c r="EV105" s="422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422"/>
      <c r="EV106" s="422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422"/>
      <c r="EV107" s="422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422"/>
      <c r="EV108" s="422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422"/>
      <c r="EV109" s="422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422"/>
      <c r="EV110" s="422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422">
        <v>42244817.57</v>
      </c>
      <c r="EU111" s="422">
        <v>45525440.090000004</v>
      </c>
      <c r="EV111" s="422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422">
        <v>6003212.1200000001</v>
      </c>
      <c r="EU112" s="422">
        <v>7135869.1500000004</v>
      </c>
      <c r="EV112" s="422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/>
      <c r="FD112" s="376"/>
      <c r="FE112" s="376"/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422"/>
      <c r="EV113" s="422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376"/>
      <c r="EU114" s="422"/>
      <c r="EV114" s="422"/>
      <c r="EW114" s="376"/>
      <c r="EX114" s="376"/>
      <c r="EY114" s="376"/>
      <c r="EZ114" s="376"/>
      <c r="FA114" s="376"/>
      <c r="FB114" s="376"/>
      <c r="FC114" s="376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376"/>
      <c r="EU115" s="422"/>
      <c r="EV115" s="422"/>
      <c r="EW115" s="376"/>
      <c r="EX115" s="376"/>
      <c r="EY115" s="376"/>
      <c r="EZ115" s="376"/>
      <c r="FA115" s="376"/>
      <c r="FB115" s="376"/>
      <c r="FC115" s="376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376"/>
      <c r="EU116" s="422"/>
      <c r="EV116" s="422"/>
      <c r="EW116" s="376"/>
      <c r="EX116" s="376"/>
      <c r="EY116" s="376"/>
      <c r="EZ116" s="376"/>
      <c r="FA116" s="376"/>
      <c r="FB116" s="376"/>
      <c r="FC116" s="376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376"/>
      <c r="EU117" s="422"/>
      <c r="EV117" s="422"/>
      <c r="EW117" s="376"/>
      <c r="EX117" s="376"/>
      <c r="EY117" s="376"/>
      <c r="EZ117" s="376"/>
      <c r="FA117" s="376"/>
      <c r="FB117" s="376"/>
      <c r="FC117" s="376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376"/>
      <c r="EU118" s="422"/>
      <c r="EV118" s="422"/>
      <c r="EW118" s="376"/>
      <c r="EX118" s="376"/>
      <c r="EY118" s="376"/>
      <c r="EZ118" s="376"/>
      <c r="FA118" s="376"/>
      <c r="FB118" s="376"/>
      <c r="FC118" s="376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376"/>
      <c r="EU119" s="422"/>
      <c r="EV119" s="422"/>
      <c r="EW119" s="376"/>
      <c r="EX119" s="376"/>
      <c r="EY119" s="376"/>
      <c r="EZ119" s="376"/>
      <c r="FA119" s="376"/>
      <c r="FB119" s="376"/>
      <c r="FC119" s="376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376"/>
      <c r="EU120" s="422"/>
      <c r="EV120" s="422"/>
      <c r="EW120" s="376"/>
      <c r="EX120" s="376"/>
      <c r="EY120" s="376"/>
      <c r="EZ120" s="376"/>
      <c r="FA120" s="376"/>
      <c r="FB120" s="376"/>
      <c r="FC120" s="376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422">
        <v>110952</v>
      </c>
      <c r="EU121" s="422">
        <v>1323906.01</v>
      </c>
      <c r="EV121" s="422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/>
      <c r="FD121" s="376"/>
      <c r="FE121" s="376"/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422"/>
      <c r="EV122" s="422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422"/>
      <c r="EV123" s="422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422"/>
      <c r="EV124" s="422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422"/>
      <c r="EV125" s="422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422"/>
      <c r="EV126" s="422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422">
        <v>34029606.390000001</v>
      </c>
      <c r="EU127" s="422">
        <v>34751702.420000002</v>
      </c>
      <c r="EV127" s="422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/>
      <c r="FD127" s="376"/>
      <c r="FE127" s="376"/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422"/>
      <c r="EV128" s="422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422"/>
      <c r="EV129" s="422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422"/>
      <c r="EV130" s="422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422"/>
      <c r="EV131" s="422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422"/>
      <c r="EV132" s="422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422"/>
      <c r="EV133" s="422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422"/>
      <c r="EV134" s="422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422">
        <v>1365364.87</v>
      </c>
      <c r="EU135" s="422">
        <v>1602918.54</v>
      </c>
      <c r="EV135" s="422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/>
      <c r="FD135" s="376"/>
      <c r="FE135" s="376"/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422"/>
      <c r="EV136" s="422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422">
        <v>735682.19</v>
      </c>
      <c r="EU137" s="422">
        <v>711043.97</v>
      </c>
      <c r="EV137" s="422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3555204.14</v>
      </c>
      <c r="FB137" s="376">
        <v>1229369.33</v>
      </c>
      <c r="FC137" s="376"/>
      <c r="FD137" s="376"/>
      <c r="FE137" s="376"/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422"/>
      <c r="EV138" s="422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422"/>
      <c r="EV139" s="422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422"/>
      <c r="EV140" s="422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422">
        <v>11036841.98</v>
      </c>
      <c r="EU141" s="422">
        <v>13096709.15</v>
      </c>
      <c r="EV141" s="422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/>
      <c r="FD141" s="376"/>
      <c r="FE141" s="376"/>
      <c r="FF141" s="376"/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422">
        <v>10553508.65</v>
      </c>
      <c r="EU142" s="422">
        <v>12813375.82</v>
      </c>
      <c r="EV142" s="422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/>
      <c r="FD142" s="376"/>
      <c r="FE142" s="376"/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422"/>
      <c r="EU143" s="422"/>
      <c r="EV143" s="422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422"/>
      <c r="EV144" s="422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422"/>
      <c r="EV145" s="422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422"/>
      <c r="EV146" s="422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422"/>
      <c r="EV147" s="422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422"/>
      <c r="EV148" s="422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422"/>
      <c r="EV149" s="422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422"/>
      <c r="EV150" s="422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422"/>
      <c r="EV151" s="422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422">
        <v>483333.33</v>
      </c>
      <c r="EU152" s="422">
        <v>283333.33</v>
      </c>
      <c r="EV152" s="422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/>
      <c r="FD152" s="376"/>
      <c r="FE152" s="376"/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422"/>
      <c r="EV153" s="422"/>
      <c r="EW153" s="376"/>
      <c r="EX153" s="376"/>
      <c r="EY153" s="440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422"/>
      <c r="EV154" s="422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422"/>
      <c r="EV155" s="422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422"/>
      <c r="EV156" s="422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422"/>
      <c r="EV157" s="422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422"/>
      <c r="EV158" s="422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422">
        <v>2060574.27</v>
      </c>
      <c r="EU159" s="422">
        <v>2958395.49</v>
      </c>
      <c r="EV159" s="422">
        <v>10806505.67</v>
      </c>
      <c r="EW159" s="376">
        <v>28775491.48</v>
      </c>
      <c r="EX159" s="376">
        <v>12314358.92</v>
      </c>
      <c r="EY159" s="376">
        <v>19994287.210000001</v>
      </c>
      <c r="EZ159" s="376">
        <v>22219463.719999999</v>
      </c>
      <c r="FA159" s="376">
        <v>7067070.5700000003</v>
      </c>
      <c r="FB159" s="376">
        <v>38353416.07</v>
      </c>
      <c r="FC159" s="376"/>
      <c r="FD159" s="376"/>
      <c r="FE159" s="376"/>
      <c r="FF159" s="376"/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422">
        <v>3266992.16</v>
      </c>
      <c r="EU160" s="422">
        <v>1252962.76</v>
      </c>
      <c r="EV160" s="422">
        <v>2398205.81</v>
      </c>
      <c r="EW160" s="376">
        <v>2567489.7200000002</v>
      </c>
      <c r="EX160" s="376">
        <v>3090956.9800000042</v>
      </c>
      <c r="EY160" s="376">
        <v>7288010.0899999999</v>
      </c>
      <c r="EZ160" s="376">
        <v>2615698.5299999998</v>
      </c>
      <c r="FA160" s="376">
        <v>2782160.17</v>
      </c>
      <c r="FB160" s="376">
        <v>3339367.45</v>
      </c>
      <c r="FC160" s="376"/>
      <c r="FD160" s="376"/>
      <c r="FE160" s="376"/>
      <c r="FF160" s="376"/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422"/>
      <c r="EV161" s="422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422"/>
      <c r="EV162" s="422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422"/>
      <c r="EV163" s="422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422"/>
      <c r="EV164" s="422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422"/>
      <c r="EV165" s="422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422"/>
      <c r="EV166" s="422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422"/>
      <c r="EV167" s="422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422"/>
      <c r="EV168" s="422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/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422"/>
      <c r="EV169" s="422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422">
        <v>5000</v>
      </c>
      <c r="EU170" s="422">
        <v>380906.62</v>
      </c>
      <c r="EV170" s="422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/>
      <c r="FD170" s="376"/>
      <c r="FE170" s="376"/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422">
        <v>5000</v>
      </c>
      <c r="EU171" s="422">
        <v>380906.62</v>
      </c>
      <c r="EV171" s="422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/>
      <c r="FD171" s="376"/>
      <c r="FE171" s="376"/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422"/>
      <c r="EV172" s="422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422"/>
      <c r="EV173" s="422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422"/>
      <c r="EV174" s="422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422"/>
      <c r="EV175" s="422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422"/>
      <c r="EV176" s="422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422">
        <v>27871672.789999999</v>
      </c>
      <c r="EU177" s="422">
        <v>56704926.840000004</v>
      </c>
      <c r="EV177" s="422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422">
        <v>26200164.98</v>
      </c>
      <c r="EU178" s="422">
        <v>54488971.759999998</v>
      </c>
      <c r="EV178" s="422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422">
        <v>24566746.16</v>
      </c>
      <c r="EU179" s="422">
        <v>50952373.509999998</v>
      </c>
      <c r="EV179" s="422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/>
      <c r="FD179" s="376"/>
      <c r="FE179" s="376"/>
      <c r="FF179" s="376"/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422">
        <v>1633418.82</v>
      </c>
      <c r="EU180" s="422">
        <v>3536598.25</v>
      </c>
      <c r="EV180" s="422">
        <v>12014620.48</v>
      </c>
      <c r="EW180" s="376">
        <v>17749813.48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/>
      <c r="FD180" s="376"/>
      <c r="FE180" s="376"/>
      <c r="FF180" s="376"/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422"/>
      <c r="EV181" s="422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/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422"/>
      <c r="EV182" s="422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422"/>
      <c r="EV183" s="422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422">
        <v>1698819.3</v>
      </c>
      <c r="EU184" s="422">
        <v>2215955.08</v>
      </c>
      <c r="EV184" s="422">
        <v>2027778.28</v>
      </c>
      <c r="EW184" s="376">
        <v>2489375.23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/>
      <c r="FD184" s="376"/>
      <c r="FE184" s="376"/>
      <c r="FF184" s="376"/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422">
        <v>190000</v>
      </c>
      <c r="EU185" s="422">
        <v>92000</v>
      </c>
      <c r="EV185" s="422">
        <v>2352909.08</v>
      </c>
      <c r="EW185" s="376">
        <v>460039.86</v>
      </c>
      <c r="EX185" s="376">
        <v>4042331.56</v>
      </c>
      <c r="EY185" s="376">
        <v>1980934.15</v>
      </c>
      <c r="EZ185" s="376">
        <v>1800352.01</v>
      </c>
      <c r="FA185" s="376">
        <v>249386.57</v>
      </c>
      <c r="FB185" s="376">
        <v>1509208.74</v>
      </c>
      <c r="FC185" s="376"/>
      <c r="FD185" s="376"/>
      <c r="FE185" s="376"/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41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3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+Master!G25</f>
        <v>Total Revenues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+Master!G77</f>
        <v>Total Expenditures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+Master!G217</f>
        <v>Surplus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47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48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61">
      <c r="EH212" s="339"/>
    </row>
    <row r="215" spans="1:161">
      <c r="E215" s="567" t="s">
        <v>690</v>
      </c>
      <c r="F215" s="564">
        <v>2006</v>
      </c>
      <c r="G215" s="565"/>
      <c r="H215" s="565"/>
      <c r="I215" s="565"/>
      <c r="J215" s="565"/>
      <c r="K215" s="565"/>
      <c r="L215" s="565"/>
      <c r="M215" s="565"/>
      <c r="N215" s="565"/>
      <c r="O215" s="565"/>
      <c r="P215" s="565"/>
      <c r="Q215" s="566"/>
      <c r="R215" s="564">
        <v>2007</v>
      </c>
      <c r="S215" s="565"/>
      <c r="T215" s="565"/>
      <c r="U215" s="565"/>
      <c r="V215" s="565"/>
      <c r="W215" s="565"/>
      <c r="X215" s="565"/>
      <c r="Y215" s="565"/>
      <c r="Z215" s="565"/>
      <c r="AA215" s="565"/>
      <c r="AB215" s="565"/>
      <c r="AC215" s="566"/>
      <c r="AD215" s="564">
        <v>2008</v>
      </c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6"/>
      <c r="AP215" s="564">
        <v>2009</v>
      </c>
      <c r="AQ215" s="565"/>
      <c r="AR215" s="565"/>
      <c r="AS215" s="565"/>
      <c r="AT215" s="565"/>
      <c r="AU215" s="565"/>
      <c r="AV215" s="565"/>
      <c r="AW215" s="565"/>
      <c r="AX215" s="565"/>
      <c r="AY215" s="565"/>
      <c r="AZ215" s="565"/>
      <c r="BA215" s="566"/>
      <c r="BB215" s="564">
        <v>2010</v>
      </c>
      <c r="BC215" s="565"/>
      <c r="BD215" s="565"/>
      <c r="BE215" s="565"/>
      <c r="BF215" s="565"/>
      <c r="BG215" s="565"/>
      <c r="BH215" s="565"/>
      <c r="BI215" s="565"/>
      <c r="BJ215" s="565"/>
      <c r="BK215" s="565"/>
      <c r="BL215" s="565"/>
      <c r="BM215" s="566"/>
      <c r="BN215" s="564">
        <v>2011</v>
      </c>
      <c r="BO215" s="565"/>
      <c r="BP215" s="565"/>
      <c r="BQ215" s="565"/>
      <c r="BR215" s="565"/>
      <c r="BS215" s="565"/>
      <c r="BT215" s="565"/>
      <c r="BU215" s="565"/>
      <c r="BV215" s="565"/>
      <c r="BW215" s="565"/>
      <c r="BX215" s="565"/>
      <c r="BY215" s="566"/>
      <c r="BZ215" s="565">
        <v>2012</v>
      </c>
      <c r="CA215" s="565"/>
      <c r="CB215" s="565"/>
      <c r="CC215" s="565"/>
      <c r="CD215" s="565"/>
      <c r="CE215" s="565"/>
      <c r="CF215" s="565"/>
      <c r="CG215" s="565"/>
      <c r="CH215" s="565"/>
      <c r="CI215" s="565"/>
      <c r="CJ215" s="565"/>
      <c r="CK215" s="565"/>
      <c r="CL215" s="564">
        <v>2013</v>
      </c>
      <c r="CM215" s="565"/>
      <c r="CN215" s="565"/>
      <c r="CO215" s="565"/>
      <c r="CP215" s="565"/>
      <c r="CQ215" s="565"/>
      <c r="CR215" s="565"/>
      <c r="CS215" s="565"/>
      <c r="CT215" s="565"/>
      <c r="CU215" s="565"/>
      <c r="CV215" s="565"/>
      <c r="CW215" s="566"/>
      <c r="CX215" s="564">
        <v>2014</v>
      </c>
      <c r="CY215" s="565"/>
      <c r="CZ215" s="565"/>
      <c r="DA215" s="565"/>
      <c r="DB215" s="565"/>
      <c r="DC215" s="565"/>
      <c r="DD215" s="565"/>
      <c r="DE215" s="565"/>
      <c r="DF215" s="565"/>
      <c r="DG215" s="565"/>
      <c r="DH215" s="565"/>
      <c r="DI215" s="566"/>
      <c r="DJ215" s="564">
        <v>2015</v>
      </c>
      <c r="DK215" s="565"/>
      <c r="DL215" s="565"/>
      <c r="DM215" s="565"/>
      <c r="DN215" s="565"/>
      <c r="DO215" s="565"/>
      <c r="DP215" s="565"/>
      <c r="DQ215" s="565"/>
      <c r="DR215" s="565"/>
      <c r="DS215" s="565"/>
      <c r="DT215" s="565"/>
      <c r="DU215" s="566"/>
    </row>
    <row r="216" spans="1:161">
      <c r="E216" s="567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7" t="s">
        <v>742</v>
      </c>
      <c r="EI216" s="397" t="s">
        <v>743</v>
      </c>
      <c r="EJ216" s="397" t="s">
        <v>744</v>
      </c>
      <c r="EK216" s="397" t="s">
        <v>745</v>
      </c>
      <c r="EL216" s="397" t="s">
        <v>746</v>
      </c>
      <c r="EM216" s="397" t="s">
        <v>747</v>
      </c>
      <c r="EN216" s="397" t="s">
        <v>748</v>
      </c>
      <c r="EO216" s="397" t="s">
        <v>749</v>
      </c>
      <c r="EP216" s="397" t="s">
        <v>750</v>
      </c>
      <c r="EQ216" s="397" t="s">
        <v>751</v>
      </c>
      <c r="ER216" s="397" t="s">
        <v>752</v>
      </c>
      <c r="ES216" s="397" t="s">
        <v>753</v>
      </c>
      <c r="ET216" s="397" t="s">
        <v>760</v>
      </c>
      <c r="EU216" s="397" t="s">
        <v>761</v>
      </c>
      <c r="EV216" s="397" t="s">
        <v>762</v>
      </c>
      <c r="EW216" s="397" t="s">
        <v>763</v>
      </c>
      <c r="EX216" s="397" t="s">
        <v>764</v>
      </c>
      <c r="EY216" s="397" t="s">
        <v>765</v>
      </c>
      <c r="EZ216" s="397" t="s">
        <v>766</v>
      </c>
      <c r="FA216" s="397" t="s">
        <v>767</v>
      </c>
      <c r="FB216" s="397" t="s">
        <v>768</v>
      </c>
      <c r="FC216" s="397" t="s">
        <v>769</v>
      </c>
      <c r="FD216" s="397" t="s">
        <v>770</v>
      </c>
      <c r="FE216" s="397" t="s">
        <v>771</v>
      </c>
    </row>
    <row r="217" spans="1:161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61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61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11">
        <v>60295851.510000005</v>
      </c>
      <c r="EU219" s="411">
        <v>64797597.330000006</v>
      </c>
      <c r="EV219" s="411">
        <v>89261850.609999985</v>
      </c>
      <c r="EW219" s="411">
        <v>97799793.080000013</v>
      </c>
      <c r="EX219" s="411">
        <v>90553351.069999993</v>
      </c>
      <c r="EY219" s="411">
        <v>87503254.430000007</v>
      </c>
      <c r="EZ219" s="411">
        <v>99397799.482830197</v>
      </c>
      <c r="FA219" s="411">
        <v>110357770.3498607</v>
      </c>
      <c r="FB219" s="411">
        <v>102093047.15872496</v>
      </c>
      <c r="FC219" s="411">
        <v>95698512.829288453</v>
      </c>
      <c r="FD219" s="411">
        <v>82424829.046484277</v>
      </c>
      <c r="FE219" s="411">
        <v>98213532.499999791</v>
      </c>
    </row>
    <row r="220" spans="1:161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</row>
    <row r="221" spans="1:161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</row>
    <row r="222" spans="1:161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</row>
    <row r="223" spans="1:161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</row>
    <row r="224" spans="1:161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</row>
    <row r="225" spans="1:161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</row>
    <row r="226" spans="1:161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61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11">
        <v>14572676.99</v>
      </c>
      <c r="EU228" s="411">
        <v>36938118.07</v>
      </c>
      <c r="EV228" s="411">
        <v>43053255.970000006</v>
      </c>
      <c r="EW228" s="411">
        <v>41029948.000000007</v>
      </c>
      <c r="EX228" s="411">
        <v>40388291.549999997</v>
      </c>
      <c r="EY228" s="411">
        <v>42077356.240000002</v>
      </c>
      <c r="EZ228" s="411">
        <v>46362054.926801726</v>
      </c>
      <c r="FA228" s="411">
        <v>45724084.253699668</v>
      </c>
      <c r="FB228" s="411">
        <v>41947258.969554022</v>
      </c>
      <c r="FC228" s="411">
        <v>44433442.802094914</v>
      </c>
      <c r="FD228" s="411">
        <v>45788790.684398532</v>
      </c>
      <c r="FE228" s="411">
        <v>79938550.463845864</v>
      </c>
    </row>
    <row r="229" spans="1:161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</row>
    <row r="230" spans="1:161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</row>
    <row r="231" spans="1:161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</row>
    <row r="232" spans="1:161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</row>
    <row r="233" spans="1:161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11">
        <v>785627.23999999987</v>
      </c>
      <c r="EU233" s="411">
        <v>993423.94</v>
      </c>
      <c r="EV233" s="411">
        <v>1089343.29</v>
      </c>
      <c r="EW233" s="411">
        <v>1198538.77</v>
      </c>
      <c r="EX233" s="411">
        <v>1382138.7799999998</v>
      </c>
      <c r="EY233" s="411">
        <v>1539773.02</v>
      </c>
      <c r="EZ233" s="411">
        <v>1993333.2050530105</v>
      </c>
      <c r="FA233" s="411">
        <v>2094009.8411112905</v>
      </c>
      <c r="FB233" s="411">
        <v>1758705.3100069393</v>
      </c>
      <c r="FC233" s="411">
        <v>1756312.8353634721</v>
      </c>
      <c r="FD233" s="411">
        <v>1538063.0039378535</v>
      </c>
      <c r="FE233" s="411">
        <v>1571199.152751297</v>
      </c>
    </row>
    <row r="234" spans="1:161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</row>
    <row r="235" spans="1:161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</row>
    <row r="236" spans="1:161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</row>
    <row r="237" spans="1:161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</row>
    <row r="238" spans="1:161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11">
        <v>1774503.5699999998</v>
      </c>
      <c r="EU238" s="411">
        <v>1885893.46</v>
      </c>
      <c r="EV238" s="411">
        <v>2001213.06</v>
      </c>
      <c r="EW238" s="411">
        <v>2389766.7799999998</v>
      </c>
      <c r="EX238" s="411">
        <v>1530724.52</v>
      </c>
      <c r="EY238" s="411">
        <v>2860047.35</v>
      </c>
      <c r="EZ238" s="411">
        <v>2768982.89609381</v>
      </c>
      <c r="FA238" s="411">
        <v>1878964.846878767</v>
      </c>
      <c r="FB238" s="411">
        <v>2453431.0919642458</v>
      </c>
      <c r="FC238" s="411">
        <v>3062621.0292725526</v>
      </c>
      <c r="FD238" s="411">
        <v>2157522.0205821833</v>
      </c>
      <c r="FE238" s="411">
        <v>3364455.4723437326</v>
      </c>
    </row>
    <row r="239" spans="1:161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</row>
    <row r="240" spans="1:161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</row>
    <row r="241" spans="1:161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</row>
    <row r="242" spans="1:161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</row>
    <row r="243" spans="1:161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</row>
    <row r="244" spans="1:161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</row>
    <row r="245" spans="1:161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11">
        <v>2425520.8099999996</v>
      </c>
      <c r="EU245" s="411">
        <v>1609741.96</v>
      </c>
      <c r="EV245" s="411">
        <v>2046839.3099999998</v>
      </c>
      <c r="EW245" s="411">
        <v>5482431.4299999997</v>
      </c>
      <c r="EX245" s="411">
        <v>2151437.83</v>
      </c>
      <c r="EY245" s="411">
        <v>2740294.16</v>
      </c>
      <c r="EZ245" s="411">
        <v>3610099.6149461018</v>
      </c>
      <c r="FA245" s="411">
        <v>2856432.7673175023</v>
      </c>
      <c r="FB245" s="411">
        <v>38693622.019299239</v>
      </c>
      <c r="FC245" s="411">
        <v>3080614.3453884441</v>
      </c>
      <c r="FD245" s="411">
        <v>2054798.3756645597</v>
      </c>
      <c r="FE245" s="411">
        <v>4981072.0471647922</v>
      </c>
    </row>
    <row r="246" spans="1:161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</row>
    <row r="247" spans="1:161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</row>
    <row r="248" spans="1:161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</row>
    <row r="249" spans="1:161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</row>
    <row r="250" spans="1:161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</row>
    <row r="251" spans="1:161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61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61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</row>
    <row r="254" spans="1:161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</row>
    <row r="255" spans="1:161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61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</row>
    <row r="257" spans="1:162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</row>
    <row r="258" spans="1:162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62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62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</row>
    <row r="261" spans="1:162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</row>
    <row r="262" spans="1:162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</row>
    <row r="263" spans="1:162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62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62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10">
        <v>36581480.009166665</v>
      </c>
      <c r="EU265" s="410">
        <v>36581480.009166665</v>
      </c>
      <c r="EV265" s="410">
        <v>36581480.009166665</v>
      </c>
      <c r="EW265" s="410">
        <v>36581480.009166665</v>
      </c>
      <c r="EX265" s="410">
        <v>36581480.009166665</v>
      </c>
      <c r="EY265" s="410">
        <v>36581480.009166665</v>
      </c>
      <c r="EZ265" s="410">
        <v>36581480.009166665</v>
      </c>
      <c r="FA265" s="410">
        <v>36581480.009166665</v>
      </c>
      <c r="FB265" s="410">
        <v>42330489.099166654</v>
      </c>
      <c r="FC265" s="410">
        <v>42330489.099166654</v>
      </c>
      <c r="FD265" s="410">
        <v>42330489.099166654</v>
      </c>
      <c r="FE265" s="410">
        <v>42330489.099166654</v>
      </c>
      <c r="FF265" s="410">
        <v>461973796.46999985</v>
      </c>
    </row>
    <row r="266" spans="1:162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62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62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62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62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62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10">
        <v>1045765.8483333333</v>
      </c>
      <c r="EU271" s="410">
        <v>1045765.8483333333</v>
      </c>
      <c r="EV271" s="410">
        <v>1045765.8483333333</v>
      </c>
      <c r="EW271" s="410">
        <v>1064654.7372222226</v>
      </c>
      <c r="EX271" s="410">
        <v>1064654.7372222226</v>
      </c>
      <c r="EY271" s="410">
        <v>1064654.7372222226</v>
      </c>
      <c r="EZ271" s="410">
        <v>1064654.7372222226</v>
      </c>
      <c r="FA271" s="410">
        <v>1064654.7372222226</v>
      </c>
      <c r="FB271" s="410">
        <v>1064654.7372222201</v>
      </c>
      <c r="FC271" s="410">
        <v>1064654.7372222201</v>
      </c>
      <c r="FD271" s="410">
        <v>1064654.7372222226</v>
      </c>
      <c r="FE271" s="410">
        <v>1608087.7372222189</v>
      </c>
      <c r="FF271" s="410">
        <v>13262623.18</v>
      </c>
    </row>
    <row r="272" spans="1:162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62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62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62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62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62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62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62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10">
        <v>2429373.3213333334</v>
      </c>
      <c r="EU279" s="410">
        <v>2429373.3213333334</v>
      </c>
      <c r="EV279" s="410">
        <v>2429373.3213333334</v>
      </c>
      <c r="EW279" s="410">
        <v>2429373.3213333334</v>
      </c>
      <c r="EX279" s="410">
        <v>2429373.3213333334</v>
      </c>
      <c r="EY279" s="410">
        <v>2429373.3213333334</v>
      </c>
      <c r="EZ279" s="410">
        <v>3644059.9819999994</v>
      </c>
      <c r="FA279" s="410">
        <v>3644059.9819999994</v>
      </c>
      <c r="FB279" s="410">
        <v>4454463.4019999988</v>
      </c>
      <c r="FC279" s="410">
        <v>4454463.4019999988</v>
      </c>
      <c r="FD279" s="410">
        <v>4454463.4019999988</v>
      </c>
      <c r="FE279" s="410">
        <v>4454463.4019999988</v>
      </c>
      <c r="FF279" s="410">
        <v>39682213.5</v>
      </c>
    </row>
    <row r="280" spans="1:162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62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62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62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62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62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62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10">
        <v>3986420.5893333331</v>
      </c>
      <c r="EU286" s="410">
        <v>3986420.5893333331</v>
      </c>
      <c r="EV286" s="410">
        <v>3986420.5893333331</v>
      </c>
      <c r="EW286" s="410">
        <v>4097531.7004444432</v>
      </c>
      <c r="EX286" s="410">
        <v>4097531.7004444432</v>
      </c>
      <c r="EY286" s="410">
        <v>4097531.7004444432</v>
      </c>
      <c r="EZ286" s="410">
        <v>6090741.9951111097</v>
      </c>
      <c r="FA286" s="410">
        <v>6090741.9951111097</v>
      </c>
      <c r="FB286" s="410">
        <v>5577148.0201111175</v>
      </c>
      <c r="FC286" s="410">
        <v>5577148.0201111175</v>
      </c>
      <c r="FD286" s="410">
        <v>5577148.0201111175</v>
      </c>
      <c r="FE286" s="410">
        <v>5577148.0201111175</v>
      </c>
      <c r="FF286" s="410">
        <v>58741932.939999998</v>
      </c>
    </row>
    <row r="287" spans="1:162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62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62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62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62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62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62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62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62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62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10">
        <v>1860319.3983333334</v>
      </c>
      <c r="EU296" s="410">
        <v>1860319.3983333334</v>
      </c>
      <c r="EV296" s="410">
        <v>1860319.3983333334</v>
      </c>
      <c r="EW296" s="410">
        <v>1860319.3983333334</v>
      </c>
      <c r="EX296" s="410">
        <v>1860319.3983333334</v>
      </c>
      <c r="EY296" s="410">
        <v>1860319.3983333334</v>
      </c>
      <c r="EZ296" s="410">
        <v>1860319.3983333334</v>
      </c>
      <c r="FA296" s="410">
        <v>1860319.3983333334</v>
      </c>
      <c r="FB296" s="410">
        <v>1850732.9058333328</v>
      </c>
      <c r="FC296" s="410">
        <v>1850732.9058333328</v>
      </c>
      <c r="FD296" s="410">
        <v>1850732.9058333328</v>
      </c>
      <c r="FE296" s="410">
        <v>1850732.9058333328</v>
      </c>
      <c r="FF296" s="410">
        <v>22285486.810000002</v>
      </c>
    </row>
    <row r="297" spans="1:162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62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62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62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10">
        <v>7122725</v>
      </c>
      <c r="EU300" s="410">
        <v>7122725</v>
      </c>
      <c r="EV300" s="410">
        <v>7122725</v>
      </c>
      <c r="EW300" s="410">
        <v>7122725</v>
      </c>
      <c r="EX300" s="410">
        <v>7122725</v>
      </c>
      <c r="EY300" s="410">
        <v>7122725</v>
      </c>
      <c r="EZ300" s="410">
        <v>7122725</v>
      </c>
      <c r="FA300" s="410">
        <v>7122725</v>
      </c>
      <c r="FB300" s="410">
        <v>7615225</v>
      </c>
      <c r="FC300" s="410">
        <v>7615225</v>
      </c>
      <c r="FD300" s="410">
        <v>7615225</v>
      </c>
      <c r="FE300" s="410">
        <v>7615225</v>
      </c>
      <c r="FF300" s="410">
        <v>87442700</v>
      </c>
    </row>
    <row r="301" spans="1:162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62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62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10">
        <v>800010.93333333347</v>
      </c>
      <c r="EU303" s="410">
        <v>800010.93333333347</v>
      </c>
      <c r="EV303" s="410">
        <v>800010.93333333347</v>
      </c>
      <c r="EW303" s="410">
        <v>800010.93333333347</v>
      </c>
      <c r="EX303" s="410">
        <v>800010.93333333347</v>
      </c>
      <c r="EY303" s="410">
        <v>800010.93333333347</v>
      </c>
      <c r="EZ303" s="410">
        <v>800010.93333333347</v>
      </c>
      <c r="FA303" s="410">
        <v>800010.93333333347</v>
      </c>
      <c r="FB303" s="410">
        <v>986109.29833333322</v>
      </c>
      <c r="FC303" s="410">
        <v>986109.29833333322</v>
      </c>
      <c r="FD303" s="410">
        <v>986109.29833333322</v>
      </c>
      <c r="FE303" s="410">
        <v>986109.29833333322</v>
      </c>
      <c r="FF303" s="410">
        <v>10344524.66</v>
      </c>
    </row>
    <row r="304" spans="1:162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62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62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62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10">
        <v>2250983.3333333335</v>
      </c>
      <c r="EU307" s="410">
        <v>2250983.3333333335</v>
      </c>
      <c r="EV307" s="410">
        <v>2250983.3333333335</v>
      </c>
      <c r="EW307" s="410">
        <v>2250983.3333333335</v>
      </c>
      <c r="EX307" s="410">
        <v>2250983.3333333335</v>
      </c>
      <c r="EY307" s="410">
        <v>2250983.3333333335</v>
      </c>
      <c r="EZ307" s="410">
        <v>2250983.3333333335</v>
      </c>
      <c r="FA307" s="410">
        <v>2250983.3333333335</v>
      </c>
      <c r="FB307" s="410">
        <v>2180983.3333333344</v>
      </c>
      <c r="FC307" s="410">
        <v>2180983.3333333344</v>
      </c>
      <c r="FD307" s="410">
        <v>2180983.3333333344</v>
      </c>
      <c r="FE307" s="410">
        <v>2180983.3333333344</v>
      </c>
      <c r="FF307" s="410">
        <v>26731800.000000011</v>
      </c>
    </row>
    <row r="308" spans="1:162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62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62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62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10">
        <v>2581823.9339999999</v>
      </c>
      <c r="EU311" s="410">
        <v>2581823.9339999999</v>
      </c>
      <c r="EV311" s="410">
        <v>2581823.9339999999</v>
      </c>
      <c r="EW311" s="410">
        <v>2696268.3784444444</v>
      </c>
      <c r="EX311" s="410">
        <v>2696268.3784444444</v>
      </c>
      <c r="EY311" s="410">
        <v>2696268.3784444444</v>
      </c>
      <c r="EZ311" s="410">
        <v>3987180.345444445</v>
      </c>
      <c r="FA311" s="410">
        <v>3987180.345444445</v>
      </c>
      <c r="FB311" s="410">
        <v>3877323.0754444436</v>
      </c>
      <c r="FC311" s="410">
        <v>3877323.0754444436</v>
      </c>
      <c r="FD311" s="410">
        <v>3877323.0754444436</v>
      </c>
      <c r="FE311" s="410">
        <v>3877323.0754444436</v>
      </c>
      <c r="FF311" s="410">
        <v>39317929.93</v>
      </c>
    </row>
    <row r="312" spans="1:162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62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62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62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62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62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62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62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62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62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10">
        <v>45950724.162500009</v>
      </c>
      <c r="EU321" s="410">
        <v>45950724.162500009</v>
      </c>
      <c r="EV321" s="410">
        <v>45950724.162500009</v>
      </c>
      <c r="EW321" s="410">
        <v>45950724.162500009</v>
      </c>
      <c r="EX321" s="410">
        <v>45950724.162500009</v>
      </c>
      <c r="EY321" s="410">
        <v>45950724.162500009</v>
      </c>
      <c r="EZ321" s="410">
        <v>45950724.162500009</v>
      </c>
      <c r="FA321" s="410">
        <v>45950724.162500009</v>
      </c>
      <c r="FB321" s="410">
        <v>47831745.139999971</v>
      </c>
      <c r="FC321" s="410">
        <v>47831745.139999971</v>
      </c>
      <c r="FD321" s="410">
        <v>47831745.139999971</v>
      </c>
      <c r="FE321" s="410">
        <v>47831745.139999971</v>
      </c>
      <c r="FF321" s="410">
        <v>558932773.86000001</v>
      </c>
    </row>
    <row r="322" spans="1:162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10">
        <v>6651000</v>
      </c>
      <c r="EU322" s="410">
        <v>6651000</v>
      </c>
      <c r="EV322" s="410">
        <v>6651000</v>
      </c>
      <c r="EW322" s="410">
        <v>6651000</v>
      </c>
      <c r="EX322" s="410">
        <v>6651000</v>
      </c>
      <c r="EY322" s="410">
        <v>6651000</v>
      </c>
      <c r="EZ322" s="410">
        <v>6651000</v>
      </c>
      <c r="FA322" s="410">
        <v>6651000</v>
      </c>
      <c r="FB322" s="410">
        <v>7394520.9774999991</v>
      </c>
      <c r="FC322" s="410">
        <v>7394520.9774999991</v>
      </c>
      <c r="FD322" s="410">
        <v>7394520.9774999991</v>
      </c>
      <c r="FE322" s="410">
        <v>7394520.9774999991</v>
      </c>
      <c r="FF322" s="410">
        <v>82786083.909999996</v>
      </c>
    </row>
    <row r="323" spans="1:162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62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62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62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62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62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62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62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10">
        <v>1699899.96</v>
      </c>
      <c r="EU330" s="410">
        <v>1699899.96</v>
      </c>
      <c r="EV330" s="410">
        <v>1699899.96</v>
      </c>
      <c r="EW330" s="410">
        <v>1699899.96</v>
      </c>
      <c r="EX330" s="410">
        <v>1699899.96</v>
      </c>
      <c r="EY330" s="410">
        <v>1699899.96</v>
      </c>
      <c r="EZ330" s="410">
        <v>1699899.96</v>
      </c>
      <c r="FA330" s="410">
        <v>1699899.96</v>
      </c>
      <c r="FB330" s="410">
        <v>924899.9599999981</v>
      </c>
      <c r="FC330" s="410">
        <v>924899.9599999981</v>
      </c>
      <c r="FD330" s="410">
        <v>924899.9599999981</v>
      </c>
      <c r="FE330" s="410">
        <v>924899.9599999981</v>
      </c>
      <c r="FF330" s="410">
        <v>17298799.519999992</v>
      </c>
    </row>
    <row r="331" spans="1:162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62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62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62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62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62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10">
        <v>35472732.535833336</v>
      </c>
      <c r="EU336" s="410">
        <v>35472732.535833336</v>
      </c>
      <c r="EV336" s="410">
        <v>35472732.535833336</v>
      </c>
      <c r="EW336" s="410">
        <v>35472732.535833336</v>
      </c>
      <c r="EX336" s="410">
        <v>35472732.535833336</v>
      </c>
      <c r="EY336" s="410">
        <v>35472732.535833336</v>
      </c>
      <c r="EZ336" s="410">
        <v>35472732.535833336</v>
      </c>
      <c r="FA336" s="410">
        <v>35472732.535833336</v>
      </c>
      <c r="FB336" s="410">
        <v>35472732.535833336</v>
      </c>
      <c r="FC336" s="410">
        <v>35472732.535833336</v>
      </c>
      <c r="FD336" s="410">
        <v>35472732.535833336</v>
      </c>
      <c r="FE336" s="410">
        <v>35472732.535833336</v>
      </c>
      <c r="FF336" s="410">
        <v>425672790.43000013</v>
      </c>
    </row>
    <row r="337" spans="1:162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62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62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62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62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62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62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62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10">
        <v>1375008.3333333333</v>
      </c>
      <c r="EU344" s="410">
        <v>1375008.3333333333</v>
      </c>
      <c r="EV344" s="410">
        <v>1375008.3333333333</v>
      </c>
      <c r="EW344" s="410">
        <v>1375008.3333333333</v>
      </c>
      <c r="EX344" s="410">
        <v>1375008.3333333333</v>
      </c>
      <c r="EY344" s="410">
        <v>1375008.3333333333</v>
      </c>
      <c r="EZ344" s="410">
        <v>1375008.3333333333</v>
      </c>
      <c r="FA344" s="410">
        <v>1375008.3333333333</v>
      </c>
      <c r="FB344" s="410">
        <v>2000008.3333333328</v>
      </c>
      <c r="FC344" s="410">
        <v>2000008.3333333328</v>
      </c>
      <c r="FD344" s="410">
        <v>2000008.3333333328</v>
      </c>
      <c r="FE344" s="410">
        <v>2000008.3333333328</v>
      </c>
      <c r="FF344" s="410">
        <v>19000099.999999996</v>
      </c>
    </row>
    <row r="345" spans="1:162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62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10">
        <v>752083.33333333337</v>
      </c>
      <c r="EU346" s="410">
        <v>752083.33333333337</v>
      </c>
      <c r="EV346" s="410">
        <v>752083.33333333337</v>
      </c>
      <c r="EW346" s="410">
        <v>752083.33333333337</v>
      </c>
      <c r="EX346" s="410">
        <v>752083.33333333337</v>
      </c>
      <c r="EY346" s="410">
        <v>752083.33333333337</v>
      </c>
      <c r="EZ346" s="410">
        <v>752083.33333333337</v>
      </c>
      <c r="FA346" s="410">
        <v>752083.33333333337</v>
      </c>
      <c r="FB346" s="410">
        <v>2039583.333333334</v>
      </c>
      <c r="FC346" s="410">
        <v>2039583.333333334</v>
      </c>
      <c r="FD346" s="410">
        <v>2039583.333333334</v>
      </c>
      <c r="FE346" s="410">
        <v>2039583.333333334</v>
      </c>
      <c r="FF346" s="410">
        <v>14175000.000000002</v>
      </c>
    </row>
    <row r="347" spans="1:162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62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62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62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10">
        <v>15295211.558333334</v>
      </c>
      <c r="EU350" s="410">
        <v>15295211.558333334</v>
      </c>
      <c r="EV350" s="410">
        <v>15295211.558333334</v>
      </c>
      <c r="EW350" s="410">
        <v>18161878.224999998</v>
      </c>
      <c r="EX350" s="410">
        <v>18161878.224999998</v>
      </c>
      <c r="EY350" s="410">
        <v>18161878.224999998</v>
      </c>
      <c r="EZ350" s="410">
        <v>15295211.558333334</v>
      </c>
      <c r="FA350" s="410">
        <v>15295211.558333334</v>
      </c>
      <c r="FB350" s="410">
        <v>18930636.555833336</v>
      </c>
      <c r="FC350" s="410">
        <v>18930636.555833336</v>
      </c>
      <c r="FD350" s="410">
        <v>18930636.555833336</v>
      </c>
      <c r="FE350" s="410">
        <v>18930636.555833336</v>
      </c>
      <c r="FF350" s="410">
        <v>206684238.69</v>
      </c>
    </row>
    <row r="351" spans="1:162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10">
        <v>14810545.166666666</v>
      </c>
      <c r="EU351" s="410">
        <v>14810545.166666666</v>
      </c>
      <c r="EV351" s="410">
        <v>14810545.166666666</v>
      </c>
      <c r="EW351" s="410">
        <v>17677211.833333332</v>
      </c>
      <c r="EX351" s="410">
        <v>17677211.833333332</v>
      </c>
      <c r="EY351" s="410">
        <v>17677211.833333332</v>
      </c>
      <c r="EZ351" s="410">
        <v>14810545.166666666</v>
      </c>
      <c r="FA351" s="410">
        <v>14810545.166666666</v>
      </c>
      <c r="FB351" s="410">
        <v>18469212.55916667</v>
      </c>
      <c r="FC351" s="410">
        <v>18469212.55916667</v>
      </c>
      <c r="FD351" s="410">
        <v>18469212.55916667</v>
      </c>
      <c r="FE351" s="410">
        <v>18469212.55916667</v>
      </c>
      <c r="FF351" s="410">
        <v>200961211.56999999</v>
      </c>
    </row>
    <row r="352" spans="1:162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62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62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62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62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62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62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62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62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62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10">
        <v>484666.39166666666</v>
      </c>
      <c r="EU361" s="410">
        <v>484666.39166666666</v>
      </c>
      <c r="EV361" s="410">
        <v>484666.39166666666</v>
      </c>
      <c r="EW361" s="410">
        <v>484666.39166666666</v>
      </c>
      <c r="EX361" s="410">
        <v>484666.39166666666</v>
      </c>
      <c r="EY361" s="410">
        <v>484666.39166666666</v>
      </c>
      <c r="EZ361" s="410">
        <v>484666.39166666666</v>
      </c>
      <c r="FA361" s="410">
        <v>484666.39166666666</v>
      </c>
      <c r="FB361" s="410">
        <v>461423.99666666664</v>
      </c>
      <c r="FC361" s="410">
        <v>461423.99666666664</v>
      </c>
      <c r="FD361" s="410">
        <v>461423.99666666664</v>
      </c>
      <c r="FE361" s="410">
        <v>461423.99666666664</v>
      </c>
      <c r="FF361" s="410">
        <v>5723027.120000001</v>
      </c>
    </row>
    <row r="362" spans="1:162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62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62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62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62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62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62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10">
        <v>21472083.333333332</v>
      </c>
      <c r="EU368" s="410">
        <v>21472083.333333332</v>
      </c>
      <c r="EV368" s="410">
        <v>21472083.333333332</v>
      </c>
      <c r="EW368" s="410">
        <v>21472083.333333332</v>
      </c>
      <c r="EX368" s="410">
        <v>21472083.333333332</v>
      </c>
      <c r="EY368" s="410">
        <v>21472083.333333332</v>
      </c>
      <c r="EZ368" s="410">
        <v>26990416.666666664</v>
      </c>
      <c r="FA368" s="410">
        <v>26990416.666666664</v>
      </c>
      <c r="FB368" s="410">
        <v>26315416.666666701</v>
      </c>
      <c r="FC368" s="410">
        <v>26315416.666666701</v>
      </c>
      <c r="FD368" s="410">
        <v>26815416.670000002</v>
      </c>
      <c r="FE368" s="410">
        <v>26815416.66</v>
      </c>
      <c r="FF368" s="410">
        <v>289074999.99666673</v>
      </c>
    </row>
    <row r="369" spans="1:162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10">
        <v>3322124.294666667</v>
      </c>
      <c r="EU369" s="410">
        <v>3322124.294666667</v>
      </c>
      <c r="EV369" s="410">
        <v>3322124.294666667</v>
      </c>
      <c r="EW369" s="410">
        <v>3322124.294666667</v>
      </c>
      <c r="EX369" s="410">
        <v>3522124.2900000066</v>
      </c>
      <c r="EY369" s="410">
        <v>3322124.294666667</v>
      </c>
      <c r="EZ369" s="410">
        <v>4983186.4420000007</v>
      </c>
      <c r="FA369" s="410">
        <v>4983186.4420000007</v>
      </c>
      <c r="FB369" s="410">
        <v>5687111.6931666648</v>
      </c>
      <c r="FC369" s="410">
        <v>5687111.6931666648</v>
      </c>
      <c r="FD369" s="410">
        <v>5687111.6931666601</v>
      </c>
      <c r="FE369" s="410">
        <v>5687111.6931666601</v>
      </c>
      <c r="FF369" s="410">
        <v>52847565.419999987</v>
      </c>
    </row>
    <row r="370" spans="1:162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62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62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62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62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62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62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62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10">
        <v>70000000</v>
      </c>
    </row>
    <row r="378" spans="1:162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62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10">
        <v>239583.41666666666</v>
      </c>
      <c r="EU379" s="410">
        <v>239583.41666666666</v>
      </c>
      <c r="EV379" s="410">
        <v>239583.41666666666</v>
      </c>
      <c r="EW379" s="410">
        <v>239583.41666666666</v>
      </c>
      <c r="EX379" s="410">
        <v>239583.41666666666</v>
      </c>
      <c r="EY379" s="410">
        <v>239583.41666666666</v>
      </c>
      <c r="EZ379" s="410">
        <v>239583.41666666666</v>
      </c>
      <c r="FA379" s="410">
        <v>239583.41666666666</v>
      </c>
      <c r="FB379" s="410">
        <v>239583.41666666666</v>
      </c>
      <c r="FC379" s="410">
        <v>239583.41666666666</v>
      </c>
      <c r="FD379" s="410">
        <v>239583.41666666666</v>
      </c>
      <c r="FE379" s="410">
        <v>239583.41666666666</v>
      </c>
      <c r="FF379" s="410">
        <v>2875000.9999999995</v>
      </c>
    </row>
    <row r="380" spans="1:162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62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62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62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62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62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62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6">
        <f>DV387+DV390+DV393</f>
        <v>32768615.2925</v>
      </c>
      <c r="DW386" s="396">
        <f t="shared" ref="DW386:ES386" si="106">DW387+DW390+DW393</f>
        <v>32768615.2925</v>
      </c>
      <c r="DX386" s="396">
        <f t="shared" si="106"/>
        <v>32768615.2925</v>
      </c>
      <c r="DY386" s="396">
        <f t="shared" si="106"/>
        <v>32768615.2925</v>
      </c>
      <c r="DZ386" s="396">
        <f t="shared" si="106"/>
        <v>32768615.2925</v>
      </c>
      <c r="EA386" s="396">
        <f t="shared" si="106"/>
        <v>32768615.2925</v>
      </c>
      <c r="EB386" s="396">
        <f t="shared" si="106"/>
        <v>32768615.2925</v>
      </c>
      <c r="EC386" s="396">
        <f t="shared" si="106"/>
        <v>32768615.2925</v>
      </c>
      <c r="ED386" s="396">
        <f t="shared" si="106"/>
        <v>32768615.2925</v>
      </c>
      <c r="EE386" s="396">
        <f t="shared" si="106"/>
        <v>32768615.2925</v>
      </c>
      <c r="EF386" s="396">
        <f t="shared" si="106"/>
        <v>32768615.2925</v>
      </c>
      <c r="EG386" s="396">
        <f t="shared" si="106"/>
        <v>32768615.2925</v>
      </c>
      <c r="EH386" s="396">
        <f t="shared" si="106"/>
        <v>4617467.5633333325</v>
      </c>
      <c r="EI386" s="396">
        <f t="shared" si="106"/>
        <v>5248180.4533333331</v>
      </c>
      <c r="EJ386" s="396">
        <f t="shared" si="106"/>
        <v>18465645.143333334</v>
      </c>
      <c r="EK386" s="396">
        <f t="shared" si="106"/>
        <v>67460865.603333324</v>
      </c>
      <c r="EL386" s="396">
        <f t="shared" si="106"/>
        <v>10247541.783333333</v>
      </c>
      <c r="EM386" s="396">
        <f t="shared" si="106"/>
        <v>16046343.563333331</v>
      </c>
      <c r="EN386" s="396">
        <f t="shared" si="106"/>
        <v>23103608.363333337</v>
      </c>
      <c r="EO386" s="396">
        <f t="shared" si="106"/>
        <v>16877006.883333333</v>
      </c>
      <c r="EP386" s="396">
        <f t="shared" si="106"/>
        <v>17318908.093333334</v>
      </c>
      <c r="EQ386" s="396">
        <f t="shared" si="106"/>
        <v>9686739.4033333324</v>
      </c>
      <c r="ER386" s="396">
        <f t="shared" si="106"/>
        <v>11714826.133333333</v>
      </c>
      <c r="ES386" s="396">
        <f t="shared" si="106"/>
        <v>19628370.163333334</v>
      </c>
    </row>
    <row r="387" spans="1:162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</row>
    <row r="388" spans="1:162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13">
        <v>1983333.3333333333</v>
      </c>
      <c r="CS388" s="413">
        <v>1983333.3333333333</v>
      </c>
      <c r="CT388" s="413">
        <v>1983333.3333333333</v>
      </c>
      <c r="CU388" s="413">
        <v>1983333.3333333333</v>
      </c>
      <c r="CV388" s="413">
        <v>1983333.3333333333</v>
      </c>
      <c r="CW388" s="414">
        <v>1983333.3333333333</v>
      </c>
      <c r="CX388" s="415">
        <v>2500695.4391666665</v>
      </c>
      <c r="CY388" s="416">
        <v>2500695.4391666665</v>
      </c>
      <c r="CZ388" s="416">
        <v>2500695.4391666665</v>
      </c>
      <c r="DA388" s="416">
        <v>2500695.4391666665</v>
      </c>
      <c r="DB388" s="416">
        <v>2500695.4391666665</v>
      </c>
      <c r="DC388" s="416">
        <v>2500695.4391666665</v>
      </c>
      <c r="DD388" s="416">
        <v>2500695.4391666665</v>
      </c>
      <c r="DE388" s="416">
        <v>2500695.4391666665</v>
      </c>
      <c r="DF388" s="416">
        <v>2500695.4391666665</v>
      </c>
      <c r="DG388" s="416">
        <v>2500695.4391666665</v>
      </c>
      <c r="DH388" s="416">
        <v>2500695.4391666665</v>
      </c>
      <c r="DI388" s="417">
        <v>2500695.4391666665</v>
      </c>
      <c r="DJ388" s="418">
        <v>3892510.16</v>
      </c>
      <c r="DK388" s="413">
        <v>3892510.16</v>
      </c>
      <c r="DL388" s="413">
        <v>3892510.16</v>
      </c>
      <c r="DM388" s="413">
        <v>3892510.16</v>
      </c>
      <c r="DN388" s="413">
        <v>3892510.16</v>
      </c>
      <c r="DO388" s="413">
        <v>3892510.16</v>
      </c>
      <c r="DP388" s="413">
        <v>3892510.16</v>
      </c>
      <c r="DQ388" s="413">
        <v>3892510.16</v>
      </c>
      <c r="DR388" s="413">
        <v>3892510.16</v>
      </c>
      <c r="DS388" s="413">
        <v>3892510.16</v>
      </c>
      <c r="DT388" s="413">
        <v>3892510.16</v>
      </c>
      <c r="DU388" s="414">
        <v>3892510.16</v>
      </c>
      <c r="DV388" s="419">
        <v>3722931.8866666667</v>
      </c>
      <c r="DW388" s="419">
        <v>3722931.8866666667</v>
      </c>
      <c r="DX388" s="419">
        <v>3722931.8866666667</v>
      </c>
      <c r="DY388" s="419">
        <v>3722931.8866666667</v>
      </c>
      <c r="DZ388" s="419">
        <v>3722931.8866666667</v>
      </c>
      <c r="EA388" s="419">
        <v>3722931.8866666667</v>
      </c>
      <c r="EB388" s="419">
        <v>3722931.8866666667</v>
      </c>
      <c r="EC388" s="419">
        <v>3722931.8866666667</v>
      </c>
      <c r="ED388" s="419">
        <v>3722931.8866666667</v>
      </c>
      <c r="EE388" s="419">
        <v>3722931.8866666667</v>
      </c>
      <c r="EF388" s="419">
        <v>3722931.8866666667</v>
      </c>
      <c r="EG388" s="419">
        <v>3722931.8866666667</v>
      </c>
      <c r="EH388" s="419">
        <v>174340.51</v>
      </c>
      <c r="EI388" s="419">
        <v>177326.85</v>
      </c>
      <c r="EJ388" s="419">
        <v>7687779.1100000003</v>
      </c>
      <c r="EK388" s="419">
        <v>191127.48</v>
      </c>
      <c r="EL388" s="419">
        <v>949797.77</v>
      </c>
      <c r="EM388" s="419">
        <v>2019268.13</v>
      </c>
      <c r="EN388" s="419">
        <v>10660481.32</v>
      </c>
      <c r="EO388" s="419">
        <v>11526152.189999999</v>
      </c>
      <c r="EP388" s="419">
        <v>10016017.119999999</v>
      </c>
      <c r="EQ388" s="419">
        <v>1834828.67</v>
      </c>
      <c r="ER388" s="419">
        <v>2345417.37</v>
      </c>
      <c r="ES388" s="419">
        <v>4329305.63</v>
      </c>
      <c r="ET388" s="450">
        <v>116701.86</v>
      </c>
      <c r="EU388" s="451">
        <v>867332.36</v>
      </c>
      <c r="EV388" s="451">
        <v>7801367.0199999996</v>
      </c>
      <c r="EW388" s="451">
        <v>4481623.79</v>
      </c>
      <c r="EX388" s="451">
        <v>2831467.37</v>
      </c>
      <c r="EY388" s="451">
        <v>7170000.0800000001</v>
      </c>
      <c r="EZ388" s="451">
        <v>82322.3</v>
      </c>
      <c r="FA388" s="451">
        <v>10832753.109999999</v>
      </c>
      <c r="FB388" s="451">
        <v>1958366.01</v>
      </c>
      <c r="FC388" s="451">
        <v>1510132.11</v>
      </c>
      <c r="FD388" s="451">
        <v>834059.15</v>
      </c>
      <c r="FE388" s="451">
        <v>12202154.65</v>
      </c>
      <c r="FF388" s="41">
        <v>50680000</v>
      </c>
    </row>
    <row r="389" spans="1:162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50">
        <v>2071825.5645770216</v>
      </c>
      <c r="EU389" s="451">
        <v>2862393.2253735214</v>
      </c>
      <c r="EV389" s="451">
        <v>12467636.918240691</v>
      </c>
      <c r="EW389" s="451">
        <v>17326274.372907523</v>
      </c>
      <c r="EX389" s="451">
        <v>15150457.606090657</v>
      </c>
      <c r="EY389" s="451">
        <v>8947929.7645770218</v>
      </c>
      <c r="EZ389" s="451">
        <v>2071825.5545770216</v>
      </c>
      <c r="FA389" s="451">
        <v>2989936.9753735219</v>
      </c>
      <c r="FB389" s="451">
        <v>16625761.232895471</v>
      </c>
      <c r="FC389" s="451">
        <v>4165314.0029075216</v>
      </c>
      <c r="FD389" s="451">
        <v>6972714.957903021</v>
      </c>
      <c r="FE389" s="451">
        <v>369847929.82457697</v>
      </c>
      <c r="FF389" s="41">
        <v>461500000</v>
      </c>
    </row>
    <row r="390" spans="1:162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</row>
    <row r="391" spans="1:162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62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62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10">
        <v>2681427.6666666665</v>
      </c>
      <c r="CS393" s="410">
        <v>2681427.6666666665</v>
      </c>
      <c r="CT393" s="410">
        <v>2681427.6666666665</v>
      </c>
      <c r="CU393" s="410">
        <v>2681427.6666666665</v>
      </c>
      <c r="CV393" s="410">
        <v>2681427.6666666665</v>
      </c>
      <c r="CW393" s="410">
        <v>2681427.6666666665</v>
      </c>
      <c r="CX393" s="410">
        <v>2778179.9974999996</v>
      </c>
      <c r="CY393" s="410">
        <v>2778179.9974999996</v>
      </c>
      <c r="CZ393" s="410">
        <v>2778179.9974999996</v>
      </c>
      <c r="DA393" s="410">
        <v>2778179.9974999996</v>
      </c>
      <c r="DB393" s="410">
        <v>2778179.9974999996</v>
      </c>
      <c r="DC393" s="410">
        <v>2778179.9974999996</v>
      </c>
      <c r="DD393" s="410">
        <v>2778179.9974999996</v>
      </c>
      <c r="DE393" s="410">
        <v>2778179.9974999996</v>
      </c>
      <c r="DF393" s="410">
        <v>2778179.9974999996</v>
      </c>
      <c r="DG393" s="410">
        <v>2778179.9974999996</v>
      </c>
      <c r="DH393" s="410">
        <v>2778179.9974999996</v>
      </c>
      <c r="DI393" s="410">
        <v>2778179.9974999996</v>
      </c>
      <c r="DJ393" s="410">
        <v>2817590</v>
      </c>
      <c r="DK393" s="410">
        <v>2817590</v>
      </c>
      <c r="DL393" s="410">
        <v>2817590</v>
      </c>
      <c r="DM393" s="410">
        <v>2817590</v>
      </c>
      <c r="DN393" s="410">
        <v>2817590</v>
      </c>
      <c r="DO393" s="410">
        <v>2817590</v>
      </c>
      <c r="DP393" s="410">
        <v>2817590</v>
      </c>
      <c r="DQ393" s="410">
        <v>2817590</v>
      </c>
      <c r="DR393" s="410">
        <v>2817590</v>
      </c>
      <c r="DS393" s="410">
        <v>2817590</v>
      </c>
      <c r="DT393" s="410">
        <v>2817590</v>
      </c>
      <c r="DU393" s="410">
        <v>2817590</v>
      </c>
      <c r="DV393" s="410">
        <v>3281229.6141666663</v>
      </c>
      <c r="DW393" s="410">
        <v>3281229.6141666663</v>
      </c>
      <c r="DX393" s="410">
        <v>3281229.6141666663</v>
      </c>
      <c r="DY393" s="410">
        <v>3281229.6141666663</v>
      </c>
      <c r="DZ393" s="410">
        <v>3281229.6141666663</v>
      </c>
      <c r="EA393" s="410">
        <v>3281229.6141666663</v>
      </c>
      <c r="EB393" s="410">
        <v>3281229.6141666663</v>
      </c>
      <c r="EC393" s="410">
        <v>3281229.6141666663</v>
      </c>
      <c r="ED393" s="410">
        <v>3281229.6141666663</v>
      </c>
      <c r="EE393" s="410">
        <v>3281229.6141666663</v>
      </c>
      <c r="EF393" s="410">
        <v>3281229.6141666663</v>
      </c>
      <c r="EG393" s="410">
        <v>3281229.6141666663</v>
      </c>
      <c r="EH393" s="410">
        <v>2809708.2333333329</v>
      </c>
      <c r="EI393" s="410">
        <v>2809708.2333333329</v>
      </c>
      <c r="EJ393" s="410">
        <v>2809708.2333333329</v>
      </c>
      <c r="EK393" s="410">
        <v>2809708.2333333329</v>
      </c>
      <c r="EL393" s="410">
        <v>2809708.2333333329</v>
      </c>
      <c r="EM393" s="410">
        <v>2809708.2333333329</v>
      </c>
      <c r="EN393" s="410">
        <v>2809708.2333333329</v>
      </c>
      <c r="EO393" s="410">
        <v>2809708.2333333329</v>
      </c>
      <c r="EP393" s="410">
        <v>2809708.2333333329</v>
      </c>
      <c r="EQ393" s="410">
        <v>2809708.2333333329</v>
      </c>
      <c r="ER393" s="410">
        <v>2809708.2333333329</v>
      </c>
      <c r="ES393" s="410">
        <v>2809708.2333333329</v>
      </c>
      <c r="ET393" s="410">
        <v>1807457.9166666667</v>
      </c>
      <c r="EU393" s="410">
        <v>1882457.9166666667</v>
      </c>
      <c r="EV393" s="410">
        <v>1937457.9166666667</v>
      </c>
      <c r="EW393" s="410">
        <v>1912457.9166666667</v>
      </c>
      <c r="EX393" s="410">
        <v>1967457.9166666667</v>
      </c>
      <c r="EY393" s="410">
        <v>1907457.9166666667</v>
      </c>
      <c r="EZ393" s="410">
        <v>3852457.9166666665</v>
      </c>
      <c r="FA393" s="410">
        <v>3337457.9166666665</v>
      </c>
      <c r="FB393" s="410">
        <v>2702457.9166666698</v>
      </c>
      <c r="FC393" s="410">
        <v>2797457.9166666698</v>
      </c>
      <c r="FD393" s="410">
        <v>2792457.9166666698</v>
      </c>
      <c r="FE393" s="410">
        <v>3347457.9166666698</v>
      </c>
      <c r="FF393" s="410">
        <v>30244495.000000015</v>
      </c>
    </row>
    <row r="394" spans="1:162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10">
        <v>830846.24800000002</v>
      </c>
      <c r="EU394" s="410">
        <v>830846.24800000002</v>
      </c>
      <c r="EV394" s="410">
        <v>830846.24800000002</v>
      </c>
      <c r="EW394" s="410">
        <v>949846.13199999998</v>
      </c>
      <c r="EX394" s="410">
        <v>1306845.784</v>
      </c>
      <c r="EY394" s="410">
        <v>830846.24800000002</v>
      </c>
      <c r="EZ394" s="410">
        <v>1246269.3720000002</v>
      </c>
      <c r="FA394" s="410">
        <v>1246269.3720000002</v>
      </c>
      <c r="FB394" s="410">
        <v>5393218.1470000008</v>
      </c>
      <c r="FC394" s="410">
        <v>5393218.1470000008</v>
      </c>
      <c r="FD394" s="410">
        <v>5393218.1470000008</v>
      </c>
      <c r="FE394" s="410">
        <v>5393218.1470000008</v>
      </c>
      <c r="FF394" s="410">
        <v>29645488.240000002</v>
      </c>
    </row>
    <row r="395" spans="1:162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10">
        <v>830846.24800000002</v>
      </c>
      <c r="EU395" s="410">
        <v>830846.24800000002</v>
      </c>
      <c r="EV395" s="410">
        <v>830846.24800000002</v>
      </c>
      <c r="EW395" s="410">
        <v>830846.24800000002</v>
      </c>
      <c r="EX395" s="410">
        <v>830846.24800000002</v>
      </c>
      <c r="EY395" s="410">
        <v>830846.24800000002</v>
      </c>
      <c r="EZ395" s="410">
        <v>1246269.3720000002</v>
      </c>
      <c r="FA395" s="410">
        <v>1246269.3720000002</v>
      </c>
      <c r="FB395" s="410">
        <v>2223304.53675</v>
      </c>
      <c r="FC395" s="410">
        <v>3116522.6837499999</v>
      </c>
      <c r="FD395" s="410">
        <v>8116522.6837499999</v>
      </c>
      <c r="FE395" s="410">
        <v>8116522.6837499999</v>
      </c>
      <c r="FF395" s="410">
        <v>29050488.82</v>
      </c>
    </row>
    <row r="396" spans="1:162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10">
        <v>0</v>
      </c>
      <c r="EU396" s="410">
        <v>0</v>
      </c>
      <c r="EV396" s="410">
        <v>0</v>
      </c>
      <c r="EW396" s="410">
        <v>118999.88400000001</v>
      </c>
      <c r="EX396" s="410">
        <v>475999.53600000002</v>
      </c>
      <c r="EY396" s="410">
        <v>0</v>
      </c>
      <c r="EZ396" s="410">
        <v>0</v>
      </c>
      <c r="FA396" s="410">
        <v>0</v>
      </c>
      <c r="FB396" s="410">
        <v>0</v>
      </c>
      <c r="FC396" s="410">
        <v>0</v>
      </c>
      <c r="FD396" s="410">
        <v>0</v>
      </c>
      <c r="FE396" s="410">
        <v>0</v>
      </c>
      <c r="FF396" s="410">
        <v>594999.42000000004</v>
      </c>
    </row>
    <row r="397" spans="1:162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62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62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62">
      <c r="FF400" s="412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2</v>
      </c>
      <c r="C2" s="56" t="s">
        <v>0</v>
      </c>
    </row>
    <row r="3" spans="2:7" ht="15.75" thickBot="1">
      <c r="B3" s="305">
        <v>9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5">
        <v>2018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754</v>
      </c>
      <c r="F11" s="12" t="s">
        <v>755</v>
      </c>
      <c r="G11" s="52" t="str">
        <f t="shared" si="0"/>
        <v>Montly Data 2017</v>
      </c>
    </row>
    <row r="12" spans="2:7">
      <c r="D12" s="41"/>
      <c r="E12" s="11" t="s">
        <v>732</v>
      </c>
      <c r="F12" s="12" t="s">
        <v>733</v>
      </c>
      <c r="G12" s="52" t="str">
        <f t="shared" si="0"/>
        <v>Montly Data 2016</v>
      </c>
    </row>
    <row r="13" spans="2:7">
      <c r="E13" s="11" t="s">
        <v>703</v>
      </c>
      <c r="F13" s="12" t="s">
        <v>704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756</v>
      </c>
      <c r="F16" s="12" t="s">
        <v>757</v>
      </c>
      <c r="G16" s="52" t="str">
        <f t="shared" si="0"/>
        <v>Montly Data 2012</v>
      </c>
    </row>
    <row r="17" spans="2:7">
      <c r="E17" s="11" t="s">
        <v>758</v>
      </c>
      <c r="F17" s="12" t="s">
        <v>759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695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738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776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735</v>
      </c>
      <c r="F94" s="22" t="s">
        <v>737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735</v>
      </c>
      <c r="F146" s="22" t="s">
        <v>736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554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557</v>
      </c>
      <c r="F217" s="96" t="s">
        <v>558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559</v>
      </c>
      <c r="F218" s="96" t="s">
        <v>560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555</v>
      </c>
      <c r="F220" s="96" t="s">
        <v>561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556</v>
      </c>
      <c r="F221" s="96" t="s">
        <v>562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563</v>
      </c>
      <c r="F223" s="96" t="s">
        <v>564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699</v>
      </c>
      <c r="F225" s="96" t="s">
        <v>700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September</v>
      </c>
    </row>
    <row r="243" spans="4:7">
      <c r="D243" s="49"/>
      <c r="E243" s="9"/>
      <c r="F243" s="10"/>
      <c r="G243" s="52" t="str">
        <f>+CONCATENATE("Jan - ",LEFT(G242,3))</f>
        <v>Jan - Sep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568</v>
      </c>
      <c r="F249" s="10" t="s">
        <v>565</v>
      </c>
      <c r="G249" s="52" t="str">
        <f t="shared" si="3"/>
        <v>Budget Execution</v>
      </c>
    </row>
    <row r="250" spans="4:7">
      <c r="D250" s="46"/>
      <c r="E250" s="9" t="s">
        <v>566</v>
      </c>
      <c r="F250" s="10" t="s">
        <v>567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September</v>
      </c>
      <c r="F251" s="10" t="str">
        <f>+CONCATENATE("Analytics for period ",G242)</f>
        <v>Analytics for period September</v>
      </c>
      <c r="G251" s="52" t="str">
        <f>+IF(ISBLANK(IF($B$2=1,E251,F251)),"",IF($B$2=1,E251,F251))</f>
        <v>Analytics for period September</v>
      </c>
    </row>
    <row r="252" spans="4:7">
      <c r="D252" s="46"/>
      <c r="E252" s="9" t="str">
        <f>+CONCATENATE("Analitika za period ",G243)</f>
        <v>Analitika za period Jan - Sep</v>
      </c>
      <c r="F252" s="10" t="str">
        <f>+CONCATENATE("Analytics for period ",G243)</f>
        <v>Analytics for period Jan - Sep</v>
      </c>
      <c r="G252" s="52" t="str">
        <f>+IF(ISBLANK(IF($B$2=1,E252,F252)),"",IF($B$2=1,E252,F252))</f>
        <v>Analytics for period Jan - Sep</v>
      </c>
    </row>
    <row r="253" spans="4:7">
      <c r="D253" s="39"/>
      <c r="E253" s="144"/>
      <c r="F253" s="145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691</v>
      </c>
      <c r="F258" s="10" t="s">
        <v>692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696</v>
      </c>
      <c r="F260" s="10" t="s">
        <v>697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September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September</v>
      </c>
    </row>
    <row r="269" spans="4:7">
      <c r="E269" s="9" t="s">
        <v>741</v>
      </c>
      <c r="F269" s="10" t="s">
        <v>406</v>
      </c>
      <c r="G269" s="52" t="str">
        <f>+CONCATENATE(IF(ISBLANK(IF($B$2=1,E269,F269)),"",IF($B$2=1,E269,F269))," ",$G$242)</f>
        <v>Deficit for September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September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September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September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1" t="s">
        <v>701</v>
      </c>
      <c r="F279" s="60" t="s">
        <v>702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O34"/>
  <sheetViews>
    <sheetView showRowColHeaders="0" topLeftCell="D1" workbookViewId="0">
      <pane ySplit="5" topLeftCell="A6" activePane="bottomLeft" state="frozen"/>
      <selection activeCell="DK219" sqref="DK219"/>
      <selection pane="bottomLeft" activeCell="J36" sqref="J36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Montenegro</v>
      </c>
      <c r="I2" s="151"/>
    </row>
    <row r="3" spans="3:11" s="148" customFormat="1">
      <c r="E3" s="151" t="str">
        <f>+Master!G7</f>
        <v>Ministry of Finance</v>
      </c>
    </row>
    <row r="4" spans="3:11" s="148" customFormat="1">
      <c r="E4" s="151" t="str">
        <f>+Master!G8</f>
        <v>Direcorate for Economic Policy and Developement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+Master!G267</f>
        <v>Revenues for September</v>
      </c>
      <c r="E11" s="157"/>
      <c r="F11" s="157"/>
      <c r="G11" s="157"/>
      <c r="H11" s="318" t="str">
        <f>+Master!G271</f>
        <v>Revenues for period January - September</v>
      </c>
      <c r="I11" s="319"/>
      <c r="J11" s="307"/>
      <c r="K11" s="158"/>
    </row>
    <row r="12" spans="3:11">
      <c r="C12" s="156"/>
      <c r="D12" s="160">
        <f>+'Analytics - 2018'!N10</f>
        <v>187314805.19999999</v>
      </c>
      <c r="E12" s="161">
        <f>+D12/'2018'!T7</f>
        <v>4.2274663206120652E-2</v>
      </c>
      <c r="F12" s="157"/>
      <c r="G12" s="157"/>
      <c r="H12" s="320">
        <f>+'Analytics - 2018'!G10</f>
        <v>1273059280.8800001</v>
      </c>
      <c r="I12" s="321">
        <f>+H12/'2018'!T7</f>
        <v>0.28731392739172629</v>
      </c>
      <c r="J12" s="307"/>
      <c r="K12" s="158"/>
    </row>
    <row r="13" spans="3:11">
      <c r="C13" s="156"/>
      <c r="D13" s="162" t="s">
        <v>428</v>
      </c>
      <c r="E13" s="162" t="str">
        <f>+Master!G247</f>
        <v>% GDP</v>
      </c>
      <c r="F13" s="157"/>
      <c r="G13" s="157"/>
      <c r="H13" s="322" t="str">
        <f>+D13</f>
        <v>mil. €</v>
      </c>
      <c r="I13" s="322" t="str">
        <f>+E13</f>
        <v>% GDP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+Master!G268</f>
        <v>Expenditures for September</v>
      </c>
      <c r="E15" s="157"/>
      <c r="F15" s="157"/>
      <c r="G15" s="157"/>
      <c r="H15" s="318" t="str">
        <f>+Master!G272</f>
        <v>Expenditures for period January - September</v>
      </c>
      <c r="I15" s="319"/>
      <c r="J15" s="307"/>
      <c r="K15" s="158"/>
    </row>
    <row r="16" spans="3:11">
      <c r="C16" s="156"/>
      <c r="D16" s="160">
        <f>+'Analytics - 2018'!N29</f>
        <v>166137285.44</v>
      </c>
      <c r="E16" s="161">
        <f>+D16/'2018'!T7</f>
        <v>3.7495155711029363E-2</v>
      </c>
      <c r="F16" s="157"/>
      <c r="G16" s="157"/>
      <c r="H16" s="320">
        <f>+'Analytics - 2018'!G29</f>
        <v>1298403528.8300002</v>
      </c>
      <c r="I16" s="321">
        <f>+H16/'2018'!T7</f>
        <v>0.2930338145365502</v>
      </c>
      <c r="J16" s="307"/>
      <c r="K16" s="158"/>
    </row>
    <row r="17" spans="3:15">
      <c r="C17" s="156"/>
      <c r="D17" s="162" t="str">
        <f>+D13</f>
        <v>mil. €</v>
      </c>
      <c r="E17" s="162" t="str">
        <f>+E13</f>
        <v>% GDP</v>
      </c>
      <c r="F17" s="157"/>
      <c r="G17" s="157"/>
      <c r="H17" s="322" t="str">
        <f>+D13</f>
        <v>mil. €</v>
      </c>
      <c r="I17" s="322" t="str">
        <f>+E13</f>
        <v>% GDP</v>
      </c>
      <c r="J17" s="307"/>
      <c r="K17" s="158"/>
    </row>
    <row r="18" spans="3:15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5">
      <c r="C19" s="156"/>
      <c r="D19" s="159" t="str">
        <f>+Master!G269</f>
        <v>Deficit for September</v>
      </c>
      <c r="E19" s="157"/>
      <c r="F19" s="157"/>
      <c r="G19" s="157"/>
      <c r="H19" s="318" t="str">
        <f>+Master!G273</f>
        <v>Deficit for period January - September</v>
      </c>
      <c r="I19" s="319"/>
      <c r="J19" s="307"/>
      <c r="K19" s="158"/>
    </row>
    <row r="20" spans="3:15">
      <c r="C20" s="156"/>
      <c r="D20" s="160">
        <f>+'Analytics - 2018'!N55</f>
        <v>21177519.75999999</v>
      </c>
      <c r="E20" s="161">
        <f>+D20/'2018'!T7</f>
        <v>4.7795074950912888E-3</v>
      </c>
      <c r="F20" s="157"/>
      <c r="G20" s="157"/>
      <c r="H20" s="320">
        <f>+'Analytics - 2018'!G55</f>
        <v>-25344247.949999988</v>
      </c>
      <c r="I20" s="321">
        <f>+H20/'2018'!T7</f>
        <v>-5.7198871448238481E-3</v>
      </c>
      <c r="J20" s="307"/>
      <c r="K20" s="158"/>
    </row>
    <row r="21" spans="3:15">
      <c r="C21" s="156"/>
      <c r="D21" s="162" t="str">
        <f>+D17</f>
        <v>mil. €</v>
      </c>
      <c r="E21" s="162" t="str">
        <f>+E17</f>
        <v>% GDP</v>
      </c>
      <c r="F21" s="157"/>
      <c r="G21" s="157"/>
      <c r="H21" s="308" t="str">
        <f>+D13</f>
        <v>mil. €</v>
      </c>
      <c r="I21" s="308" t="str">
        <f>+E13</f>
        <v>% GDP</v>
      </c>
      <c r="J21" s="307"/>
      <c r="K21" s="158"/>
    </row>
    <row r="22" spans="3:15">
      <c r="C22" s="156"/>
      <c r="D22" s="504"/>
      <c r="E22" s="505"/>
      <c r="F22" s="505"/>
      <c r="G22" s="163"/>
      <c r="H22" s="164"/>
      <c r="I22" s="157"/>
      <c r="J22" s="157"/>
      <c r="K22" s="158"/>
    </row>
    <row r="23" spans="3:15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5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5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5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5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5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5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5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5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2" spans="3:15">
      <c r="O32" s="453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0"/>
  <sheetViews>
    <sheetView tabSelected="1" zoomScaleNormal="100" workbookViewId="0">
      <pane ySplit="5" topLeftCell="A6" activePane="bottomLeft" state="frozen"/>
      <selection activeCell="DK219" sqref="DK219"/>
      <selection pane="bottomLeft" activeCell="P25" sqref="P2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B3" s="188"/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2018-09</v>
      </c>
      <c r="O6" s="168" t="str">
        <f>+CONCATENATE(N6,"p")</f>
        <v>2018-09p</v>
      </c>
      <c r="P6" s="152"/>
      <c r="Q6" s="152"/>
      <c r="R6" s="168" t="str">
        <f>+IF(Master!B3-10&gt;=0,CONCATENATE(Master!B4-1,"-",Master!B3),CONCATENATE(Master!B4-1,"-0",Master!B3))</f>
        <v>2017-09</v>
      </c>
      <c r="S6" s="152"/>
      <c r="T6" s="152"/>
    </row>
    <row r="7" spans="1:20">
      <c r="A7" s="169"/>
      <c r="B7" s="458" t="str">
        <f>+Master!G252</f>
        <v>Analytics for period Jan - Sep</v>
      </c>
      <c r="C7" s="459"/>
      <c r="D7" s="459"/>
      <c r="E7" s="459"/>
      <c r="F7" s="459"/>
      <c r="G7" s="467" t="str">
        <f>+Master!G243</f>
        <v>Jan - Sep</v>
      </c>
      <c r="H7" s="468"/>
      <c r="I7" s="468"/>
      <c r="J7" s="468"/>
      <c r="K7" s="468"/>
      <c r="L7" s="468"/>
      <c r="M7" s="469"/>
      <c r="N7" s="470" t="str">
        <f>+Master!G242</f>
        <v>September</v>
      </c>
      <c r="O7" s="468"/>
      <c r="P7" s="468"/>
      <c r="Q7" s="468"/>
      <c r="R7" s="468"/>
      <c r="S7" s="468"/>
      <c r="T7" s="471"/>
    </row>
    <row r="8" spans="1:20">
      <c r="A8" s="169"/>
      <c r="B8" s="460"/>
      <c r="C8" s="461"/>
      <c r="D8" s="461"/>
      <c r="E8" s="461"/>
      <c r="F8" s="462"/>
      <c r="G8" s="170" t="str">
        <f>+Master!G21</f>
        <v>Execution</v>
      </c>
      <c r="H8" s="170" t="str">
        <f>+Master!G20</f>
        <v>Plan</v>
      </c>
      <c r="I8" s="454" t="str">
        <f>+Master!G258</f>
        <v>Deviation</v>
      </c>
      <c r="J8" s="454"/>
      <c r="K8" s="170" t="str">
        <f>+CONCATENATE(Master!G243," ",Master!B4-1)</f>
        <v>Jan - Sep 2017</v>
      </c>
      <c r="L8" s="454" t="str">
        <f>+I8</f>
        <v>Deviation</v>
      </c>
      <c r="M8" s="466"/>
      <c r="N8" s="171" t="str">
        <f>+G8</f>
        <v>Execution</v>
      </c>
      <c r="O8" s="170" t="str">
        <f>+H8</f>
        <v>Plan</v>
      </c>
      <c r="P8" s="454" t="str">
        <f>+I8</f>
        <v>Deviation</v>
      </c>
      <c r="Q8" s="454"/>
      <c r="R8" s="170" t="str">
        <f>+CONCATENATE(Master!G242," ",Master!B4-1)</f>
        <v>September 2017</v>
      </c>
      <c r="S8" s="454" t="str">
        <f>+P8</f>
        <v>Deviation</v>
      </c>
      <c r="T8" s="455"/>
    </row>
    <row r="9" spans="1:20" ht="15.7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f>+SUMPRODUCT(('2018'!$G10:$R10)*('2018'!$G$5:$R$5&lt;=Master!$B$3)*($A10='2018'!$A$10:$A$66))</f>
        <v>1273059280.8800001</v>
      </c>
      <c r="H10" s="176">
        <f>+SUMPRODUCT(('2018'!$G105:$R105)*('2018'!$G$5:$R$5&lt;=Master!$B$3))</f>
        <v>1272911485.7410231</v>
      </c>
      <c r="I10" s="177">
        <f>+G10-H10</f>
        <v>147795.13897705078</v>
      </c>
      <c r="J10" s="178">
        <f>+IF(ISNUMBER(G10/H10-1),G10/H10-1,"…")</f>
        <v>1.1610794672889391E-4</v>
      </c>
      <c r="K10" s="176">
        <f>+SUMPRODUCT(('2017'!$G10:$R10)*('2017'!$G$5:$R$5&lt;=Master!$B$3))</f>
        <v>1116031661.9300001</v>
      </c>
      <c r="L10" s="177">
        <f>+G10-K10</f>
        <v>157027618.95000005</v>
      </c>
      <c r="M10" s="179">
        <f>+IF(ISNUMBER(G10/K10-1),G10/K10-1,"…")</f>
        <v>0.14070175991104561</v>
      </c>
      <c r="N10" s="176">
        <f>'2018'!O10</f>
        <v>187314805.19999999</v>
      </c>
      <c r="O10" s="176">
        <f>+INDEX('2018'!$1:$1048576,MATCH(CONCATENATE('Analytics - 2018'!$A10,"p"),'2018'!$A:$A,0),MATCH('Analytics - 2018'!$O$6,'2018'!$101:$101,0))</f>
        <v>188465142.08181426</v>
      </c>
      <c r="P10" s="177">
        <f>+N10-O10</f>
        <v>-1150336.8818142712</v>
      </c>
      <c r="Q10" s="178">
        <f>+IF(ISNUMBER(N10/O10-1),N10/O10-1,"…")</f>
        <v>-6.1037116418849457E-3</v>
      </c>
      <c r="R10" s="176">
        <f>'2017'!O10</f>
        <v>138688866.59</v>
      </c>
      <c r="S10" s="177">
        <f>+N10-R10</f>
        <v>48625938.609999985</v>
      </c>
      <c r="T10" s="179">
        <f>+IF(ISNUMBER(N10/R10-1),N10/R10-1,"…")</f>
        <v>0.35061169512438783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94">
        <f>+SUMPRODUCT(('2018'!$G11:$R11)*('2018'!$G$5:$R$5&lt;=Master!$B$3)*($A11='2018'!$A$10:$A$66))</f>
        <v>806018384.75999999</v>
      </c>
      <c r="H11" s="341">
        <f>+SUMPRODUCT(('2018'!$G106:$R106)*('2018'!$G$5:$R$5&lt;=Master!$B$3))</f>
        <v>802060315.02141571</v>
      </c>
      <c r="I11" s="183">
        <f t="shared" ref="I11:I67" si="0">+G11-H11</f>
        <v>3958069.73858428</v>
      </c>
      <c r="J11" s="184">
        <f t="shared" ref="J11:J66" si="1">+IF(ISNUMBER(G11/H11-1),G11/H11-1,"…")</f>
        <v>4.9348779193476577E-3</v>
      </c>
      <c r="K11" s="182">
        <f>+SUMPRODUCT(('2017'!$G11:$R11)*('2017'!$G$5:$R$5&lt;=Master!$B$3))</f>
        <v>720728015.07000005</v>
      </c>
      <c r="L11" s="183">
        <f>+G11-K11</f>
        <v>85290369.689999938</v>
      </c>
      <c r="M11" s="185">
        <f t="shared" ref="M11:M66" si="2">+IF(ISNUMBER(G11/K11-1),G11/K11-1,"…")</f>
        <v>0.11833919024462536</v>
      </c>
      <c r="N11" s="194">
        <f>'2018'!O11</f>
        <v>102839740.52</v>
      </c>
      <c r="O11" s="341">
        <f>+INDEX('2018'!$1:$1048576,MATCH(CONCATENATE('Analytics - 2018'!$A11,"p"),'2018'!$A:$A,0),MATCH('Analytics - 2018'!$O$6,'2018'!$101:$101,0))</f>
        <v>102093047.15872496</v>
      </c>
      <c r="P11" s="183">
        <f t="shared" ref="P11:P60" si="3">+N11-O11</f>
        <v>746693.36127503216</v>
      </c>
      <c r="Q11" s="184">
        <f t="shared" ref="Q11:Q60" si="4">+IF(ISNUMBER(N11/O11-1),N11/O11-1,"…")</f>
        <v>7.3138512568260428E-3</v>
      </c>
      <c r="R11" s="194">
        <f>'2017'!O11</f>
        <v>92913520.620000005</v>
      </c>
      <c r="S11" s="183">
        <f t="shared" ref="S11:S59" si="5">+N11-R11</f>
        <v>9926219.8999999911</v>
      </c>
      <c r="T11" s="185">
        <f t="shared" ref="T11:T59" si="6">+IF(ISNUMBER(N11/R11-1),N11/R11-1,"…")</f>
        <v>0.10683288969962179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f>+SUMPRODUCT(('2018'!$G12:$R12)*('2018'!$G$5:$R$5&lt;=Master!$B$3)*($A12='2018'!$A$10:$A$66))</f>
        <v>85245067.910000011</v>
      </c>
      <c r="H12" s="188">
        <f>+SUMPRODUCT(('2018'!$G107:$R107)*('2018'!$G$5:$R$5&lt;=Master!$B$3))</f>
        <v>86320675.658435717</v>
      </c>
      <c r="I12" s="189">
        <f t="shared" si="0"/>
        <v>-1075607.7484357059</v>
      </c>
      <c r="J12" s="190">
        <f t="shared" si="1"/>
        <v>-1.2460603907826218E-2</v>
      </c>
      <c r="K12" s="188">
        <f>+SUMPRODUCT(('2017'!$G12:$R12)*('2017'!$G$5:$R$5&lt;=Master!$B$3))</f>
        <v>79638855.25</v>
      </c>
      <c r="L12" s="189">
        <f>+G12-K12</f>
        <v>5606212.6600000113</v>
      </c>
      <c r="M12" s="191">
        <f t="shared" si="2"/>
        <v>7.0395445067626294E-2</v>
      </c>
      <c r="N12" s="188">
        <f>'2018'!O12</f>
        <v>9598204.1500000004</v>
      </c>
      <c r="O12" s="188">
        <f>+INDEX('2018'!$1:$1048576,MATCH(CONCATENATE('Analytics - 2018'!$A12,"p"),'2018'!$A:$A,0),MATCH('Analytics - 2018'!$O$6,'2018'!$101:$101,0))</f>
        <v>10410490.432834331</v>
      </c>
      <c r="P12" s="189">
        <f t="shared" si="3"/>
        <v>-812286.28283433057</v>
      </c>
      <c r="Q12" s="190">
        <f t="shared" si="4"/>
        <v>-7.8025746056344047E-2</v>
      </c>
      <c r="R12" s="188">
        <f>'2017'!O12</f>
        <v>9609655.3800000008</v>
      </c>
      <c r="S12" s="189">
        <f t="shared" si="5"/>
        <v>-11451.230000000447</v>
      </c>
      <c r="T12" s="191">
        <f t="shared" si="6"/>
        <v>-1.1916379461258675E-3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f>+SUMPRODUCT(('2018'!$G13:$R13)*('2018'!$G$5:$R$5&lt;=Master!$B$3)*($A13='2018'!$A$10:$A$66))</f>
        <v>64513553.079999991</v>
      </c>
      <c r="H13" s="188">
        <f>+SUMPRODUCT(('2018'!$G108:$R108)*('2018'!$G$5:$R$5&lt;=Master!$B$3))</f>
        <v>56853639.427595504</v>
      </c>
      <c r="I13" s="189">
        <f t="shared" si="0"/>
        <v>7659913.6524044871</v>
      </c>
      <c r="J13" s="190">
        <f t="shared" si="1"/>
        <v>0.13473040124651248</v>
      </c>
      <c r="K13" s="188">
        <f>+SUMPRODUCT(('2017'!$G13:$R13)*('2017'!$G$5:$R$5&lt;=Master!$B$3))</f>
        <v>45207964.149999999</v>
      </c>
      <c r="L13" s="189">
        <f t="shared" ref="L13:L67" si="7">+G13-K13</f>
        <v>19305588.929999992</v>
      </c>
      <c r="M13" s="191">
        <f t="shared" si="2"/>
        <v>0.42703955581684805</v>
      </c>
      <c r="N13" s="188">
        <f>'2018'!O13</f>
        <v>7173346.1399999997</v>
      </c>
      <c r="O13" s="188">
        <f>+INDEX('2018'!$1:$1048576,MATCH(CONCATENATE('Analytics - 2018'!$A13,"p"),'2018'!$A:$A,0),MATCH('Analytics - 2018'!$O$6,'2018'!$101:$101,0))</f>
        <v>1324416.4348228676</v>
      </c>
      <c r="P13" s="189">
        <f t="shared" si="3"/>
        <v>5848929.705177132</v>
      </c>
      <c r="Q13" s="190">
        <f t="shared" si="4"/>
        <v>4.4162315955852582</v>
      </c>
      <c r="R13" s="188">
        <f>'2017'!O13</f>
        <v>1103662</v>
      </c>
      <c r="S13" s="189">
        <f t="shared" si="5"/>
        <v>6069684.1399999997</v>
      </c>
      <c r="T13" s="191">
        <f t="shared" si="6"/>
        <v>5.4995860508017849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f>+SUMPRODUCT(('2018'!$G14:$R14)*('2018'!$G$5:$R$5&lt;=Master!$B$3)*($A14='2018'!$A$10:$A$66))</f>
        <v>1277928.1599999999</v>
      </c>
      <c r="H14" s="188">
        <f>+SUMPRODUCT(('2018'!$G109:$R109)*('2018'!$G$5:$R$5&lt;=Master!$B$3))</f>
        <v>1277437.2283104986</v>
      </c>
      <c r="I14" s="189">
        <f t="shared" si="0"/>
        <v>490.93168950127438</v>
      </c>
      <c r="J14" s="190">
        <f t="shared" si="1"/>
        <v>3.8430983426906984E-4</v>
      </c>
      <c r="K14" s="188">
        <f>+SUMPRODUCT(('2017'!$G14:$R14)*('2017'!$G$5:$R$5&lt;=Master!$B$3))</f>
        <v>1033182.6499999999</v>
      </c>
      <c r="L14" s="189">
        <f t="shared" si="7"/>
        <v>244745.51</v>
      </c>
      <c r="M14" s="191">
        <f t="shared" si="2"/>
        <v>0.23688503673576022</v>
      </c>
      <c r="N14" s="188">
        <f>'2018'!O14</f>
        <v>148315.04999999999</v>
      </c>
      <c r="O14" s="188">
        <f>+INDEX('2018'!$1:$1048576,MATCH(CONCATENATE('Analytics - 2018'!$A14,"p"),'2018'!$A:$A,0),MATCH('Analytics - 2018'!$O$6,'2018'!$101:$101,0))</f>
        <v>136199.31001440389</v>
      </c>
      <c r="P14" s="189">
        <f t="shared" si="3"/>
        <v>12115.739985596098</v>
      </c>
      <c r="Q14" s="190">
        <f t="shared" si="4"/>
        <v>8.8955957150699039E-2</v>
      </c>
      <c r="R14" s="188">
        <f>'2017'!O14</f>
        <v>115920.43</v>
      </c>
      <c r="S14" s="189">
        <f t="shared" si="5"/>
        <v>32394.619999999995</v>
      </c>
      <c r="T14" s="191">
        <f t="shared" si="6"/>
        <v>0.27945565764378211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f>+SUMPRODUCT(('2018'!$G15:$R15)*('2018'!$G$5:$R$5&lt;=Master!$B$3)*($A15='2018'!$A$10:$A$66))</f>
        <v>461468715.59000003</v>
      </c>
      <c r="H15" s="188">
        <f>+SUMPRODUCT(('2018'!$G110:$R110)*('2018'!$G$5:$R$5&lt;=Master!$B$3))</f>
        <v>459774768.13895881</v>
      </c>
      <c r="I15" s="189">
        <f t="shared" si="0"/>
        <v>1693947.4510412216</v>
      </c>
      <c r="J15" s="190">
        <f t="shared" si="1"/>
        <v>3.684298418327403E-3</v>
      </c>
      <c r="K15" s="188">
        <f>+SUMPRODUCT(('2017'!$G15:$R15)*('2017'!$G$5:$R$5&lt;=Master!$B$3))</f>
        <v>403509805.97000003</v>
      </c>
      <c r="L15" s="189">
        <f t="shared" si="7"/>
        <v>57958909.620000005</v>
      </c>
      <c r="M15" s="191">
        <f t="shared" si="2"/>
        <v>0.14363692966685693</v>
      </c>
      <c r="N15" s="188">
        <f>'2018'!O15</f>
        <v>57402321.350000001</v>
      </c>
      <c r="O15" s="188">
        <f>+INDEX('2018'!$1:$1048576,MATCH(CONCATENATE('Analytics - 2018'!$A15,"p"),'2018'!$A:$A,0),MATCH('Analytics - 2018'!$O$6,'2018'!$101:$101,0))</f>
        <v>60581956.959091514</v>
      </c>
      <c r="P15" s="189">
        <f t="shared" si="3"/>
        <v>-3179635.6090915129</v>
      </c>
      <c r="Q15" s="190">
        <f t="shared" si="4"/>
        <v>-5.2484861313387254E-2</v>
      </c>
      <c r="R15" s="188">
        <f>'2017'!O15</f>
        <v>53436415.75</v>
      </c>
      <c r="S15" s="189">
        <f t="shared" si="5"/>
        <v>3965905.6000000015</v>
      </c>
      <c r="T15" s="191">
        <f t="shared" si="6"/>
        <v>7.4217283182957505E-2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f>+SUMPRODUCT(('2018'!$G16:$R16)*('2018'!$G$5:$R$5&lt;=Master!$B$3)*($A16='2018'!$A$10:$A$66))</f>
        <v>166496597.86000001</v>
      </c>
      <c r="H16" s="188">
        <f>+SUMPRODUCT(('2018'!$G111:$R111)*('2018'!$G$5:$R$5&lt;=Master!$B$3))</f>
        <v>170608199.68479919</v>
      </c>
      <c r="I16" s="189">
        <f t="shared" si="0"/>
        <v>-4111601.82479918</v>
      </c>
      <c r="J16" s="190">
        <f t="shared" si="1"/>
        <v>-2.4099673007483946E-2</v>
      </c>
      <c r="K16" s="188">
        <f>+SUMPRODUCT(('2017'!$G16:$R16)*('2017'!$G$5:$R$5&lt;=Master!$B$3))</f>
        <v>165367045.34999999</v>
      </c>
      <c r="L16" s="189">
        <f t="shared" si="7"/>
        <v>1129552.5100000203</v>
      </c>
      <c r="M16" s="191">
        <f t="shared" si="2"/>
        <v>6.8305780490260926E-3</v>
      </c>
      <c r="N16" s="188">
        <f>'2018'!O16</f>
        <v>25504339.800000001</v>
      </c>
      <c r="O16" s="188">
        <f>+INDEX('2018'!$1:$1048576,MATCH(CONCATENATE('Analytics - 2018'!$A16,"p"),'2018'!$A:$A,0),MATCH('Analytics - 2018'!$O$6,'2018'!$101:$101,0))</f>
        <v>26516012.978469536</v>
      </c>
      <c r="P16" s="189">
        <f t="shared" si="3"/>
        <v>-1011673.178469535</v>
      </c>
      <c r="Q16" s="190">
        <f t="shared" si="4"/>
        <v>-3.8153291721911287E-2</v>
      </c>
      <c r="R16" s="188">
        <f>'2017'!O16</f>
        <v>25706299.34</v>
      </c>
      <c r="S16" s="189">
        <f t="shared" si="5"/>
        <v>-201959.53999999911</v>
      </c>
      <c r="T16" s="191">
        <f t="shared" si="6"/>
        <v>-7.8564221683103952E-3</v>
      </c>
    </row>
    <row r="17" spans="1:20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f>+SUMPRODUCT(('2018'!$G17:$R17)*('2018'!$G$5:$R$5&lt;=Master!$B$3)*($A17='2018'!$A$10:$A$66))</f>
        <v>20112543.760000002</v>
      </c>
      <c r="H17" s="188">
        <f>+SUMPRODUCT(('2018'!$G112:$R112)*('2018'!$G$5:$R$5&lt;=Master!$B$3))</f>
        <v>20180249.262213923</v>
      </c>
      <c r="I17" s="189">
        <f t="shared" si="0"/>
        <v>-67705.502213921398</v>
      </c>
      <c r="J17" s="190">
        <f t="shared" si="1"/>
        <v>-3.3550379548926701E-3</v>
      </c>
      <c r="K17" s="188">
        <f>+SUMPRODUCT(('2017'!$G17:$R17)*('2017'!$G$5:$R$5&lt;=Master!$B$3))</f>
        <v>19081391.75</v>
      </c>
      <c r="L17" s="189">
        <f t="shared" si="7"/>
        <v>1031152.0100000016</v>
      </c>
      <c r="M17" s="191">
        <f t="shared" si="2"/>
        <v>5.4039664585787017E-2</v>
      </c>
      <c r="N17" s="188">
        <f>'2018'!O17</f>
        <v>2205218.35</v>
      </c>
      <c r="O17" s="188">
        <f>+INDEX('2018'!$1:$1048576,MATCH(CONCATENATE('Analytics - 2018'!$A17,"p"),'2018'!$A:$A,0),MATCH('Analytics - 2018'!$O$6,'2018'!$101:$101,0))</f>
        <v>2264822.404288616</v>
      </c>
      <c r="P17" s="189">
        <f t="shared" si="3"/>
        <v>-59604.054288615938</v>
      </c>
      <c r="Q17" s="190">
        <f t="shared" si="4"/>
        <v>-2.6317319263422623E-2</v>
      </c>
      <c r="R17" s="188">
        <f>'2017'!O17</f>
        <v>2150781.52</v>
      </c>
      <c r="S17" s="189">
        <f t="shared" si="5"/>
        <v>54436.830000000075</v>
      </c>
      <c r="T17" s="191">
        <f t="shared" si="6"/>
        <v>2.5310255594905851E-2</v>
      </c>
    </row>
    <row r="18" spans="1:20">
      <c r="A18" s="175">
        <v>7118</v>
      </c>
      <c r="B18" s="488" t="str">
        <f>+VLOOKUP($A18,Master!$D$25:$G$223,4,FALSE)</f>
        <v>Other Republic Taxes</v>
      </c>
      <c r="C18" s="489"/>
      <c r="D18" s="489"/>
      <c r="E18" s="489"/>
      <c r="F18" s="489"/>
      <c r="G18" s="188">
        <f>+SUMPRODUCT(('2018'!$G18:$R18)*('2018'!$G$5:$R$5&lt;=Master!$B$3)*($A18='2018'!$A$10:$A$66))</f>
        <v>6903978.3999999994</v>
      </c>
      <c r="H18" s="188">
        <f>+SUMPRODUCT(('2018'!$G113:$R113)*('2018'!$G$5:$R$5&lt;=Master!$B$3))</f>
        <v>7045345.6211022232</v>
      </c>
      <c r="I18" s="189">
        <f t="shared" si="0"/>
        <v>-141367.22110222373</v>
      </c>
      <c r="J18" s="190">
        <f t="shared" si="1"/>
        <v>-2.0065335145347696E-2</v>
      </c>
      <c r="K18" s="188">
        <f>+SUMPRODUCT(('2017'!$G18:$R18)*('2017'!$G$5:$R$5&lt;=Master!$B$3))</f>
        <v>6889769.9500000002</v>
      </c>
      <c r="L18" s="189">
        <f t="shared" si="7"/>
        <v>14208.449999999255</v>
      </c>
      <c r="M18" s="191">
        <f t="shared" si="2"/>
        <v>2.0622531816174572E-3</v>
      </c>
      <c r="N18" s="188">
        <f>'2018'!O18</f>
        <v>807995.68</v>
      </c>
      <c r="O18" s="188">
        <f>+INDEX('2018'!$1:$1048576,MATCH(CONCATENATE('Analytics - 2018'!$A18,"p"),'2018'!$A:$A,0),MATCH('Analytics - 2018'!$O$6,'2018'!$101:$101,0))</f>
        <v>859148.63920368766</v>
      </c>
      <c r="P18" s="189">
        <f t="shared" si="3"/>
        <v>-51152.959203687613</v>
      </c>
      <c r="Q18" s="190">
        <f t="shared" si="4"/>
        <v>-5.953912614131518E-2</v>
      </c>
      <c r="R18" s="188">
        <f>'2017'!O18</f>
        <v>790786.2</v>
      </c>
      <c r="S18" s="189">
        <f t="shared" si="5"/>
        <v>17209.480000000098</v>
      </c>
      <c r="T18" s="191">
        <f t="shared" si="6"/>
        <v>2.1762494085000528E-2</v>
      </c>
    </row>
    <row r="19" spans="1:20">
      <c r="A19" s="175">
        <v>712</v>
      </c>
      <c r="B19" s="498" t="str">
        <f>+VLOOKUP($A19,Master!$D$25:$G$223,4,FALSE)</f>
        <v>Contributions</v>
      </c>
      <c r="C19" s="499"/>
      <c r="D19" s="499"/>
      <c r="E19" s="499"/>
      <c r="F19" s="499"/>
      <c r="G19" s="194">
        <f>+SUMPRODUCT(('2018'!$G19:$R19)*('2018'!$G$5:$R$5&lt;=Master!$B$3)*($A19='2018'!$A$10:$A$66))</f>
        <v>351331389.50999999</v>
      </c>
      <c r="H19" s="194">
        <f>+SUMPRODUCT(('2018'!$G114:$R114)*('2018'!$G$5:$R$5&lt;=Master!$B$3))</f>
        <v>352093044.9700554</v>
      </c>
      <c r="I19" s="195">
        <f t="shared" si="0"/>
        <v>-761655.46005541086</v>
      </c>
      <c r="J19" s="196">
        <f t="shared" si="1"/>
        <v>-2.1632221111330674E-3</v>
      </c>
      <c r="K19" s="194">
        <f>+SUMPRODUCT(('2017'!$G19:$R19)*('2017'!$G$5:$R$5&lt;=Master!$B$3))</f>
        <v>330715133.67999995</v>
      </c>
      <c r="L19" s="195">
        <f t="shared" si="7"/>
        <v>20616255.830000043</v>
      </c>
      <c r="M19" s="197">
        <f t="shared" si="2"/>
        <v>6.233841070589885E-2</v>
      </c>
      <c r="N19" s="194">
        <f>'2018'!O19</f>
        <v>41964422.920000002</v>
      </c>
      <c r="O19" s="194">
        <f>+INDEX('2018'!$1:$1048576,MATCH(CONCATENATE('Analytics - 2018'!$A19,"p"),'2018'!$A:$A,0),MATCH('Analytics - 2018'!$O$6,'2018'!$101:$101,0))</f>
        <v>41947258.969554022</v>
      </c>
      <c r="P19" s="195">
        <f t="shared" si="3"/>
        <v>17163.950445979834</v>
      </c>
      <c r="Q19" s="196">
        <f t="shared" si="4"/>
        <v>4.0917930915185252E-4</v>
      </c>
      <c r="R19" s="194">
        <f>'2017'!O19</f>
        <v>39922755.840000004</v>
      </c>
      <c r="S19" s="195">
        <f t="shared" si="5"/>
        <v>2041667.0799999982</v>
      </c>
      <c r="T19" s="197">
        <f t="shared" si="6"/>
        <v>5.1140434497620069E-2</v>
      </c>
    </row>
    <row r="20" spans="1:20">
      <c r="A20" s="175">
        <v>7121</v>
      </c>
      <c r="B20" s="488" t="str">
        <f>+VLOOKUP($A20,Master!$D$25:$G$223,4,FALSE)</f>
        <v>Contributions for Pension and Disability Insurance</v>
      </c>
      <c r="C20" s="489"/>
      <c r="D20" s="489"/>
      <c r="E20" s="489"/>
      <c r="F20" s="489"/>
      <c r="G20" s="188">
        <f>+SUMPRODUCT(('2018'!$G20:$R20)*('2018'!$G$5:$R$5&lt;=Master!$B$3)*($A20='2018'!$A$10:$A$66))</f>
        <v>211532835.92000002</v>
      </c>
      <c r="H20" s="188">
        <f>+SUMPRODUCT(('2018'!$G115:$R115)*('2018'!$G$5:$R$5&lt;=Master!$B$3))</f>
        <v>210240424.65713471</v>
      </c>
      <c r="I20" s="189">
        <f t="shared" si="0"/>
        <v>1292411.2628653049</v>
      </c>
      <c r="J20" s="190">
        <f t="shared" si="1"/>
        <v>6.1473014287001249E-3</v>
      </c>
      <c r="K20" s="188">
        <f>+SUMPRODUCT(('2017'!$G20:$R20)*('2017'!$G$5:$R$5&lt;=Master!$B$3))</f>
        <v>199521104.30000001</v>
      </c>
      <c r="L20" s="189">
        <f t="shared" si="7"/>
        <v>12011731.620000005</v>
      </c>
      <c r="M20" s="191">
        <f t="shared" si="2"/>
        <v>6.020281244002712E-2</v>
      </c>
      <c r="N20" s="188">
        <f>'2018'!O20</f>
        <v>25382505.710000001</v>
      </c>
      <c r="O20" s="188">
        <f>+INDEX('2018'!$1:$1048576,MATCH(CONCATENATE('Analytics - 2018'!$A20,"p"),'2018'!$A:$A,0),MATCH('Analytics - 2018'!$O$6,'2018'!$101:$101,0))</f>
        <v>24221524.281348474</v>
      </c>
      <c r="P20" s="189">
        <f t="shared" si="3"/>
        <v>1160981.4286515266</v>
      </c>
      <c r="Q20" s="190">
        <f t="shared" si="4"/>
        <v>4.7931807064080179E-2</v>
      </c>
      <c r="R20" s="188">
        <f>'2017'!O20</f>
        <v>24050825.579999998</v>
      </c>
      <c r="S20" s="189">
        <f t="shared" si="5"/>
        <v>1331680.1300000027</v>
      </c>
      <c r="T20" s="191">
        <f t="shared" si="6"/>
        <v>5.5369414474794265E-2</v>
      </c>
    </row>
    <row r="21" spans="1:20">
      <c r="A21" s="175">
        <v>7122</v>
      </c>
      <c r="B21" s="488" t="str">
        <f>+VLOOKUP($A21,Master!$D$25:$G$223,4,FALSE)</f>
        <v>Contributions for Health Insurance</v>
      </c>
      <c r="C21" s="489"/>
      <c r="D21" s="489"/>
      <c r="E21" s="489"/>
      <c r="F21" s="489"/>
      <c r="G21" s="188">
        <f>+SUMPRODUCT(('2018'!$G21:$R21)*('2018'!$G$5:$R$5&lt;=Master!$B$3)*($A21='2018'!$A$10:$A$66))</f>
        <v>122263069.46000001</v>
      </c>
      <c r="H21" s="188">
        <f>+SUMPRODUCT(('2018'!$G116:$R116)*('2018'!$G$5:$R$5&lt;=Master!$B$3))</f>
        <v>122765086.50071792</v>
      </c>
      <c r="I21" s="189">
        <f t="shared" si="0"/>
        <v>-502017.0407179147</v>
      </c>
      <c r="J21" s="190">
        <f t="shared" si="1"/>
        <v>-4.0892492729598384E-3</v>
      </c>
      <c r="K21" s="188">
        <f>+SUMPRODUCT(('2017'!$G21:$R21)*('2017'!$G$5:$R$5&lt;=Master!$B$3))</f>
        <v>113827350.36999999</v>
      </c>
      <c r="L21" s="189">
        <f t="shared" si="7"/>
        <v>8435719.0900000185</v>
      </c>
      <c r="M21" s="191">
        <f t="shared" si="2"/>
        <v>7.4109772937518192E-2</v>
      </c>
      <c r="N21" s="188">
        <f>'2018'!O21</f>
        <v>14479735.869999999</v>
      </c>
      <c r="O21" s="188">
        <f>+INDEX('2018'!$1:$1048576,MATCH(CONCATENATE('Analytics - 2018'!$A21,"p"),'2018'!$A:$A,0),MATCH('Analytics - 2018'!$O$6,'2018'!$101:$101,0))</f>
        <v>14961626.025683265</v>
      </c>
      <c r="P21" s="189">
        <f t="shared" si="3"/>
        <v>-481890.155683266</v>
      </c>
      <c r="Q21" s="190">
        <f t="shared" si="4"/>
        <v>-3.2208408020361512E-2</v>
      </c>
      <c r="R21" s="188">
        <f>'2017'!O21</f>
        <v>13781012.470000001</v>
      </c>
      <c r="S21" s="189">
        <f t="shared" si="5"/>
        <v>698723.39999999851</v>
      </c>
      <c r="T21" s="191">
        <f t="shared" si="6"/>
        <v>5.0701891571541369E-2</v>
      </c>
    </row>
    <row r="22" spans="1:20">
      <c r="A22" s="175">
        <v>7123</v>
      </c>
      <c r="B22" s="488" t="str">
        <f>+VLOOKUP($A22,Master!$D$25:$G$223,4,FALSE)</f>
        <v>Contributions for  Unemployment Insurance</v>
      </c>
      <c r="C22" s="489"/>
      <c r="D22" s="489"/>
      <c r="E22" s="489"/>
      <c r="F22" s="489"/>
      <c r="G22" s="188">
        <f>+SUMPRODUCT(('2018'!$G22:$R22)*('2018'!$G$5:$R$5&lt;=Master!$B$3)*($A22='2018'!$A$10:$A$66))</f>
        <v>9066838.9000000004</v>
      </c>
      <c r="H22" s="188">
        <f>+SUMPRODUCT(('2018'!$G117:$R117)*('2018'!$G$5:$R$5&lt;=Master!$B$3))</f>
        <v>10387390.507108964</v>
      </c>
      <c r="I22" s="189">
        <f t="shared" si="0"/>
        <v>-1320551.6071089637</v>
      </c>
      <c r="J22" s="190">
        <f t="shared" si="1"/>
        <v>-0.12713025530379352</v>
      </c>
      <c r="K22" s="188">
        <f>+SUMPRODUCT(('2017'!$G22:$R22)*('2017'!$G$5:$R$5&lt;=Master!$B$3))</f>
        <v>9065320.2199999988</v>
      </c>
      <c r="L22" s="189">
        <f t="shared" si="7"/>
        <v>1518.6800000015646</v>
      </c>
      <c r="M22" s="191">
        <f t="shared" si="2"/>
        <v>1.6752634911343378E-4</v>
      </c>
      <c r="N22" s="188">
        <f>'2018'!O22</f>
        <v>1084116.54</v>
      </c>
      <c r="O22" s="188">
        <f>+INDEX('2018'!$1:$1048576,MATCH(CONCATENATE('Analytics - 2018'!$A22,"p"),'2018'!$A:$A,0),MATCH('Analytics - 2018'!$O$6,'2018'!$101:$101,0))</f>
        <v>1653902.3276207412</v>
      </c>
      <c r="P22" s="189">
        <f t="shared" si="3"/>
        <v>-569785.78762074118</v>
      </c>
      <c r="Q22" s="190">
        <f t="shared" si="4"/>
        <v>-0.34450993756107684</v>
      </c>
      <c r="R22" s="188">
        <f>'2017'!O22</f>
        <v>1093203.53</v>
      </c>
      <c r="S22" s="189">
        <f t="shared" si="5"/>
        <v>-9086.9899999999907</v>
      </c>
      <c r="T22" s="191">
        <f t="shared" si="6"/>
        <v>-8.3122581940436868E-3</v>
      </c>
    </row>
    <row r="23" spans="1:20">
      <c r="A23" s="175">
        <v>7124</v>
      </c>
      <c r="B23" s="488" t="str">
        <f>+VLOOKUP($A23,Master!$D$25:$G$223,4,FALSE)</f>
        <v>Other contributions</v>
      </c>
      <c r="C23" s="489"/>
      <c r="D23" s="489"/>
      <c r="E23" s="489"/>
      <c r="F23" s="489"/>
      <c r="G23" s="188">
        <f>+SUMPRODUCT(('2018'!$G23:$R23)*('2018'!$G$5:$R$5&lt;=Master!$B$3)*($A23='2018'!$A$10:$A$66))</f>
        <v>8468645.2300000004</v>
      </c>
      <c r="H23" s="188">
        <f>+SUMPRODUCT(('2018'!$G118:$R118)*('2018'!$G$5:$R$5&lt;=Master!$B$3))</f>
        <v>8700143.3050938118</v>
      </c>
      <c r="I23" s="189">
        <f t="shared" si="0"/>
        <v>-231498.07509381138</v>
      </c>
      <c r="J23" s="190">
        <f t="shared" si="1"/>
        <v>-2.6608535856906257E-2</v>
      </c>
      <c r="K23" s="188">
        <f>+SUMPRODUCT(('2017'!$G23:$R23)*('2017'!$G$5:$R$5&lt;=Master!$B$3))</f>
        <v>8301358.7899999991</v>
      </c>
      <c r="L23" s="189">
        <f t="shared" si="7"/>
        <v>167286.44000000134</v>
      </c>
      <c r="M23" s="191">
        <f t="shared" si="2"/>
        <v>2.0151693744585364E-2</v>
      </c>
      <c r="N23" s="188">
        <f>'2018'!O23</f>
        <v>1018064.8</v>
      </c>
      <c r="O23" s="188">
        <f>+INDEX('2018'!$1:$1048576,MATCH(CONCATENATE('Analytics - 2018'!$A23,"p"),'2018'!$A:$A,0),MATCH('Analytics - 2018'!$O$6,'2018'!$101:$101,0))</f>
        <v>1110206.3349015415</v>
      </c>
      <c r="P23" s="189">
        <f t="shared" si="3"/>
        <v>-92141.534901541425</v>
      </c>
      <c r="Q23" s="190">
        <f t="shared" si="4"/>
        <v>-8.2994964093510593E-2</v>
      </c>
      <c r="R23" s="188">
        <f>'2017'!O23</f>
        <v>997714.26</v>
      </c>
      <c r="S23" s="189">
        <f t="shared" si="5"/>
        <v>20350.540000000037</v>
      </c>
      <c r="T23" s="191">
        <f t="shared" si="6"/>
        <v>2.0397162610465314E-2</v>
      </c>
    </row>
    <row r="24" spans="1:20">
      <c r="A24" s="175">
        <v>713</v>
      </c>
      <c r="B24" s="490" t="str">
        <f>+VLOOKUP($A24,Master!$D$25:$G$223,4,FALSE)</f>
        <v>Duties</v>
      </c>
      <c r="C24" s="491"/>
      <c r="D24" s="491"/>
      <c r="E24" s="491"/>
      <c r="F24" s="491"/>
      <c r="G24" s="194">
        <f>+SUMPRODUCT(('2018'!$G24:$R24)*('2018'!$G$5:$R$5&lt;=Master!$B$3)*($A24='2018'!$A$10:$A$66))</f>
        <v>12498629.029999999</v>
      </c>
      <c r="H24" s="200">
        <f>+SUMPRODUCT(('2018'!$G119:$R119)*('2018'!$G$5:$R$5&lt;=Master!$B$3))</f>
        <v>12834893.39617124</v>
      </c>
      <c r="I24" s="201">
        <f t="shared" si="0"/>
        <v>-336264.36617124081</v>
      </c>
      <c r="J24" s="202">
        <f t="shared" si="1"/>
        <v>-2.6199233276962941E-2</v>
      </c>
      <c r="K24" s="200">
        <f>+SUMPRODUCT(('2017'!$G24:$R24)*('2017'!$G$5:$R$5&lt;=Master!$B$3))</f>
        <v>10086600.950000001</v>
      </c>
      <c r="L24" s="201">
        <f t="shared" si="7"/>
        <v>2412028.0799999982</v>
      </c>
      <c r="M24" s="203">
        <f t="shared" si="2"/>
        <v>0.23913190300246767</v>
      </c>
      <c r="N24" s="194">
        <f>'2018'!O24</f>
        <v>1545122.56</v>
      </c>
      <c r="O24" s="200">
        <f>+INDEX('2018'!$1:$1048576,MATCH(CONCATENATE('Analytics - 2018'!$A24,"p"),'2018'!$A:$A,0),MATCH('Analytics - 2018'!$O$6,'2018'!$101:$101,0))</f>
        <v>1758705.3100069393</v>
      </c>
      <c r="P24" s="201">
        <f t="shared" si="3"/>
        <v>-213582.75000693928</v>
      </c>
      <c r="Q24" s="202">
        <f t="shared" si="4"/>
        <v>-0.12144317117351322</v>
      </c>
      <c r="R24" s="194">
        <f>'2017'!O24</f>
        <v>1300121.74</v>
      </c>
      <c r="S24" s="201">
        <f t="shared" si="5"/>
        <v>245000.82000000007</v>
      </c>
      <c r="T24" s="203">
        <f t="shared" si="6"/>
        <v>0.18844452212605889</v>
      </c>
    </row>
    <row r="25" spans="1:20">
      <c r="A25" s="175">
        <v>714</v>
      </c>
      <c r="B25" s="490" t="str">
        <f>+VLOOKUP($A25,Master!$D$25:$G$223,4,FALSE)</f>
        <v>Fees</v>
      </c>
      <c r="C25" s="491"/>
      <c r="D25" s="491"/>
      <c r="E25" s="491"/>
      <c r="F25" s="491"/>
      <c r="G25" s="194">
        <f>+SUMPRODUCT(('2018'!$G25:$R25)*('2018'!$G$5:$R$5&lt;=Master!$B$3)*($A25='2018'!$A$10:$A$66))</f>
        <v>19352293.23</v>
      </c>
      <c r="H25" s="200">
        <f>+SUMPRODUCT(('2018'!$G120:$R120)*('2018'!$G$5:$R$5&lt;=Master!$B$3))</f>
        <v>19543527.574936822</v>
      </c>
      <c r="I25" s="201">
        <f t="shared" si="0"/>
        <v>-191234.34493682161</v>
      </c>
      <c r="J25" s="202">
        <f t="shared" si="1"/>
        <v>-9.7850474641060226E-3</v>
      </c>
      <c r="K25" s="200">
        <f>+SUMPRODUCT(('2017'!$G25:$R25)*('2017'!$G$5:$R$5&lt;=Master!$B$3))</f>
        <v>13187570.029999999</v>
      </c>
      <c r="L25" s="201">
        <f t="shared" si="7"/>
        <v>6164723.2000000011</v>
      </c>
      <c r="M25" s="203">
        <f t="shared" si="2"/>
        <v>0.46746467969277594</v>
      </c>
      <c r="N25" s="194">
        <f>'2018'!O25</f>
        <v>1933671.64</v>
      </c>
      <c r="O25" s="200">
        <f>+INDEX('2018'!$1:$1048576,MATCH(CONCATENATE('Analytics - 2018'!$A25,"p"),'2018'!$A:$A,0),MATCH('Analytics - 2018'!$O$6,'2018'!$101:$101,0))</f>
        <v>2453431.0919642458</v>
      </c>
      <c r="P25" s="201">
        <f t="shared" si="3"/>
        <v>-519759.45196424588</v>
      </c>
      <c r="Q25" s="202">
        <f t="shared" si="4"/>
        <v>-0.2118500306230815</v>
      </c>
      <c r="R25" s="194">
        <f>'2017'!O25</f>
        <v>1107710.8999999999</v>
      </c>
      <c r="S25" s="201">
        <f t="shared" si="5"/>
        <v>825960.74</v>
      </c>
      <c r="T25" s="203">
        <f t="shared" si="6"/>
        <v>0.74564648591974669</v>
      </c>
    </row>
    <row r="26" spans="1:20">
      <c r="A26" s="175">
        <v>715</v>
      </c>
      <c r="B26" s="490" t="str">
        <f>+VLOOKUP($A26,Master!$D$25:$G$223,4,FALSE)</f>
        <v>Other revenues</v>
      </c>
      <c r="C26" s="491"/>
      <c r="D26" s="491"/>
      <c r="E26" s="491"/>
      <c r="F26" s="491"/>
      <c r="G26" s="194">
        <f>+SUMPRODUCT(('2018'!$G26:$R26)*('2018'!$G$5:$R$5&lt;=Master!$B$3)*($A26='2018'!$A$10:$A$66))</f>
        <v>61305297.460000001</v>
      </c>
      <c r="H26" s="200">
        <f>+SUMPRODUCT(('2018'!$G121:$R121)*('2018'!$G$5:$R$5&lt;=Master!$B$3))</f>
        <v>61616419.90156284</v>
      </c>
      <c r="I26" s="201">
        <f t="shared" si="0"/>
        <v>-311122.44156283885</v>
      </c>
      <c r="J26" s="202">
        <f t="shared" si="1"/>
        <v>-5.049343049464472E-3</v>
      </c>
      <c r="K26" s="200">
        <f>+SUMPRODUCT(('2017'!$G26:$R26)*('2017'!$G$5:$R$5&lt;=Master!$B$3))</f>
        <v>25712016.809999999</v>
      </c>
      <c r="L26" s="201">
        <f t="shared" si="7"/>
        <v>35593280.650000006</v>
      </c>
      <c r="M26" s="203">
        <f t="shared" si="2"/>
        <v>1.3843052807960574</v>
      </c>
      <c r="N26" s="194">
        <f>'2018'!O26</f>
        <v>37466612.939999998</v>
      </c>
      <c r="O26" s="200">
        <f>+INDEX('2018'!$1:$1048576,MATCH(CONCATENATE('Analytics - 2018'!$A26,"p"),'2018'!$A:$A,0),MATCH('Analytics - 2018'!$O$6,'2018'!$101:$101,0))</f>
        <v>38693622.019299239</v>
      </c>
      <c r="P26" s="201">
        <f t="shared" si="3"/>
        <v>-1227009.0792992413</v>
      </c>
      <c r="Q26" s="202">
        <f t="shared" si="4"/>
        <v>-3.17108870988414E-2</v>
      </c>
      <c r="R26" s="194">
        <f>'2017'!O26</f>
        <v>1761653.61</v>
      </c>
      <c r="S26" s="201">
        <f t="shared" si="5"/>
        <v>35704959.329999998</v>
      </c>
      <c r="T26" s="203" t="s">
        <v>779</v>
      </c>
    </row>
    <row r="27" spans="1:20">
      <c r="A27" s="175">
        <v>73</v>
      </c>
      <c r="B27" s="490" t="str">
        <f>+VLOOKUP($A27,Master!$D$25:$G$223,4,FALSE)</f>
        <v>Receipts from Repayment of Loans and Funds Carried over from Previous Year</v>
      </c>
      <c r="C27" s="491"/>
      <c r="D27" s="491"/>
      <c r="E27" s="491"/>
      <c r="F27" s="491"/>
      <c r="G27" s="194">
        <f>+SUMPRODUCT(('2018'!$G27:$R27)*('2018'!$G$5:$R$5&lt;=Master!$B$3)*($A27='2018'!$A$10:$A$66))</f>
        <v>5577751.4500000002</v>
      </c>
      <c r="H27" s="200">
        <f>+SUMPRODUCT(('2018'!$G122:$R122)*('2018'!$G$5:$R$5&lt;=Master!$B$3))</f>
        <v>5126021.0801104074</v>
      </c>
      <c r="I27" s="201">
        <f t="shared" si="0"/>
        <v>451730.36988959275</v>
      </c>
      <c r="J27" s="202">
        <f t="shared" si="1"/>
        <v>8.8124953610191348E-2</v>
      </c>
      <c r="K27" s="200">
        <f>+SUMPRODUCT(('2017'!$G27:$R27)*('2017'!$G$5:$R$5&lt;=Master!$B$3))</f>
        <v>3529582.71</v>
      </c>
      <c r="L27" s="201">
        <f t="shared" si="7"/>
        <v>2048168.7400000002</v>
      </c>
      <c r="M27" s="203">
        <f t="shared" si="2"/>
        <v>0.58028637045312359</v>
      </c>
      <c r="N27" s="194">
        <f>'2018'!O27</f>
        <v>907089.49</v>
      </c>
      <c r="O27" s="200">
        <f>+INDEX('2018'!$1:$1048576,MATCH(CONCATENATE('Analytics - 2018'!$A27,"p"),'2018'!$A:$A,0),MATCH('Analytics - 2018'!$O$6,'2018'!$101:$101,0))</f>
        <v>165878.65208433714</v>
      </c>
      <c r="P27" s="201">
        <f t="shared" si="3"/>
        <v>741210.83791566291</v>
      </c>
      <c r="Q27" s="202">
        <f t="shared" si="4"/>
        <v>4.4683919757125317</v>
      </c>
      <c r="R27" s="194">
        <f>'2017'!O27</f>
        <v>182139.62</v>
      </c>
      <c r="S27" s="201">
        <f t="shared" si="5"/>
        <v>724949.87</v>
      </c>
      <c r="T27" s="203" t="s">
        <v>779</v>
      </c>
    </row>
    <row r="28" spans="1:20" ht="15.75" thickBot="1">
      <c r="A28" s="175">
        <v>74</v>
      </c>
      <c r="B28" s="492" t="str">
        <f>+VLOOKUP($A28,Master!$D$25:$G$223,4,FALSE)</f>
        <v>Grants and Transfers</v>
      </c>
      <c r="C28" s="493"/>
      <c r="D28" s="493"/>
      <c r="E28" s="493"/>
      <c r="F28" s="493"/>
      <c r="G28" s="194">
        <f>+SUMPRODUCT(('2018'!$G28:$R28)*('2018'!$G$5:$R$5&lt;=Master!$B$3)*($A28='2018'!$A$10:$A$66))</f>
        <v>16975535.440000001</v>
      </c>
      <c r="H28" s="200">
        <f>+SUMPRODUCT(('2018'!$G123:$R123)*('2018'!$G$5:$R$5&lt;=Master!$B$3))</f>
        <v>19637263.796770509</v>
      </c>
      <c r="I28" s="201">
        <f t="shared" si="0"/>
        <v>-2661728.356770508</v>
      </c>
      <c r="J28" s="202">
        <f t="shared" si="1"/>
        <v>-0.13554476755607103</v>
      </c>
      <c r="K28" s="200">
        <f>+SUMPRODUCT(('2017'!$G28:$R28)*('2017'!$G$5:$R$5&lt;=Master!$B$3))</f>
        <v>12072742.680000002</v>
      </c>
      <c r="L28" s="201">
        <f t="shared" si="7"/>
        <v>4902792.76</v>
      </c>
      <c r="M28" s="203">
        <f t="shared" si="2"/>
        <v>0.40610430371568218</v>
      </c>
      <c r="N28" s="194">
        <f>'2018'!O28</f>
        <v>658145.13</v>
      </c>
      <c r="O28" s="200">
        <f>+INDEX('2018'!$1:$1048576,MATCH(CONCATENATE('Analytics - 2018'!$A28,"p"),'2018'!$A:$A,0),MATCH('Analytics - 2018'!$O$6,'2018'!$101:$101,0))</f>
        <v>1353198.8801805205</v>
      </c>
      <c r="P28" s="201">
        <f t="shared" si="3"/>
        <v>-695053.75018052047</v>
      </c>
      <c r="Q28" s="202">
        <f t="shared" si="4"/>
        <v>-0.51363754460674582</v>
      </c>
      <c r="R28" s="194">
        <f>'2017'!O28</f>
        <v>1500964.26</v>
      </c>
      <c r="S28" s="201">
        <f t="shared" si="5"/>
        <v>-842819.13</v>
      </c>
      <c r="T28" s="203">
        <f t="shared" si="6"/>
        <v>-0.56151845347736662</v>
      </c>
    </row>
    <row r="29" spans="1:20" ht="15.75" thickBot="1">
      <c r="A29" s="175">
        <v>4</v>
      </c>
      <c r="B29" s="478" t="str">
        <f>+VLOOKUP($A29,Master!$D$25:$G$223,4,FALSE)</f>
        <v>Total Expenditures</v>
      </c>
      <c r="C29" s="479"/>
      <c r="D29" s="479"/>
      <c r="E29" s="479"/>
      <c r="F29" s="479"/>
      <c r="G29" s="176">
        <f>+SUMPRODUCT(('2018'!$G29:$R29)*('2018'!$G$5:$R$5&lt;=Master!$B$3)*($A29='2018'!$A$10:$A$66))</f>
        <v>1298403528.8300002</v>
      </c>
      <c r="H29" s="176">
        <f>+SUMPRODUCT(('2018'!$G124:$R124)*('2018'!$G$5:$R$5&lt;=Master!$B$3))</f>
        <v>1375295120.2276666</v>
      </c>
      <c r="I29" s="177">
        <f t="shared" si="0"/>
        <v>-76891591.397666454</v>
      </c>
      <c r="J29" s="178">
        <f t="shared" si="1"/>
        <v>-5.590915743592384E-2</v>
      </c>
      <c r="K29" s="176">
        <f>+SUMPRODUCT(('2017'!$G29:$R29)*('2017'!$G$5:$R$5&lt;=Master!$B$3))</f>
        <v>1218692068.55</v>
      </c>
      <c r="L29" s="177">
        <f t="shared" si="7"/>
        <v>79711460.28000021</v>
      </c>
      <c r="M29" s="179">
        <f t="shared" si="2"/>
        <v>6.540738414326519E-2</v>
      </c>
      <c r="N29" s="176">
        <f>'2018'!O29</f>
        <v>166137285.44</v>
      </c>
      <c r="O29" s="176">
        <f>+INDEX('2018'!$1:$1048576,MATCH(CONCATENATE('Analytics - 2018'!$A29,"p"),'2018'!$A:$A,0),MATCH('Analytics - 2018'!$O$6,'2018'!$101:$101,0))</f>
        <v>174334840.49077779</v>
      </c>
      <c r="P29" s="177">
        <f t="shared" si="3"/>
        <v>-8197555.0507777929</v>
      </c>
      <c r="Q29" s="178">
        <f t="shared" si="4"/>
        <v>-4.702189778991106E-2</v>
      </c>
      <c r="R29" s="176">
        <f>'2017'!O29</f>
        <v>137503517.67999998</v>
      </c>
      <c r="S29" s="177">
        <f t="shared" si="5"/>
        <v>28633767.76000002</v>
      </c>
      <c r="T29" s="179">
        <f t="shared" si="6"/>
        <v>0.20824025627211151</v>
      </c>
    </row>
    <row r="30" spans="1:20" ht="15.75" thickBot="1">
      <c r="A30" s="175">
        <v>41</v>
      </c>
      <c r="B30" s="494" t="str">
        <f>+VLOOKUP($A30,Master!$D$25:$G$223,4,FALSE)</f>
        <v>Current Expenditures</v>
      </c>
      <c r="C30" s="495"/>
      <c r="D30" s="495"/>
      <c r="E30" s="495"/>
      <c r="F30" s="495"/>
      <c r="G30" s="342">
        <f>+SUMPRODUCT(('2018'!$G30:$R30)*('2018'!$G$5:$R$5&lt;=Master!$B$3)*($A30='2018'!$A$10:$A$66))</f>
        <v>1153853965.4300003</v>
      </c>
      <c r="H30" s="342">
        <f>+SUMPRODUCT(('2018'!$G125:$R125)*('2018'!$G$5:$R$5&lt;=Master!$B$3))</f>
        <v>1166166370.2276669</v>
      </c>
      <c r="I30" s="207">
        <f t="shared" si="0"/>
        <v>-12312404.79766655</v>
      </c>
      <c r="J30" s="208">
        <f t="shared" si="1"/>
        <v>-1.0558017373852757E-2</v>
      </c>
      <c r="K30" s="389">
        <f>+SUMPRODUCT(('2017'!$G30:$R30)*('2017'!$G$5:$R$5&lt;=Master!$B$3))</f>
        <v>1117623308.4499998</v>
      </c>
      <c r="L30" s="207">
        <f t="shared" si="7"/>
        <v>36230656.980000496</v>
      </c>
      <c r="M30" s="209">
        <f t="shared" si="2"/>
        <v>3.2417592498359626E-2</v>
      </c>
      <c r="N30" s="342">
        <f>'2018'!O30</f>
        <v>127783869.37</v>
      </c>
      <c r="O30" s="342">
        <f>+INDEX('2018'!$1:$1048576,MATCH(CONCATENATE('Analytics - 2018'!$A30,"p"),'2018'!$A:$A,0),MATCH('Analytics - 2018'!$O$6,'2018'!$101:$101,0))</f>
        <v>148019423.8241111</v>
      </c>
      <c r="P30" s="207">
        <f t="shared" si="3"/>
        <v>-20235554.454111099</v>
      </c>
      <c r="Q30" s="208">
        <f t="shared" si="4"/>
        <v>-0.13670877734368603</v>
      </c>
      <c r="R30" s="342">
        <f>'2017'!O30</f>
        <v>117563216.00999998</v>
      </c>
      <c r="S30" s="207">
        <f t="shared" si="5"/>
        <v>10220653.360000029</v>
      </c>
      <c r="T30" s="209">
        <f t="shared" si="6"/>
        <v>8.6937510786798011E-2</v>
      </c>
    </row>
    <row r="31" spans="1:20">
      <c r="A31" s="175">
        <v>40</v>
      </c>
      <c r="B31" s="496" t="str">
        <f>+VLOOKUP($A31,Master!$D$25:$G$223,4,FALSE)</f>
        <v>Current Budgetary Expenditures</v>
      </c>
      <c r="C31" s="497"/>
      <c r="D31" s="497"/>
      <c r="E31" s="497"/>
      <c r="F31" s="497"/>
      <c r="G31" s="391">
        <f>+SUMPRODUCT(('2018'!$G31:$R31)*('2018'!$G$5:$R$5&lt;=Master!$B$3)*($A31='2018'!$A$10:$A$66))</f>
        <v>578612897.93000007</v>
      </c>
      <c r="H31" s="391">
        <f>+SUMPRODUCT(('2018'!$G126:$R126)*('2018'!$G$5:$R$5&lt;=Master!$B$3))</f>
        <v>585214418.21616673</v>
      </c>
      <c r="I31" s="213">
        <f t="shared" si="0"/>
        <v>-6601520.2861666679</v>
      </c>
      <c r="J31" s="214">
        <f t="shared" si="1"/>
        <v>-1.1280515449857198E-2</v>
      </c>
      <c r="K31" s="390">
        <f>+SUMPRODUCT(('2017'!$G31:$R31)*('2017'!$G$5:$R$5&lt;=Master!$B$3))</f>
        <v>556838574.32999992</v>
      </c>
      <c r="L31" s="213">
        <f t="shared" si="7"/>
        <v>21774323.600000143</v>
      </c>
      <c r="M31" s="215">
        <f t="shared" si="2"/>
        <v>3.9103475592005221E-2</v>
      </c>
      <c r="N31" s="391">
        <f>'2018'!O31</f>
        <v>63479597.990000002</v>
      </c>
      <c r="O31" s="391">
        <f>+INDEX('2018'!$1:$1048576,MATCH(CONCATENATE('Analytics - 2018'!$A31,"p"),'2018'!$A:$A,0),MATCH('Analytics - 2018'!$O$6,'2018'!$101:$101,0))</f>
        <v>75624240.564611077</v>
      </c>
      <c r="P31" s="213">
        <f t="shared" si="3"/>
        <v>-12144642.574611075</v>
      </c>
      <c r="Q31" s="214">
        <f t="shared" si="4"/>
        <v>-0.16059192771972441</v>
      </c>
      <c r="R31" s="391">
        <f>'2017'!O31</f>
        <v>56191213.159999996</v>
      </c>
      <c r="S31" s="213">
        <f t="shared" si="5"/>
        <v>7288384.8300000057</v>
      </c>
      <c r="T31" s="215">
        <f t="shared" si="6"/>
        <v>0.12970684240695984</v>
      </c>
    </row>
    <row r="32" spans="1:20">
      <c r="A32" s="175">
        <v>411</v>
      </c>
      <c r="B32" s="488" t="str">
        <f>+VLOOKUP($A32,Master!$D$25:$G$223,4,FALSE)</f>
        <v>Gross Salaries and Contributions</v>
      </c>
      <c r="C32" s="489"/>
      <c r="D32" s="489"/>
      <c r="E32" s="489"/>
      <c r="F32" s="489"/>
      <c r="G32" s="188">
        <f>+SUMPRODUCT(('2018'!$G32:$R32)*('2018'!$G$5:$R$5&lt;=Master!$B$3)*($A32='2018'!$A$10:$A$66))</f>
        <v>340115894.49000001</v>
      </c>
      <c r="H32" s="188">
        <f>+SUMPRODUCT(('2018'!$G127:$R127)*('2018'!$G$5:$R$5&lt;=Master!$B$3))</f>
        <v>334982329.17249995</v>
      </c>
      <c r="I32" s="189">
        <f t="shared" si="0"/>
        <v>5133565.3175000548</v>
      </c>
      <c r="J32" s="190">
        <f t="shared" si="1"/>
        <v>1.5324883942927414E-2</v>
      </c>
      <c r="K32" s="188">
        <f>+SUMPRODUCT(('2017'!$G32:$R32)*('2017'!$G$5:$R$5&lt;=Master!$B$3))</f>
        <v>328738590.37</v>
      </c>
      <c r="L32" s="189">
        <f t="shared" si="7"/>
        <v>11377304.120000005</v>
      </c>
      <c r="M32" s="191">
        <f t="shared" si="2"/>
        <v>3.4608970328657396E-2</v>
      </c>
      <c r="N32" s="188">
        <f>'2018'!O32</f>
        <v>38163591.060000002</v>
      </c>
      <c r="O32" s="188">
        <f>+INDEX('2018'!$1:$1048576,MATCH(CONCATENATE('Analytics - 2018'!$A32,"p"),'2018'!$A:$A,0),MATCH('Analytics - 2018'!$O$6,'2018'!$101:$101,0))</f>
        <v>42330489.099166654</v>
      </c>
      <c r="P32" s="189">
        <f t="shared" si="3"/>
        <v>-4166898.0391666517</v>
      </c>
      <c r="Q32" s="190">
        <f t="shared" si="4"/>
        <v>-9.8437276011740793E-2</v>
      </c>
      <c r="R32" s="188">
        <f>'2017'!O32</f>
        <v>36145069.369999997</v>
      </c>
      <c r="S32" s="189">
        <f t="shared" si="5"/>
        <v>2018521.6900000051</v>
      </c>
      <c r="T32" s="191">
        <f t="shared" si="6"/>
        <v>5.5845008051785827E-2</v>
      </c>
    </row>
    <row r="33" spans="1:20">
      <c r="A33" s="175">
        <v>412</v>
      </c>
      <c r="B33" s="488" t="str">
        <f>+VLOOKUP($A33,Master!$D$25:$G$223,4,FALSE)</f>
        <v>Other Personal Income</v>
      </c>
      <c r="C33" s="489"/>
      <c r="D33" s="489"/>
      <c r="E33" s="489"/>
      <c r="F33" s="489"/>
      <c r="G33" s="188">
        <f>+SUMPRODUCT(('2018'!$G33:$R33)*('2018'!$G$5:$R$5&lt;=Master!$B$3)*($A33='2018'!$A$10:$A$66))</f>
        <v>7751391.4900000002</v>
      </c>
      <c r="H33" s="188">
        <f>+SUMPRODUCT(('2018'!$G128:$R128)*('2018'!$G$5:$R$5&lt;=Master!$B$3))</f>
        <v>9525225.9683333337</v>
      </c>
      <c r="I33" s="189">
        <f t="shared" si="0"/>
        <v>-1773834.4783333335</v>
      </c>
      <c r="J33" s="190">
        <f t="shared" si="1"/>
        <v>-0.18622492361130916</v>
      </c>
      <c r="K33" s="188">
        <f>+SUMPRODUCT(('2017'!$G33:$R33)*('2017'!$G$5:$R$5&lt;=Master!$B$3))</f>
        <v>6803130.4699999997</v>
      </c>
      <c r="L33" s="189">
        <f t="shared" si="7"/>
        <v>948261.02000000048</v>
      </c>
      <c r="M33" s="191">
        <f t="shared" si="2"/>
        <v>0.13938598181845552</v>
      </c>
      <c r="N33" s="188">
        <f>'2018'!O33</f>
        <v>963637.57</v>
      </c>
      <c r="O33" s="188">
        <f>+INDEX('2018'!$1:$1048576,MATCH(CONCATENATE('Analytics - 2018'!$A33,"p"),'2018'!$A:$A,0),MATCH('Analytics - 2018'!$O$6,'2018'!$101:$101,0))</f>
        <v>1064654.7372222201</v>
      </c>
      <c r="P33" s="189">
        <f t="shared" si="3"/>
        <v>-101017.1672222201</v>
      </c>
      <c r="Q33" s="190">
        <f t="shared" si="4"/>
        <v>-9.4882560223968015E-2</v>
      </c>
      <c r="R33" s="188">
        <f>'2017'!O33</f>
        <v>710611.47</v>
      </c>
      <c r="S33" s="189">
        <f t="shared" si="5"/>
        <v>253026.09999999998</v>
      </c>
      <c r="T33" s="191">
        <f t="shared" si="6"/>
        <v>0.35606813382846192</v>
      </c>
    </row>
    <row r="34" spans="1:20">
      <c r="A34" s="175">
        <v>413</v>
      </c>
      <c r="B34" s="488" t="str">
        <f>+VLOOKUP($A34,Master!$D$25:$G$223,4,FALSE)</f>
        <v>Expenditures for Supplies</v>
      </c>
      <c r="C34" s="489"/>
      <c r="D34" s="489"/>
      <c r="E34" s="489"/>
      <c r="F34" s="489"/>
      <c r="G34" s="188">
        <f>+SUMPRODUCT(('2018'!$G34:$R34)*('2018'!$G$5:$R$5&lt;=Master!$B$3)*($A34='2018'!$A$10:$A$66))</f>
        <v>21844773.649999999</v>
      </c>
      <c r="H34" s="188">
        <f>+SUMPRODUCT(('2018'!$G129:$R129)*('2018'!$G$5:$R$5&lt;=Master!$B$3))</f>
        <v>26318823.294</v>
      </c>
      <c r="I34" s="189">
        <f t="shared" si="0"/>
        <v>-4474049.6440000013</v>
      </c>
      <c r="J34" s="190">
        <f t="shared" si="1"/>
        <v>-0.16999428865119393</v>
      </c>
      <c r="K34" s="188">
        <f>+SUMPRODUCT(('2017'!$G34:$R34)*('2017'!$G$5:$R$5&lt;=Master!$B$3))</f>
        <v>17958042.599999998</v>
      </c>
      <c r="L34" s="189">
        <f t="shared" si="7"/>
        <v>3886731.0500000007</v>
      </c>
      <c r="M34" s="191">
        <f t="shared" si="2"/>
        <v>0.2164340032248282</v>
      </c>
      <c r="N34" s="188">
        <f>'2018'!O34</f>
        <v>1934822.17</v>
      </c>
      <c r="O34" s="188">
        <f>+INDEX('2018'!$1:$1048576,MATCH(CONCATENATE('Analytics - 2018'!$A34,"p"),'2018'!$A:$A,0),MATCH('Analytics - 2018'!$O$6,'2018'!$101:$101,0))</f>
        <v>4454463.4019999988</v>
      </c>
      <c r="P34" s="189">
        <f t="shared" si="3"/>
        <v>-2519641.2319999989</v>
      </c>
      <c r="Q34" s="190">
        <f t="shared" si="4"/>
        <v>-0.5656441651016173</v>
      </c>
      <c r="R34" s="188">
        <f>'2017'!O34</f>
        <v>1844593.48</v>
      </c>
      <c r="S34" s="189">
        <f t="shared" si="5"/>
        <v>90228.689999999944</v>
      </c>
      <c r="T34" s="191">
        <f t="shared" si="6"/>
        <v>4.8915216809722217E-2</v>
      </c>
    </row>
    <row r="35" spans="1:20">
      <c r="A35" s="175">
        <v>414</v>
      </c>
      <c r="B35" s="488" t="str">
        <f>+VLOOKUP($A35,Master!$D$25:$G$223,4,FALSE)</f>
        <v>Expenditures for Services</v>
      </c>
      <c r="C35" s="489"/>
      <c r="D35" s="489"/>
      <c r="E35" s="489"/>
      <c r="F35" s="489"/>
      <c r="G35" s="188">
        <f>+SUMPRODUCT(('2018'!$G35:$R35)*('2018'!$G$5:$R$5&lt;=Master!$B$3)*($A35='2018'!$A$10:$A$66))</f>
        <v>47037194.259999998</v>
      </c>
      <c r="H35" s="188">
        <f>+SUMPRODUCT(('2018'!$G130:$R130)*('2018'!$G$5:$R$5&lt;=Master!$B$3))</f>
        <v>42010488.879666656</v>
      </c>
      <c r="I35" s="189">
        <f t="shared" si="0"/>
        <v>5026705.3803333417</v>
      </c>
      <c r="J35" s="190">
        <f t="shared" si="1"/>
        <v>0.11965357972223689</v>
      </c>
      <c r="K35" s="188">
        <f>+SUMPRODUCT(('2017'!$G35:$R35)*('2017'!$G$5:$R$5&lt;=Master!$B$3))</f>
        <v>39872875.140000001</v>
      </c>
      <c r="L35" s="189">
        <f t="shared" si="7"/>
        <v>7164319.1199999973</v>
      </c>
      <c r="M35" s="191">
        <f t="shared" si="2"/>
        <v>0.17967901975578471</v>
      </c>
      <c r="N35" s="188">
        <f>'2018'!O35</f>
        <v>5520757.9299999997</v>
      </c>
      <c r="O35" s="188">
        <f>+INDEX('2018'!$1:$1048576,MATCH(CONCATENATE('Analytics - 2018'!$A35,"p"),'2018'!$A:$A,0),MATCH('Analytics - 2018'!$O$6,'2018'!$101:$101,0))</f>
        <v>5577148.0201111175</v>
      </c>
      <c r="P35" s="189">
        <f t="shared" si="3"/>
        <v>-56390.09011111781</v>
      </c>
      <c r="Q35" s="190">
        <f t="shared" si="4"/>
        <v>-1.0110918682411874E-2</v>
      </c>
      <c r="R35" s="188">
        <f>'2017'!O35</f>
        <v>4338671.4800000004</v>
      </c>
      <c r="S35" s="189">
        <f t="shared" si="5"/>
        <v>1182086.4499999993</v>
      </c>
      <c r="T35" s="191">
        <f t="shared" si="6"/>
        <v>0.27245355068920762</v>
      </c>
    </row>
    <row r="36" spans="1:20">
      <c r="A36" s="175">
        <v>415</v>
      </c>
      <c r="B36" s="488" t="str">
        <f>+VLOOKUP($A36,Master!$D$25:$G$223,4,FALSE)</f>
        <v>Current Maintenance</v>
      </c>
      <c r="C36" s="489"/>
      <c r="D36" s="489"/>
      <c r="E36" s="489"/>
      <c r="F36" s="489"/>
      <c r="G36" s="188">
        <f>+SUMPRODUCT(('2018'!$G36:$R36)*('2018'!$G$5:$R$5&lt;=Master!$B$3)*($A36='2018'!$A$10:$A$66))</f>
        <v>13163023.27</v>
      </c>
      <c r="H36" s="188">
        <f>+SUMPRODUCT(('2018'!$G131:$R131)*('2018'!$G$5:$R$5&lt;=Master!$B$3))</f>
        <v>16733288.092500001</v>
      </c>
      <c r="I36" s="189">
        <f t="shared" si="0"/>
        <v>-3570264.8225000016</v>
      </c>
      <c r="J36" s="190">
        <f t="shared" si="1"/>
        <v>-0.21336301644745026</v>
      </c>
      <c r="K36" s="188">
        <f>+SUMPRODUCT(('2017'!$G36:$R36)*('2017'!$G$5:$R$5&lt;=Master!$B$3))</f>
        <v>12594946.83</v>
      </c>
      <c r="L36" s="189">
        <f t="shared" si="7"/>
        <v>568076.43999999948</v>
      </c>
      <c r="M36" s="191">
        <f t="shared" si="2"/>
        <v>4.5103520298068522E-2</v>
      </c>
      <c r="N36" s="188">
        <f>'2018'!O36</f>
        <v>2309329.44</v>
      </c>
      <c r="O36" s="188">
        <f>+INDEX('2018'!$1:$1048576,MATCH(CONCATENATE('Analytics - 2018'!$A36,"p"),'2018'!$A:$A,0),MATCH('Analytics - 2018'!$O$6,'2018'!$101:$101,0))</f>
        <v>1850732.9058333328</v>
      </c>
      <c r="P36" s="189">
        <f t="shared" si="3"/>
        <v>458596.53416666714</v>
      </c>
      <c r="Q36" s="190">
        <f t="shared" si="4"/>
        <v>0.24779185193131581</v>
      </c>
      <c r="R36" s="188">
        <f>'2017'!O36</f>
        <v>2163282.15</v>
      </c>
      <c r="S36" s="189">
        <f t="shared" si="5"/>
        <v>146047.29000000004</v>
      </c>
      <c r="T36" s="191">
        <f t="shared" si="6"/>
        <v>6.7511900840119266E-2</v>
      </c>
    </row>
    <row r="37" spans="1:20">
      <c r="A37" s="175">
        <v>416</v>
      </c>
      <c r="B37" s="488" t="str">
        <f>+VLOOKUP($A37,Master!$D$25:$G$223,4,FALSE)</f>
        <v>Interests</v>
      </c>
      <c r="C37" s="489"/>
      <c r="D37" s="489"/>
      <c r="E37" s="489"/>
      <c r="F37" s="489"/>
      <c r="G37" s="188">
        <f>+SUMPRODUCT(('2018'!$G37:$R37)*('2018'!$G$5:$R$5&lt;=Master!$B$3)*($A37='2018'!$A$10:$A$66))</f>
        <v>70666720.730000004</v>
      </c>
      <c r="H37" s="188">
        <f>+SUMPRODUCT(('2018'!$G132:$R132)*('2018'!$G$5:$R$5&lt;=Master!$B$3))</f>
        <v>64597025</v>
      </c>
      <c r="I37" s="189">
        <f t="shared" si="0"/>
        <v>6069695.7300000042</v>
      </c>
      <c r="J37" s="190">
        <f t="shared" si="1"/>
        <v>9.3962465454098032E-2</v>
      </c>
      <c r="K37" s="188">
        <f>+SUMPRODUCT(('2017'!$G37:$R37)*('2017'!$G$5:$R$5&lt;=Master!$B$3))</f>
        <v>90754228.430000022</v>
      </c>
      <c r="L37" s="189">
        <f t="shared" si="7"/>
        <v>-20087507.700000018</v>
      </c>
      <c r="M37" s="191">
        <f t="shared" si="2"/>
        <v>-0.22133963394877831</v>
      </c>
      <c r="N37" s="188">
        <f>'2018'!O37</f>
        <v>3617355.6</v>
      </c>
      <c r="O37" s="188">
        <f>+INDEX('2018'!$1:$1048576,MATCH(CONCATENATE('Analytics - 2018'!$A37,"p"),'2018'!$A:$A,0),MATCH('Analytics - 2018'!$O$6,'2018'!$101:$101,0))</f>
        <v>7615225</v>
      </c>
      <c r="P37" s="189">
        <f t="shared" si="3"/>
        <v>-3997869.4</v>
      </c>
      <c r="Q37" s="190">
        <f t="shared" si="4"/>
        <v>-0.52498375294229649</v>
      </c>
      <c r="R37" s="188">
        <f>'2017'!O37</f>
        <v>2016695.15</v>
      </c>
      <c r="S37" s="189">
        <f t="shared" si="5"/>
        <v>1600660.4500000002</v>
      </c>
      <c r="T37" s="191">
        <f t="shared" si="6"/>
        <v>0.79370471536067333</v>
      </c>
    </row>
    <row r="38" spans="1:20">
      <c r="A38" s="175">
        <v>417</v>
      </c>
      <c r="B38" s="488" t="str">
        <f>+VLOOKUP($A38,Master!$D$25:$G$223,4,FALSE)</f>
        <v>Rent</v>
      </c>
      <c r="C38" s="489"/>
      <c r="D38" s="489"/>
      <c r="E38" s="489"/>
      <c r="F38" s="489"/>
      <c r="G38" s="188">
        <f>+SUMPRODUCT(('2018'!$G38:$R38)*('2018'!$G$5:$R$5&lt;=Master!$B$3)*($A38='2018'!$A$10:$A$66))</f>
        <v>6571640.7999999998</v>
      </c>
      <c r="H38" s="188">
        <f>+SUMPRODUCT(('2018'!$G133:$R133)*('2018'!$G$5:$R$5&lt;=Master!$B$3))</f>
        <v>7386196.7650000006</v>
      </c>
      <c r="I38" s="189">
        <f t="shared" si="0"/>
        <v>-814555.96500000078</v>
      </c>
      <c r="J38" s="190">
        <f t="shared" si="1"/>
        <v>-0.11028083747508999</v>
      </c>
      <c r="K38" s="188">
        <f>+SUMPRODUCT(('2017'!$G38:$R38)*('2017'!$G$5:$R$5&lt;=Master!$B$3))</f>
        <v>6024481.5199999996</v>
      </c>
      <c r="L38" s="189">
        <f t="shared" si="7"/>
        <v>547159.28000000026</v>
      </c>
      <c r="M38" s="191">
        <f t="shared" si="2"/>
        <v>9.082263397830137E-2</v>
      </c>
      <c r="N38" s="188">
        <f>'2018'!O38</f>
        <v>949304.64</v>
      </c>
      <c r="O38" s="188">
        <f>+INDEX('2018'!$1:$1048576,MATCH(CONCATENATE('Analytics - 2018'!$A38,"p"),'2018'!$A:$A,0),MATCH('Analytics - 2018'!$O$6,'2018'!$101:$101,0))</f>
        <v>986109.29833333322</v>
      </c>
      <c r="P38" s="189">
        <f t="shared" si="3"/>
        <v>-36804.658333333209</v>
      </c>
      <c r="Q38" s="190">
        <f t="shared" si="4"/>
        <v>-3.7323102414243969E-2</v>
      </c>
      <c r="R38" s="188">
        <f>'2017'!O38</f>
        <v>680175.47</v>
      </c>
      <c r="S38" s="189">
        <f t="shared" si="5"/>
        <v>269129.17000000004</v>
      </c>
      <c r="T38" s="191">
        <f t="shared" si="6"/>
        <v>0.395676089289136</v>
      </c>
    </row>
    <row r="39" spans="1:20">
      <c r="A39" s="175">
        <v>418</v>
      </c>
      <c r="B39" s="488" t="str">
        <f>+VLOOKUP($A39,Master!$D$25:$G$223,4,FALSE)</f>
        <v>Subsidies</v>
      </c>
      <c r="C39" s="489"/>
      <c r="D39" s="489"/>
      <c r="E39" s="489"/>
      <c r="F39" s="489"/>
      <c r="G39" s="188">
        <f>+SUMPRODUCT(('2018'!$G39:$R39)*('2018'!$G$5:$R$5&lt;=Master!$B$3)*($A39='2018'!$A$10:$A$66))</f>
        <v>17985849.389999997</v>
      </c>
      <c r="H39" s="188">
        <f>+SUMPRODUCT(('2018'!$G134:$R134)*('2018'!$G$5:$R$5&lt;=Master!$B$3))</f>
        <v>20188850.000000004</v>
      </c>
      <c r="I39" s="189">
        <f t="shared" si="0"/>
        <v>-2203000.6100000069</v>
      </c>
      <c r="J39" s="190">
        <f t="shared" si="1"/>
        <v>-0.10911966803458373</v>
      </c>
      <c r="K39" s="188">
        <f>+SUMPRODUCT(('2017'!$G39:$R39)*('2017'!$G$5:$R$5&lt;=Master!$B$3))</f>
        <v>14177222.120000001</v>
      </c>
      <c r="L39" s="189">
        <f t="shared" si="7"/>
        <v>3808627.2699999958</v>
      </c>
      <c r="M39" s="191">
        <f t="shared" si="2"/>
        <v>0.26864411361850027</v>
      </c>
      <c r="N39" s="188">
        <f>'2018'!O39</f>
        <v>3480196.8</v>
      </c>
      <c r="O39" s="188">
        <f>+INDEX('2018'!$1:$1048576,MATCH(CONCATENATE('Analytics - 2018'!$A39,"p"),'2018'!$A:$A,0),MATCH('Analytics - 2018'!$O$6,'2018'!$101:$101,0))</f>
        <v>2180983.3333333344</v>
      </c>
      <c r="P39" s="189">
        <f t="shared" si="3"/>
        <v>1299213.4666666654</v>
      </c>
      <c r="Q39" s="190">
        <f t="shared" si="4"/>
        <v>0.59570077717237546</v>
      </c>
      <c r="R39" s="188">
        <f>'2017'!O39</f>
        <v>3824679.63</v>
      </c>
      <c r="S39" s="189">
        <f t="shared" si="5"/>
        <v>-344482.83000000007</v>
      </c>
      <c r="T39" s="191">
        <f t="shared" si="6"/>
        <v>-9.0068414436060951E-2</v>
      </c>
    </row>
    <row r="40" spans="1:20">
      <c r="A40" s="175">
        <v>419</v>
      </c>
      <c r="B40" s="488" t="str">
        <f>+VLOOKUP($A40,Master!$D$25:$G$223,4,FALSE)</f>
        <v>Other expenditures</v>
      </c>
      <c r="C40" s="489"/>
      <c r="D40" s="489"/>
      <c r="E40" s="489"/>
      <c r="F40" s="489"/>
      <c r="G40" s="188">
        <f>+SUMPRODUCT(('2018'!$G40:$R40)*('2018'!$G$5:$R$5&lt;=Master!$B$3)*($A40='2018'!$A$10:$A$66))</f>
        <v>24874566.18</v>
      </c>
      <c r="H40" s="188">
        <f>+SUMPRODUCT(('2018'!$G135:$R135)*('2018'!$G$5:$R$5&lt;=Master!$B$3))</f>
        <v>27685960.703666668</v>
      </c>
      <c r="I40" s="189">
        <f t="shared" si="0"/>
        <v>-2811394.5236666687</v>
      </c>
      <c r="J40" s="190">
        <f t="shared" si="1"/>
        <v>-0.10154585400731042</v>
      </c>
      <c r="K40" s="188">
        <f>+SUMPRODUCT(('2017'!$G40:$R40)*('2017'!$G$5:$R$5&lt;=Master!$B$3))</f>
        <v>22083524.899999999</v>
      </c>
      <c r="L40" s="189">
        <f t="shared" si="7"/>
        <v>2791041.2800000012</v>
      </c>
      <c r="M40" s="191">
        <f t="shared" si="2"/>
        <v>0.1263856785834041</v>
      </c>
      <c r="N40" s="188">
        <f>'2018'!O40</f>
        <v>3201235.33</v>
      </c>
      <c r="O40" s="188">
        <f>+INDEX('2018'!$1:$1048576,MATCH(CONCATENATE('Analytics - 2018'!$A40,"p"),'2018'!$A:$A,0),MATCH('Analytics - 2018'!$O$6,'2018'!$101:$101,0))</f>
        <v>3877323.0754444436</v>
      </c>
      <c r="P40" s="189">
        <f t="shared" si="3"/>
        <v>-676087.74544444354</v>
      </c>
      <c r="Q40" s="190">
        <f t="shared" si="4"/>
        <v>-0.17436972165827214</v>
      </c>
      <c r="R40" s="188">
        <f>'2017'!O40</f>
        <v>2766749.02</v>
      </c>
      <c r="S40" s="189">
        <f t="shared" si="5"/>
        <v>434486.31000000006</v>
      </c>
      <c r="T40" s="191">
        <f t="shared" si="6"/>
        <v>0.15703857012661016</v>
      </c>
    </row>
    <row r="41" spans="1:20">
      <c r="A41" s="175">
        <v>440</v>
      </c>
      <c r="B41" s="488" t="str">
        <f>+VLOOKUP($A41,Master!$D$25:$G$223,4,FALSE)</f>
        <v>Current Capital Expenditure</v>
      </c>
      <c r="C41" s="489"/>
      <c r="D41" s="489"/>
      <c r="E41" s="489"/>
      <c r="F41" s="489"/>
      <c r="G41" s="188">
        <f>+SUMPRODUCT(('2018'!$G41:$R41)*('2018'!$G$5:$R$5&lt;=Master!$B$3)*($A41='2018'!$A$10:$A$66))</f>
        <v>28601843.670000006</v>
      </c>
      <c r="H41" s="188">
        <f>+SUMPRODUCT(('2018'!$G136:$R136)*('2018'!$G$5:$R$5&lt;=Master!$B$3))</f>
        <v>35786230.340500005</v>
      </c>
      <c r="I41" s="189">
        <f t="shared" si="0"/>
        <v>-7184386.6704999991</v>
      </c>
      <c r="J41" s="190">
        <f t="shared" si="1"/>
        <v>-0.20075840909036125</v>
      </c>
      <c r="K41" s="188">
        <f>+SUMPRODUCT(('2017'!$G41:$R41)*('2017'!$G$5:$R$5&lt;=Master!$B$3))</f>
        <v>17831531.949999999</v>
      </c>
      <c r="L41" s="189">
        <f t="shared" si="7"/>
        <v>10770311.720000006</v>
      </c>
      <c r="M41" s="191">
        <f t="shared" si="2"/>
        <v>0.60400372498561494</v>
      </c>
      <c r="N41" s="188">
        <f>'2018'!O41</f>
        <v>3339367.45</v>
      </c>
      <c r="O41" s="188">
        <f>+INDEX('2018'!$1:$1048576,MATCH(CONCATENATE('Analytics - 2018'!$A41,"p"),'2018'!$A:$A,0),MATCH('Analytics - 2018'!$O$6,'2018'!$101:$101,0))</f>
        <v>5687111.6931666648</v>
      </c>
      <c r="P41" s="189">
        <f t="shared" si="3"/>
        <v>-2347744.2431666646</v>
      </c>
      <c r="Q41" s="190">
        <f t="shared" si="4"/>
        <v>-0.41281838125099446</v>
      </c>
      <c r="R41" s="188">
        <f>'2017'!O41</f>
        <v>1700685.94</v>
      </c>
      <c r="S41" s="189">
        <f t="shared" si="5"/>
        <v>1638681.5100000002</v>
      </c>
      <c r="T41" s="191">
        <f t="shared" si="6"/>
        <v>0.9635415166659167</v>
      </c>
    </row>
    <row r="42" spans="1:20">
      <c r="A42" s="175">
        <v>42</v>
      </c>
      <c r="B42" s="484" t="str">
        <f>+VLOOKUP($A42,Master!$D$25:$G$223,4,FALSE)</f>
        <v>Social Security Transfers</v>
      </c>
      <c r="C42" s="485"/>
      <c r="D42" s="485"/>
      <c r="E42" s="485"/>
      <c r="F42" s="485"/>
      <c r="G42" s="200">
        <f>+SUMPRODUCT(('2018'!$G42:$R42)*('2018'!$G$5:$R$5&lt;=Master!$B$3)*($A42='2018'!$A$10:$A$66))</f>
        <v>401669394.24000001</v>
      </c>
      <c r="H42" s="200">
        <f>+SUMPRODUCT(('2018'!$G137:$R137)*('2018'!$G$5:$R$5&lt;=Master!$B$3))</f>
        <v>415437538.44000012</v>
      </c>
      <c r="I42" s="219">
        <f t="shared" si="0"/>
        <v>-13768144.200000107</v>
      </c>
      <c r="J42" s="220">
        <f t="shared" si="1"/>
        <v>-3.3141309886681292E-2</v>
      </c>
      <c r="K42" s="200">
        <f>+SUMPRODUCT(('2017'!$G42:$R42)*('2017'!$G$5:$R$5&lt;=Master!$B$3))</f>
        <v>404518986.79999995</v>
      </c>
      <c r="L42" s="219">
        <f t="shared" si="7"/>
        <v>-2849592.5599999428</v>
      </c>
      <c r="M42" s="221">
        <f t="shared" si="2"/>
        <v>-7.0443975511310652E-3</v>
      </c>
      <c r="N42" s="200">
        <f>'2018'!O42</f>
        <v>45439390.599999994</v>
      </c>
      <c r="O42" s="200">
        <f>+INDEX('2018'!$1:$1048576,MATCH(CONCATENATE('Analytics - 2018'!$A42,"p"),'2018'!$A:$A,0),MATCH('Analytics - 2018'!$O$6,'2018'!$101:$101,0))</f>
        <v>47831745.140000008</v>
      </c>
      <c r="P42" s="219">
        <f t="shared" si="3"/>
        <v>-2392354.540000014</v>
      </c>
      <c r="Q42" s="220">
        <f t="shared" si="4"/>
        <v>-5.0016041292195501E-2</v>
      </c>
      <c r="R42" s="200">
        <f>'2017'!O42</f>
        <v>44046758.639999993</v>
      </c>
      <c r="S42" s="219">
        <f t="shared" si="5"/>
        <v>1392631.9600000009</v>
      </c>
      <c r="T42" s="221">
        <f t="shared" si="6"/>
        <v>3.1617126957789621E-2</v>
      </c>
    </row>
    <row r="43" spans="1:20">
      <c r="A43" s="175">
        <v>421</v>
      </c>
      <c r="B43" s="488" t="str">
        <f>+VLOOKUP($A43,Master!$D$25:$G$223,4,FALSE)</f>
        <v>Social Security</v>
      </c>
      <c r="C43" s="489"/>
      <c r="D43" s="489"/>
      <c r="E43" s="489"/>
      <c r="F43" s="489"/>
      <c r="G43" s="188">
        <f>+SUMPRODUCT(('2018'!$G43:$R43)*('2018'!$G$5:$R$5&lt;=Master!$B$3)*($A43='2018'!$A$10:$A$66))</f>
        <v>57665219.339999996</v>
      </c>
      <c r="H43" s="188">
        <f>+SUMPRODUCT(('2018'!$G138:$R138)*('2018'!$G$5:$R$5&lt;=Master!$B$3))</f>
        <v>60602520.977499999</v>
      </c>
      <c r="I43" s="189">
        <f t="shared" si="0"/>
        <v>-2937301.637500003</v>
      </c>
      <c r="J43" s="190">
        <f t="shared" si="1"/>
        <v>-4.8468307755555884E-2</v>
      </c>
      <c r="K43" s="188">
        <f>+SUMPRODUCT(('2017'!$G43:$R43)*('2017'!$G$5:$R$5&lt;=Master!$B$3))</f>
        <v>78093891.189999998</v>
      </c>
      <c r="L43" s="189">
        <f t="shared" si="7"/>
        <v>-20428671.850000001</v>
      </c>
      <c r="M43" s="191">
        <f t="shared" si="2"/>
        <v>-0.26159116338943444</v>
      </c>
      <c r="N43" s="188">
        <f>'2018'!O43</f>
        <v>6862261.6200000001</v>
      </c>
      <c r="O43" s="188">
        <f>+INDEX('2018'!$1:$1048576,MATCH(CONCATENATE('Analytics - 2018'!$A43,"p"),'2018'!$A:$A,0),MATCH('Analytics - 2018'!$O$6,'2018'!$101:$101,0))</f>
        <v>7394520.9774999991</v>
      </c>
      <c r="P43" s="189">
        <f t="shared" si="3"/>
        <v>-532259.35749999899</v>
      </c>
      <c r="Q43" s="190">
        <f t="shared" si="4"/>
        <v>-7.1980234976620427E-2</v>
      </c>
      <c r="R43" s="188">
        <f>'2017'!O43</f>
        <v>6564978.3200000003</v>
      </c>
      <c r="S43" s="189">
        <f t="shared" si="5"/>
        <v>297283.29999999981</v>
      </c>
      <c r="T43" s="191">
        <f t="shared" si="6"/>
        <v>4.5283211232295395E-2</v>
      </c>
    </row>
    <row r="44" spans="1:20">
      <c r="A44" s="175">
        <v>422</v>
      </c>
      <c r="B44" s="488" t="str">
        <f>+VLOOKUP($A44,Master!$D$25:$G$223,4,FALSE)</f>
        <v>Funds for redundant labor</v>
      </c>
      <c r="C44" s="489"/>
      <c r="D44" s="489"/>
      <c r="E44" s="489"/>
      <c r="F44" s="489"/>
      <c r="G44" s="188">
        <f>+SUMPRODUCT(('2018'!$G44:$R44)*('2018'!$G$5:$R$5&lt;=Master!$B$3)*($A44='2018'!$A$10:$A$66))</f>
        <v>8986781.6399999987</v>
      </c>
      <c r="H44" s="188">
        <f>+SUMPRODUCT(('2018'!$G139:$R139)*('2018'!$G$5:$R$5&lt;=Master!$B$3))</f>
        <v>14524099.640000001</v>
      </c>
      <c r="I44" s="189">
        <f t="shared" si="0"/>
        <v>-5537318.0000000019</v>
      </c>
      <c r="J44" s="190">
        <f t="shared" si="1"/>
        <v>-0.38125034509884437</v>
      </c>
      <c r="K44" s="188">
        <f>+SUMPRODUCT(('2017'!$G44:$R44)*('2017'!$G$5:$R$5&lt;=Master!$B$3))</f>
        <v>8745055.0100000016</v>
      </c>
      <c r="L44" s="189">
        <f t="shared" si="7"/>
        <v>241726.62999999709</v>
      </c>
      <c r="M44" s="191">
        <f t="shared" si="2"/>
        <v>2.7641521948527759E-2</v>
      </c>
      <c r="N44" s="188">
        <f>'2018'!O44</f>
        <v>1031337.39</v>
      </c>
      <c r="O44" s="188">
        <f>+INDEX('2018'!$1:$1048576,MATCH(CONCATENATE('Analytics - 2018'!$A44,"p"),'2018'!$A:$A,0),MATCH('Analytics - 2018'!$O$6,'2018'!$101:$101,0))</f>
        <v>924899.9599999981</v>
      </c>
      <c r="P44" s="189">
        <f t="shared" si="3"/>
        <v>106437.43000000191</v>
      </c>
      <c r="Q44" s="190">
        <f t="shared" si="4"/>
        <v>0.11507993794269611</v>
      </c>
      <c r="R44" s="188">
        <f>'2017'!O44</f>
        <v>1115186.56</v>
      </c>
      <c r="S44" s="189">
        <f t="shared" si="5"/>
        <v>-83849.170000000042</v>
      </c>
      <c r="T44" s="191">
        <f t="shared" si="6"/>
        <v>-7.5188468914116124E-2</v>
      </c>
    </row>
    <row r="45" spans="1:20">
      <c r="A45" s="175">
        <v>423</v>
      </c>
      <c r="B45" s="488" t="str">
        <f>+VLOOKUP($A45,Master!$D$25:$G$223,4,FALSE)</f>
        <v>Pension and Disability Insurance</v>
      </c>
      <c r="C45" s="489"/>
      <c r="D45" s="489"/>
      <c r="E45" s="489"/>
      <c r="F45" s="489"/>
      <c r="G45" s="188">
        <f>+SUMPRODUCT(('2018'!$G45:$R45)*('2018'!$G$5:$R$5&lt;=Master!$B$3)*($A45='2018'!$A$10:$A$66))</f>
        <v>311063911.84999996</v>
      </c>
      <c r="H45" s="188">
        <f>+SUMPRODUCT(('2018'!$G140:$R140)*('2018'!$G$5:$R$5&lt;=Master!$B$3))</f>
        <v>319254592.82250005</v>
      </c>
      <c r="I45" s="189">
        <f t="shared" si="0"/>
        <v>-8190680.9725000858</v>
      </c>
      <c r="J45" s="190">
        <f t="shared" si="1"/>
        <v>-2.5655640221451614E-2</v>
      </c>
      <c r="K45" s="188">
        <f>+SUMPRODUCT(('2017'!$G45:$R45)*('2017'!$G$5:$R$5&lt;=Master!$B$3))</f>
        <v>299456467.99000001</v>
      </c>
      <c r="L45" s="189">
        <f t="shared" si="7"/>
        <v>11607443.859999955</v>
      </c>
      <c r="M45" s="191">
        <f t="shared" si="2"/>
        <v>3.876170696165282E-2</v>
      </c>
      <c r="N45" s="188">
        <f>'2018'!O45</f>
        <v>34579708.640000001</v>
      </c>
      <c r="O45" s="188">
        <f>+INDEX('2018'!$1:$1048576,MATCH(CONCATENATE('Analytics - 2018'!$A45,"p"),'2018'!$A:$A,0),MATCH('Analytics - 2018'!$O$6,'2018'!$101:$101,0))</f>
        <v>35472732.535833336</v>
      </c>
      <c r="P45" s="189">
        <f t="shared" si="3"/>
        <v>-893023.89583333582</v>
      </c>
      <c r="Q45" s="190">
        <f t="shared" si="4"/>
        <v>-2.5174939509698957E-2</v>
      </c>
      <c r="R45" s="188">
        <f>'2017'!O45</f>
        <v>33914885.549999997</v>
      </c>
      <c r="S45" s="189">
        <f t="shared" si="5"/>
        <v>664823.09000000358</v>
      </c>
      <c r="T45" s="191">
        <f t="shared" si="6"/>
        <v>1.9602693012773731E-2</v>
      </c>
    </row>
    <row r="46" spans="1:20">
      <c r="A46" s="175">
        <v>424</v>
      </c>
      <c r="B46" s="488" t="str">
        <f>+VLOOKUP($A46,Master!$D$25:$G$223,4,FALSE)</f>
        <v>Other Health Care Transfers</v>
      </c>
      <c r="C46" s="489"/>
      <c r="D46" s="489"/>
      <c r="E46" s="489"/>
      <c r="F46" s="489"/>
      <c r="G46" s="188">
        <f>+SUMPRODUCT(('2018'!$G46:$R46)*('2018'!$G$5:$R$5&lt;=Master!$B$3)*($A46='2018'!$A$10:$A$66))</f>
        <v>13953541.960000001</v>
      </c>
      <c r="H46" s="188">
        <f>+SUMPRODUCT(('2018'!$G141:$R141)*('2018'!$G$5:$R$5&lt;=Master!$B$3))</f>
        <v>13000074.999999998</v>
      </c>
      <c r="I46" s="189">
        <f t="shared" si="0"/>
        <v>953466.96000000276</v>
      </c>
      <c r="J46" s="190">
        <f t="shared" si="1"/>
        <v>7.3343189173908918E-2</v>
      </c>
      <c r="K46" s="188">
        <f>+SUMPRODUCT(('2017'!$G46:$R46)*('2017'!$G$5:$R$5&lt;=Master!$B$3))</f>
        <v>11828387.91</v>
      </c>
      <c r="L46" s="189">
        <f t="shared" si="7"/>
        <v>2125154.0500000007</v>
      </c>
      <c r="M46" s="191">
        <f t="shared" si="2"/>
        <v>0.17966556949010304</v>
      </c>
      <c r="N46" s="188">
        <f>'2018'!O46</f>
        <v>1736713.62</v>
      </c>
      <c r="O46" s="188">
        <f>+INDEX('2018'!$1:$1048576,MATCH(CONCATENATE('Analytics - 2018'!$A46,"p"),'2018'!$A:$A,0),MATCH('Analytics - 2018'!$O$6,'2018'!$101:$101,0))</f>
        <v>2000008.3333333328</v>
      </c>
      <c r="P46" s="189">
        <f t="shared" si="3"/>
        <v>-263294.71333333268</v>
      </c>
      <c r="Q46" s="190">
        <f t="shared" si="4"/>
        <v>-0.1316468081382991</v>
      </c>
      <c r="R46" s="188">
        <f>'2017'!O46</f>
        <v>1518302.55</v>
      </c>
      <c r="S46" s="189">
        <f t="shared" si="5"/>
        <v>218411.07000000007</v>
      </c>
      <c r="T46" s="191">
        <f t="shared" si="6"/>
        <v>0.1438521393512775</v>
      </c>
    </row>
    <row r="47" spans="1:20">
      <c r="A47" s="175">
        <v>425</v>
      </c>
      <c r="B47" s="488" t="str">
        <f>+VLOOKUP($A47,Master!$D$25:$G$223,4,FALSE)</f>
        <v>Other Health Care Insurance</v>
      </c>
      <c r="C47" s="489"/>
      <c r="D47" s="489"/>
      <c r="E47" s="489"/>
      <c r="F47" s="489"/>
      <c r="G47" s="188">
        <f>+SUMPRODUCT(('2018'!$G47:$R47)*('2018'!$G$5:$R$5&lt;=Master!$B$3)*($A47='2018'!$A$10:$A$66))</f>
        <v>9999939.4499999993</v>
      </c>
      <c r="H47" s="188">
        <f>+SUMPRODUCT(('2018'!$G142:$R142)*('2018'!$G$5:$R$5&lt;=Master!$B$3))</f>
        <v>8056250</v>
      </c>
      <c r="I47" s="189">
        <f t="shared" si="0"/>
        <v>1943689.4499999993</v>
      </c>
      <c r="J47" s="190">
        <f t="shared" si="1"/>
        <v>0.24126478820791308</v>
      </c>
      <c r="K47" s="188">
        <f>+SUMPRODUCT(('2017'!$G47:$R47)*('2017'!$G$5:$R$5&lt;=Master!$B$3))</f>
        <v>6395184.7000000002</v>
      </c>
      <c r="L47" s="189">
        <f t="shared" si="7"/>
        <v>3604754.7499999991</v>
      </c>
      <c r="M47" s="191">
        <f t="shared" si="2"/>
        <v>0.56366702747459341</v>
      </c>
      <c r="N47" s="188">
        <f>'2018'!O47</f>
        <v>1229369.33</v>
      </c>
      <c r="O47" s="188">
        <f>+INDEX('2018'!$1:$1048576,MATCH(CONCATENATE('Analytics - 2018'!$A47,"p"),'2018'!$A:$A,0),MATCH('Analytics - 2018'!$O$6,'2018'!$101:$101,0))</f>
        <v>2039583.333333334</v>
      </c>
      <c r="P47" s="189">
        <f t="shared" si="3"/>
        <v>-810214.00333333388</v>
      </c>
      <c r="Q47" s="190">
        <f t="shared" si="4"/>
        <v>-0.39724486373850887</v>
      </c>
      <c r="R47" s="188">
        <f>'2017'!O47</f>
        <v>933405.66</v>
      </c>
      <c r="S47" s="189">
        <f t="shared" si="5"/>
        <v>295963.67000000004</v>
      </c>
      <c r="T47" s="191">
        <f t="shared" si="6"/>
        <v>0.31707936075725107</v>
      </c>
    </row>
    <row r="48" spans="1:20">
      <c r="A48" s="175">
        <v>43</v>
      </c>
      <c r="B48" s="486" t="str">
        <f>+VLOOKUP($A48,Master!$D$25:$G$223,4,FALSE)</f>
        <v xml:space="preserve">Transfers to Institutions, Individuals, NGO and Public Sector </v>
      </c>
      <c r="C48" s="487"/>
      <c r="D48" s="487"/>
      <c r="E48" s="487"/>
      <c r="F48" s="487"/>
      <c r="G48" s="200">
        <f>+SUMPRODUCT(('2018'!$G48:$R48)*('2018'!$G$5:$R$5&lt;=Master!$B$3)*($A48='2018'!$A$10:$A$66))</f>
        <v>140862352.03</v>
      </c>
      <c r="H48" s="200">
        <f>+SUMPRODUCT(('2018'!$G143:$R143)*('2018'!$G$5:$R$5&lt;=Master!$B$3))</f>
        <v>149892329.02249998</v>
      </c>
      <c r="I48" s="201">
        <f t="shared" si="0"/>
        <v>-9029976.9924999774</v>
      </c>
      <c r="J48" s="202">
        <f t="shared" si="1"/>
        <v>-6.024308949889301E-2</v>
      </c>
      <c r="K48" s="200">
        <f>+SUMPRODUCT(('2017'!$G48:$R48)*('2017'!$G$5:$R$5&lt;=Master!$B$3))</f>
        <v>112591192.37</v>
      </c>
      <c r="L48" s="201">
        <f t="shared" si="7"/>
        <v>28271159.659999996</v>
      </c>
      <c r="M48" s="203">
        <f t="shared" si="2"/>
        <v>0.25109565912664467</v>
      </c>
      <c r="N48" s="200">
        <f>'2018'!O48</f>
        <v>16100951.01</v>
      </c>
      <c r="O48" s="200">
        <f>+INDEX('2018'!$1:$1048576,MATCH(CONCATENATE('Analytics - 2018'!$A48,"p"),'2018'!$A:$A,0),MATCH('Analytics - 2018'!$O$6,'2018'!$101:$101,0))</f>
        <v>18930636.555833336</v>
      </c>
      <c r="P48" s="201">
        <f t="shared" si="3"/>
        <v>-2829685.5458333362</v>
      </c>
      <c r="Q48" s="202">
        <f t="shared" si="4"/>
        <v>-0.14947651324283595</v>
      </c>
      <c r="R48" s="200">
        <f>'2017'!O48</f>
        <v>13743974.02</v>
      </c>
      <c r="S48" s="201">
        <f t="shared" si="5"/>
        <v>2356976.9900000002</v>
      </c>
      <c r="T48" s="203">
        <f t="shared" si="6"/>
        <v>0.17149166511593861</v>
      </c>
    </row>
    <row r="49" spans="1:23">
      <c r="A49" s="175">
        <v>44</v>
      </c>
      <c r="B49" s="486" t="str">
        <f>+VLOOKUP($A49,Master!$D$25:$G$223,4,FALSE)</f>
        <v>Capital Expenditure</v>
      </c>
      <c r="C49" s="487"/>
      <c r="D49" s="487"/>
      <c r="E49" s="487"/>
      <c r="F49" s="487"/>
      <c r="G49" s="200">
        <f>+SUMPRODUCT(('2018'!$G49:$R49)*('2018'!$G$5:$R$5&lt;=Master!$B$3)*($A49='2018'!$A$10:$A$66))</f>
        <v>144549563.39999998</v>
      </c>
      <c r="H49" s="200">
        <f>+SUMPRODUCT(('2018'!$G144:$R144)*('2018'!$G$5:$R$5&lt;=Master!$B$3))</f>
        <v>209128750</v>
      </c>
      <c r="I49" s="201">
        <f t="shared" si="0"/>
        <v>-64579186.600000024</v>
      </c>
      <c r="J49" s="202">
        <f t="shared" si="1"/>
        <v>-0.30880109310651938</v>
      </c>
      <c r="K49" s="401">
        <f>+SUMPRODUCT(('2017'!$G49:$R49)*('2017'!$G$5:$R$5&lt;=Master!$B$3))</f>
        <v>101068760.10000001</v>
      </c>
      <c r="L49" s="201">
        <f t="shared" si="7"/>
        <v>43480803.299999967</v>
      </c>
      <c r="M49" s="203">
        <f t="shared" si="2"/>
        <v>0.43021011890300187</v>
      </c>
      <c r="N49" s="200">
        <f>'2018'!O49</f>
        <v>38353416.07</v>
      </c>
      <c r="O49" s="200">
        <f>+INDEX('2018'!$1:$1048576,MATCH(CONCATENATE('Analytics - 2018'!$A49,"p"),'2018'!$A:$A,0),MATCH('Analytics - 2018'!$O$6,'2018'!$101:$101,0))</f>
        <v>26315416.666666701</v>
      </c>
      <c r="P49" s="201">
        <f t="shared" si="3"/>
        <v>12037999.403333299</v>
      </c>
      <c r="Q49" s="202">
        <f t="shared" si="4"/>
        <v>0.45745045787481797</v>
      </c>
      <c r="R49" s="200">
        <f>'2017'!O49</f>
        <v>19940301.670000002</v>
      </c>
      <c r="S49" s="201">
        <f t="shared" si="5"/>
        <v>18413114.399999999</v>
      </c>
      <c r="T49" s="203">
        <f t="shared" si="6"/>
        <v>0.92341202779807285</v>
      </c>
    </row>
    <row r="50" spans="1:23">
      <c r="A50" s="175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8">
        <f>+SUMPRODUCT(('2018'!$G50:$R50)*('2018'!$G$5:$R$5&lt;=Master!$B$3)*($A50='2018'!$A$10:$A$66))</f>
        <v>1944281</v>
      </c>
      <c r="H50" s="188">
        <f>+SUMPRODUCT(('2018'!$G145:$R145)*('2018'!$G$5:$R$5&lt;=Master!$B$3))</f>
        <v>2156250.75</v>
      </c>
      <c r="I50" s="189">
        <f>G50-H50</f>
        <v>-211969.75</v>
      </c>
      <c r="J50" s="343">
        <f t="shared" si="1"/>
        <v>-9.8304777401236887E-2</v>
      </c>
      <c r="K50" s="188">
        <f>+SUMPRODUCT(('2017'!$G50:$R50)*('2017'!$G$5:$R$5&lt;=Master!$B$3))</f>
        <v>1144216.67</v>
      </c>
      <c r="L50" s="349">
        <f t="shared" si="7"/>
        <v>800064.33000000007</v>
      </c>
      <c r="M50" s="352">
        <f t="shared" si="2"/>
        <v>0.69922450089806865</v>
      </c>
      <c r="N50" s="188">
        <f>'2018'!O50</f>
        <v>359390</v>
      </c>
      <c r="O50" s="188">
        <f>+INDEX('2018'!$1:$1048576,MATCH(CONCATENATE('Analytics - 2018'!$A50,"p"),'2018'!$A:$A,0),MATCH('Analytics - 2018'!$O$6,'2018'!$101:$101,0))</f>
        <v>239583.41666666666</v>
      </c>
      <c r="P50" s="189">
        <f t="shared" si="3"/>
        <v>119806.58333333334</v>
      </c>
      <c r="Q50" s="343">
        <f t="shared" si="4"/>
        <v>0.50006208693492638</v>
      </c>
      <c r="R50" s="188">
        <f>'2017'!O50</f>
        <v>15000</v>
      </c>
      <c r="S50" s="349">
        <f t="shared" si="5"/>
        <v>344390</v>
      </c>
      <c r="T50" s="352" t="s">
        <v>779</v>
      </c>
    </row>
    <row r="51" spans="1:23">
      <c r="A51" s="175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8">
        <f>+SUMPRODUCT(('2018'!$G51:$R51)*('2018'!$G$5:$R$5&lt;=Master!$B$3)*($A51='2018'!$A$10:$A$66))</f>
        <v>12677161.970000001</v>
      </c>
      <c r="H51" s="188">
        <f>+SUMPRODUCT(('2018'!$G146:$R146)*('2018'!$G$5:$R$5&lt;=Master!$B$3))</f>
        <v>13465833.799000002</v>
      </c>
      <c r="I51" s="189">
        <f t="shared" ref="I51:I52" si="8">G51-H51</f>
        <v>-788671.82900000177</v>
      </c>
      <c r="J51" s="344">
        <f t="shared" si="1"/>
        <v>-5.8568362031808929E-2</v>
      </c>
      <c r="K51" s="188">
        <f>+SUMPRODUCT(('2017'!$G51:$R51)*('2017'!$G$5:$R$5&lt;=Master!$B$3))</f>
        <v>9936960.3900000006</v>
      </c>
      <c r="L51" s="350">
        <f t="shared" si="7"/>
        <v>2740201.58</v>
      </c>
      <c r="M51" s="353">
        <f t="shared" si="2"/>
        <v>0.27575852901231102</v>
      </c>
      <c r="N51" s="188">
        <f>'2018'!O51</f>
        <v>1509208.74</v>
      </c>
      <c r="O51" s="188">
        <f>+INDEX('2018'!$1:$1048576,MATCH(CONCATENATE('Analytics - 2018'!$A51,"p"),'2018'!$A:$A,0),MATCH('Analytics - 2018'!$O$6,'2018'!$101:$101,0))</f>
        <v>5393218.1470000008</v>
      </c>
      <c r="P51" s="189">
        <f t="shared" si="3"/>
        <v>-3884009.4070000006</v>
      </c>
      <c r="Q51" s="344">
        <f t="shared" si="4"/>
        <v>-0.72016545615913885</v>
      </c>
      <c r="R51" s="188">
        <f>'2017'!O51</f>
        <v>1178123.47</v>
      </c>
      <c r="S51" s="350">
        <f t="shared" si="5"/>
        <v>331085.27</v>
      </c>
      <c r="T51" s="353">
        <f t="shared" si="6"/>
        <v>0.28102764984386575</v>
      </c>
      <c r="W51" s="452"/>
    </row>
    <row r="52" spans="1:23" ht="15.75" thickBot="1">
      <c r="A52" s="175">
        <v>462</v>
      </c>
      <c r="B52" s="474" t="str">
        <f>+VLOOKUP($A52,Master!$D$25:$G$223,4,FALSE)</f>
        <v>Repayment of Guarantees</v>
      </c>
      <c r="C52" s="475"/>
      <c r="D52" s="475"/>
      <c r="E52" s="475"/>
      <c r="F52" s="475"/>
      <c r="G52" s="188">
        <f>+SUMPRODUCT(('2018'!$G52:$R52)*('2018'!$G$5:$R$5&lt;=Master!$B$3)*($A52='2018'!$A$10:$A$66))</f>
        <v>0</v>
      </c>
      <c r="H52" s="188">
        <f>+SUMPRODUCT(('2018'!$G147:$R147)*('2018'!$G$5:$R$5&lt;=Master!$B$3))</f>
        <v>0</v>
      </c>
      <c r="I52" s="189">
        <f t="shared" si="8"/>
        <v>0</v>
      </c>
      <c r="J52" s="345" t="str">
        <f t="shared" si="1"/>
        <v>…</v>
      </c>
      <c r="K52" s="188">
        <f>+SUMPRODUCT(('2017'!$G52:$R52)*('2017'!$G$5:$R$5&lt;=Master!$B$3))</f>
        <v>0</v>
      </c>
      <c r="L52" s="350">
        <f t="shared" si="7"/>
        <v>0</v>
      </c>
      <c r="M52" s="354" t="str">
        <f t="shared" si="2"/>
        <v>…</v>
      </c>
      <c r="N52" s="188">
        <f>'2018'!O52</f>
        <v>0</v>
      </c>
      <c r="O52" s="188">
        <f>+INDEX('2018'!$1:$1048576,MATCH(CONCATENATE('Analytics - 2018'!$A52,"p"),'2018'!$A:$A,0),MATCH('Analytics - 2018'!$O$6,'2018'!$101:$101,0))</f>
        <v>0</v>
      </c>
      <c r="P52" s="189">
        <f t="shared" si="3"/>
        <v>0</v>
      </c>
      <c r="Q52" s="345" t="str">
        <f t="shared" si="4"/>
        <v>…</v>
      </c>
      <c r="R52" s="188">
        <f>'2017'!O52</f>
        <v>0</v>
      </c>
      <c r="S52" s="350">
        <f t="shared" si="5"/>
        <v>0</v>
      </c>
      <c r="T52" s="354" t="str">
        <f t="shared" si="6"/>
        <v>…</v>
      </c>
    </row>
    <row r="53" spans="1:23" ht="15.75" thickBot="1">
      <c r="A53" s="169">
        <v>4630</v>
      </c>
      <c r="B53" s="474" t="str">
        <f>+VLOOKUP($A53,Master!$D$25:$G$223,4,FALSE)</f>
        <v>Repayments of Arrears</v>
      </c>
      <c r="C53" s="475"/>
      <c r="D53" s="475"/>
      <c r="E53" s="475"/>
      <c r="F53" s="475"/>
      <c r="G53" s="392">
        <f>+SUMPRODUCT(('2018'!$G53:$R53)*('2018'!$G$5:$R$5&lt;=Master!$B$3)*($A53='2018'!$A$10:$A$66))</f>
        <v>18087878.260000002</v>
      </c>
      <c r="H53" s="392">
        <f>+SUMPRODUCT(('2018'!$G148:$R148)*('2018'!$G$5:$R$5&lt;=Master!$B$3))</f>
        <v>0</v>
      </c>
      <c r="I53" s="351">
        <f>G53-H53</f>
        <v>18087878.260000002</v>
      </c>
      <c r="J53" s="346" t="str">
        <f t="shared" si="1"/>
        <v>…</v>
      </c>
      <c r="K53" s="392">
        <f>+SUMPRODUCT(('2017'!$G53:$R53)*('2017'!$G$5:$R$5&lt;=Master!$B$3))</f>
        <v>32593377.890000001</v>
      </c>
      <c r="L53" s="357">
        <f t="shared" si="7"/>
        <v>-14505499.629999999</v>
      </c>
      <c r="M53" s="355">
        <f t="shared" si="2"/>
        <v>-0.44504437922804074</v>
      </c>
      <c r="N53" s="392">
        <f>'2018'!O53</f>
        <v>895331.03</v>
      </c>
      <c r="O53" s="392">
        <v>0</v>
      </c>
      <c r="P53" s="351">
        <f>N53-O53</f>
        <v>895331.03</v>
      </c>
      <c r="Q53" s="346" t="str">
        <f t="shared" si="4"/>
        <v>…</v>
      </c>
      <c r="R53" s="392">
        <f>'2017'!O53</f>
        <v>2388146.7200000002</v>
      </c>
      <c r="S53" s="357">
        <f>+N53-R53</f>
        <v>-1492815.6900000002</v>
      </c>
      <c r="T53" s="355">
        <f>+IF(ISNUMBER(N53/R53-1),N53/R53-1,"…")</f>
        <v>-0.62509379239479901</v>
      </c>
    </row>
    <row r="54" spans="1:23" ht="15.75" thickBot="1">
      <c r="A54" s="169">
        <v>1005</v>
      </c>
      <c r="B54" s="474" t="str">
        <f>+VLOOKUP($A54,Master!$D$25:$G$225,4,FALSE)</f>
        <v>Net increase of liabilities</v>
      </c>
      <c r="C54" s="475"/>
      <c r="D54" s="475"/>
      <c r="E54" s="475"/>
      <c r="F54" s="475"/>
      <c r="G54" s="188">
        <f>+SUMPRODUCT(('2018'!$G54:$R54)*('2018'!$G$5:$R$5&lt;=Master!$B$3)*($A54='2018'!$A$10:$A$66))</f>
        <v>0</v>
      </c>
      <c r="H54" s="188">
        <v>0</v>
      </c>
      <c r="I54" s="351">
        <f>G54-H54</f>
        <v>0</v>
      </c>
      <c r="J54" s="346" t="str">
        <f t="shared" si="1"/>
        <v>…</v>
      </c>
      <c r="K54" s="188">
        <f>+SUMPRODUCT(('2017'!$G54:$R54)*('2017'!$G$5:$R$5&lt;=Master!$B$3))</f>
        <v>0</v>
      </c>
      <c r="L54" s="357">
        <f t="shared" si="7"/>
        <v>0</v>
      </c>
      <c r="M54" s="355" t="str">
        <f t="shared" si="2"/>
        <v>…</v>
      </c>
      <c r="N54" s="188">
        <f>'2018'!O54</f>
        <v>0</v>
      </c>
      <c r="O54" s="188">
        <v>0</v>
      </c>
      <c r="P54" s="351">
        <f>N54-O54</f>
        <v>0</v>
      </c>
      <c r="Q54" s="346" t="str">
        <f t="shared" si="4"/>
        <v>…</v>
      </c>
      <c r="R54" s="188">
        <f>'2017'!O54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80" t="str">
        <f>+VLOOKUP($A55,Master!$D$25:$G$223,4,FALSE)</f>
        <v>Surplus / deficit</v>
      </c>
      <c r="C55" s="481"/>
      <c r="D55" s="481"/>
      <c r="E55" s="481"/>
      <c r="F55" s="481"/>
      <c r="G55" s="176">
        <f>+SUMPRODUCT(('2018'!$G55:$R55)*('2018'!$G$5:$R$5&lt;=Master!$B$3)*($A55='2018'!$A$10:$A$66))</f>
        <v>-25344247.949999988</v>
      </c>
      <c r="H55" s="176">
        <f>+SUMPRODUCT(('2018'!$G149:$R149)*('2018'!$G$5:$R$5&lt;=Master!$B$3))</f>
        <v>-102383634.48664369</v>
      </c>
      <c r="I55" s="404">
        <f>+G55-H55</f>
        <v>77039386.536643699</v>
      </c>
      <c r="J55" s="348">
        <f t="shared" si="1"/>
        <v>-0.75245801658558786</v>
      </c>
      <c r="K55" s="176">
        <f>+SUMPRODUCT(('2017'!$G55:$R55)*('2017'!$G$5:$R$5&lt;=Master!$B$3))</f>
        <v>-102660406.61999999</v>
      </c>
      <c r="L55" s="358">
        <f t="shared" si="7"/>
        <v>77316158.670000002</v>
      </c>
      <c r="M55" s="356">
        <f t="shared" si="2"/>
        <v>-0.75312538899429515</v>
      </c>
      <c r="N55" s="176">
        <f>'2018'!O55</f>
        <v>21177519.75999999</v>
      </c>
      <c r="O55" s="176">
        <f>+INDEX('2018'!$1:$1048576,MATCH(CONCATENATE('Analytics - 2018'!$A55,"p"),'2018'!$A:$A,0),MATCH('Analytics - 2018'!$O$6,'2018'!$101:$101,0))</f>
        <v>14130301.591036469</v>
      </c>
      <c r="P55" s="404">
        <f>N55-O55</f>
        <v>7047218.1689635217</v>
      </c>
      <c r="Q55" s="348">
        <f t="shared" si="4"/>
        <v>0.49873090985077861</v>
      </c>
      <c r="R55" s="176">
        <f>'2017'!O55</f>
        <v>1185348.9100000262</v>
      </c>
      <c r="S55" s="358">
        <f t="shared" si="5"/>
        <v>19992170.849999964</v>
      </c>
      <c r="T55" s="356"/>
    </row>
    <row r="56" spans="1:23" ht="15.75" thickBot="1">
      <c r="A56" s="169">
        <v>1001</v>
      </c>
      <c r="B56" s="482" t="str">
        <f>+VLOOKUP($A56,Master!$D$25:$G$223,4,FALSE)</f>
        <v>Primary balance</v>
      </c>
      <c r="C56" s="483"/>
      <c r="D56" s="483"/>
      <c r="E56" s="483"/>
      <c r="F56" s="483"/>
      <c r="G56" s="176">
        <f>+SUMPRODUCT(('2018'!$G56:$R56)*('2018'!$G$5:$R$5&lt;=Master!$B$3)*($A56='2018'!$A$10:$A$66))</f>
        <v>45322472.780000009</v>
      </c>
      <c r="H56" s="176">
        <f>+SUMPRODUCT(('2018'!$G150:$R150)*('2018'!$G$5:$R$5&lt;=Master!$B$3))</f>
        <v>-37786609.486643687</v>
      </c>
      <c r="I56" s="231">
        <f t="shared" si="0"/>
        <v>83109082.266643703</v>
      </c>
      <c r="J56" s="232">
        <f t="shared" si="1"/>
        <v>-2.199432110891558</v>
      </c>
      <c r="K56" s="176">
        <f>+SUMPRODUCT(('2017'!$G57:$R57)*('2017'!$G$5:$R$5&lt;=Master!$B$3))</f>
        <v>-11906178.189999996</v>
      </c>
      <c r="L56" s="231">
        <f t="shared" si="7"/>
        <v>57228650.970000006</v>
      </c>
      <c r="M56" s="233">
        <f t="shared" si="2"/>
        <v>-4.806634845937916</v>
      </c>
      <c r="N56" s="176">
        <f>'2018'!O56</f>
        <v>24794875.359999992</v>
      </c>
      <c r="O56" s="176">
        <f>+INDEX('2018'!$1:$1048576,MATCH(CONCATENATE('Analytics - 2018'!$A56,"p"),'2018'!$A:$A,0),MATCH('Analytics - 2018'!$O$6,'2018'!$101:$101,0))</f>
        <v>21745526.591036469</v>
      </c>
      <c r="P56" s="231">
        <f t="shared" si="3"/>
        <v>3049348.7689635232</v>
      </c>
      <c r="Q56" s="232">
        <f t="shared" si="4"/>
        <v>0.14022878481225054</v>
      </c>
      <c r="R56" s="176">
        <f>'2017'!O57</f>
        <v>3202044.0600000261</v>
      </c>
      <c r="S56" s="231">
        <f t="shared" si="5"/>
        <v>21592831.299999967</v>
      </c>
      <c r="T56" s="233" t="s">
        <v>779</v>
      </c>
    </row>
    <row r="57" spans="1:23">
      <c r="A57" s="169">
        <v>46</v>
      </c>
      <c r="B57" s="484" t="str">
        <f>+VLOOKUP($A57,Master!$D$25:$G$223,4,FALSE)</f>
        <v>Repayment of Debt</v>
      </c>
      <c r="C57" s="485"/>
      <c r="D57" s="485"/>
      <c r="E57" s="485"/>
      <c r="F57" s="485"/>
      <c r="G57" s="182">
        <f>+SUMPRODUCT(('2018'!$G57:$R57)*('2018'!$G$5:$R$5&lt;=Master!$B$3)*($A57='2018'!$A$10:$A$66))</f>
        <v>307396456.84999996</v>
      </c>
      <c r="H57" s="182">
        <f>+SUMPRODUCT(('2018'!$G151:$R151)*('2018'!$G$5:$R$5&lt;=Master!$B$3))</f>
        <v>137963096.36461246</v>
      </c>
      <c r="I57" s="219">
        <f t="shared" si="0"/>
        <v>169433360.4853875</v>
      </c>
      <c r="J57" s="220">
        <f t="shared" si="1"/>
        <v>1.2281063918542725</v>
      </c>
      <c r="K57" s="182">
        <f>+SUMPRODUCT(('2017'!$G58:$R58)*('2017'!$G$5:$R$5&lt;=Master!$B$3))</f>
        <v>315606632.79999995</v>
      </c>
      <c r="L57" s="219">
        <f t="shared" si="7"/>
        <v>-8210175.9499999881</v>
      </c>
      <c r="M57" s="221">
        <f t="shared" si="2"/>
        <v>-2.6013952486235503E-2</v>
      </c>
      <c r="N57" s="182">
        <f>'2018'!O57</f>
        <v>17423705.899999999</v>
      </c>
      <c r="O57" s="182">
        <f>+INDEX('2018'!$1:$1048576,MATCH(CONCATENATE('Analytics - 2018'!$A57,"p"),'2018'!$A:$A,0),MATCH('Analytics - 2018'!$O$6,'2018'!$101:$101,0))</f>
        <v>21286585.159562141</v>
      </c>
      <c r="P57" s="219">
        <f t="shared" si="3"/>
        <v>-3862879.2595621422</v>
      </c>
      <c r="Q57" s="220">
        <f t="shared" si="4"/>
        <v>-0.1814701245223872</v>
      </c>
      <c r="R57" s="182">
        <f>'2017'!O58</f>
        <v>13074495.76</v>
      </c>
      <c r="S57" s="219">
        <f t="shared" si="5"/>
        <v>4349210.1399999987</v>
      </c>
      <c r="T57" s="221">
        <f t="shared" si="6"/>
        <v>0.33264840341345581</v>
      </c>
    </row>
    <row r="58" spans="1:23">
      <c r="A58" s="169">
        <v>4611</v>
      </c>
      <c r="B58" s="472" t="str">
        <f>+VLOOKUP($A58,Master!$D$25:$G$223,4,FALSE)</f>
        <v>Repayment of Domestic Debt</v>
      </c>
      <c r="C58" s="473"/>
      <c r="D58" s="473"/>
      <c r="E58" s="473"/>
      <c r="F58" s="473"/>
      <c r="G58" s="188">
        <f>+SUMPRODUCT(('2018'!$G58:$R58)*('2018'!$G$5:$R$5&lt;=Master!$B$3)*($A58='2018'!$A$10:$A$66))</f>
        <v>229527212.72</v>
      </c>
      <c r="H58" s="188">
        <f>+SUMPRODUCT(('2018'!$G152:$R152)*('2018'!$G$5:$R$5&lt;=Master!$B$3))</f>
        <v>36141933.899999999</v>
      </c>
      <c r="I58" s="237">
        <f t="shared" si="0"/>
        <v>193385278.81999999</v>
      </c>
      <c r="J58" s="238">
        <f t="shared" si="1"/>
        <v>5.3507175170833898</v>
      </c>
      <c r="K58" s="188">
        <f>+SUMPRODUCT(('2017'!$G59:$R59)*('2017'!$G$5:$R$5&lt;=Master!$B$3))</f>
        <v>205653797.18000001</v>
      </c>
      <c r="L58" s="237">
        <f t="shared" si="7"/>
        <v>23873415.539999992</v>
      </c>
      <c r="M58" s="239">
        <f t="shared" si="2"/>
        <v>0.11608545948268878</v>
      </c>
      <c r="N58" s="188">
        <f>'2018'!O58</f>
        <v>1208382.96</v>
      </c>
      <c r="O58" s="188">
        <f>+INDEX('2018'!$1:$1048576,MATCH(CONCATENATE('Analytics - 2018'!$A58,"p"),'2018'!$A:$A,0),MATCH('Analytics - 2018'!$O$6,'2018'!$101:$101,0))</f>
        <v>1958366.01</v>
      </c>
      <c r="P58" s="237">
        <f t="shared" si="3"/>
        <v>-749983.05</v>
      </c>
      <c r="Q58" s="238">
        <f t="shared" si="4"/>
        <v>-0.38296367796947217</v>
      </c>
      <c r="R58" s="188">
        <f>'2017'!O59</f>
        <v>8684013.8599999994</v>
      </c>
      <c r="S58" s="237">
        <f t="shared" si="5"/>
        <v>-7475630.8999999994</v>
      </c>
      <c r="T58" s="239">
        <f t="shared" si="6"/>
        <v>-0.86084972001645332</v>
      </c>
    </row>
    <row r="59" spans="1:23">
      <c r="A59" s="169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188">
        <f>+SUMPRODUCT(('2018'!$G59:$R59)*('2018'!$G$5:$R$5&lt;=Master!$B$3)*($A59='2018'!$A$10:$A$66))</f>
        <v>77869244.129999995</v>
      </c>
      <c r="H59" s="188">
        <f>+SUMPRODUCT(('2018'!$G153:$R153)*('2018'!$G$5:$R$5&lt;=Master!$B$3))</f>
        <v>80514041.214612454</v>
      </c>
      <c r="I59" s="237">
        <f t="shared" si="0"/>
        <v>-2644797.0846124589</v>
      </c>
      <c r="J59" s="238">
        <f t="shared" si="1"/>
        <v>-3.2848892500162541E-2</v>
      </c>
      <c r="K59" s="188">
        <f>+SUMPRODUCT(('2017'!$G60:$R60)*('2017'!$G$5:$R$5&lt;=Master!$B$3))</f>
        <v>109952835.62000003</v>
      </c>
      <c r="L59" s="237">
        <f t="shared" si="7"/>
        <v>-32083591.490000039</v>
      </c>
      <c r="M59" s="239">
        <f t="shared" si="2"/>
        <v>-0.29179412526368853</v>
      </c>
      <c r="N59" s="188">
        <f>'2018'!O59</f>
        <v>16215322.939999999</v>
      </c>
      <c r="O59" s="188">
        <f>+INDEX('2018'!$1:$1048576,MATCH(CONCATENATE('Analytics - 2018'!$A59,"p"),'2018'!$A:$A,0),MATCH('Analytics - 2018'!$O$6,'2018'!$101:$101,0))</f>
        <v>16625761.232895471</v>
      </c>
      <c r="P59" s="237">
        <f t="shared" si="3"/>
        <v>-410438.29289547168</v>
      </c>
      <c r="Q59" s="238">
        <f t="shared" si="4"/>
        <v>-2.468688724359791E-2</v>
      </c>
      <c r="R59" s="188">
        <f>'2017'!O60</f>
        <v>4390481.9000000004</v>
      </c>
      <c r="S59" s="237">
        <f t="shared" si="5"/>
        <v>11824841.039999999</v>
      </c>
      <c r="T59" s="239">
        <f t="shared" si="6"/>
        <v>2.6932900099189565</v>
      </c>
    </row>
    <row r="60" spans="1:23">
      <c r="A60" s="169"/>
      <c r="B60" s="399" t="s">
        <v>369</v>
      </c>
      <c r="C60" s="400"/>
      <c r="D60" s="400"/>
      <c r="E60" s="400"/>
      <c r="F60" s="400"/>
      <c r="G60" s="188">
        <v>0</v>
      </c>
      <c r="H60" s="188">
        <f>+SUMPRODUCT(('2018'!$G154:$R154)*('2018'!$G$5:$R$5&lt;=Master!$B$3))</f>
        <v>21307121.25</v>
      </c>
      <c r="I60" s="237">
        <f t="shared" si="0"/>
        <v>-21307121.25</v>
      </c>
      <c r="J60" s="238">
        <f t="shared" si="1"/>
        <v>-1</v>
      </c>
      <c r="K60" s="188">
        <v>0</v>
      </c>
      <c r="L60" s="237">
        <f t="shared" si="7"/>
        <v>0</v>
      </c>
      <c r="M60" s="239" t="str">
        <f t="shared" si="2"/>
        <v>…</v>
      </c>
      <c r="N60" s="188">
        <v>0</v>
      </c>
      <c r="O60" s="188">
        <f>'2018'!G154</f>
        <v>1807457.9166666667</v>
      </c>
      <c r="P60" s="237">
        <f t="shared" si="3"/>
        <v>-1807457.9166666667</v>
      </c>
      <c r="Q60" s="238">
        <f t="shared" si="4"/>
        <v>-1</v>
      </c>
      <c r="R60" s="188">
        <v>0</v>
      </c>
      <c r="S60" s="237">
        <f t="shared" ref="S60:S67" si="9">+N60-R60</f>
        <v>0</v>
      </c>
      <c r="T60" s="239" t="str">
        <f t="shared" ref="T60:T67" si="10">+IF(ISNUMBER(N60/R60-1),N60/R60-1,"…")</f>
        <v>…</v>
      </c>
    </row>
    <row r="61" spans="1:23" ht="15.75" thickBot="1">
      <c r="A61" s="169">
        <v>4418</v>
      </c>
      <c r="B61" s="492" t="s">
        <v>340</v>
      </c>
      <c r="C61" s="493"/>
      <c r="D61" s="493"/>
      <c r="E61" s="493"/>
      <c r="F61" s="493"/>
      <c r="G61" s="435">
        <f>'2018'!S60</f>
        <v>68939595.359999999</v>
      </c>
      <c r="H61" s="435">
        <f>+SUMPRODUCT(('2018'!$G155:$R155)*('2018'!$G$5:$R$5&lt;=Master!$B$3))</f>
        <v>70000000</v>
      </c>
      <c r="I61" s="436">
        <f t="shared" si="0"/>
        <v>-1060404.6400000006</v>
      </c>
      <c r="J61" s="437">
        <f t="shared" si="1"/>
        <v>-1.5148637714285762E-2</v>
      </c>
      <c r="K61" s="435">
        <v>0</v>
      </c>
      <c r="L61" s="436">
        <f t="shared" si="7"/>
        <v>68939595.359999999</v>
      </c>
      <c r="M61" s="438" t="str">
        <f t="shared" si="2"/>
        <v>…</v>
      </c>
      <c r="N61" s="435">
        <f>+DataEx!FA168</f>
        <v>0</v>
      </c>
      <c r="O61" s="435">
        <f>+'2018'!K155</f>
        <v>70000000</v>
      </c>
      <c r="P61" s="436">
        <f t="shared" ref="P61:P67" si="11">+N61-O61</f>
        <v>-70000000</v>
      </c>
      <c r="Q61" s="437">
        <f t="shared" ref="Q61:Q67" si="12">+IF(ISNUMBER(N61/O61-1),N61/O61-1,"…")</f>
        <v>-1</v>
      </c>
      <c r="R61" s="435">
        <f>+DataEx!FA168</f>
        <v>0</v>
      </c>
      <c r="S61" s="436">
        <f t="shared" si="9"/>
        <v>0</v>
      </c>
      <c r="T61" s="438" t="str">
        <f t="shared" si="10"/>
        <v>…</v>
      </c>
    </row>
    <row r="62" spans="1:23" ht="15.75" thickBot="1">
      <c r="A62" s="169">
        <v>1002</v>
      </c>
      <c r="B62" s="476" t="str">
        <f>+VLOOKUP($A62,Master!$D$25:$G$223,4,FALSE)</f>
        <v>Financing needs</v>
      </c>
      <c r="C62" s="477"/>
      <c r="D62" s="477"/>
      <c r="E62" s="477"/>
      <c r="F62" s="477"/>
      <c r="G62" s="393">
        <f>+SUMPRODUCT(('2018'!$G61:$R61)*('2018'!$G$5:$R$5&lt;=Master!$B$3)*($A62='2018'!$A$10:$A$66))</f>
        <v>-401680300.16000003</v>
      </c>
      <c r="H62" s="403">
        <f>+SUMPRODUCT(('2018'!$G156:$R156)*('2018'!$G$5:$R$5&lt;=Master!$B$3))</f>
        <v>-310346730.85125613</v>
      </c>
      <c r="I62" s="405">
        <f t="shared" si="0"/>
        <v>-91333569.308743894</v>
      </c>
      <c r="J62" s="406">
        <f t="shared" si="1"/>
        <v>0.29429525182438132</v>
      </c>
      <c r="K62" s="393">
        <f>+SUMPRODUCT(('2017'!$G61:$R61)*('2017'!$G$5:$R$5&lt;=Master!$B$3))</f>
        <v>-418267039.41999996</v>
      </c>
      <c r="L62" s="405">
        <f t="shared" si="7"/>
        <v>16586739.259999931</v>
      </c>
      <c r="M62" s="408">
        <f t="shared" si="2"/>
        <v>-3.9655860244212193E-2</v>
      </c>
      <c r="N62" s="393">
        <f>'2018'!O61</f>
        <v>3753813.859999992</v>
      </c>
      <c r="O62" s="403">
        <f>+INDEX('2018'!$1:$1048576,MATCH(CONCATENATE('Analytics - 2018'!$A62,"p"),'2018'!$A:$A,0),MATCH('Analytics - 2018'!$O$6,'2018'!$101:$101,0))</f>
        <v>-7156283.568525672</v>
      </c>
      <c r="P62" s="405">
        <f t="shared" si="11"/>
        <v>10910097.428525664</v>
      </c>
      <c r="Q62" s="406">
        <f t="shared" si="12"/>
        <v>-1.5245479478356316</v>
      </c>
      <c r="R62" s="393">
        <f>'2017'!O61</f>
        <v>-11889146.849999974</v>
      </c>
      <c r="S62" s="405">
        <f t="shared" si="9"/>
        <v>15642960.709999966</v>
      </c>
      <c r="T62" s="408" t="s">
        <v>779</v>
      </c>
    </row>
    <row r="63" spans="1:23" ht="15.75" thickBot="1">
      <c r="A63" s="169">
        <v>1003</v>
      </c>
      <c r="B63" s="478" t="str">
        <f>+VLOOKUP($A63,Master!$D$25:$G$223,4,FALSE)</f>
        <v>Financing</v>
      </c>
      <c r="C63" s="479"/>
      <c r="D63" s="479"/>
      <c r="E63" s="479"/>
      <c r="F63" s="479"/>
      <c r="G63" s="176">
        <f>+SUMPRODUCT(('2018'!$G62:$R62)*('2018'!$G$5:$R$5&lt;=Master!$B$3)*($A63='2018'!$A$10:$A$66))</f>
        <v>401680300.16000003</v>
      </c>
      <c r="H63" s="176">
        <f>+SUMPRODUCT(('2018'!$G157:$R157)*('2018'!$G$5:$R$5&lt;=Master!$B$3))</f>
        <v>310346730.85125613</v>
      </c>
      <c r="I63" s="404">
        <f t="shared" si="0"/>
        <v>91333569.308743894</v>
      </c>
      <c r="J63" s="407">
        <f t="shared" si="1"/>
        <v>0.29429525182438132</v>
      </c>
      <c r="K63" s="176">
        <f>+SUMPRODUCT(('2017'!$G62:$R62)*('2017'!$G$5:$R$5&lt;=Master!$B$3))</f>
        <v>418267039.41999996</v>
      </c>
      <c r="L63" s="404">
        <f t="shared" si="7"/>
        <v>-16586739.259999931</v>
      </c>
      <c r="M63" s="409">
        <f t="shared" si="2"/>
        <v>-3.9655860244212193E-2</v>
      </c>
      <c r="N63" s="176">
        <f>'2018'!O62</f>
        <v>-3753813.8599999938</v>
      </c>
      <c r="O63" s="176">
        <f>+INDEX('2018'!$1:$1048576,MATCH(CONCATENATE('Analytics - 2018'!$A63,"p"),'2018'!$A:$A,0),MATCH('Analytics - 2018'!$O$6,'2018'!$101:$101,0))</f>
        <v>7156283.568525672</v>
      </c>
      <c r="P63" s="404">
        <f t="shared" si="11"/>
        <v>-10910097.428525666</v>
      </c>
      <c r="Q63" s="407">
        <f t="shared" si="12"/>
        <v>-1.5245479478356319</v>
      </c>
      <c r="R63" s="176">
        <f>'2017'!O62</f>
        <v>11889146.849999972</v>
      </c>
      <c r="S63" s="404">
        <f t="shared" si="9"/>
        <v>-15642960.709999966</v>
      </c>
      <c r="T63" s="409" t="s">
        <v>779</v>
      </c>
    </row>
    <row r="64" spans="1:23">
      <c r="A64" s="169">
        <v>7511</v>
      </c>
      <c r="B64" s="472" t="str">
        <f>+VLOOKUP($A64,Master!$D$25:$G$223,4,FALSE)</f>
        <v>Domestic Loans and Borrowings</v>
      </c>
      <c r="C64" s="473"/>
      <c r="D64" s="473"/>
      <c r="E64" s="473"/>
      <c r="F64" s="473"/>
      <c r="G64" s="188">
        <f>+SUMPRODUCT(('2018'!$G63:$R63)*('2018'!$G$5:$R$5&lt;=Master!$B$3)*($A64='2018'!$A$10:$A$66))</f>
        <v>197600000</v>
      </c>
      <c r="H64" s="188">
        <f>+SUMPRODUCT(('2018'!$G158:$R158)*('2018'!$G$5:$R$5&lt;=Master!$B$3))</f>
        <v>0</v>
      </c>
      <c r="I64" s="237">
        <f t="shared" si="0"/>
        <v>197600000</v>
      </c>
      <c r="J64" s="238" t="str">
        <f t="shared" si="1"/>
        <v>…</v>
      </c>
      <c r="K64" s="188">
        <f>+SUMPRODUCT(('2017'!$G63:$R63)*('2017'!$G$5:$R$5&lt;=Master!$B$3))</f>
        <v>257070000</v>
      </c>
      <c r="L64" s="237">
        <f t="shared" si="7"/>
        <v>-59470000</v>
      </c>
      <c r="M64" s="239">
        <f t="shared" si="2"/>
        <v>-0.23133776792313376</v>
      </c>
      <c r="N64" s="188">
        <f>'2018'!O63</f>
        <v>0</v>
      </c>
      <c r="O64" s="188">
        <f>+INDEX('2018'!$1:$1048576,MATCH(CONCATENATE('Analytics - 2018'!$A64,"p"),'2018'!$A:$A,0),MATCH('Analytics - 2018'!$O$6,'2018'!$101:$101,0))</f>
        <v>0</v>
      </c>
      <c r="P64" s="237">
        <f t="shared" si="11"/>
        <v>0</v>
      </c>
      <c r="Q64" s="238" t="str">
        <f t="shared" si="12"/>
        <v>…</v>
      </c>
      <c r="R64" s="188">
        <f>'2017'!O63</f>
        <v>0</v>
      </c>
      <c r="S64" s="237">
        <f t="shared" si="9"/>
        <v>0</v>
      </c>
      <c r="T64" s="239" t="str">
        <f t="shared" si="10"/>
        <v>…</v>
      </c>
    </row>
    <row r="65" spans="1:20">
      <c r="A65" s="169">
        <v>7512</v>
      </c>
      <c r="B65" s="456" t="str">
        <f>+VLOOKUP($A65,Master!$D$25:$G$223,4,FALSE)</f>
        <v>Foreign Loans and Borrowings</v>
      </c>
      <c r="C65" s="457"/>
      <c r="D65" s="457"/>
      <c r="E65" s="457"/>
      <c r="F65" s="457"/>
      <c r="G65" s="188">
        <f>+SUMPRODUCT(('2018'!$G64:$R64)*('2018'!$G$5:$R$5&lt;=Master!$B$3)*($A65='2018'!$A$10:$A$66))</f>
        <v>449934704.91999996</v>
      </c>
      <c r="H65" s="188">
        <f>+SUMPRODUCT(('2018'!$G159:$R159)*('2018'!$G$5:$R$5&lt;=Master!$B$3))</f>
        <v>221924999.96999997</v>
      </c>
      <c r="I65" s="237">
        <f t="shared" si="0"/>
        <v>228009704.94999999</v>
      </c>
      <c r="J65" s="238">
        <f t="shared" si="1"/>
        <v>1.027417843779757</v>
      </c>
      <c r="K65" s="188">
        <f>+SUMPRODUCT(('2017'!$G64:$R64)*('2017'!$G$5:$R$5&lt;=Master!$B$3))</f>
        <v>176467313.99000001</v>
      </c>
      <c r="L65" s="237">
        <f t="shared" si="7"/>
        <v>273467390.92999995</v>
      </c>
      <c r="M65" s="239">
        <f t="shared" si="2"/>
        <v>1.5496773014037983</v>
      </c>
      <c r="N65" s="188">
        <f>'2018'!O64</f>
        <v>16543114.029999999</v>
      </c>
      <c r="O65" s="188">
        <f>+INDEX('2018'!$1:$1048576,MATCH(CONCATENATE('Analytics - 2018'!$A65,"p"),'2018'!$A:$A,0),MATCH('Analytics - 2018'!$O$6,'2018'!$101:$101,0))</f>
        <v>24658333.329999998</v>
      </c>
      <c r="P65" s="237">
        <f t="shared" si="11"/>
        <v>-8115219.2999999989</v>
      </c>
      <c r="Q65" s="238">
        <f t="shared" si="12"/>
        <v>-0.32910656172073083</v>
      </c>
      <c r="R65" s="188">
        <f>'2017'!O64</f>
        <v>43020325.210000001</v>
      </c>
      <c r="S65" s="237">
        <f t="shared" si="9"/>
        <v>-26477211.18</v>
      </c>
      <c r="T65" s="239">
        <f t="shared" si="10"/>
        <v>-0.61545818286481524</v>
      </c>
    </row>
    <row r="66" spans="1:20">
      <c r="A66" s="169">
        <v>72</v>
      </c>
      <c r="B66" s="456" t="str">
        <f>+VLOOKUP($A66,Master!$D$25:$G$223,4,FALSE)</f>
        <v>Revenues from Selling Assets</v>
      </c>
      <c r="C66" s="457"/>
      <c r="D66" s="457"/>
      <c r="E66" s="457"/>
      <c r="F66" s="457"/>
      <c r="G66" s="188">
        <f>+SUMPRODUCT(('2018'!$G65:$R65)*('2018'!$G$5:$R$5&lt;=Master!$B$3)*($A66='2018'!$A$10:$A$66))</f>
        <v>14277177.5</v>
      </c>
      <c r="H66" s="188">
        <f>+SUMPRODUCT(('2018'!$G160:$R160)*('2018'!$G$5:$R$5&lt;=Master!$B$3))</f>
        <v>0</v>
      </c>
      <c r="I66" s="237">
        <f t="shared" si="0"/>
        <v>14277177.5</v>
      </c>
      <c r="J66" s="238" t="str">
        <f t="shared" si="1"/>
        <v>…</v>
      </c>
      <c r="K66" s="188">
        <f>+SUMPRODUCT(('2017'!$G65:$R65)*('2017'!$G$5:$R$5&lt;=Master!$B$3))</f>
        <v>4633811.9399999995</v>
      </c>
      <c r="L66" s="237">
        <f t="shared" si="7"/>
        <v>9643365.5600000005</v>
      </c>
      <c r="M66" s="239">
        <f t="shared" si="2"/>
        <v>2.0810869506283853</v>
      </c>
      <c r="N66" s="188">
        <f>'2018'!O65</f>
        <v>223709.29</v>
      </c>
      <c r="O66" s="188">
        <f>+INDEX('2018'!$1:$1048576,MATCH(CONCATENATE('Analytics - 2018'!$A66,"p"),'2018'!$A:$A,0),MATCH('Analytics - 2018'!$O$6,'2018'!$101:$101,0))</f>
        <v>0</v>
      </c>
      <c r="P66" s="237">
        <f t="shared" si="11"/>
        <v>223709.29</v>
      </c>
      <c r="Q66" s="238" t="str">
        <f t="shared" si="12"/>
        <v>…</v>
      </c>
      <c r="R66" s="188">
        <f>'2017'!O65</f>
        <v>167534.29</v>
      </c>
      <c r="S66" s="237">
        <f t="shared" si="9"/>
        <v>56175</v>
      </c>
      <c r="T66" s="239">
        <f t="shared" si="10"/>
        <v>0.33530449199384793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394">
        <f>+SUMPRODUCT(('2018'!$G66:$R66)*('2018'!$G$5:$R$5&lt;=Master!$B$3)*($A67='2018'!$A$10:$A$66))</f>
        <v>-260131582.26000005</v>
      </c>
      <c r="H67" s="398">
        <f>+SUMPRODUCT(('2018'!$G161:$R161)*('2018'!$G$5:$R$5&lt;=Master!$B$3))</f>
        <v>88421730.881256163</v>
      </c>
      <c r="I67" s="251">
        <f t="shared" si="0"/>
        <v>-348553313.14125621</v>
      </c>
      <c r="J67" s="252" t="str">
        <f>+IF(ISNUMBER(G66/H66-1),G66/H66-1,"…")</f>
        <v>…</v>
      </c>
      <c r="K67" s="394">
        <f>+SUMPRODUCT(('2017'!$G66:$R66)*('2017'!$G$5:$R$5&lt;=Master!$B$3))</f>
        <v>-19904086.50999999</v>
      </c>
      <c r="L67" s="251">
        <f t="shared" si="7"/>
        <v>-240227495.75000006</v>
      </c>
      <c r="M67" s="253"/>
      <c r="N67" s="394">
        <f>'2018'!O66</f>
        <v>-20520637.179999992</v>
      </c>
      <c r="O67" s="398">
        <f>+INDEX('2018'!$1:$1048576,MATCH(CONCATENATE('Analytics - 2018'!$A67,"p"),'2018'!$A:$A,0),MATCH('Analytics - 2018'!$O$6,'2018'!$101:$101,0))</f>
        <v>-17502049.761474326</v>
      </c>
      <c r="P67" s="251">
        <f t="shared" si="11"/>
        <v>-3018587.418525666</v>
      </c>
      <c r="Q67" s="252">
        <f t="shared" si="12"/>
        <v>0.17247050829270338</v>
      </c>
      <c r="R67" s="394">
        <f>'2017'!O66</f>
        <v>-31298712.650000028</v>
      </c>
      <c r="S67" s="251">
        <f t="shared" si="9"/>
        <v>10778075.470000036</v>
      </c>
      <c r="T67" s="253">
        <f t="shared" si="10"/>
        <v>-0.34436162248992774</v>
      </c>
    </row>
    <row r="69" spans="1:20">
      <c r="H69" s="395"/>
    </row>
    <row r="70" spans="1:20">
      <c r="H70" s="364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128" activePane="bottomLeft" state="frozen"/>
      <selection pane="bottomLeft" activeCell="R166" sqref="R166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559" t="str">
        <f>+Master!G249</f>
        <v>Budget Execution</v>
      </c>
      <c r="C7" s="459"/>
      <c r="D7" s="459"/>
      <c r="E7" s="459"/>
      <c r="F7" s="459"/>
      <c r="G7" s="467">
        <v>2018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+Master!G246</f>
        <v>GDP</v>
      </c>
      <c r="T7" s="261">
        <v>4430900000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7" t="str">
        <f>+Master!G243</f>
        <v>Jan - Sep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f t="shared" ref="G10:R10" si="1">+G11+G19+SUM(G24:G28)</f>
        <v>81544844.829999998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156827966.73000002</v>
      </c>
      <c r="K10" s="176">
        <f t="shared" si="1"/>
        <v>138841162.98999998</v>
      </c>
      <c r="L10" s="176">
        <f t="shared" si="1"/>
        <v>140708489.35000002</v>
      </c>
      <c r="M10" s="176">
        <f t="shared" si="1"/>
        <v>160619767.91999999</v>
      </c>
      <c r="N10" s="176">
        <f t="shared" si="1"/>
        <v>161263780.17000002</v>
      </c>
      <c r="O10" s="176">
        <f t="shared" si="1"/>
        <v>187314805.19999999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1273059280.8800001</v>
      </c>
      <c r="T10" s="265">
        <f>+S10/$T$7</f>
        <v>0.28731392739172629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806018384.75999999</v>
      </c>
      <c r="T11" s="268">
        <f t="shared" ref="T11:T66" si="4">+S11/$T$7</f>
        <v>0.18190850273307907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0</v>
      </c>
      <c r="Q12" s="188">
        <f>+INDEX(DataEx!$1:$1048576,MATCH('2018'!$A12,DataEx!$D:$D,0),MATCH('2018'!Q$6,DataEx!$7:$7,0))</f>
        <v>0</v>
      </c>
      <c r="R12" s="188">
        <f>+INDEX(DataEx!$1:$1048576,MATCH('2018'!$A12,DataEx!$D:$D,0),MATCH('2018'!R$6,DataEx!$7:$7,0))</f>
        <v>0</v>
      </c>
      <c r="S12" s="269">
        <f t="shared" si="3"/>
        <v>85245067.910000011</v>
      </c>
      <c r="T12" s="270">
        <f t="shared" si="4"/>
        <v>1.9238770432643482E-2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0</v>
      </c>
      <c r="Q13" s="188">
        <f>+INDEX(DataEx!$1:$1048576,MATCH('2018'!$A13,DataEx!$D:$D,0),MATCH('2018'!Q$6,DataEx!$7:$7,0))</f>
        <v>0</v>
      </c>
      <c r="R13" s="188">
        <f>+INDEX(DataEx!$1:$1048576,MATCH('2018'!$A13,DataEx!$D:$D,0),MATCH('2018'!R$6,DataEx!$7:$7,0))</f>
        <v>0</v>
      </c>
      <c r="S13" s="269">
        <f t="shared" si="3"/>
        <v>64513553.079999991</v>
      </c>
      <c r="T13" s="270">
        <f t="shared" si="4"/>
        <v>1.4559920801643004E-2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0</v>
      </c>
      <c r="Q14" s="188">
        <f>+INDEX(DataEx!$1:$1048576,MATCH('2018'!$A14,DataEx!$D:$D,0),MATCH('2018'!Q$6,DataEx!$7:$7,0))</f>
        <v>0</v>
      </c>
      <c r="R14" s="188">
        <f>+INDEX(DataEx!$1:$1048576,MATCH('2018'!$A14,DataEx!$D:$D,0),MATCH('2018'!R$6,DataEx!$7:$7,0))</f>
        <v>0</v>
      </c>
      <c r="S14" s="269">
        <f t="shared" si="3"/>
        <v>1277928.1599999999</v>
      </c>
      <c r="T14" s="270">
        <f t="shared" si="4"/>
        <v>2.8841277392854721E-4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0</v>
      </c>
      <c r="Q15" s="188">
        <f>+INDEX(DataEx!$1:$1048576,MATCH('2018'!$A15,DataEx!$D:$D,0),MATCH('2018'!Q$6,DataEx!$7:$7,0))</f>
        <v>0</v>
      </c>
      <c r="R15" s="188">
        <f>+INDEX(DataEx!$1:$1048576,MATCH('2018'!$A15,DataEx!$D:$D,0),MATCH('2018'!R$6,DataEx!$7:$7,0))</f>
        <v>0</v>
      </c>
      <c r="S15" s="269">
        <f t="shared" si="3"/>
        <v>461468715.59000003</v>
      </c>
      <c r="T15" s="270">
        <f t="shared" si="4"/>
        <v>0.10414785158545668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0</v>
      </c>
      <c r="Q16" s="188">
        <f>+INDEX(DataEx!$1:$1048576,MATCH('2018'!$A16,DataEx!$D:$D,0),MATCH('2018'!Q$6,DataEx!$7:$7,0))</f>
        <v>0</v>
      </c>
      <c r="R16" s="188">
        <f>+INDEX(DataEx!$1:$1048576,MATCH('2018'!$A16,DataEx!$D:$D,0),MATCH('2018'!R$6,DataEx!$7:$7,0))</f>
        <v>0</v>
      </c>
      <c r="S16" s="269">
        <f t="shared" si="3"/>
        <v>166496597.86000001</v>
      </c>
      <c r="T16" s="270">
        <f t="shared" si="4"/>
        <v>3.7576248134690474E-2</v>
      </c>
    </row>
    <row r="17" spans="1:25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0</v>
      </c>
      <c r="Q17" s="188">
        <f>+INDEX(DataEx!$1:$1048576,MATCH('2018'!$A17,DataEx!$D:$D,0),MATCH('2018'!Q$6,DataEx!$7:$7,0))</f>
        <v>0</v>
      </c>
      <c r="R17" s="188">
        <f>+INDEX(DataEx!$1:$1048576,MATCH('2018'!$A17,DataEx!$D:$D,0),MATCH('2018'!R$6,DataEx!$7:$7,0))</f>
        <v>0</v>
      </c>
      <c r="S17" s="269">
        <f t="shared" si="3"/>
        <v>20112543.760000002</v>
      </c>
      <c r="T17" s="270">
        <f t="shared" si="4"/>
        <v>4.5391554221489994E-3</v>
      </c>
    </row>
    <row r="18" spans="1:25">
      <c r="A18" s="175">
        <v>7118</v>
      </c>
      <c r="B18" s="488" t="str">
        <f>+VLOOKUP($A18,Master!$D$25:$G$223,4,FALSE)</f>
        <v>Other Republic Taxes</v>
      </c>
      <c r="C18" s="489"/>
      <c r="D18" s="489"/>
      <c r="E18" s="489"/>
      <c r="F18" s="489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0</v>
      </c>
      <c r="Q18" s="188">
        <f>+INDEX(DataEx!$1:$1048576,MATCH('2018'!$A18,DataEx!$D:$D,0),MATCH('2018'!Q$6,DataEx!$7:$7,0))</f>
        <v>0</v>
      </c>
      <c r="R18" s="188">
        <f>+INDEX(DataEx!$1:$1048576,MATCH('2018'!$A18,DataEx!$D:$D,0),MATCH('2018'!R$6,DataEx!$7:$7,0))</f>
        <v>0</v>
      </c>
      <c r="S18" s="269">
        <f t="shared" si="3"/>
        <v>6903978.3999999994</v>
      </c>
      <c r="T18" s="270">
        <f t="shared" si="4"/>
        <v>1.5581435825678756E-3</v>
      </c>
    </row>
    <row r="19" spans="1:25">
      <c r="A19" s="175">
        <v>712</v>
      </c>
      <c r="B19" s="498" t="str">
        <f>+VLOOKUP($A19,Master!$D$25:$G$223,4,FALSE)</f>
        <v>Contributions</v>
      </c>
      <c r="C19" s="499"/>
      <c r="D19" s="499"/>
      <c r="E19" s="499"/>
      <c r="F19" s="499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0</v>
      </c>
      <c r="Q19" s="194">
        <f>+INDEX(DataEx!$1:$1048576,MATCH('2018'!$A19,DataEx!$D:$D,0),MATCH('2018'!Q$6,DataEx!$7:$7,0))</f>
        <v>0</v>
      </c>
      <c r="R19" s="194">
        <f>+INDEX(DataEx!$1:$1048576,MATCH('2018'!$A19,DataEx!$D:$D,0),MATCH('2018'!R$6,DataEx!$7:$7,0))</f>
        <v>0</v>
      </c>
      <c r="S19" s="272">
        <f t="shared" si="3"/>
        <v>351331389.50999999</v>
      </c>
      <c r="T19" s="273">
        <f t="shared" si="4"/>
        <v>7.9291202579611364E-2</v>
      </c>
    </row>
    <row r="20" spans="1:25">
      <c r="A20" s="175">
        <v>7121</v>
      </c>
      <c r="B20" s="488" t="str">
        <f>+VLOOKUP($A20,Master!$D$25:$G$223,4,FALSE)</f>
        <v>Contributions for Pension and Disability Insurance</v>
      </c>
      <c r="C20" s="489"/>
      <c r="D20" s="489"/>
      <c r="E20" s="489"/>
      <c r="F20" s="489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0</v>
      </c>
      <c r="Q20" s="188">
        <f>+INDEX(DataEx!$1:$1048576,MATCH('2018'!$A20,DataEx!$D:$D,0),MATCH('2018'!Q$6,DataEx!$7:$7,0))</f>
        <v>0</v>
      </c>
      <c r="R20" s="188">
        <f>+INDEX(DataEx!$1:$1048576,MATCH('2018'!$A20,DataEx!$D:$D,0),MATCH('2018'!R$6,DataEx!$7:$7,0))</f>
        <v>0</v>
      </c>
      <c r="S20" s="269">
        <f t="shared" si="3"/>
        <v>211532835.92000002</v>
      </c>
      <c r="T20" s="270">
        <f t="shared" si="4"/>
        <v>4.7740376880543459E-2</v>
      </c>
    </row>
    <row r="21" spans="1:25">
      <c r="A21" s="175">
        <v>7122</v>
      </c>
      <c r="B21" s="488" t="str">
        <f>+VLOOKUP($A21,Master!$D$25:$G$223,4,FALSE)</f>
        <v>Contributions for Health Insurance</v>
      </c>
      <c r="C21" s="489"/>
      <c r="D21" s="489"/>
      <c r="E21" s="489"/>
      <c r="F21" s="489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0</v>
      </c>
      <c r="Q21" s="188">
        <f>+INDEX(DataEx!$1:$1048576,MATCH('2018'!$A21,DataEx!$D:$D,0),MATCH('2018'!Q$6,DataEx!$7:$7,0))</f>
        <v>0</v>
      </c>
      <c r="R21" s="188">
        <f>+INDEX(DataEx!$1:$1048576,MATCH('2018'!$A21,DataEx!$D:$D,0),MATCH('2018'!R$6,DataEx!$7:$7,0))</f>
        <v>0</v>
      </c>
      <c r="S21" s="269">
        <f t="shared" si="3"/>
        <v>122263069.46000001</v>
      </c>
      <c r="T21" s="270">
        <f t="shared" si="4"/>
        <v>2.75932811528132E-2</v>
      </c>
    </row>
    <row r="22" spans="1:25">
      <c r="A22" s="175">
        <v>7123</v>
      </c>
      <c r="B22" s="488" t="str">
        <f>+VLOOKUP($A22,Master!$D$25:$G$223,4,FALSE)</f>
        <v>Contributions for  Unemployment Insurance</v>
      </c>
      <c r="C22" s="489"/>
      <c r="D22" s="489"/>
      <c r="E22" s="489"/>
      <c r="F22" s="489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0</v>
      </c>
      <c r="Q22" s="188">
        <f>+INDEX(DataEx!$1:$1048576,MATCH('2018'!$A22,DataEx!$D:$D,0),MATCH('2018'!Q$6,DataEx!$7:$7,0))</f>
        <v>0</v>
      </c>
      <c r="R22" s="188">
        <f>+INDEX(DataEx!$1:$1048576,MATCH('2018'!$A22,DataEx!$D:$D,0),MATCH('2018'!R$6,DataEx!$7:$7,0))</f>
        <v>0</v>
      </c>
      <c r="S22" s="269">
        <f t="shared" si="3"/>
        <v>9066838.9000000004</v>
      </c>
      <c r="T22" s="270">
        <f t="shared" si="4"/>
        <v>2.0462747748764359E-3</v>
      </c>
    </row>
    <row r="23" spans="1:25">
      <c r="A23" s="175">
        <v>7124</v>
      </c>
      <c r="B23" s="488" t="str">
        <f>+VLOOKUP($A23,Master!$D$25:$G$223,4,FALSE)</f>
        <v>Other contributions</v>
      </c>
      <c r="C23" s="489"/>
      <c r="D23" s="489"/>
      <c r="E23" s="489"/>
      <c r="F23" s="489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0</v>
      </c>
      <c r="Q23" s="188">
        <f>+INDEX(DataEx!$1:$1048576,MATCH('2018'!$A23,DataEx!$D:$D,0),MATCH('2018'!Q$6,DataEx!$7:$7,0))</f>
        <v>0</v>
      </c>
      <c r="R23" s="188">
        <f>+INDEX(DataEx!$1:$1048576,MATCH('2018'!$A23,DataEx!$D:$D,0),MATCH('2018'!R$6,DataEx!$7:$7,0))</f>
        <v>0</v>
      </c>
      <c r="S23" s="269">
        <f t="shared" si="3"/>
        <v>8468645.2300000004</v>
      </c>
      <c r="T23" s="270">
        <f t="shared" si="4"/>
        <v>1.9112697713782754E-3</v>
      </c>
      <c r="Y23" s="379"/>
    </row>
    <row r="24" spans="1:25">
      <c r="A24" s="175">
        <v>713</v>
      </c>
      <c r="B24" s="490" t="str">
        <f>+VLOOKUP($A24,Master!$D$25:$G$223,4,FALSE)</f>
        <v>Duties</v>
      </c>
      <c r="C24" s="491"/>
      <c r="D24" s="491"/>
      <c r="E24" s="491"/>
      <c r="F24" s="491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0</v>
      </c>
      <c r="Q24" s="200">
        <f>+INDEX(DataEx!$1:$1048576,MATCH('2018'!$A24,DataEx!$D:$D,0),MATCH('2018'!Q$6,DataEx!$7:$7,0))</f>
        <v>0</v>
      </c>
      <c r="R24" s="274">
        <f>+INDEX(DataEx!$1:$1048576,MATCH('2018'!$A24,DataEx!$D:$D,0),MATCH('2018'!R$6,DataEx!$7:$7,0))</f>
        <v>0</v>
      </c>
      <c r="S24" s="272">
        <f t="shared" si="3"/>
        <v>12498629.029999999</v>
      </c>
      <c r="T24" s="273">
        <f t="shared" si="4"/>
        <v>2.8207878828229028E-3</v>
      </c>
      <c r="Y24" s="379"/>
    </row>
    <row r="25" spans="1:25">
      <c r="A25" s="175">
        <v>714</v>
      </c>
      <c r="B25" s="490" t="str">
        <f>+VLOOKUP($A25,Master!$D$25:$G$223,4,FALSE)</f>
        <v>Fees</v>
      </c>
      <c r="C25" s="491"/>
      <c r="D25" s="491"/>
      <c r="E25" s="491"/>
      <c r="F25" s="491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0</v>
      </c>
      <c r="Q25" s="200">
        <f>+INDEX(DataEx!$1:$1048576,MATCH('2018'!$A25,DataEx!$D:$D,0),MATCH('2018'!Q$6,DataEx!$7:$7,0))</f>
        <v>0</v>
      </c>
      <c r="R25" s="274">
        <f>+INDEX(DataEx!$1:$1048576,MATCH('2018'!$A25,DataEx!$D:$D,0),MATCH('2018'!R$6,DataEx!$7:$7,0))</f>
        <v>0</v>
      </c>
      <c r="S25" s="272">
        <f t="shared" si="3"/>
        <v>19352293.23</v>
      </c>
      <c r="T25" s="273">
        <f t="shared" si="4"/>
        <v>4.3675761651131824E-3</v>
      </c>
      <c r="W25" s="366"/>
    </row>
    <row r="26" spans="1:25">
      <c r="A26" s="175">
        <v>715</v>
      </c>
      <c r="B26" s="490" t="str">
        <f>+VLOOKUP($A26,Master!$D$25:$G$223,4,FALSE)</f>
        <v>Other revenues</v>
      </c>
      <c r="C26" s="491"/>
      <c r="D26" s="491"/>
      <c r="E26" s="491"/>
      <c r="F26" s="491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2742352.51</v>
      </c>
      <c r="M26" s="200">
        <f>+INDEX(DataEx!$1:$1048576,MATCH('2018'!$A26,DataEx!$D:$D,0),MATCH('2018'!M$6,DataEx!$7:$7,0))</f>
        <v>3928944.25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37466612.939999998</v>
      </c>
      <c r="P26" s="200">
        <f>+INDEX(DataEx!$1:$1048576,MATCH('2018'!$A26,DataEx!$D:$D,0),MATCH('2018'!P$6,DataEx!$7:$7,0))</f>
        <v>0</v>
      </c>
      <c r="Q26" s="200">
        <f>+INDEX(DataEx!$1:$1048576,MATCH('2018'!$A26,DataEx!$D:$D,0),MATCH('2018'!Q$6,DataEx!$7:$7,0))</f>
        <v>0</v>
      </c>
      <c r="R26" s="274">
        <f>+INDEX(DataEx!$1:$1048576,MATCH('2018'!$A26,DataEx!$D:$D,0),MATCH('2018'!R$6,DataEx!$7:$7,0))</f>
        <v>0</v>
      </c>
      <c r="S26" s="272">
        <f t="shared" si="3"/>
        <v>61305297.460000001</v>
      </c>
      <c r="T26" s="273">
        <f t="shared" si="4"/>
        <v>1.3835856701798733E-2</v>
      </c>
    </row>
    <row r="27" spans="1:25">
      <c r="A27" s="175">
        <v>73</v>
      </c>
      <c r="B27" s="490" t="str">
        <f>+VLOOKUP($A27,Master!$D$25:$G$223,4,FALSE)</f>
        <v>Receipts from Repayment of Loans and Funds Carried over from Previous Year</v>
      </c>
      <c r="C27" s="491"/>
      <c r="D27" s="491"/>
      <c r="E27" s="491"/>
      <c r="F27" s="491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433978.03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0</v>
      </c>
      <c r="Q27" s="200">
        <f>+INDEX(DataEx!$1:$1048576,MATCH('2018'!$A27,DataEx!$D:$D,0),MATCH('2018'!Q$6,DataEx!$7:$7,0))</f>
        <v>0</v>
      </c>
      <c r="R27" s="274">
        <f>+INDEX(DataEx!$1:$1048576,MATCH('2018'!$A27,DataEx!$D:$D,0),MATCH('2018'!R$6,DataEx!$7:$7,0))</f>
        <v>0</v>
      </c>
      <c r="S27" s="272">
        <f t="shared" si="3"/>
        <v>5577751.4500000002</v>
      </c>
      <c r="T27" s="273">
        <f t="shared" si="4"/>
        <v>1.2588303617775171E-3</v>
      </c>
    </row>
    <row r="28" spans="1:25" ht="13.5" thickBot="1">
      <c r="A28" s="175">
        <v>74</v>
      </c>
      <c r="B28" s="492" t="str">
        <f>+VLOOKUP($A28,Master!$D$25:$G$223,4,FALSE)</f>
        <v>Grants and Transfers</v>
      </c>
      <c r="C28" s="493"/>
      <c r="D28" s="493"/>
      <c r="E28" s="493"/>
      <c r="F28" s="493"/>
      <c r="G28" s="200">
        <f>+INDEX(DataEx!$1:$1048576,MATCH('2018'!$A28,DataEx!$D:$D,0),MATCH('2018'!G$6,DataEx!$7:$7,0))</f>
        <v>1518621.66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0</v>
      </c>
      <c r="Q28" s="200">
        <f>+INDEX(DataEx!$1:$1048576,MATCH('2018'!$A28,DataEx!$D:$D,0),MATCH('2018'!Q$6,DataEx!$7:$7,0))</f>
        <v>0</v>
      </c>
      <c r="R28" s="274">
        <f>+INDEX(DataEx!$1:$1048576,MATCH('2018'!$A28,DataEx!$D:$D,0),MATCH('2018'!R$6,DataEx!$7:$7,0))</f>
        <v>0</v>
      </c>
      <c r="S28" s="272">
        <f t="shared" si="3"/>
        <v>16975535.440000001</v>
      </c>
      <c r="T28" s="276">
        <f t="shared" si="4"/>
        <v>3.8311709675235284E-3</v>
      </c>
    </row>
    <row r="29" spans="1:25" ht="13.5" thickBot="1">
      <c r="A29" s="175">
        <v>4</v>
      </c>
      <c r="B29" s="478" t="str">
        <f>+VLOOKUP($A29,Master!$D$25:$G$223,4,FALSE)</f>
        <v>Total Expenditures</v>
      </c>
      <c r="C29" s="479"/>
      <c r="D29" s="479"/>
      <c r="E29" s="479"/>
      <c r="F29" s="479"/>
      <c r="G29" s="176">
        <f>+G31+G42+G48+SUM(G49:G53)</f>
        <v>106127861.81999999</v>
      </c>
      <c r="H29" s="176">
        <f t="shared" ref="H29:R29" si="5">+H31+H42+H48+SUM(H49:H53)</f>
        <v>119016381.51999998</v>
      </c>
      <c r="I29" s="176">
        <f t="shared" si="5"/>
        <v>172442993.90000004</v>
      </c>
      <c r="J29" s="176">
        <f t="shared" si="5"/>
        <v>147732484.72</v>
      </c>
      <c r="K29" s="176">
        <f t="shared" si="5"/>
        <v>141761088.21000004</v>
      </c>
      <c r="L29" s="176">
        <f t="shared" si="5"/>
        <v>162103517.94999999</v>
      </c>
      <c r="M29" s="176">
        <f t="shared" si="5"/>
        <v>155879689.95999998</v>
      </c>
      <c r="N29" s="176">
        <f t="shared" si="5"/>
        <v>127202225.30999999</v>
      </c>
      <c r="O29" s="176">
        <f t="shared" si="5"/>
        <v>166137285.44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1298403528.8300002</v>
      </c>
      <c r="T29" s="278">
        <f t="shared" si="4"/>
        <v>0.2930338145365502</v>
      </c>
    </row>
    <row r="30" spans="1:25" ht="13.5" thickBot="1">
      <c r="A30" s="175">
        <v>41</v>
      </c>
      <c r="B30" s="494" t="str">
        <f>+VLOOKUP($A30,Master!$D$25:$G$223,4,FALSE)</f>
        <v>Current Expenditures</v>
      </c>
      <c r="C30" s="495"/>
      <c r="D30" s="495"/>
      <c r="E30" s="495"/>
      <c r="F30" s="495"/>
      <c r="G30" s="206">
        <f>+G29-G49</f>
        <v>104067287.55</v>
      </c>
      <c r="H30" s="206">
        <f t="shared" ref="H30:R30" si="6">+H29-H49</f>
        <v>116057986.02999999</v>
      </c>
      <c r="I30" s="206">
        <f t="shared" si="6"/>
        <v>161636488.23000005</v>
      </c>
      <c r="J30" s="206">
        <f t="shared" si="6"/>
        <v>118956993.23999999</v>
      </c>
      <c r="K30" s="206">
        <f t="shared" si="6"/>
        <v>129446729.29000004</v>
      </c>
      <c r="L30" s="206">
        <f t="shared" si="6"/>
        <v>142109230.73999998</v>
      </c>
      <c r="M30" s="206">
        <f t="shared" si="6"/>
        <v>133660226.23999998</v>
      </c>
      <c r="N30" s="206">
        <f t="shared" si="6"/>
        <v>120135154.73999998</v>
      </c>
      <c r="O30" s="206">
        <f t="shared" si="6"/>
        <v>127783869.37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42">
        <f t="shared" si="3"/>
        <v>1153853965.4300003</v>
      </c>
      <c r="T30" s="280">
        <f t="shared" si="4"/>
        <v>0.26041074396398028</v>
      </c>
    </row>
    <row r="31" spans="1:25">
      <c r="A31" s="175">
        <v>40</v>
      </c>
      <c r="B31" s="496" t="str">
        <f>+VLOOKUP($A31,Master!$D$25:$G$223,4,FALSE)</f>
        <v>Current Budgetary Expenditures</v>
      </c>
      <c r="C31" s="497"/>
      <c r="D31" s="497"/>
      <c r="E31" s="497"/>
      <c r="F31" s="497"/>
      <c r="G31" s="212">
        <f>+SUM(G32:G41)</f>
        <v>48891808.700000003</v>
      </c>
      <c r="H31" s="212">
        <f t="shared" ref="H31:R31" si="7">+SUM(H32:H41)</f>
        <v>54746975.089999989</v>
      </c>
      <c r="I31" s="212">
        <f t="shared" si="7"/>
        <v>95707779.320000023</v>
      </c>
      <c r="J31" s="212">
        <f t="shared" si="7"/>
        <v>57011774.789999992</v>
      </c>
      <c r="K31" s="212">
        <f t="shared" si="7"/>
        <v>66900183.370000012</v>
      </c>
      <c r="L31" s="212">
        <f t="shared" si="7"/>
        <v>74421249.74000001</v>
      </c>
      <c r="M31" s="212">
        <f t="shared" si="7"/>
        <v>62878455.359999999</v>
      </c>
      <c r="N31" s="212">
        <f t="shared" si="7"/>
        <v>54575073.569999985</v>
      </c>
      <c r="O31" s="212">
        <f t="shared" si="7"/>
        <v>63479597.990000002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43">
        <f t="shared" si="3"/>
        <v>578612897.93000007</v>
      </c>
      <c r="T31" s="268">
        <f t="shared" si="4"/>
        <v>0.13058586245006659</v>
      </c>
    </row>
    <row r="32" spans="1:25">
      <c r="A32" s="175">
        <v>411</v>
      </c>
      <c r="B32" s="488" t="str">
        <f>+VLOOKUP($A32,Master!$D$25:$G$223,4,FALSE)</f>
        <v>Gross Salaries and Contributions</v>
      </c>
      <c r="C32" s="489"/>
      <c r="D32" s="489"/>
      <c r="E32" s="489"/>
      <c r="F32" s="489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38350938.119999997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38983346.57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38163591.060000002</v>
      </c>
      <c r="P32" s="188">
        <f>+INDEX(DataEx!$1:$1048576,MATCH('2018'!$A32,DataEx!$D:$D,0),MATCH('2018'!P$6,DataEx!$7:$7,0))</f>
        <v>0</v>
      </c>
      <c r="Q32" s="188">
        <f>+INDEX(DataEx!$1:$1048576,MATCH('2018'!$A32,DataEx!$D:$D,0),MATCH('2018'!Q$6,DataEx!$7:$7,0))</f>
        <v>0</v>
      </c>
      <c r="R32" s="188">
        <f>+INDEX(DataEx!$1:$1048576,MATCH('2018'!$A32,DataEx!$D:$D,0),MATCH('2018'!R$6,DataEx!$7:$7,0))</f>
        <v>0</v>
      </c>
      <c r="S32" s="269">
        <f t="shared" si="3"/>
        <v>340115894.49000001</v>
      </c>
      <c r="T32" s="270">
        <f t="shared" si="4"/>
        <v>7.6760002367464858E-2</v>
      </c>
    </row>
    <row r="33" spans="1:22">
      <c r="A33" s="175">
        <v>412</v>
      </c>
      <c r="B33" s="488" t="str">
        <f>+VLOOKUP($A33,Master!$D$25:$G$223,4,FALSE)</f>
        <v>Other Personal Income</v>
      </c>
      <c r="C33" s="489"/>
      <c r="D33" s="489"/>
      <c r="E33" s="489"/>
      <c r="F33" s="489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0</v>
      </c>
      <c r="Q33" s="188">
        <f>+INDEX(DataEx!$1:$1048576,MATCH('2018'!$A33,DataEx!$D:$D,0),MATCH('2018'!Q$6,DataEx!$7:$7,0))</f>
        <v>0</v>
      </c>
      <c r="R33" s="188">
        <f>+INDEX(DataEx!$1:$1048576,MATCH('2018'!$A33,DataEx!$D:$D,0),MATCH('2018'!R$6,DataEx!$7:$7,0))</f>
        <v>0</v>
      </c>
      <c r="S33" s="269">
        <f t="shared" si="3"/>
        <v>7751391.4900000002</v>
      </c>
      <c r="T33" s="270">
        <f t="shared" si="4"/>
        <v>1.7493943645760456E-3</v>
      </c>
      <c r="U33" s="367"/>
    </row>
    <row r="34" spans="1:22">
      <c r="A34" s="175">
        <v>413</v>
      </c>
      <c r="B34" s="488" t="str">
        <f>+VLOOKUP($A34,Master!$D$25:$G$223,4,FALSE)</f>
        <v>Expenditures for Supplies</v>
      </c>
      <c r="C34" s="489"/>
      <c r="D34" s="489"/>
      <c r="E34" s="489"/>
      <c r="F34" s="489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0</v>
      </c>
      <c r="Q34" s="188">
        <f>+INDEX(DataEx!$1:$1048576,MATCH('2018'!$A34,DataEx!$D:$D,0),MATCH('2018'!Q$6,DataEx!$7:$7,0))</f>
        <v>0</v>
      </c>
      <c r="R34" s="188">
        <f>+INDEX(DataEx!$1:$1048576,MATCH('2018'!$A34,DataEx!$D:$D,0),MATCH('2018'!R$6,DataEx!$7:$7,0))</f>
        <v>0</v>
      </c>
      <c r="S34" s="269">
        <f t="shared" si="3"/>
        <v>21844773.649999999</v>
      </c>
      <c r="T34" s="270">
        <f t="shared" si="4"/>
        <v>4.9300985465706741E-3</v>
      </c>
      <c r="U34" s="385"/>
      <c r="V34" s="365"/>
    </row>
    <row r="35" spans="1:22">
      <c r="A35" s="175">
        <v>414</v>
      </c>
      <c r="B35" s="488" t="str">
        <f>+VLOOKUP($A35,Master!$D$25:$G$223,4,FALSE)</f>
        <v>Expenditures for Services</v>
      </c>
      <c r="C35" s="489"/>
      <c r="D35" s="489"/>
      <c r="E35" s="489"/>
      <c r="F35" s="489"/>
      <c r="G35" s="188">
        <f>+INDEX(DataEx!$1:$1048576,MATCH('2018'!$A35,DataEx!$D:$D,0),MATCH('2018'!G$6,DataEx!$7:$7,0))</f>
        <v>1697415.73</v>
      </c>
      <c r="H35" s="188">
        <f>+INDEX(DataEx!$1:$1048576,MATCH('2018'!$A35,DataEx!$D:$D,0),MATCH('2018'!H$6,DataEx!$7:$7,0))</f>
        <v>3151750.86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14378909.960000001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0</v>
      </c>
      <c r="Q35" s="188">
        <f>+INDEX(DataEx!$1:$1048576,MATCH('2018'!$A35,DataEx!$D:$D,0),MATCH('2018'!Q$6,DataEx!$7:$7,0))</f>
        <v>0</v>
      </c>
      <c r="R35" s="188">
        <f>+INDEX(DataEx!$1:$1048576,MATCH('2018'!$A35,DataEx!$D:$D,0),MATCH('2018'!R$6,DataEx!$7:$7,0))</f>
        <v>0</v>
      </c>
      <c r="S35" s="269">
        <f t="shared" si="3"/>
        <v>47037194.259999998</v>
      </c>
      <c r="T35" s="270">
        <f t="shared" si="4"/>
        <v>1.0615720115552145E-2</v>
      </c>
    </row>
    <row r="36" spans="1:22">
      <c r="A36" s="175">
        <v>415</v>
      </c>
      <c r="B36" s="488" t="str">
        <f>+VLOOKUP($A36,Master!$D$25:$G$223,4,FALSE)</f>
        <v>Current Maintenance</v>
      </c>
      <c r="C36" s="489"/>
      <c r="D36" s="489"/>
      <c r="E36" s="489"/>
      <c r="F36" s="489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0</v>
      </c>
      <c r="Q36" s="188">
        <f>+INDEX(DataEx!$1:$1048576,MATCH('2018'!$A36,DataEx!$D:$D,0),MATCH('2018'!Q$6,DataEx!$7:$7,0))</f>
        <v>0</v>
      </c>
      <c r="R36" s="188">
        <f>+INDEX(DataEx!$1:$1048576,MATCH('2018'!$A36,DataEx!$D:$D,0),MATCH('2018'!R$6,DataEx!$7:$7,0))</f>
        <v>0</v>
      </c>
      <c r="S36" s="269">
        <f t="shared" si="3"/>
        <v>13163023.27</v>
      </c>
      <c r="T36" s="270">
        <f t="shared" si="4"/>
        <v>2.9707335462321426E-3</v>
      </c>
    </row>
    <row r="37" spans="1:22">
      <c r="A37" s="175">
        <v>416</v>
      </c>
      <c r="B37" s="488" t="str">
        <f>+VLOOKUP($A37,Master!$D$25:$G$223,4,FALSE)</f>
        <v>Interests</v>
      </c>
      <c r="C37" s="489"/>
      <c r="D37" s="489"/>
      <c r="E37" s="489"/>
      <c r="F37" s="489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1628189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0</v>
      </c>
      <c r="Q37" s="188">
        <f>+INDEX(DataEx!$1:$1048576,MATCH('2018'!$A37,DataEx!$D:$D,0),MATCH('2018'!Q$6,DataEx!$7:$7,0))</f>
        <v>0</v>
      </c>
      <c r="R37" s="188">
        <f>+INDEX(DataEx!$1:$1048576,MATCH('2018'!$A37,DataEx!$D:$D,0),MATCH('2018'!R$6,DataEx!$7:$7,0))</f>
        <v>0</v>
      </c>
      <c r="S37" s="269">
        <f>+SUM(G37:R37)</f>
        <v>70666720.730000004</v>
      </c>
      <c r="T37" s="270">
        <f t="shared" si="4"/>
        <v>1.5948615570200185E-2</v>
      </c>
    </row>
    <row r="38" spans="1:22">
      <c r="A38" s="175">
        <v>417</v>
      </c>
      <c r="B38" s="488" t="str">
        <f>+VLOOKUP($A38,Master!$D$25:$G$223,4,FALSE)</f>
        <v>Rent</v>
      </c>
      <c r="C38" s="489"/>
      <c r="D38" s="489"/>
      <c r="E38" s="489"/>
      <c r="F38" s="489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0</v>
      </c>
      <c r="Q38" s="188">
        <f>+INDEX(DataEx!$1:$1048576,MATCH('2018'!$A38,DataEx!$D:$D,0),MATCH('2018'!Q$6,DataEx!$7:$7,0))</f>
        <v>0</v>
      </c>
      <c r="R38" s="188">
        <f>+INDEX(DataEx!$1:$1048576,MATCH('2018'!$A38,DataEx!$D:$D,0),MATCH('2018'!R$6,DataEx!$7:$7,0))</f>
        <v>0</v>
      </c>
      <c r="S38" s="269">
        <f t="shared" si="3"/>
        <v>6571640.7999999998</v>
      </c>
      <c r="T38" s="270">
        <f t="shared" si="4"/>
        <v>1.4831390462434267E-3</v>
      </c>
    </row>
    <row r="39" spans="1:22">
      <c r="A39" s="175">
        <v>418</v>
      </c>
      <c r="B39" s="488" t="str">
        <f>+VLOOKUP($A39,Master!$D$25:$G$223,4,FALSE)</f>
        <v>Subsidies</v>
      </c>
      <c r="C39" s="489"/>
      <c r="D39" s="489"/>
      <c r="E39" s="489"/>
      <c r="F39" s="489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0</v>
      </c>
      <c r="Q39" s="188">
        <f>+INDEX(DataEx!$1:$1048576,MATCH('2018'!$A39,DataEx!$D:$D,0),MATCH('2018'!Q$6,DataEx!$7:$7,0))</f>
        <v>0</v>
      </c>
      <c r="R39" s="188">
        <f>+INDEX(DataEx!$1:$1048576,MATCH('2018'!$A39,DataEx!$D:$D,0),MATCH('2018'!R$6,DataEx!$7:$7,0))</f>
        <v>0</v>
      </c>
      <c r="S39" s="269">
        <f t="shared" si="3"/>
        <v>17985849.389999997</v>
      </c>
      <c r="T39" s="270">
        <f t="shared" si="4"/>
        <v>4.0591864835586439E-3</v>
      </c>
    </row>
    <row r="40" spans="1:22">
      <c r="A40" s="175">
        <v>419</v>
      </c>
      <c r="B40" s="488" t="str">
        <f>+VLOOKUP($A40,Master!$D$25:$G$223,4,FALSE)</f>
        <v>Other expenditures</v>
      </c>
      <c r="C40" s="489"/>
      <c r="D40" s="489"/>
      <c r="E40" s="489"/>
      <c r="F40" s="489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0</v>
      </c>
      <c r="Q40" s="188">
        <f>+INDEX(DataEx!$1:$1048576,MATCH('2018'!$A40,DataEx!$D:$D,0),MATCH('2018'!Q$6,DataEx!$7:$7,0))</f>
        <v>0</v>
      </c>
      <c r="R40" s="188">
        <f>+INDEX(DataEx!$1:$1048576,MATCH('2018'!$A40,DataEx!$D:$D,0),MATCH('2018'!R$6,DataEx!$7:$7,0))</f>
        <v>0</v>
      </c>
      <c r="S40" s="269">
        <f t="shared" si="3"/>
        <v>24874566.18</v>
      </c>
      <c r="T40" s="270">
        <f t="shared" si="4"/>
        <v>5.6138857071926698E-3</v>
      </c>
    </row>
    <row r="41" spans="1:22">
      <c r="A41" s="175">
        <v>440</v>
      </c>
      <c r="B41" s="488" t="str">
        <f>+VLOOKUP($A41,Master!$D$25:$G$223,4,FALSE)</f>
        <v>Current Capital Expenditure</v>
      </c>
      <c r="C41" s="489"/>
      <c r="D41" s="489"/>
      <c r="E41" s="489"/>
      <c r="F41" s="489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3090956.9800000042</v>
      </c>
      <c r="L41" s="188">
        <f>+INDEX(DataEx!$1:$1048576,MATCH('2018'!$A41,DataEx!$D:$D,0),MATCH('2018'!L$6,DataEx!$7:$7,0))</f>
        <v>7288010.0899999999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3339367.45</v>
      </c>
      <c r="P41" s="188">
        <f>+INDEX(DataEx!$1:$1048576,MATCH('2018'!$A41,DataEx!$D:$D,0),MATCH('2018'!P$6,DataEx!$7:$7,0))</f>
        <v>0</v>
      </c>
      <c r="Q41" s="188">
        <f>+INDEX(DataEx!$1:$1048576,MATCH('2018'!$A41,DataEx!$D:$D,0),MATCH('2018'!Q$6,DataEx!$7:$7,0))</f>
        <v>0</v>
      </c>
      <c r="R41" s="188">
        <f>+INDEX(DataEx!$1:$1048576,MATCH('2018'!$A41,DataEx!$D:$D,0),MATCH('2018'!R$6,DataEx!$7:$7,0))</f>
        <v>0</v>
      </c>
      <c r="S41" s="269">
        <f t="shared" si="3"/>
        <v>28601843.670000006</v>
      </c>
      <c r="T41" s="270">
        <f t="shared" si="4"/>
        <v>6.4550867024757959E-3</v>
      </c>
    </row>
    <row r="42" spans="1:22">
      <c r="A42" s="175">
        <v>42</v>
      </c>
      <c r="B42" s="484" t="str">
        <f>+VLOOKUP($A42,Master!$D$25:$G$223,4,FALSE)</f>
        <v>Social Security Transfers</v>
      </c>
      <c r="C42" s="485"/>
      <c r="D42" s="485"/>
      <c r="E42" s="485"/>
      <c r="F42" s="485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47054657.780000001</v>
      </c>
      <c r="O42" s="218">
        <f t="shared" si="8"/>
        <v>45439390.599999994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401669394.24000001</v>
      </c>
      <c r="T42" s="273">
        <f t="shared" si="4"/>
        <v>9.0651875293958337E-2</v>
      </c>
    </row>
    <row r="43" spans="1:22">
      <c r="A43" s="175">
        <v>421</v>
      </c>
      <c r="B43" s="488" t="str">
        <f>+VLOOKUP($A43,Master!$D$25:$G$223,4,FALSE)</f>
        <v>Social Security</v>
      </c>
      <c r="C43" s="489"/>
      <c r="D43" s="489"/>
      <c r="E43" s="489"/>
      <c r="F43" s="489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0</v>
      </c>
      <c r="Q43" s="188">
        <f>+INDEX(DataEx!$1:$1048576,MATCH('2018'!$A43,DataEx!$D:$D,0),MATCH('2018'!Q$6,DataEx!$7:$7,0))</f>
        <v>0</v>
      </c>
      <c r="R43" s="188">
        <f>+INDEX(DataEx!$1:$1048576,MATCH('2018'!$A43,DataEx!$D:$D,0),MATCH('2018'!R$6,DataEx!$7:$7,0))</f>
        <v>0</v>
      </c>
      <c r="S43" s="269">
        <f t="shared" si="3"/>
        <v>57665219.339999996</v>
      </c>
      <c r="T43" s="270">
        <f t="shared" si="4"/>
        <v>1.3014335539055269E-2</v>
      </c>
    </row>
    <row r="44" spans="1:22">
      <c r="A44" s="175">
        <v>422</v>
      </c>
      <c r="B44" s="488" t="str">
        <f>+VLOOKUP($A44,Master!$D$25:$G$223,4,FALSE)</f>
        <v>Funds for redundant labor</v>
      </c>
      <c r="C44" s="489"/>
      <c r="D44" s="489"/>
      <c r="E44" s="489"/>
      <c r="F44" s="489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0</v>
      </c>
      <c r="Q44" s="188">
        <f>+INDEX(DataEx!$1:$1048576,MATCH('2018'!$A44,DataEx!$D:$D,0),MATCH('2018'!Q$6,DataEx!$7:$7,0))</f>
        <v>0</v>
      </c>
      <c r="R44" s="188">
        <f>+INDEX(DataEx!$1:$1048576,MATCH('2018'!$A44,DataEx!$D:$D,0),MATCH('2018'!R$6,DataEx!$7:$7,0))</f>
        <v>0</v>
      </c>
      <c r="S44" s="269">
        <f t="shared" si="3"/>
        <v>8986781.6399999987</v>
      </c>
      <c r="T44" s="270">
        <f t="shared" si="4"/>
        <v>2.0282068293123292E-3</v>
      </c>
    </row>
    <row r="45" spans="1:22">
      <c r="A45" s="175">
        <v>423</v>
      </c>
      <c r="B45" s="488" t="str">
        <f>+VLOOKUP($A45,Master!$D$25:$G$223,4,FALSE)</f>
        <v>Pension and Disability Insurance</v>
      </c>
      <c r="C45" s="489"/>
      <c r="D45" s="489"/>
      <c r="E45" s="489"/>
      <c r="F45" s="489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0</v>
      </c>
      <c r="Q45" s="188">
        <f>+INDEX(DataEx!$1:$1048576,MATCH('2018'!$A45,DataEx!$D:$D,0),MATCH('2018'!Q$6,DataEx!$7:$7,0))</f>
        <v>0</v>
      </c>
      <c r="R45" s="188">
        <f>+INDEX(DataEx!$1:$1048576,MATCH('2018'!$A45,DataEx!$D:$D,0),MATCH('2018'!R$6,DataEx!$7:$7,0))</f>
        <v>0</v>
      </c>
      <c r="S45" s="269">
        <f t="shared" si="3"/>
        <v>311063911.84999996</v>
      </c>
      <c r="T45" s="270">
        <f t="shared" si="4"/>
        <v>7.0203324798573649E-2</v>
      </c>
    </row>
    <row r="46" spans="1:22">
      <c r="A46" s="175">
        <v>424</v>
      </c>
      <c r="B46" s="488" t="str">
        <f>+VLOOKUP($A46,Master!$D$25:$G$223,4,FALSE)</f>
        <v>Other Health Care Transfers</v>
      </c>
      <c r="C46" s="489"/>
      <c r="D46" s="489"/>
      <c r="E46" s="489"/>
      <c r="F46" s="489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0</v>
      </c>
      <c r="Q46" s="188">
        <f>+INDEX(DataEx!$1:$1048576,MATCH('2018'!$A46,DataEx!$D:$D,0),MATCH('2018'!Q$6,DataEx!$7:$7,0))</f>
        <v>0</v>
      </c>
      <c r="R46" s="188">
        <f>+INDEX(DataEx!$1:$1048576,MATCH('2018'!$A46,DataEx!$D:$D,0),MATCH('2018'!R$6,DataEx!$7:$7,0))</f>
        <v>0</v>
      </c>
      <c r="S46" s="269">
        <f t="shared" si="3"/>
        <v>13953541.960000001</v>
      </c>
      <c r="T46" s="270">
        <f t="shared" si="4"/>
        <v>3.1491439572095964E-3</v>
      </c>
    </row>
    <row r="47" spans="1:22">
      <c r="A47" s="175">
        <v>425</v>
      </c>
      <c r="B47" s="557" t="str">
        <f>+VLOOKUP($A47,Master!$D$25:$G$223,4,FALSE)</f>
        <v>Other Health Care Insurance</v>
      </c>
      <c r="C47" s="558"/>
      <c r="D47" s="558"/>
      <c r="E47" s="558"/>
      <c r="F47" s="558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3555204.14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0</v>
      </c>
      <c r="Q47" s="188">
        <f>+INDEX(DataEx!$1:$1048576,MATCH('2018'!$A47,DataEx!$D:$D,0),MATCH('2018'!Q$6,DataEx!$7:$7,0))</f>
        <v>0</v>
      </c>
      <c r="R47" s="188">
        <f>+INDEX(DataEx!$1:$1048576,MATCH('2018'!$A47,DataEx!$D:$D,0),MATCH('2018'!R$6,DataEx!$7:$7,0))</f>
        <v>0</v>
      </c>
      <c r="S47" s="269">
        <f t="shared" si="3"/>
        <v>9999939.4499999993</v>
      </c>
      <c r="T47" s="270">
        <f t="shared" si="4"/>
        <v>2.2568641698074883E-3</v>
      </c>
    </row>
    <row r="48" spans="1:22">
      <c r="A48" s="175">
        <v>43</v>
      </c>
      <c r="B48" s="486" t="str">
        <f>+VLOOKUP($A48,Master!$D$25:$G$223,4,FALSE)</f>
        <v xml:space="preserve">Transfers to Institutions, Individuals, NGO and Public Sector </v>
      </c>
      <c r="C48" s="487"/>
      <c r="D48" s="487"/>
      <c r="E48" s="487"/>
      <c r="F48" s="487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0</v>
      </c>
      <c r="Q48" s="200">
        <f>+INDEX(DataEx!$1:$1048576,MATCH('2018'!$A48,DataEx!$D:$D,0),MATCH('2018'!Q$6,DataEx!$7:$7,0))</f>
        <v>0</v>
      </c>
      <c r="R48" s="274">
        <f>+INDEX(DataEx!$1:$1048576,MATCH('2018'!$A48,DataEx!$D:$D,0),MATCH('2018'!R$6,DataEx!$7:$7,0))</f>
        <v>0</v>
      </c>
      <c r="S48" s="272">
        <f t="shared" si="3"/>
        <v>140862352.03</v>
      </c>
      <c r="T48" s="273">
        <f t="shared" si="4"/>
        <v>3.1790912011103838E-2</v>
      </c>
    </row>
    <row r="49" spans="1:22">
      <c r="A49" s="175">
        <v>44</v>
      </c>
      <c r="B49" s="486" t="str">
        <f>+VLOOKUP($A49,Master!$D$25:$G$223,4,FALSE)</f>
        <v>Capital Expenditure</v>
      </c>
      <c r="C49" s="487"/>
      <c r="D49" s="487"/>
      <c r="E49" s="487"/>
      <c r="F49" s="487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19994287.210000001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38353416.07</v>
      </c>
      <c r="P49" s="200">
        <f>+INDEX(DataEx!$1:$1048576,MATCH('2018'!$A49,DataEx!$D:$D,0),MATCH('2018'!P$6,DataEx!$7:$7,0))</f>
        <v>0</v>
      </c>
      <c r="Q49" s="200">
        <f>+INDEX(DataEx!$1:$1048576,MATCH('2018'!$A49,DataEx!$D:$D,0),MATCH('2018'!Q$6,DataEx!$7:$7,0))</f>
        <v>0</v>
      </c>
      <c r="R49" s="200">
        <f>+INDEX(DataEx!$1:$1048576,MATCH('2018'!$A49,DataEx!$D:$D,0),MATCH('2018'!R$6,DataEx!$7:$7,0))</f>
        <v>0</v>
      </c>
      <c r="S49" s="272">
        <f t="shared" si="3"/>
        <v>144549563.39999998</v>
      </c>
      <c r="T49" s="273">
        <f t="shared" si="4"/>
        <v>3.2623070572569898E-2</v>
      </c>
    </row>
    <row r="50" spans="1:22">
      <c r="A50" s="175">
        <v>451</v>
      </c>
      <c r="B50" s="551" t="str">
        <f>+VLOOKUP($A50,Master!$D$25:$G$223,4,FALSE)</f>
        <v>Credits and Borrowings</v>
      </c>
      <c r="C50" s="552"/>
      <c r="D50" s="552"/>
      <c r="E50" s="552"/>
      <c r="F50" s="552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0</v>
      </c>
      <c r="Q50" s="188">
        <f>+INDEX(DataEx!$1:$1048576,MATCH('2018'!$A50,DataEx!$D:$D,0),MATCH('2018'!Q$6,DataEx!$7:$7,0))</f>
        <v>0</v>
      </c>
      <c r="R50" s="188">
        <f>+INDEX(DataEx!$1:$1048576,MATCH('2018'!$A50,DataEx!$D:$D,0),MATCH('2018'!R$6,DataEx!$7:$7,0))</f>
        <v>0</v>
      </c>
      <c r="S50" s="269">
        <f t="shared" si="3"/>
        <v>1944281</v>
      </c>
      <c r="T50" s="270">
        <f t="shared" si="4"/>
        <v>4.3880046943058971E-4</v>
      </c>
    </row>
    <row r="51" spans="1:22">
      <c r="A51" s="175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1800352.01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0</v>
      </c>
      <c r="Q51" s="188">
        <f>+INDEX(DataEx!$1:$1048576,MATCH('2018'!$A51,DataEx!$D:$D,0),MATCH('2018'!Q$6,DataEx!$7:$7,0))</f>
        <v>0</v>
      </c>
      <c r="R51" s="188">
        <f>+INDEX(DataEx!$1:$1048576,MATCH('2018'!$A51,DataEx!$D:$D,0),MATCH('2018'!R$6,DataEx!$7:$7,0))</f>
        <v>0</v>
      </c>
      <c r="S51" s="269">
        <f t="shared" si="3"/>
        <v>12677161.970000001</v>
      </c>
      <c r="T51" s="270">
        <f t="shared" si="4"/>
        <v>2.8610805863368617E-3</v>
      </c>
    </row>
    <row r="52" spans="1:22" ht="13.5" thickBot="1">
      <c r="A52" s="175">
        <v>462</v>
      </c>
      <c r="B52" s="474" t="str">
        <f>+VLOOKUP($A52,Master!$D$25:$G$223,4,FALSE)</f>
        <v>Repayment of Guarantees</v>
      </c>
      <c r="C52" s="475"/>
      <c r="D52" s="475"/>
      <c r="E52" s="475"/>
      <c r="F52" s="475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53" t="str">
        <f>+VLOOKUP($A53,Master!$D$25:$G$223,4,TRUE)</f>
        <v>Repayments of Arrears</v>
      </c>
      <c r="C53" s="554"/>
      <c r="D53" s="554"/>
      <c r="E53" s="554"/>
      <c r="F53" s="554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2489375.23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0</v>
      </c>
      <c r="Q53" s="224">
        <f>+INDEX(DataEx!$1:$1048576,MATCH('2018'!$A53,DataEx!$D:$D,0),MATCH('2018'!Q$6,DataEx!$7:$7,0))</f>
        <v>0</v>
      </c>
      <c r="R53" s="224">
        <f>+INDEX(DataEx!$1:$1048576,MATCH('2018'!$A53,DataEx!$D:$D,0),MATCH('2018'!R$6,DataEx!$7:$7,0))</f>
        <v>0</v>
      </c>
      <c r="S53" s="444">
        <f>+SUM(G53:R53)</f>
        <v>18087878.260000002</v>
      </c>
      <c r="T53" s="284">
        <f>+S53/$T$7</f>
        <v>4.0822131530840241E-3</v>
      </c>
    </row>
    <row r="54" spans="1:22" ht="13.5" thickBot="1">
      <c r="A54" s="71">
        <v>1005</v>
      </c>
      <c r="B54" s="555" t="str">
        <f>+VLOOKUP($A54,Master!$D$25:$G$225,4,FALSE)</f>
        <v>Net increase of liabilities</v>
      </c>
      <c r="C54" s="556"/>
      <c r="D54" s="556"/>
      <c r="E54" s="556"/>
      <c r="F54" s="556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80" t="str">
        <f>+VLOOKUP($A55,Master!$D$25:$G$223,4,FALSE)</f>
        <v>Surplus / deficit</v>
      </c>
      <c r="C55" s="481"/>
      <c r="D55" s="481"/>
      <c r="E55" s="481"/>
      <c r="F55" s="481"/>
      <c r="G55" s="176">
        <f t="shared" ref="G55:R55" si="9">+G10-G29</f>
        <v>-24583016.989999995</v>
      </c>
      <c r="H55" s="176">
        <f t="shared" si="9"/>
        <v>-11936273.369999975</v>
      </c>
      <c r="I55" s="176">
        <f t="shared" si="9"/>
        <v>-33584638.360000044</v>
      </c>
      <c r="J55" s="176">
        <f t="shared" si="9"/>
        <v>9095482.0100000203</v>
      </c>
      <c r="K55" s="176">
        <f t="shared" si="9"/>
        <v>-2919925.2200000584</v>
      </c>
      <c r="L55" s="176">
        <f t="shared" si="9"/>
        <v>-21395028.599999964</v>
      </c>
      <c r="M55" s="176">
        <f t="shared" si="9"/>
        <v>4740077.9600000083</v>
      </c>
      <c r="N55" s="176">
        <f t="shared" si="9"/>
        <v>34061554.860000029</v>
      </c>
      <c r="O55" s="176">
        <f t="shared" si="9"/>
        <v>21177519.75999999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-25344247.949999988</v>
      </c>
      <c r="T55" s="286">
        <f t="shared" si="4"/>
        <v>-5.7198871448238481E-3</v>
      </c>
    </row>
    <row r="56" spans="1:22" ht="13.5" thickBot="1">
      <c r="A56" s="169">
        <v>1001</v>
      </c>
      <c r="B56" s="482" t="str">
        <f>+VLOOKUP($A56,Master!$D$25:$G$223,4,FALSE)</f>
        <v>Primary balance</v>
      </c>
      <c r="C56" s="483"/>
      <c r="D56" s="483"/>
      <c r="E56" s="483"/>
      <c r="F56" s="483"/>
      <c r="G56" s="230">
        <f>+G55+G37</f>
        <v>-20258939.439999994</v>
      </c>
      <c r="H56" s="230">
        <f t="shared" ref="H56:R56" si="10">+H55+H37</f>
        <v>-10885472.139999975</v>
      </c>
      <c r="I56" s="230">
        <f t="shared" si="10"/>
        <v>5930038.3499999568</v>
      </c>
      <c r="J56" s="230">
        <f t="shared" si="10"/>
        <v>10723671.01000002</v>
      </c>
      <c r="K56" s="230">
        <f t="shared" si="10"/>
        <v>7144883.8399999421</v>
      </c>
      <c r="L56" s="230">
        <f t="shared" si="10"/>
        <v>-19556307.969999965</v>
      </c>
      <c r="M56" s="230">
        <f t="shared" si="10"/>
        <v>12234013.970000008</v>
      </c>
      <c r="N56" s="230">
        <f t="shared" si="10"/>
        <v>35195709.800000027</v>
      </c>
      <c r="O56" s="230">
        <f t="shared" si="10"/>
        <v>24794875.359999992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45322472.780000009</v>
      </c>
      <c r="T56" s="286">
        <f t="shared" si="4"/>
        <v>1.0228728425376336E-2</v>
      </c>
    </row>
    <row r="57" spans="1:22">
      <c r="A57" s="169">
        <v>46</v>
      </c>
      <c r="B57" s="549" t="str">
        <f>+VLOOKUP($A57,Master!$D$25:$G$223,4,FALSE)</f>
        <v>Repayment of Debt</v>
      </c>
      <c r="C57" s="550"/>
      <c r="D57" s="550"/>
      <c r="E57" s="550"/>
      <c r="F57" s="550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19981471.990000002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307396456.84999996</v>
      </c>
      <c r="T57" s="288">
        <f t="shared" si="4"/>
        <v>6.9375625008463282E-2</v>
      </c>
      <c r="V57" s="383"/>
    </row>
    <row r="58" spans="1:22">
      <c r="A58" s="169">
        <v>4611</v>
      </c>
      <c r="B58" s="472" t="str">
        <f>+VLOOKUP($A58,Master!$D$25:$G$223,4,FALSE)</f>
        <v>Repayment of Domestic Debt</v>
      </c>
      <c r="C58" s="473"/>
      <c r="D58" s="473"/>
      <c r="E58" s="473"/>
      <c r="F58" s="473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0</v>
      </c>
      <c r="Q58" s="236">
        <f>+INDEX(DataEx!$1:$1048576,MATCH('2018'!$A58,DataEx!$D:$D,0),MATCH('2018'!Q$6,DataEx!$7:$7,0))</f>
        <v>0</v>
      </c>
      <c r="R58" s="236">
        <f>+INDEX(DataEx!$1:$1048576,MATCH('2018'!$A58,DataEx!$D:$D,0),MATCH('2018'!R$6,DataEx!$7:$7,0))</f>
        <v>0</v>
      </c>
      <c r="S58" s="289">
        <f t="shared" si="3"/>
        <v>229527212.72</v>
      </c>
      <c r="T58" s="290">
        <f t="shared" si="4"/>
        <v>5.1801487896364171E-2</v>
      </c>
    </row>
    <row r="59" spans="1:22" ht="13.5" thickBot="1">
      <c r="A59" s="169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17749813.48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0</v>
      </c>
      <c r="Q59" s="236">
        <f>+INDEX(DataEx!$1:$1048576,MATCH('2018'!$A59,DataEx!$D:$D,0),MATCH('2018'!Q$6,DataEx!$7:$7,0))</f>
        <v>0</v>
      </c>
      <c r="R59" s="236">
        <f>+INDEX(DataEx!$1:$1048576,MATCH('2018'!$A59,DataEx!$D:$D,0),MATCH('2018'!R$6,DataEx!$7:$7,0))</f>
        <v>0</v>
      </c>
      <c r="S59" s="289">
        <f t="shared" si="3"/>
        <v>77869244.129999995</v>
      </c>
      <c r="T59" s="290">
        <f t="shared" si="4"/>
        <v>1.7574137112099122E-2</v>
      </c>
      <c r="V59" s="402"/>
    </row>
    <row r="60" spans="1:22" ht="13.5" thickBot="1">
      <c r="A60" s="169">
        <v>4418</v>
      </c>
      <c r="B60" s="492" t="s">
        <v>777</v>
      </c>
      <c r="C60" s="493"/>
      <c r="D60" s="493"/>
      <c r="E60" s="493"/>
      <c r="F60" s="493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0</v>
      </c>
      <c r="S60" s="287">
        <f>SUM(G60:R60)</f>
        <v>68939595.359999999</v>
      </c>
      <c r="T60" s="288">
        <f>+S60/$T$7</f>
        <v>1.5558824473583244E-2</v>
      </c>
      <c r="V60" s="402"/>
    </row>
    <row r="61" spans="1:22" ht="13.5" thickBot="1">
      <c r="A61" s="169">
        <v>1002</v>
      </c>
      <c r="B61" s="476" t="str">
        <f>+VLOOKUP($A61,Master!$D$25:$G$223,4,FALSE)</f>
        <v>Financing needs</v>
      </c>
      <c r="C61" s="477"/>
      <c r="D61" s="477"/>
      <c r="E61" s="477"/>
      <c r="F61" s="477"/>
      <c r="G61" s="242">
        <f>+G55-G57-G60</f>
        <v>-50783181.969999999</v>
      </c>
      <c r="H61" s="242">
        <f t="shared" ref="H61:R61" si="12">+H55-H57-H60</f>
        <v>-66425245.129999973</v>
      </c>
      <c r="I61" s="242">
        <f t="shared" si="12"/>
        <v>-52650662.850000046</v>
      </c>
      <c r="J61" s="242">
        <f t="shared" si="12"/>
        <v>-10885989.979999982</v>
      </c>
      <c r="K61" s="242">
        <f t="shared" si="12"/>
        <v>-86620216.340000063</v>
      </c>
      <c r="L61" s="242">
        <f t="shared" si="12"/>
        <v>-34324579.409999967</v>
      </c>
      <c r="M61" s="242">
        <f t="shared" si="12"/>
        <v>-39225688.059999995</v>
      </c>
      <c r="N61" s="242">
        <f t="shared" si="12"/>
        <v>-64518550.279999971</v>
      </c>
      <c r="O61" s="242">
        <f t="shared" si="12"/>
        <v>3753813.859999992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-401680300.16000003</v>
      </c>
      <c r="T61" s="292">
        <f t="shared" si="4"/>
        <v>-9.0654336626870391E-2</v>
      </c>
    </row>
    <row r="62" spans="1:22" ht="13.5" thickBot="1">
      <c r="A62" s="169">
        <v>1003</v>
      </c>
      <c r="B62" s="478" t="str">
        <f>+VLOOKUP($A62,Master!$D$25:$G$223,4,FALSE)</f>
        <v>Financing</v>
      </c>
      <c r="C62" s="479"/>
      <c r="D62" s="479"/>
      <c r="E62" s="479"/>
      <c r="F62" s="479"/>
      <c r="G62" s="176">
        <f>+SUM(G63:G66)</f>
        <v>50783181.969999999</v>
      </c>
      <c r="H62" s="176">
        <f t="shared" ref="H62:R62" si="13">+SUM(H63:H66)</f>
        <v>66425245.129999973</v>
      </c>
      <c r="I62" s="176">
        <f t="shared" si="13"/>
        <v>52650662.850000046</v>
      </c>
      <c r="J62" s="176">
        <f t="shared" si="13"/>
        <v>10885989.979999974</v>
      </c>
      <c r="K62" s="176">
        <f t="shared" si="13"/>
        <v>86620216.340000063</v>
      </c>
      <c r="L62" s="176">
        <f t="shared" si="13"/>
        <v>34324579.409999967</v>
      </c>
      <c r="M62" s="176">
        <f t="shared" si="13"/>
        <v>39225688.059999995</v>
      </c>
      <c r="N62" s="176">
        <f t="shared" si="13"/>
        <v>64518550.279999971</v>
      </c>
      <c r="O62" s="176">
        <f t="shared" si="13"/>
        <v>-3753813.8599999938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401680300.16000003</v>
      </c>
      <c r="T62" s="294">
        <f t="shared" si="4"/>
        <v>9.0654336626870391E-2</v>
      </c>
    </row>
    <row r="63" spans="1:22">
      <c r="A63" s="169">
        <v>7511</v>
      </c>
      <c r="B63" s="472" t="str">
        <f>+VLOOKUP($A63,Master!$D$25:$G$223,4,FALSE)</f>
        <v>Domestic Loans and Borrowings</v>
      </c>
      <c r="C63" s="473"/>
      <c r="D63" s="473"/>
      <c r="E63" s="473"/>
      <c r="F63" s="473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75357443.420000002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197600000</v>
      </c>
      <c r="T63" s="290">
        <f t="shared" si="4"/>
        <v>4.459590602360694E-2</v>
      </c>
    </row>
    <row r="64" spans="1:22">
      <c r="A64" s="169">
        <v>7512</v>
      </c>
      <c r="B64" s="456" t="str">
        <f>+VLOOKUP($A64,Master!$D$25:$G$223,4,FALSE)</f>
        <v>Foreign Loans and Borrowings</v>
      </c>
      <c r="C64" s="457"/>
      <c r="D64" s="457"/>
      <c r="E64" s="457"/>
      <c r="F64" s="457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5238085.6500000004</v>
      </c>
      <c r="J64" s="236">
        <f>+INDEX(DataEx!$1:$1048576,MATCH('2018'!$A64,DataEx!$D:$D,0),MATCH('2018'!J$6,DataEx!$7:$7,0))</f>
        <v>125398354.06999999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16543114.029999999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449934704.91999996</v>
      </c>
      <c r="T64" s="290">
        <f t="shared" si="4"/>
        <v>0.10154476628224514</v>
      </c>
    </row>
    <row r="65" spans="1:20">
      <c r="A65" s="169">
        <v>72</v>
      </c>
      <c r="B65" s="456" t="str">
        <f>+VLOOKUP($A65,Master!$D$25:$G$223,4,FALSE)</f>
        <v>Revenues from Selling Assets</v>
      </c>
      <c r="C65" s="457"/>
      <c r="D65" s="457"/>
      <c r="E65" s="457"/>
      <c r="F65" s="457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0</v>
      </c>
      <c r="Q65" s="236">
        <f>+INDEX(DataEx!$1:$1048576,MATCH('2018'!$A65,DataEx!$D:$D,0),MATCH('2018'!Q$6,DataEx!$7:$7,0))</f>
        <v>0</v>
      </c>
      <c r="R65" s="236">
        <f>+INDEX(DataEx!$1:$1048576,MATCH('2018'!$A65,DataEx!$D:$D,0),MATCH('2018'!R$6,DataEx!$7:$7,0))</f>
        <v>0</v>
      </c>
      <c r="S65" s="289">
        <f t="shared" si="3"/>
        <v>14277177.5</v>
      </c>
      <c r="T65" s="290">
        <f t="shared" si="4"/>
        <v>3.2221845449005846E-3</v>
      </c>
    </row>
    <row r="66" spans="1:20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25890245.369999997</v>
      </c>
      <c r="H66" s="250">
        <f t="shared" ref="H66:R66" si="14">-H61-SUM(H63:H65)</f>
        <v>-9396323.6700000241</v>
      </c>
      <c r="I66" s="250">
        <f t="shared" si="14"/>
        <v>24362705.940000042</v>
      </c>
      <c r="J66" s="250">
        <f t="shared" si="14"/>
        <v>-114620637.20000002</v>
      </c>
      <c r="K66" s="250">
        <f t="shared" si="14"/>
        <v>78731298.080000058</v>
      </c>
      <c r="L66" s="250">
        <f t="shared" si="14"/>
        <v>-242177174.57000005</v>
      </c>
      <c r="M66" s="250">
        <f t="shared" si="14"/>
        <v>5455779.0599999949</v>
      </c>
      <c r="N66" s="250">
        <f t="shared" si="14"/>
        <v>-7856838.0900000334</v>
      </c>
      <c r="O66" s="250">
        <f t="shared" si="14"/>
        <v>-20520637.179999992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-260131582.26000005</v>
      </c>
      <c r="T66" s="296">
        <f t="shared" si="4"/>
        <v>-5.8708520223882295E-2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40" t="str">
        <f>+Master!G250</f>
        <v>Planned Budget Execution</v>
      </c>
      <c r="C102" s="541"/>
      <c r="D102" s="541"/>
      <c r="E102" s="541"/>
      <c r="F102" s="541"/>
      <c r="G102" s="534">
        <v>2018</v>
      </c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35"/>
      <c r="S102" s="115" t="str">
        <f>+S7</f>
        <v>GDP</v>
      </c>
      <c r="T102" s="116">
        <f>+T7</f>
        <v>4430900000</v>
      </c>
    </row>
    <row r="103" spans="1:21" ht="15.75" customHeight="1">
      <c r="B103" s="542"/>
      <c r="C103" s="543"/>
      <c r="D103" s="543"/>
      <c r="E103" s="543"/>
      <c r="F103" s="544"/>
      <c r="G103" s="73" t="str">
        <f t="shared" ref="G103:R103" si="16">+G8</f>
        <v>January</v>
      </c>
      <c r="H103" s="73" t="str">
        <f t="shared" si="16"/>
        <v>February</v>
      </c>
      <c r="I103" s="73" t="str">
        <f t="shared" si="16"/>
        <v>March</v>
      </c>
      <c r="J103" s="73" t="str">
        <f t="shared" si="16"/>
        <v>April</v>
      </c>
      <c r="K103" s="73" t="str">
        <f t="shared" si="16"/>
        <v>May</v>
      </c>
      <c r="L103" s="73" t="str">
        <f t="shared" si="16"/>
        <v>June</v>
      </c>
      <c r="M103" s="73" t="str">
        <f t="shared" si="16"/>
        <v>July</v>
      </c>
      <c r="N103" s="73" t="str">
        <f t="shared" si="16"/>
        <v>August</v>
      </c>
      <c r="O103" s="73" t="str">
        <f t="shared" si="16"/>
        <v>September</v>
      </c>
      <c r="P103" s="73" t="str">
        <f t="shared" si="16"/>
        <v>October</v>
      </c>
      <c r="Q103" s="73" t="str">
        <f t="shared" si="16"/>
        <v>November</v>
      </c>
      <c r="R103" s="73" t="str">
        <f t="shared" si="16"/>
        <v>December</v>
      </c>
      <c r="S103" s="534" t="str">
        <f>+Master!G244</f>
        <v>Jan - Dec</v>
      </c>
      <c r="T103" s="535">
        <f>+T8</f>
        <v>0</v>
      </c>
    </row>
    <row r="104" spans="1:21" ht="13.5" thickBot="1">
      <c r="B104" s="545"/>
      <c r="C104" s="546"/>
      <c r="D104" s="546"/>
      <c r="E104" s="546"/>
      <c r="F104" s="547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7">+CONCATENATE(A10,"p")</f>
        <v>7p</v>
      </c>
      <c r="B105" s="536" t="str">
        <f>+VLOOKUP(LEFT($A105,LEN(A105)-1)*1,Master!$D$25:$G$223,4,FALSE)</f>
        <v>Total Revenues</v>
      </c>
      <c r="C105" s="537"/>
      <c r="D105" s="537"/>
      <c r="E105" s="537"/>
      <c r="F105" s="537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0.39653416261576935</v>
      </c>
    </row>
    <row r="106" spans="1:21">
      <c r="A106" s="137" t="str">
        <f t="shared" si="17"/>
        <v>711p</v>
      </c>
      <c r="B106" s="538" t="str">
        <f>+VLOOKUP(LEFT($A106,LEN(A106)-1)*1,Master!$D$25:$G$223,4,FALSE)</f>
        <v>Taxes</v>
      </c>
      <c r="C106" s="539"/>
      <c r="D106" s="539"/>
      <c r="E106" s="539"/>
      <c r="F106" s="539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0.2433810714295489</v>
      </c>
      <c r="U106" s="302"/>
    </row>
    <row r="107" spans="1:21">
      <c r="A107" s="137" t="str">
        <f t="shared" si="17"/>
        <v>7111p</v>
      </c>
      <c r="B107" s="520" t="str">
        <f>+VLOOKUP(LEFT($A107,LEN(A107)-1)*1,Master!$D$25:$G$223,4,FALSE)</f>
        <v>Personal Income Tax</v>
      </c>
      <c r="C107" s="521"/>
      <c r="D107" s="521"/>
      <c r="E107" s="521"/>
      <c r="F107" s="521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2.7389393163553131E-2</v>
      </c>
    </row>
    <row r="108" spans="1:21">
      <c r="A108" s="137" t="str">
        <f t="shared" si="17"/>
        <v>7112p</v>
      </c>
      <c r="B108" s="520" t="str">
        <f>+VLOOKUP(LEFT($A108,LEN(A108)-1)*1,Master!$D$25:$G$223,4,FALSE)</f>
        <v>Corporate Income Tax</v>
      </c>
      <c r="C108" s="521"/>
      <c r="D108" s="521"/>
      <c r="E108" s="521"/>
      <c r="F108" s="521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1.3920053571600954E-2</v>
      </c>
    </row>
    <row r="109" spans="1:21">
      <c r="A109" s="137" t="str">
        <f t="shared" si="17"/>
        <v>7113p</v>
      </c>
      <c r="B109" s="520" t="str">
        <f>+VLOOKUP(LEFT($A109,LEN(A109)-1)*1,Master!$D$25:$G$223,4,FALSE)</f>
        <v xml:space="preserve">Taxes on Sales of Property </v>
      </c>
      <c r="C109" s="521"/>
      <c r="D109" s="521"/>
      <c r="E109" s="521"/>
      <c r="F109" s="521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4.1862784773715486E-4</v>
      </c>
    </row>
    <row r="110" spans="1:21">
      <c r="A110" s="137" t="str">
        <f t="shared" si="17"/>
        <v>7114p</v>
      </c>
      <c r="B110" s="520" t="str">
        <f>+VLOOKUP(LEFT($A110,LEN(A110)-1)*1,Master!$D$25:$G$223,4,FALSE)</f>
        <v>Value Added Tax</v>
      </c>
      <c r="C110" s="521"/>
      <c r="D110" s="521"/>
      <c r="E110" s="521"/>
      <c r="F110" s="521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0.14091759733264006</v>
      </c>
    </row>
    <row r="111" spans="1:21">
      <c r="A111" s="137" t="str">
        <f t="shared" si="17"/>
        <v>7115p</v>
      </c>
      <c r="B111" s="520" t="str">
        <f>+VLOOKUP(LEFT($A111,LEN(A111)-1)*1,Master!$D$25:$G$223,4,FALSE)</f>
        <v>Excises</v>
      </c>
      <c r="C111" s="521"/>
      <c r="D111" s="521"/>
      <c r="E111" s="521"/>
      <c r="F111" s="521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5.2517057695824099E-2</v>
      </c>
    </row>
    <row r="112" spans="1:21">
      <c r="A112" s="137" t="str">
        <f t="shared" si="17"/>
        <v>7116p</v>
      </c>
      <c r="B112" s="520" t="str">
        <f>+VLOOKUP(LEFT($A112,LEN(A112)-1)*1,Master!$D$25:$G$223,4,FALSE)</f>
        <v>Tax on International Trade and Transactions</v>
      </c>
      <c r="C112" s="521"/>
      <c r="D112" s="521"/>
      <c r="E112" s="521"/>
      <c r="F112" s="521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6.061974966202829E-3</v>
      </c>
    </row>
    <row r="113" spans="1:20">
      <c r="A113" s="137" t="str">
        <f t="shared" si="17"/>
        <v>7118p</v>
      </c>
      <c r="B113" s="520" t="str">
        <f>+VLOOKUP(LEFT($A113,LEN(A113)-1)*1,Master!$D$25:$G$223,4,FALSE)</f>
        <v>Other Republic Taxes</v>
      </c>
      <c r="C113" s="521"/>
      <c r="D113" s="521"/>
      <c r="E113" s="521"/>
      <c r="F113" s="521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2.1563668519906966E-3</v>
      </c>
    </row>
    <row r="114" spans="1:20">
      <c r="A114" s="137" t="str">
        <f t="shared" si="17"/>
        <v>712p</v>
      </c>
      <c r="B114" s="532" t="str">
        <f>+VLOOKUP(LEFT($A114,LEN(A114)-1)*1,Master!$D$25:$G$223,4,FALSE)</f>
        <v>Contributions</v>
      </c>
      <c r="C114" s="533"/>
      <c r="D114" s="533"/>
      <c r="E114" s="533"/>
      <c r="F114" s="533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0.11786630908402237</v>
      </c>
    </row>
    <row r="115" spans="1:20">
      <c r="A115" s="137" t="str">
        <f t="shared" si="17"/>
        <v>7121p</v>
      </c>
      <c r="B115" s="520" t="str">
        <f>+VLOOKUP(LEFT($A115,LEN(A115)-1)*1,Master!$D$25:$G$223,4,FALSE)</f>
        <v>Contributions for Pension and Disability Insurance</v>
      </c>
      <c r="C115" s="521"/>
      <c r="D115" s="521"/>
      <c r="E115" s="521"/>
      <c r="F115" s="521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7.0977931111636625E-2</v>
      </c>
    </row>
    <row r="116" spans="1:20">
      <c r="A116" s="137" t="str">
        <f t="shared" si="17"/>
        <v>7122p</v>
      </c>
      <c r="B116" s="520" t="str">
        <f>+VLOOKUP(LEFT($A116,LEN(A116)-1)*1,Master!$D$25:$G$223,4,FALSE)</f>
        <v>Contributions for Health Insurance</v>
      </c>
      <c r="C116" s="521"/>
      <c r="D116" s="521"/>
      <c r="E116" s="521"/>
      <c r="F116" s="521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4.0826034089370598E-2</v>
      </c>
    </row>
    <row r="117" spans="1:20">
      <c r="A117" s="137" t="str">
        <f t="shared" si="17"/>
        <v>7123p</v>
      </c>
      <c r="B117" s="520" t="str">
        <f>+VLOOKUP(LEFT($A117,LEN(A117)-1)*1,Master!$D$25:$G$223,4,FALSE)</f>
        <v>Contributions for  Unemployment Insurance</v>
      </c>
      <c r="C117" s="521"/>
      <c r="D117" s="521"/>
      <c r="E117" s="521"/>
      <c r="F117" s="521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3.1932906685639114E-3</v>
      </c>
    </row>
    <row r="118" spans="1:20">
      <c r="A118" s="137" t="str">
        <f t="shared" si="17"/>
        <v>7124p</v>
      </c>
      <c r="B118" s="520" t="str">
        <f>+VLOOKUP(LEFT($A118,LEN(A118)-1)*1,Master!$D$25:$G$223,4,FALSE)</f>
        <v>Other contributions</v>
      </c>
      <c r="C118" s="521"/>
      <c r="D118" s="521"/>
      <c r="E118" s="521"/>
      <c r="F118" s="521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2.8690532144512431E-3</v>
      </c>
    </row>
    <row r="119" spans="1:20">
      <c r="A119" s="137" t="str">
        <f t="shared" si="17"/>
        <v>713p</v>
      </c>
      <c r="B119" s="524" t="str">
        <f>+VLOOKUP(LEFT($A119,LEN(A119)-1)*1,Master!$D$25:$G$223,4,FALSE)</f>
        <v>Duties</v>
      </c>
      <c r="C119" s="525"/>
      <c r="D119" s="525"/>
      <c r="E119" s="525"/>
      <c r="F119" s="525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3.9947794778089924E-3</v>
      </c>
    </row>
    <row r="120" spans="1:20">
      <c r="A120" s="137" t="str">
        <f t="shared" si="17"/>
        <v>714p</v>
      </c>
      <c r="B120" s="524" t="str">
        <f>+VLOOKUP(LEFT($A120,LEN(A120)-1)*1,Master!$D$25:$G$223,4,FALSE)</f>
        <v>Fees</v>
      </c>
      <c r="C120" s="525"/>
      <c r="D120" s="525"/>
      <c r="E120" s="525"/>
      <c r="F120" s="525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6.348174433441353E-3</v>
      </c>
    </row>
    <row r="121" spans="1:20">
      <c r="A121" s="137" t="str">
        <f t="shared" si="17"/>
        <v>715p</v>
      </c>
      <c r="B121" s="524" t="str">
        <f>+VLOOKUP(LEFT($A121,LEN(A121)-1)*1,Master!$D$25:$G$223,4,FALSE)</f>
        <v>Other revenues</v>
      </c>
      <c r="C121" s="525"/>
      <c r="D121" s="525"/>
      <c r="E121" s="525"/>
      <c r="F121" s="525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1.6189240260394196E-2</v>
      </c>
    </row>
    <row r="122" spans="1:20">
      <c r="A122" s="137" t="str">
        <f t="shared" si="17"/>
        <v>73p</v>
      </c>
      <c r="B122" s="524" t="str">
        <f>+VLOOKUP(LEFT($A122,LEN(A122)-1)*1,Master!$D$25:$G$223,4,FALSE)</f>
        <v>Receipts from Repayment of Loans and Funds Carried over from Previous Year</v>
      </c>
      <c r="C122" s="525"/>
      <c r="D122" s="525"/>
      <c r="E122" s="525"/>
      <c r="F122" s="525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1.6390156041972306E-3</v>
      </c>
    </row>
    <row r="123" spans="1:20" ht="13.5" thickBot="1">
      <c r="A123" s="137" t="str">
        <f t="shared" si="17"/>
        <v>74p</v>
      </c>
      <c r="B123" s="526" t="str">
        <f>+VLOOKUP(LEFT($A123,LEN(A123)-1)*1,Master!$D$25:$G$223,4,FALSE)</f>
        <v>Grants and Transfers</v>
      </c>
      <c r="C123" s="527"/>
      <c r="D123" s="527"/>
      <c r="E123" s="527"/>
      <c r="F123" s="527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7.1155723263562932E-3</v>
      </c>
    </row>
    <row r="124" spans="1:20" ht="13.5" thickBot="1">
      <c r="A124" s="137" t="str">
        <f t="shared" si="17"/>
        <v>4p</v>
      </c>
      <c r="B124" s="510" t="str">
        <f>+VLOOKUP(LEFT($A124,LEN(A124)-1)*1,Master!$D$25:$G$223,4,FALSE)</f>
        <v>Total Expenditures</v>
      </c>
      <c r="C124" s="511"/>
      <c r="D124" s="511"/>
      <c r="E124" s="511"/>
      <c r="F124" s="511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0.42877137256464071</v>
      </c>
    </row>
    <row r="125" spans="1:20" ht="13.5" thickBot="1">
      <c r="A125" s="137" t="str">
        <f t="shared" si="17"/>
        <v>41p</v>
      </c>
      <c r="B125" s="528" t="str">
        <f>+VLOOKUP(LEFT($A125,LEN(A125)-1)*1,Master!$D$25:$G$223,4,FALSE)</f>
        <v>Current Expenditures</v>
      </c>
      <c r="C125" s="529"/>
      <c r="D125" s="529"/>
      <c r="E125" s="529"/>
      <c r="F125" s="529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0.36353067654426863</v>
      </c>
    </row>
    <row r="126" spans="1:20">
      <c r="A126" s="137" t="str">
        <f t="shared" si="17"/>
        <v>40p</v>
      </c>
      <c r="B126" s="530" t="str">
        <f>+VLOOKUP(LEFT($A126,LEN(A126)-1)*1,Master!$D$25:$G$223,4,FALSE)</f>
        <v>Current Budgetary Expenditures</v>
      </c>
      <c r="C126" s="531"/>
      <c r="D126" s="531"/>
      <c r="E126" s="531"/>
      <c r="F126" s="531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0.1834007928208716</v>
      </c>
    </row>
    <row r="127" spans="1:20">
      <c r="A127" s="137" t="str">
        <f t="shared" si="17"/>
        <v>411p</v>
      </c>
      <c r="B127" s="520" t="str">
        <f>+VLOOKUP(LEFT($A127,LEN(A127)-1)*1,Master!$D$25:$G$223,4,FALSE)</f>
        <v>Gross Salaries and Contributions</v>
      </c>
      <c r="C127" s="521"/>
      <c r="D127" s="521"/>
      <c r="E127" s="521"/>
      <c r="F127" s="521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0.10426184216976232</v>
      </c>
    </row>
    <row r="128" spans="1:20">
      <c r="A128" s="137" t="str">
        <f t="shared" si="17"/>
        <v>412p</v>
      </c>
      <c r="B128" s="520" t="str">
        <f>+VLOOKUP(LEFT($A128,LEN(A128)-1)*1,Master!$D$25:$G$223,4,FALSE)</f>
        <v>Other Personal Income</v>
      </c>
      <c r="C128" s="521"/>
      <c r="D128" s="521"/>
      <c r="E128" s="521"/>
      <c r="F128" s="521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2.9932120291588605E-3</v>
      </c>
    </row>
    <row r="129" spans="1:20">
      <c r="A129" s="137" t="str">
        <f t="shared" si="17"/>
        <v>413p</v>
      </c>
      <c r="B129" s="520" t="str">
        <f>+VLOOKUP(LEFT($A129,LEN(A129)-1)*1,Master!$D$25:$G$223,4,FALSE)</f>
        <v>Expenditures for Supplies</v>
      </c>
      <c r="C129" s="521"/>
      <c r="D129" s="521"/>
      <c r="E129" s="521"/>
      <c r="F129" s="521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8.9557908099934559E-3</v>
      </c>
    </row>
    <row r="130" spans="1:20">
      <c r="A130" s="137" t="str">
        <f t="shared" si="17"/>
        <v>414p</v>
      </c>
      <c r="B130" s="520" t="str">
        <f>+VLOOKUP(LEFT($A130,LEN(A130)-1)*1,Master!$D$25:$G$223,4,FALSE)</f>
        <v>Expenditures for Services</v>
      </c>
      <c r="C130" s="521"/>
      <c r="D130" s="521"/>
      <c r="E130" s="521"/>
      <c r="F130" s="521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1.325733664492541E-2</v>
      </c>
    </row>
    <row r="131" spans="1:20">
      <c r="A131" s="137" t="str">
        <f t="shared" si="17"/>
        <v>415p</v>
      </c>
      <c r="B131" s="520" t="str">
        <f>+VLOOKUP(LEFT($A131,LEN(A131)-1)*1,Master!$D$25:$G$223,4,FALSE)</f>
        <v>Current Maintenance</v>
      </c>
      <c r="C131" s="521"/>
      <c r="D131" s="521"/>
      <c r="E131" s="521"/>
      <c r="F131" s="521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5.0295621228192925E-3</v>
      </c>
    </row>
    <row r="132" spans="1:20">
      <c r="A132" s="137" t="str">
        <f t="shared" si="17"/>
        <v>416p</v>
      </c>
      <c r="B132" s="520" t="str">
        <f>+VLOOKUP(LEFT($A132,LEN(A132)-1)*1,Master!$D$25:$G$223,4,FALSE)</f>
        <v>Interests</v>
      </c>
      <c r="C132" s="521"/>
      <c r="D132" s="521"/>
      <c r="E132" s="521"/>
      <c r="F132" s="521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1.9734749148028616E-2</v>
      </c>
    </row>
    <row r="133" spans="1:20">
      <c r="A133" s="137" t="str">
        <f t="shared" si="17"/>
        <v>417p</v>
      </c>
      <c r="B133" s="520" t="str">
        <f>+VLOOKUP(LEFT($A133,LEN(A133)-1)*1,Master!$D$25:$G$223,4,FALSE)</f>
        <v>Rent</v>
      </c>
      <c r="C133" s="521"/>
      <c r="D133" s="521"/>
      <c r="E133" s="521"/>
      <c r="F133" s="521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2.334632842086258E-3</v>
      </c>
    </row>
    <row r="134" spans="1:20">
      <c r="A134" s="137" t="str">
        <f t="shared" si="17"/>
        <v>418p</v>
      </c>
      <c r="B134" s="520" t="str">
        <f>+VLOOKUP(LEFT($A134,LEN(A134)-1)*1,Master!$D$25:$G$223,4,FALSE)</f>
        <v>Subsidies</v>
      </c>
      <c r="C134" s="521"/>
      <c r="D134" s="521"/>
      <c r="E134" s="521"/>
      <c r="F134" s="521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6.0330406915073713E-3</v>
      </c>
    </row>
    <row r="135" spans="1:20">
      <c r="A135" s="137" t="str">
        <f t="shared" si="17"/>
        <v>419p</v>
      </c>
      <c r="B135" s="520" t="str">
        <f>+VLOOKUP(LEFT($A135,LEN(A135)-1)*1,Master!$D$25:$G$223,4,FALSE)</f>
        <v>Other expenditures</v>
      </c>
      <c r="C135" s="521"/>
      <c r="D135" s="521"/>
      <c r="E135" s="521"/>
      <c r="F135" s="521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8.8735764585073009E-3</v>
      </c>
    </row>
    <row r="136" spans="1:20">
      <c r="A136" s="137" t="str">
        <f t="shared" si="17"/>
        <v>440p</v>
      </c>
      <c r="B136" s="520" t="str">
        <f>+VLOOKUP(LEFT($A136,LEN(A136)-1)*1,Master!$D$25:$G$223,4,FALSE)</f>
        <v>Current Capital Expenditure</v>
      </c>
      <c r="C136" s="521"/>
      <c r="D136" s="521"/>
      <c r="E136" s="521"/>
      <c r="F136" s="521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1.1927049904082689E-2</v>
      </c>
    </row>
    <row r="137" spans="1:20">
      <c r="A137" s="137" t="str">
        <f t="shared" si="17"/>
        <v>42p</v>
      </c>
      <c r="B137" s="518" t="str">
        <f>+VLOOKUP(LEFT($A137,LEN(A137)-1)*1,Master!$D$25:$G$223,4,FALSE)</f>
        <v>Social Security Transfers</v>
      </c>
      <c r="C137" s="519"/>
      <c r="D137" s="519"/>
      <c r="E137" s="519"/>
      <c r="F137" s="519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0.12614429886930423</v>
      </c>
    </row>
    <row r="138" spans="1:20">
      <c r="A138" s="137" t="str">
        <f t="shared" si="17"/>
        <v>421p</v>
      </c>
      <c r="B138" s="520" t="str">
        <f>+VLOOKUP(LEFT($A138,LEN(A138)-1)*1,Master!$D$25:$G$223,4,FALSE)</f>
        <v>Social Security</v>
      </c>
      <c r="C138" s="521"/>
      <c r="D138" s="521"/>
      <c r="E138" s="521"/>
      <c r="F138" s="521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1.8683807783971652E-2</v>
      </c>
    </row>
    <row r="139" spans="1:20">
      <c r="A139" s="137" t="str">
        <f t="shared" si="17"/>
        <v>422p</v>
      </c>
      <c r="B139" s="520" t="str">
        <f>+VLOOKUP(LEFT($A139,LEN(A139)-1)*1,Master!$D$25:$G$223,4,FALSE)</f>
        <v>Funds for redundant labor</v>
      </c>
      <c r="C139" s="521"/>
      <c r="D139" s="521"/>
      <c r="E139" s="521"/>
      <c r="F139" s="521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3.9041277212304481E-3</v>
      </c>
    </row>
    <row r="140" spans="1:20">
      <c r="A140" s="137" t="str">
        <f t="shared" si="17"/>
        <v>423p</v>
      </c>
      <c r="B140" s="520" t="str">
        <f>+VLOOKUP(LEFT($A140,LEN(A140)-1)*1,Master!$D$25:$G$223,4,FALSE)</f>
        <v>Pension and Disability Insurance</v>
      </c>
      <c r="C140" s="521"/>
      <c r="D140" s="521"/>
      <c r="E140" s="521"/>
      <c r="F140" s="521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9.6069148577038549E-2</v>
      </c>
    </row>
    <row r="141" spans="1:20">
      <c r="A141" s="137" t="str">
        <f t="shared" si="17"/>
        <v>424p</v>
      </c>
      <c r="B141" s="520" t="str">
        <f>+VLOOKUP(LEFT($A141,LEN(A141)-1)*1,Master!$D$25:$G$223,4,FALSE)</f>
        <v>Other Health Care Transfers</v>
      </c>
      <c r="C141" s="521"/>
      <c r="D141" s="521"/>
      <c r="E141" s="521"/>
      <c r="F141" s="521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4.288090455663634E-3</v>
      </c>
    </row>
    <row r="142" spans="1:20">
      <c r="A142" s="137" t="str">
        <f t="shared" si="17"/>
        <v>425p</v>
      </c>
      <c r="B142" s="520" t="str">
        <f>+VLOOKUP(LEFT($A142,LEN(A142)-1)*1,Master!$D$25:$G$223,4,FALSE)</f>
        <v>Other Health Care Insurance</v>
      </c>
      <c r="C142" s="521"/>
      <c r="D142" s="521"/>
      <c r="E142" s="521"/>
      <c r="F142" s="521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3.1991243313999416E-3</v>
      </c>
    </row>
    <row r="143" spans="1:20">
      <c r="A143" s="137" t="str">
        <f t="shared" si="17"/>
        <v>43p</v>
      </c>
      <c r="B143" s="522" t="str">
        <f>+VLOOKUP(LEFT($A143,LEN(A143)-1)*1,Master!$D$25:$G$223,4,FALSE)</f>
        <v xml:space="preserve">Transfers to Institutions, Individuals, NGO and Public Sector </v>
      </c>
      <c r="C143" s="523"/>
      <c r="D143" s="523"/>
      <c r="E143" s="523"/>
      <c r="F143" s="523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4.6646107718522199E-2</v>
      </c>
    </row>
    <row r="144" spans="1:20">
      <c r="A144" s="137" t="str">
        <f t="shared" si="17"/>
        <v>44p</v>
      </c>
      <c r="B144" s="522" t="str">
        <f>+VLOOKUP(LEFT($A144,LEN(A144)-1)*1,Master!$D$25:$G$223,4,FALSE)</f>
        <v>Capital Expenditure</v>
      </c>
      <c r="C144" s="523"/>
      <c r="D144" s="523"/>
      <c r="E144" s="523"/>
      <c r="F144" s="523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6.5240696020372094E-2</v>
      </c>
    </row>
    <row r="145" spans="1:20">
      <c r="A145" s="137" t="str">
        <f t="shared" si="17"/>
        <v>451p</v>
      </c>
      <c r="B145" s="506" t="str">
        <f>+VLOOKUP(LEFT($A145,LEN(A145)-1)*1,Master!$D$25:$G$223,4,FALSE)</f>
        <v>Credits and Borrowings</v>
      </c>
      <c r="C145" s="507"/>
      <c r="D145" s="507"/>
      <c r="E145" s="507"/>
      <c r="F145" s="507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6.4885260330858278E-4</v>
      </c>
    </row>
    <row r="146" spans="1:20">
      <c r="A146" s="137" t="str">
        <f t="shared" si="17"/>
        <v>47p</v>
      </c>
      <c r="B146" s="506" t="str">
        <f>+VLOOKUP(LEFT($A146,LEN(A146)-1)*1,Master!$D$25:$G$223,4,FALSE)</f>
        <v>Reserves</v>
      </c>
      <c r="C146" s="507"/>
      <c r="D146" s="507"/>
      <c r="E146" s="507"/>
      <c r="F146" s="507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6.6906245322620695E-3</v>
      </c>
    </row>
    <row r="147" spans="1:20">
      <c r="A147" s="137" t="str">
        <f t="shared" si="17"/>
        <v>462p</v>
      </c>
      <c r="B147" s="506" t="str">
        <f>+VLOOKUP(LEFT($A147,LEN(A147)-1)*1,Master!$D$25:$G$223,4,FALSE)</f>
        <v>Repayment of Guarantees</v>
      </c>
      <c r="C147" s="507"/>
      <c r="D147" s="507"/>
      <c r="E147" s="507"/>
      <c r="F147" s="507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+VLOOKUP(LEFT($A149,LEN(A149)-1)*1,Master!$D$25:$G$223,4,FALSE)</f>
        <v>Surplus / deficit</v>
      </c>
      <c r="C149" s="515"/>
      <c r="D149" s="515"/>
      <c r="E149" s="515"/>
      <c r="F149" s="515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-3.2237209948871401E-2</v>
      </c>
    </row>
    <row r="150" spans="1:20" ht="13.5" thickBot="1">
      <c r="A150" s="138" t="str">
        <f>+CONCATENATE(A56,"p")</f>
        <v>1001p</v>
      </c>
      <c r="B150" s="516" t="str">
        <f>+VLOOKUP(LEFT($A150,LEN(A150)-1)*1,Master!$D$25:$G$223,4,FALSE)</f>
        <v>Primary balance</v>
      </c>
      <c r="C150" s="517"/>
      <c r="D150" s="517"/>
      <c r="E150" s="517"/>
      <c r="F150" s="517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-1.2502460800842779E-2</v>
      </c>
    </row>
    <row r="151" spans="1:20">
      <c r="A151" s="138" t="str">
        <f>+CONCATENATE(A57,"p")</f>
        <v>46p</v>
      </c>
      <c r="B151" s="518" t="str">
        <f>+VLOOKUP(LEFT($A151,LEN(A151)-1)*1,Master!$D$25:$G$223,4,FALSE)</f>
        <v>Repayment of Debt</v>
      </c>
      <c r="C151" s="519"/>
      <c r="D151" s="519"/>
      <c r="E151" s="519"/>
      <c r="F151" s="519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0.122420450655623</v>
      </c>
    </row>
    <row r="152" spans="1:20">
      <c r="A152" s="138" t="str">
        <f>+CONCATENATE(A58,"p")</f>
        <v>4611p</v>
      </c>
      <c r="B152" s="512" t="str">
        <f>+VLOOKUP(LEFT($A152,LEN(A152)-1)*1,Master!$D$25:$G$223,4,FALSE)</f>
        <v>Repayment of Domestic Debt</v>
      </c>
      <c r="C152" s="513"/>
      <c r="D152" s="513"/>
      <c r="E152" s="513"/>
      <c r="F152" s="513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1.143972552077456E-2</v>
      </c>
    </row>
    <row r="153" spans="1:20">
      <c r="A153" s="138" t="str">
        <f>+CONCATENATE(A59,"p")</f>
        <v>4612p</v>
      </c>
      <c r="B153" s="506" t="str">
        <f>+VLOOKUP(LEFT($A153,LEN(A153)-1)*1,Master!$D$25:$G$223,4,FALSE)</f>
        <v>Repayment of Foreign Debt</v>
      </c>
      <c r="C153" s="507"/>
      <c r="D153" s="507"/>
      <c r="E153" s="507"/>
      <c r="F153" s="507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0.10415491209460832</v>
      </c>
    </row>
    <row r="154" spans="1:20">
      <c r="A154" s="138" t="str">
        <f>+CONCATENATE(A53,"p")</f>
        <v>4630p</v>
      </c>
      <c r="B154" s="506" t="str">
        <f>+VLOOKUP(LEFT($A154,LEN(A154)-1)*1,Master!$D$25:$G$223,4,FALSE)</f>
        <v>Repayments of Arrears</v>
      </c>
      <c r="C154" s="507"/>
      <c r="D154" s="507"/>
      <c r="E154" s="507"/>
      <c r="F154" s="507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6.825813040240135E-3</v>
      </c>
    </row>
    <row r="155" spans="1:20" ht="13.5" thickBot="1">
      <c r="A155" s="138"/>
      <c r="B155" s="432" t="s">
        <v>340</v>
      </c>
      <c r="C155" s="433"/>
      <c r="D155" s="433"/>
      <c r="E155" s="433"/>
      <c r="F155" s="433"/>
      <c r="G155" s="439">
        <f>+DataEx!ET377</f>
        <v>0</v>
      </c>
      <c r="H155" s="439">
        <f>+DataEx!EU377</f>
        <v>0</v>
      </c>
      <c r="I155" s="439">
        <f>+DataEx!EV377</f>
        <v>0</v>
      </c>
      <c r="J155" s="439">
        <f>+DataEx!EW377</f>
        <v>0</v>
      </c>
      <c r="K155" s="439">
        <f>+DataEx!EX377</f>
        <v>70000000</v>
      </c>
      <c r="L155" s="439">
        <f>+DataEx!EY377</f>
        <v>0</v>
      </c>
      <c r="M155" s="439">
        <f>+DataEx!EZ377</f>
        <v>0</v>
      </c>
      <c r="N155" s="439">
        <f>+DataEx!FA377</f>
        <v>0</v>
      </c>
      <c r="O155" s="439">
        <f>+DataEx!FB377</f>
        <v>0</v>
      </c>
      <c r="P155" s="439">
        <f>+DataEx!FC377</f>
        <v>0</v>
      </c>
      <c r="Q155" s="439">
        <f>+DataEx!FD377</f>
        <v>0</v>
      </c>
      <c r="R155" s="439">
        <f>+DataEx!FE377</f>
        <v>0</v>
      </c>
      <c r="S155" s="107">
        <f t="shared" si="20"/>
        <v>70000000</v>
      </c>
      <c r="T155" s="108">
        <f t="shared" si="21"/>
        <v>1.5798144846419462E-2</v>
      </c>
    </row>
    <row r="156" spans="1:20" ht="13.5" thickBot="1">
      <c r="A156" s="138" t="str">
        <f t="shared" ref="A156:A161" si="30">+CONCATENATE(A61,"p")</f>
        <v>1002p</v>
      </c>
      <c r="B156" s="508" t="str">
        <f>+VLOOKUP(LEFT($A156,LEN(A156)-1)*1,Master!$D$25:$G$223,4,FALSE)</f>
        <v>Financing needs</v>
      </c>
      <c r="C156" s="509"/>
      <c r="D156" s="509"/>
      <c r="E156" s="509"/>
      <c r="F156" s="509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-0.17045580545091385</v>
      </c>
    </row>
    <row r="157" spans="1:20" ht="13.5" thickBot="1">
      <c r="A157" s="138" t="str">
        <f t="shared" si="30"/>
        <v>1003p</v>
      </c>
      <c r="B157" s="510" t="str">
        <f>+VLOOKUP(LEFT($A157,LEN(A157)-1)*1,Master!$D$25:$G$223,4,FALSE)</f>
        <v>Financing</v>
      </c>
      <c r="C157" s="511"/>
      <c r="D157" s="511"/>
      <c r="E157" s="511"/>
      <c r="F157" s="511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0.17045580545091385</v>
      </c>
    </row>
    <row r="158" spans="1:20">
      <c r="A158" s="138" t="str">
        <f t="shared" si="30"/>
        <v>7511p</v>
      </c>
      <c r="B158" s="512" t="str">
        <f>+VLOOKUP(LEFT($A158,LEN(A158)-1)*1,Master!$D$25:$G$223,4,FALSE)</f>
        <v>Domestic Loans and Borrowings</v>
      </c>
      <c r="C158" s="513"/>
      <c r="D158" s="513"/>
      <c r="E158" s="513"/>
      <c r="F158" s="513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6" t="str">
        <f>+VLOOKUP(LEFT($A159,LEN(A159)-1)*1,Master!$D$25:$G$223,4,FALSE)</f>
        <v>Foreign Loans and Borrowings</v>
      </c>
      <c r="C159" s="507"/>
      <c r="D159" s="507"/>
      <c r="E159" s="507"/>
      <c r="F159" s="507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0.16684293226337479</v>
      </c>
    </row>
    <row r="160" spans="1:20">
      <c r="A160" s="138" t="str">
        <f t="shared" si="30"/>
        <v>72p</v>
      </c>
      <c r="B160" s="506" t="str">
        <f>+VLOOKUP(LEFT($A160,LEN(A160)-1)*1,Master!$D$25:$G$223,4,FALSE)</f>
        <v>Revenues from Selling Assets</v>
      </c>
      <c r="C160" s="507"/>
      <c r="D160" s="507"/>
      <c r="E160" s="507"/>
      <c r="F160" s="507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3.611004536324449E-3</v>
      </c>
    </row>
    <row r="161" spans="1:20" ht="13.5" thickBot="1">
      <c r="A161" s="138" t="str">
        <f t="shared" si="30"/>
        <v>1004p</v>
      </c>
      <c r="B161" s="102" t="str">
        <f>+VLOOKUP(LEFT($A161,LEN(A161)-1)*1,Master!$D$25:$G$223,4,FALSE)</f>
        <v>Increase / decrease of deposits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1.8686512146281224E-6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4.28515625" style="303" customWidth="1"/>
    <col min="9" max="9" width="14.5703125" style="303" customWidth="1"/>
    <col min="10" max="10" width="16.5703125" style="303" customWidth="1"/>
    <col min="11" max="11" width="17.140625" style="303" customWidth="1"/>
    <col min="12" max="12" width="14.85546875" style="303" customWidth="1"/>
    <col min="13" max="13" width="15.7109375" style="303" customWidth="1"/>
    <col min="14" max="14" width="14" style="303" customWidth="1"/>
    <col min="15" max="15" width="15" style="303" customWidth="1"/>
    <col min="16" max="16" width="13.85546875" style="303" customWidth="1"/>
    <col min="17" max="17" width="14.28515625" style="303" customWidth="1"/>
    <col min="18" max="18" width="19.1406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559" t="str">
        <f>+[1]Master!G249</f>
        <v>Ostvarenje budžeta</v>
      </c>
      <c r="C7" s="459"/>
      <c r="D7" s="459"/>
      <c r="E7" s="459"/>
      <c r="F7" s="459"/>
      <c r="G7" s="467">
        <v>2017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+[1]Master!G246</f>
        <v>BDP</v>
      </c>
      <c r="T7" s="261">
        <v>4299000000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7" t="str">
        <f>+[1]Master!G243</f>
        <v>Jan - Dec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500" t="str">
        <f>+VLOOKUP($A10,[1]Master!$D$25:$G$223,4,FALSE)</f>
        <v>Prihodi budžeta</v>
      </c>
      <c r="C10" s="501"/>
      <c r="D10" s="501"/>
      <c r="E10" s="501"/>
      <c r="F10" s="501"/>
      <c r="G10" s="42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502" t="str">
        <f>+VLOOKUP($A11,[1]Master!$D$25:$G$223,4,FALSE)</f>
        <v>Porezi</v>
      </c>
      <c r="C11" s="503"/>
      <c r="D11" s="503"/>
      <c r="E11" s="503"/>
      <c r="F11" s="503"/>
      <c r="G11" s="427">
        <f t="shared" ref="G11:R11" si="2">+SUM(G12:G18)</f>
        <v>53512170.450000003</v>
      </c>
      <c r="H11" s="426">
        <f t="shared" si="2"/>
        <v>50615120.200000003</v>
      </c>
      <c r="I11" s="426">
        <f t="shared" si="2"/>
        <v>90524246.909999996</v>
      </c>
      <c r="J11" s="426">
        <f t="shared" si="2"/>
        <v>81677988.170000002</v>
      </c>
      <c r="K11" s="426">
        <f t="shared" si="2"/>
        <v>77800336.479999989</v>
      </c>
      <c r="L11" s="426">
        <f t="shared" si="2"/>
        <v>85282444.409999996</v>
      </c>
      <c r="M11" s="426">
        <f t="shared" si="2"/>
        <v>89248400.649999991</v>
      </c>
      <c r="N11" s="426">
        <f t="shared" si="2"/>
        <v>99153787.180000007</v>
      </c>
      <c r="O11" s="426">
        <f t="shared" si="2"/>
        <v>92913520.620000005</v>
      </c>
      <c r="P11" s="426">
        <f t="shared" si="2"/>
        <v>86378572.320000008</v>
      </c>
      <c r="Q11" s="426">
        <f t="shared" si="2"/>
        <v>74654697.830000013</v>
      </c>
      <c r="R11" s="42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8" t="str">
        <f>+VLOOKUP($A12,[1]Master!$D$25:$G$223,4,FALSE)</f>
        <v>Porez na dohodak fizičkih lica</v>
      </c>
      <c r="C12" s="489"/>
      <c r="D12" s="489"/>
      <c r="E12" s="489"/>
      <c r="F12" s="489"/>
      <c r="G12" s="428">
        <v>3855468.97</v>
      </c>
      <c r="H12" s="428">
        <v>7751521.5300000003</v>
      </c>
      <c r="I12" s="428">
        <v>9093379.6300000008</v>
      </c>
      <c r="J12" s="428">
        <v>8729072.4399999995</v>
      </c>
      <c r="K12" s="428">
        <v>9825835.5299999993</v>
      </c>
      <c r="L12" s="428">
        <v>9719543.6799999997</v>
      </c>
      <c r="M12" s="428">
        <v>10577855.74</v>
      </c>
      <c r="N12" s="428">
        <v>10476522.35</v>
      </c>
      <c r="O12" s="428">
        <v>9609655.3800000008</v>
      </c>
      <c r="P12" s="428">
        <v>10226839.18</v>
      </c>
      <c r="Q12" s="428">
        <v>7670634.21</v>
      </c>
      <c r="R12" s="42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8" t="str">
        <f>+VLOOKUP($A13,[1]Master!$D$25:$G$223,4,FALSE)</f>
        <v>Porez na dobit pravnih lica</v>
      </c>
      <c r="C13" s="489"/>
      <c r="D13" s="489"/>
      <c r="E13" s="489"/>
      <c r="F13" s="489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8" t="str">
        <f>+VLOOKUP($A14,[1]Master!$D$25:$G$223,4,FALSE)</f>
        <v>Porez na promet nepokretnosti</v>
      </c>
      <c r="C14" s="489"/>
      <c r="D14" s="489"/>
      <c r="E14" s="489"/>
      <c r="F14" s="489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8" t="str">
        <f>+VLOOKUP($A15,[1]Master!$D$25:$G$223,4,FALSE)</f>
        <v>Porez na dodatu vrijednost</v>
      </c>
      <c r="C15" s="489"/>
      <c r="D15" s="489"/>
      <c r="E15" s="489"/>
      <c r="F15" s="489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8" t="str">
        <f>+VLOOKUP($A16,[1]Master!$D$25:$G$223,4,FALSE)</f>
        <v>Akcize</v>
      </c>
      <c r="C16" s="489"/>
      <c r="D16" s="489"/>
      <c r="E16" s="489"/>
      <c r="F16" s="489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8" t="str">
        <f>+VLOOKUP($A17,[1]Master!$D$25:$G$223,4,FALSE)</f>
        <v>Porez na međunarodnu trgovinu i transakcije</v>
      </c>
      <c r="C17" s="489"/>
      <c r="D17" s="489"/>
      <c r="E17" s="489"/>
      <c r="F17" s="489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8" t="str">
        <f>+VLOOKUP($A18,[1]Master!$D$25:$G$223,4,FALSE)</f>
        <v>Ostali državni porezi</v>
      </c>
      <c r="C18" s="489"/>
      <c r="D18" s="489"/>
      <c r="E18" s="489"/>
      <c r="F18" s="489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8" t="str">
        <f>+VLOOKUP($A19,[1]Master!$D$25:$G$223,4,FALSE)</f>
        <v>Doprinosi</v>
      </c>
      <c r="C19" s="499"/>
      <c r="D19" s="499"/>
      <c r="E19" s="499"/>
      <c r="F19" s="499"/>
      <c r="G19" s="429">
        <f>+INDEX([1]DataEx!$1:$1048576,MATCH('2017'!$A19,[1]DataEx!$D:$D,0),MATCH('2017'!G$6,[1]DataEx!$7:$7,0))</f>
        <v>15942566.910000002</v>
      </c>
      <c r="H19" s="429">
        <f>+INDEX([1]DataEx!$1:$1048576,MATCH('2017'!$A19,[1]DataEx!$D:$D,0),MATCH('2017'!H$6,[1]DataEx!$7:$7,0))</f>
        <v>32105522.039999999</v>
      </c>
      <c r="I19" s="429">
        <f>+INDEX([1]DataEx!$1:$1048576,MATCH('2017'!$A19,[1]DataEx!$D:$D,0),MATCH('2017'!I$6,[1]DataEx!$7:$7,0))</f>
        <v>37652066.75</v>
      </c>
      <c r="J19" s="429">
        <f>+INDEX([1]DataEx!$1:$1048576,MATCH('2017'!$A19,[1]DataEx!$D:$D,0),MATCH('2017'!J$6,[1]DataEx!$7:$7,0))</f>
        <v>35977730.460000001</v>
      </c>
      <c r="K19" s="429">
        <f>+INDEX([1]DataEx!$1:$1048576,MATCH('2017'!$A19,[1]DataEx!$D:$D,0),MATCH('2017'!K$6,[1]DataEx!$7:$7,0))</f>
        <v>40567246.729999997</v>
      </c>
      <c r="L19" s="429">
        <f>+INDEX([1]DataEx!$1:$1048576,MATCH('2017'!$A19,[1]DataEx!$D:$D,0),MATCH('2017'!L$6,[1]DataEx!$7:$7,0))</f>
        <v>40389805.469999999</v>
      </c>
      <c r="M19" s="429">
        <f>+INDEX([1]DataEx!$1:$1048576,MATCH('2017'!$A19,[1]DataEx!$D:$D,0),MATCH('2017'!M$6,[1]DataEx!$7:$7,0))</f>
        <v>44393326.049999997</v>
      </c>
      <c r="N19" s="429">
        <f>+INDEX([1]DataEx!$1:$1048576,MATCH('2017'!$A19,[1]DataEx!$D:$D,0),MATCH('2017'!N$6,[1]DataEx!$7:$7,0))</f>
        <v>43764113.43</v>
      </c>
      <c r="O19" s="429">
        <f>+INDEX([1]DataEx!$1:$1048576,MATCH('2017'!$A19,[1]DataEx!$D:$D,0),MATCH('2017'!O$6,[1]DataEx!$7:$7,0))</f>
        <v>39922755.840000004</v>
      </c>
      <c r="P19" s="429">
        <f>+INDEX([1]DataEx!$1:$1048576,MATCH('2017'!$A19,[1]DataEx!$D:$D,0),MATCH('2017'!P$6,[1]DataEx!$7:$7,0))</f>
        <v>42882136.189999998</v>
      </c>
      <c r="Q19" s="429">
        <f>+INDEX([1]DataEx!$1:$1048576,MATCH('2017'!$A19,[1]DataEx!$D:$D,0),MATCH('2017'!Q$6,[1]DataEx!$7:$7,0))</f>
        <v>43774643.869999997</v>
      </c>
      <c r="R19" s="42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8" t="str">
        <f>+VLOOKUP($A20,[1]Master!$D$25:$G$223,4,FALSE)</f>
        <v>Doprinosi za penzijsko i invalidsko osiguranje</v>
      </c>
      <c r="C20" s="489"/>
      <c r="D20" s="489"/>
      <c r="E20" s="489"/>
      <c r="F20" s="489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8" t="str">
        <f>+VLOOKUP($A21,[1]Master!$D$25:$G$223,4,FALSE)</f>
        <v>Doprinosi za zdravstveno osiguranje</v>
      </c>
      <c r="C21" s="489"/>
      <c r="D21" s="489"/>
      <c r="E21" s="489"/>
      <c r="F21" s="489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8" t="str">
        <f>+VLOOKUP($A22,[1]Master!$D$25:$G$223,4,FALSE)</f>
        <v>Doprinosi za osiguranje od nezaposlenosti</v>
      </c>
      <c r="C22" s="489"/>
      <c r="D22" s="489"/>
      <c r="E22" s="489"/>
      <c r="F22" s="489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8" t="str">
        <f>+VLOOKUP($A23,[1]Master!$D$25:$G$223,4,FALSE)</f>
        <v>Ostali doprinosi</v>
      </c>
      <c r="C23" s="489"/>
      <c r="D23" s="489"/>
      <c r="E23" s="489"/>
      <c r="F23" s="489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90" t="str">
        <f>+VLOOKUP($A24,[1]Master!$D$25:$G$223,4,FALSE)</f>
        <v>Takse</v>
      </c>
      <c r="C24" s="491"/>
      <c r="D24" s="491"/>
      <c r="E24" s="491"/>
      <c r="F24" s="491"/>
      <c r="G24" s="429">
        <v>579949.69999999995</v>
      </c>
      <c r="H24" s="429">
        <v>799058.78</v>
      </c>
      <c r="I24" s="429">
        <v>1000001.89</v>
      </c>
      <c r="J24" s="429">
        <v>900446.92</v>
      </c>
      <c r="K24" s="429">
        <v>1044119.04</v>
      </c>
      <c r="L24" s="429">
        <v>1380660.13</v>
      </c>
      <c r="M24" s="429">
        <v>1483988.38</v>
      </c>
      <c r="N24" s="429">
        <v>1598254.37</v>
      </c>
      <c r="O24" s="429">
        <v>1300121.74</v>
      </c>
      <c r="P24" s="429">
        <v>1269238.77</v>
      </c>
      <c r="Q24" s="429">
        <v>1101076.77</v>
      </c>
      <c r="R24" s="42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90" t="str">
        <f>+VLOOKUP($A25,[1]Master!$D$25:$G$223,4,FALSE)</f>
        <v>Naknade</v>
      </c>
      <c r="C25" s="491"/>
      <c r="D25" s="491"/>
      <c r="E25" s="491"/>
      <c r="F25" s="491"/>
      <c r="G25" s="429">
        <v>1745843.13</v>
      </c>
      <c r="H25" s="429">
        <v>1266650.8400000001</v>
      </c>
      <c r="I25" s="429">
        <v>1508161.35</v>
      </c>
      <c r="J25" s="429">
        <v>1901163.79</v>
      </c>
      <c r="K25" s="429">
        <v>1513570.26</v>
      </c>
      <c r="L25" s="429">
        <v>830213.16</v>
      </c>
      <c r="M25" s="429">
        <v>1705945.14</v>
      </c>
      <c r="N25" s="429">
        <v>1608311.46</v>
      </c>
      <c r="O25" s="429">
        <v>1107710.8999999999</v>
      </c>
      <c r="P25" s="429">
        <v>1997706.83</v>
      </c>
      <c r="Q25" s="429">
        <v>793640.92</v>
      </c>
      <c r="R25" s="42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90" t="str">
        <f>+VLOOKUP($A26,[1]Master!$D$25:$G$223,4,FALSE)</f>
        <v>Ostali prihodi</v>
      </c>
      <c r="C26" s="491"/>
      <c r="D26" s="491"/>
      <c r="E26" s="491"/>
      <c r="F26" s="491"/>
      <c r="G26" s="429">
        <v>1549598.76</v>
      </c>
      <c r="H26" s="429">
        <v>2362534.5499999998</v>
      </c>
      <c r="I26" s="429">
        <v>2237749.3199999998</v>
      </c>
      <c r="J26" s="429">
        <v>3537625.59</v>
      </c>
      <c r="K26" s="429">
        <v>2195275.86</v>
      </c>
      <c r="L26" s="429">
        <v>3677729.73</v>
      </c>
      <c r="M26" s="429">
        <v>5924157.2800000003</v>
      </c>
      <c r="N26" s="429">
        <v>2465692.11</v>
      </c>
      <c r="O26" s="429">
        <v>1761653.61</v>
      </c>
      <c r="P26" s="429">
        <v>3080830.83</v>
      </c>
      <c r="Q26" s="429">
        <v>1891187.54</v>
      </c>
      <c r="R26" s="42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90" t="str">
        <f>+VLOOKUP($A27,[1]Master!$D$25:$G$223,4,FALSE)</f>
        <v>Primici od otplate kredita i sredstva prenesena iz prethodne godine</v>
      </c>
      <c r="C27" s="491"/>
      <c r="D27" s="491"/>
      <c r="E27" s="491"/>
      <c r="F27" s="491"/>
      <c r="G27" s="429">
        <v>150350.67000000001</v>
      </c>
      <c r="H27" s="429">
        <v>500193.46</v>
      </c>
      <c r="I27" s="429">
        <v>126045.79</v>
      </c>
      <c r="J27" s="429">
        <v>67133.97</v>
      </c>
      <c r="K27" s="429">
        <v>340170.16</v>
      </c>
      <c r="L27" s="429">
        <v>1431878.17</v>
      </c>
      <c r="M27" s="429">
        <v>588856.99</v>
      </c>
      <c r="N27" s="429">
        <v>142813.88</v>
      </c>
      <c r="O27" s="429">
        <v>182139.62</v>
      </c>
      <c r="P27" s="429">
        <v>603855.75</v>
      </c>
      <c r="Q27" s="429">
        <v>987894.53</v>
      </c>
      <c r="R27" s="42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92" t="str">
        <f>+VLOOKUP($A28,[1]Master!$D$25:$G$223,4,FALSE)</f>
        <v>Donacije i transferi</v>
      </c>
      <c r="C28" s="493"/>
      <c r="D28" s="493"/>
      <c r="E28" s="493"/>
      <c r="F28" s="493"/>
      <c r="G28" s="429">
        <v>198902.46</v>
      </c>
      <c r="H28" s="429">
        <v>1119540.18</v>
      </c>
      <c r="I28" s="429">
        <v>2133451.14</v>
      </c>
      <c r="J28" s="429">
        <v>849572.77</v>
      </c>
      <c r="K28" s="429">
        <v>1895943.06</v>
      </c>
      <c r="L28" s="429">
        <v>1063223.94</v>
      </c>
      <c r="M28" s="429">
        <v>2617220.7200000002</v>
      </c>
      <c r="N28" s="429">
        <v>693924.15</v>
      </c>
      <c r="O28" s="429">
        <v>1500964.26</v>
      </c>
      <c r="P28" s="429">
        <v>2652981.5699999998</v>
      </c>
      <c r="Q28" s="429">
        <v>2284497.5299999998</v>
      </c>
      <c r="R28" s="42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8" t="str">
        <f>+VLOOKUP($A29,[1]Master!$D$25:$G$223,4,FALSE)</f>
        <v>Budžetki izdaci</v>
      </c>
      <c r="C29" s="479"/>
      <c r="D29" s="479"/>
      <c r="E29" s="479"/>
      <c r="F29" s="479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94" t="str">
        <f>+VLOOKUP($A30,[1]Master!$D$25:$G$223,4,FALSE)</f>
        <v>Tekući izdaci</v>
      </c>
      <c r="C30" s="495"/>
      <c r="D30" s="495"/>
      <c r="E30" s="495"/>
      <c r="F30" s="495"/>
      <c r="G30" s="430">
        <f>+G29-G49</f>
        <v>95081211.609999985</v>
      </c>
      <c r="H30" s="430">
        <f t="shared" ref="H30:R30" si="6">+H29-H49</f>
        <v>105058194.66999999</v>
      </c>
      <c r="I30" s="430">
        <f t="shared" si="6"/>
        <v>159051074.73999998</v>
      </c>
      <c r="J30" s="430">
        <f t="shared" si="6"/>
        <v>134270687.53</v>
      </c>
      <c r="K30" s="430">
        <f t="shared" si="6"/>
        <v>127056839.55</v>
      </c>
      <c r="L30" s="430">
        <f t="shared" si="6"/>
        <v>125448006.67</v>
      </c>
      <c r="M30" s="430">
        <f t="shared" si="6"/>
        <v>135015939.43000001</v>
      </c>
      <c r="N30" s="430">
        <f t="shared" si="6"/>
        <v>119078138.24000001</v>
      </c>
      <c r="O30" s="430">
        <f t="shared" si="6"/>
        <v>117563216.00999998</v>
      </c>
      <c r="P30" s="430">
        <f t="shared" si="6"/>
        <v>126782294.63000003</v>
      </c>
      <c r="Q30" s="430">
        <f t="shared" si="6"/>
        <v>119362889.43000001</v>
      </c>
      <c r="R30" s="43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6" t="str">
        <f>+VLOOKUP($A31,[1]Master!$D$25:$G$223,4,FALSE)</f>
        <v>Tekući budžetski izdaci</v>
      </c>
      <c r="C31" s="497"/>
      <c r="D31" s="497"/>
      <c r="E31" s="497"/>
      <c r="F31" s="497"/>
      <c r="G31" s="426">
        <f>+SUM(G32:G41)</f>
        <v>43671166.869999997</v>
      </c>
      <c r="H31" s="426">
        <f t="shared" ref="H31:R31" si="7">+SUM(H32:H41)</f>
        <v>48408706.909999989</v>
      </c>
      <c r="I31" s="426">
        <f t="shared" si="7"/>
        <v>96989262.820000008</v>
      </c>
      <c r="J31" s="426">
        <f t="shared" si="7"/>
        <v>70965970.75</v>
      </c>
      <c r="K31" s="426">
        <f t="shared" si="7"/>
        <v>64485987.470000006</v>
      </c>
      <c r="L31" s="426">
        <f t="shared" si="7"/>
        <v>61416603.619999997</v>
      </c>
      <c r="M31" s="426">
        <f t="shared" si="7"/>
        <v>59163591.209999993</v>
      </c>
      <c r="N31" s="426">
        <f t="shared" si="7"/>
        <v>55546071.519999996</v>
      </c>
      <c r="O31" s="426">
        <f t="shared" si="7"/>
        <v>56191213.159999996</v>
      </c>
      <c r="P31" s="426">
        <f t="shared" si="7"/>
        <v>60486450.390000001</v>
      </c>
      <c r="Q31" s="426">
        <f t="shared" si="7"/>
        <v>60535623.090000004</v>
      </c>
      <c r="R31" s="42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8" t="str">
        <f>+VLOOKUP($A32,[1]Master!$D$25:$G$223,4,FALSE)</f>
        <v>Bruto zarade i doprinosi na teret poslodavca</v>
      </c>
      <c r="C32" s="489"/>
      <c r="D32" s="489"/>
      <c r="E32" s="489"/>
      <c r="F32" s="489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8" t="str">
        <f>+VLOOKUP($A33,[1]Master!$D$25:$G$223,4,FALSE)</f>
        <v>Ostala lična primanja</v>
      </c>
      <c r="C33" s="489"/>
      <c r="D33" s="489"/>
      <c r="E33" s="489"/>
      <c r="F33" s="489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8" t="str">
        <f>+VLOOKUP($A34,[1]Master!$D$25:$G$223,4,FALSE)</f>
        <v>Rashodi za materijal</v>
      </c>
      <c r="C34" s="489"/>
      <c r="D34" s="489"/>
      <c r="E34" s="489"/>
      <c r="F34" s="489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8" t="str">
        <f>+VLOOKUP($A35,[1]Master!$D$25:$G$223,4,FALSE)</f>
        <v>Rashodi za usluge</v>
      </c>
      <c r="C35" s="489"/>
      <c r="D35" s="489"/>
      <c r="E35" s="489"/>
      <c r="F35" s="489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8" t="str">
        <f>+VLOOKUP($A36,[1]Master!$D$25:$G$223,4,FALSE)</f>
        <v>Rashodi za tekuće održavanje</v>
      </c>
      <c r="C36" s="489"/>
      <c r="D36" s="489"/>
      <c r="E36" s="489"/>
      <c r="F36" s="489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8" t="str">
        <f>+VLOOKUP($A37,[1]Master!$D$25:$G$223,4,FALSE)</f>
        <v>Kamate</v>
      </c>
      <c r="C37" s="489"/>
      <c r="D37" s="489"/>
      <c r="E37" s="489"/>
      <c r="F37" s="489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8" t="str">
        <f>+VLOOKUP($A38,[1]Master!$D$25:$G$223,4,FALSE)</f>
        <v>Renta</v>
      </c>
      <c r="C38" s="489"/>
      <c r="D38" s="489"/>
      <c r="E38" s="489"/>
      <c r="F38" s="489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8" t="str">
        <f>+VLOOKUP($A39,[1]Master!$D$25:$G$223,4,FALSE)</f>
        <v>Subvencije</v>
      </c>
      <c r="C39" s="489"/>
      <c r="D39" s="489"/>
      <c r="E39" s="489"/>
      <c r="F39" s="489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8" t="str">
        <f>+VLOOKUP($A40,[1]Master!$D$25:$G$223,4,FALSE)</f>
        <v>Ostali izdaci</v>
      </c>
      <c r="C40" s="489"/>
      <c r="D40" s="489"/>
      <c r="E40" s="489"/>
      <c r="F40" s="489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8" t="str">
        <f>+VLOOKUP($A41,[1]Master!$D$25:$G$223,4,FALSE)</f>
        <v>Kapitalni izdaci u tekućem budžetu</v>
      </c>
      <c r="C41" s="489"/>
      <c r="D41" s="489"/>
      <c r="E41" s="489"/>
      <c r="F41" s="489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4" t="str">
        <f>+VLOOKUP($A42,[1]Master!$D$25:$G$223,4,FALSE)</f>
        <v>Transferi za socijalnu zaštitu</v>
      </c>
      <c r="C42" s="485"/>
      <c r="D42" s="485"/>
      <c r="E42" s="485"/>
      <c r="F42" s="485"/>
      <c r="G42" s="429">
        <f>+SUM(G43:G47)</f>
        <v>43853641.199999996</v>
      </c>
      <c r="H42" s="429">
        <f t="shared" ref="H42:R42" si="8">+SUM(H43:H47)</f>
        <v>46694958.479999997</v>
      </c>
      <c r="I42" s="429">
        <f t="shared" si="8"/>
        <v>46060225.379999995</v>
      </c>
      <c r="J42" s="429">
        <f t="shared" si="8"/>
        <v>45239884.829999998</v>
      </c>
      <c r="K42" s="429">
        <f t="shared" si="8"/>
        <v>45683297.689999998</v>
      </c>
      <c r="L42" s="429">
        <f t="shared" si="8"/>
        <v>45402922.969999999</v>
      </c>
      <c r="M42" s="429">
        <f t="shared" si="8"/>
        <v>45267241.289999999</v>
      </c>
      <c r="N42" s="429">
        <f t="shared" si="8"/>
        <v>42270056.32</v>
      </c>
      <c r="O42" s="429">
        <f t="shared" si="8"/>
        <v>44046758.639999993</v>
      </c>
      <c r="P42" s="429">
        <f t="shared" si="8"/>
        <v>44748876.500000007</v>
      </c>
      <c r="Q42" s="429">
        <f t="shared" si="8"/>
        <v>43633580.93999999</v>
      </c>
      <c r="R42" s="42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8" t="str">
        <f>+VLOOKUP($A43,[1]Master!$D$25:$G$223,4,FALSE)</f>
        <v>Prava iz oblasti socijalne zaštite</v>
      </c>
      <c r="C43" s="489"/>
      <c r="D43" s="489"/>
      <c r="E43" s="489"/>
      <c r="F43" s="489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8" t="str">
        <f>+VLOOKUP($A44,[1]Master!$D$25:$G$223,4,FALSE)</f>
        <v>Sredstva za tehnološke viškove</v>
      </c>
      <c r="C44" s="489"/>
      <c r="D44" s="489"/>
      <c r="E44" s="489"/>
      <c r="F44" s="489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8" t="str">
        <f>+VLOOKUP($A45,[1]Master!$D$25:$G$223,4,FALSE)</f>
        <v>Prava iz oblasti penzijskog i invalidskog osiguranja</v>
      </c>
      <c r="C45" s="489"/>
      <c r="D45" s="489"/>
      <c r="E45" s="489"/>
      <c r="F45" s="489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8" t="str">
        <f>+VLOOKUP($A46,[1]Master!$D$25:$G$223,4,FALSE)</f>
        <v>Ostala prava iz oblasti zdravstvene zaštite</v>
      </c>
      <c r="C46" s="489"/>
      <c r="D46" s="489"/>
      <c r="E46" s="489"/>
      <c r="F46" s="489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8" t="str">
        <f>+VLOOKUP($A47,[1]Master!$D$25:$G$223,4,FALSE)</f>
        <v>Ostala prava iz zdravstvenog osiguranja</v>
      </c>
      <c r="C47" s="489"/>
      <c r="D47" s="489"/>
      <c r="E47" s="489"/>
      <c r="F47" s="489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6" t="str">
        <f>+VLOOKUP($A48,[1]Master!$D$25:$G$223,4,FALSE)</f>
        <v xml:space="preserve">Transferi institucijama, pojedincima, nevladinom i javnom sektoru </v>
      </c>
      <c r="C48" s="487"/>
      <c r="D48" s="487"/>
      <c r="E48" s="487"/>
      <c r="F48" s="487"/>
      <c r="G48" s="429">
        <v>5367351.82</v>
      </c>
      <c r="H48" s="429">
        <v>7878426.2999999998</v>
      </c>
      <c r="I48" s="429">
        <v>12624632.02</v>
      </c>
      <c r="J48" s="429">
        <v>15717196.880000001</v>
      </c>
      <c r="K48" s="429">
        <v>10712461.529999999</v>
      </c>
      <c r="L48" s="429">
        <v>13588572.92</v>
      </c>
      <c r="M48" s="429">
        <v>17165199.760000002</v>
      </c>
      <c r="N48" s="429">
        <v>15793377.119999999</v>
      </c>
      <c r="O48" s="429">
        <v>13743974.02</v>
      </c>
      <c r="P48" s="429">
        <v>13251144.24</v>
      </c>
      <c r="Q48" s="429">
        <v>11142113.050000001</v>
      </c>
      <c r="R48" s="42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6" t="str">
        <f>+VLOOKUP($A49,[1]Master!$D$25:$G$223,4,FALSE)</f>
        <v>Kapitalni budžet</v>
      </c>
      <c r="C49" s="487"/>
      <c r="D49" s="487"/>
      <c r="E49" s="487"/>
      <c r="F49" s="487"/>
      <c r="G49" s="429">
        <v>109644.44</v>
      </c>
      <c r="H49" s="429">
        <v>1491590.34</v>
      </c>
      <c r="I49" s="429">
        <v>7362820.4900000002</v>
      </c>
      <c r="J49" s="429">
        <v>6918517.2599999998</v>
      </c>
      <c r="K49" s="429">
        <v>2511744.17</v>
      </c>
      <c r="L49" s="429">
        <v>22683622.390000001</v>
      </c>
      <c r="M49" s="429">
        <v>10754440.220000001</v>
      </c>
      <c r="N49" s="429">
        <v>29296079.120000001</v>
      </c>
      <c r="O49" s="429">
        <v>19940301.670000002</v>
      </c>
      <c r="P49" s="429">
        <v>29993285.289999999</v>
      </c>
      <c r="Q49" s="429">
        <v>37935759.630000003</v>
      </c>
      <c r="R49" s="42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6" t="str">
        <f>+VLOOKUP($A50,[1]Master!$D$25:$G$223,4,FALSE)</f>
        <v>Pozajmice i krediti</v>
      </c>
      <c r="C50" s="457"/>
      <c r="D50" s="457"/>
      <c r="E50" s="457"/>
      <c r="F50" s="457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6" t="str">
        <f>+VLOOKUP($A51,[1]Master!$D$25:$G$223,4,FALSE)</f>
        <v>Rezerve</v>
      </c>
      <c r="C51" s="457"/>
      <c r="D51" s="457"/>
      <c r="E51" s="457"/>
      <c r="F51" s="457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4" t="str">
        <f>+VLOOKUP($A52,[1]Master!$D$25:$G$223,4,FALSE)</f>
        <v>Otplata garancija</v>
      </c>
      <c r="C52" s="475"/>
      <c r="D52" s="475"/>
      <c r="E52" s="475"/>
      <c r="F52" s="475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4" t="str">
        <f>+VLOOKUP($A53,[1]Master!$D$25:$G$223,4,TRUE)</f>
        <v>Otplata obaveza iz prethodnih godina</v>
      </c>
      <c r="C53" s="475"/>
      <c r="D53" s="475"/>
      <c r="E53" s="475"/>
      <c r="F53" s="475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60" t="str">
        <f>+VLOOKUP($A54,[1]Master!$D$25:$G$225,4,FALSE)</f>
        <v>Neto povećanje obaveza</v>
      </c>
      <c r="C54" s="561"/>
      <c r="D54" s="561"/>
      <c r="E54" s="561"/>
      <c r="F54" s="561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80" t="str">
        <f>+VLOOKUP($A55,[1]Master!$D$25:$G$223,4,FALSE)</f>
        <v>Suficit / deficit</v>
      </c>
      <c r="C55" s="481"/>
      <c r="D55" s="481"/>
      <c r="E55" s="481"/>
      <c r="F55" s="481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45" t="s">
        <v>778</v>
      </c>
      <c r="C56" s="446"/>
      <c r="D56" s="446"/>
      <c r="E56" s="446"/>
      <c r="F56" s="446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82" t="str">
        <f>+VLOOKUP($A57,[1]Master!$D$25:$G$223,4,FALSE)</f>
        <v>Primarni bilans</v>
      </c>
      <c r="C57" s="483"/>
      <c r="D57" s="483"/>
      <c r="E57" s="483"/>
      <c r="F57" s="483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84" t="str">
        <f>+VLOOKUP($A58,[1]Master!$D$25:$G$223,4,FALSE)</f>
        <v>Otplata dugova</v>
      </c>
      <c r="C58" s="485"/>
      <c r="D58" s="485"/>
      <c r="E58" s="485"/>
      <c r="F58" s="485"/>
      <c r="G58" s="431">
        <f t="shared" ref="G58:R58" si="12">+SUM(G59:G60)</f>
        <v>18311638.189999998</v>
      </c>
      <c r="H58" s="431">
        <f t="shared" si="12"/>
        <v>42352594.400000006</v>
      </c>
      <c r="I58" s="431">
        <f t="shared" si="12"/>
        <v>36492059.539999999</v>
      </c>
      <c r="J58" s="431">
        <f t="shared" si="12"/>
        <v>65432249.010000005</v>
      </c>
      <c r="K58" s="431">
        <f t="shared" si="12"/>
        <v>6070178.8200000003</v>
      </c>
      <c r="L58" s="431">
        <f t="shared" si="12"/>
        <v>29898962.890000001</v>
      </c>
      <c r="M58" s="431">
        <f t="shared" si="12"/>
        <v>35563936.18</v>
      </c>
      <c r="N58" s="431">
        <f t="shared" si="12"/>
        <v>68410518.010000005</v>
      </c>
      <c r="O58" s="431">
        <f t="shared" si="12"/>
        <v>13074495.76</v>
      </c>
      <c r="P58" s="431">
        <f t="shared" si="12"/>
        <v>7199515.9700000007</v>
      </c>
      <c r="Q58" s="431">
        <f t="shared" si="12"/>
        <v>7022219.0999999996</v>
      </c>
      <c r="R58" s="43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72" t="str">
        <f>+VLOOKUP($A59,[1]Master!$D$25:$G$223,4,FALSE)</f>
        <v>Otplata hartija od vrijednosti i kredita rezidentima</v>
      </c>
      <c r="C59" s="473"/>
      <c r="D59" s="473"/>
      <c r="E59" s="473"/>
      <c r="F59" s="473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6" t="str">
        <f>+VLOOKUP($A60,[1]Master!$D$25:$G$223,4,FALSE)</f>
        <v>Otplata hartija od vrijednosti i kredita nerezidentima</v>
      </c>
      <c r="C60" s="457"/>
      <c r="D60" s="457"/>
      <c r="E60" s="457"/>
      <c r="F60" s="457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6" t="str">
        <f>+VLOOKUP($A61,[1]Master!$D$25:$G$223,4,FALSE)</f>
        <v>Nedostajuća sredstva</v>
      </c>
      <c r="C61" s="477"/>
      <c r="D61" s="477"/>
      <c r="E61" s="477"/>
      <c r="F61" s="477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8" t="str">
        <f>+VLOOKUP($A62,[1]Master!$D$25:$G$223,4,FALSE)</f>
        <v>Finansiranje</v>
      </c>
      <c r="C62" s="479"/>
      <c r="D62" s="479"/>
      <c r="E62" s="479"/>
      <c r="F62" s="479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72" t="str">
        <f>+VLOOKUP($A63,[1]Master!$D$25:$G$223,4,FALSE)</f>
        <v>Pozajmice i krediti od domaćih izvora</v>
      </c>
      <c r="C63" s="473"/>
      <c r="D63" s="473"/>
      <c r="E63" s="473"/>
      <c r="F63" s="473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6" t="str">
        <f>+VLOOKUP($A64,[1]Master!$D$25:$G$223,4,FALSE)</f>
        <v>Pozajmice i krediti od inostranih izvora</v>
      </c>
      <c r="C64" s="457"/>
      <c r="D64" s="457"/>
      <c r="E64" s="457"/>
      <c r="F64" s="457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6" t="str">
        <f>+VLOOKUP($A65,[1]Master!$D$25:$G$223,4,FALSE)</f>
        <v>Primici od prodaje imovine</v>
      </c>
      <c r="C65" s="457"/>
      <c r="D65" s="457"/>
      <c r="E65" s="457"/>
      <c r="F65" s="457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40" t="str">
        <f>+[1]Master!G250</f>
        <v>Plan ostvarenja budžeta</v>
      </c>
      <c r="C102" s="541"/>
      <c r="D102" s="541"/>
      <c r="E102" s="541"/>
      <c r="F102" s="541"/>
      <c r="G102" s="534">
        <v>2017</v>
      </c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35"/>
      <c r="S102" s="115" t="str">
        <f>+S7</f>
        <v>BDP</v>
      </c>
      <c r="T102" s="116">
        <f>+T7</f>
        <v>4299000000</v>
      </c>
    </row>
    <row r="103" spans="1:21" ht="15.75" customHeight="1">
      <c r="B103" s="542"/>
      <c r="C103" s="543"/>
      <c r="D103" s="543"/>
      <c r="E103" s="543"/>
      <c r="F103" s="544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4" t="str">
        <f>+[1]Master!G244</f>
        <v>Jan - Dec</v>
      </c>
      <c r="T103" s="535">
        <f>+T8</f>
        <v>0</v>
      </c>
    </row>
    <row r="104" spans="1:21" ht="13.5" thickBot="1">
      <c r="B104" s="545"/>
      <c r="C104" s="546"/>
      <c r="D104" s="546"/>
      <c r="E104" s="546"/>
      <c r="F104" s="547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+VLOOKUP(LEFT($A105,LEN(A105)-1)*1,[1]Master!$D$25:$G$223,4,FALSE)</f>
        <v>Prihodi budžeta</v>
      </c>
      <c r="C105" s="537"/>
      <c r="D105" s="537"/>
      <c r="E105" s="537"/>
      <c r="F105" s="537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8" t="str">
        <f>+VLOOKUP(LEFT($A106,LEN(A106)-1)*1,[1]Master!$D$25:$G$223,4,FALSE)</f>
        <v>Porezi</v>
      </c>
      <c r="C106" s="539"/>
      <c r="D106" s="539"/>
      <c r="E106" s="539"/>
      <c r="F106" s="539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20" t="str">
        <f>+VLOOKUP(LEFT($A107,LEN(A107)-1)*1,[1]Master!$D$25:$G$223,4,FALSE)</f>
        <v>Porez na dohodak fizičkih lica</v>
      </c>
      <c r="C107" s="521"/>
      <c r="D107" s="521"/>
      <c r="E107" s="521"/>
      <c r="F107" s="521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20" t="str">
        <f>+VLOOKUP(LEFT($A108,LEN(A108)-1)*1,[1]Master!$D$25:$G$223,4,FALSE)</f>
        <v>Porez na dobit pravnih lica</v>
      </c>
      <c r="C108" s="521"/>
      <c r="D108" s="521"/>
      <c r="E108" s="521"/>
      <c r="F108" s="521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20" t="str">
        <f>+VLOOKUP(LEFT($A109,LEN(A109)-1)*1,[1]Master!$D$25:$G$223,4,FALSE)</f>
        <v>Porez na promet nepokretnosti</v>
      </c>
      <c r="C109" s="521"/>
      <c r="D109" s="521"/>
      <c r="E109" s="521"/>
      <c r="F109" s="521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20" t="str">
        <f>+VLOOKUP(LEFT($A110,LEN(A110)-1)*1,[1]Master!$D$25:$G$223,4,FALSE)</f>
        <v>Porez na dodatu vrijednost</v>
      </c>
      <c r="C110" s="521"/>
      <c r="D110" s="521"/>
      <c r="E110" s="521"/>
      <c r="F110" s="521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20" t="str">
        <f>+VLOOKUP(LEFT($A111,LEN(A111)-1)*1,[1]Master!$D$25:$G$223,4,FALSE)</f>
        <v>Akcize</v>
      </c>
      <c r="C111" s="521"/>
      <c r="D111" s="521"/>
      <c r="E111" s="521"/>
      <c r="F111" s="521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20" t="str">
        <f>+VLOOKUP(LEFT($A112,LEN(A112)-1)*1,[1]Master!$D$25:$G$223,4,FALSE)</f>
        <v>Porez na međunarodnu trgovinu i transakcije</v>
      </c>
      <c r="C112" s="521"/>
      <c r="D112" s="521"/>
      <c r="E112" s="521"/>
      <c r="F112" s="521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20" t="str">
        <f>+VLOOKUP(LEFT($A113,LEN(A113)-1)*1,[1]Master!$D$25:$G$223,4,FALSE)</f>
        <v>Ostali državni porezi</v>
      </c>
      <c r="C113" s="521"/>
      <c r="D113" s="521"/>
      <c r="E113" s="521"/>
      <c r="F113" s="521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32" t="str">
        <f>+VLOOKUP(LEFT($A114,LEN(A114)-1)*1,[1]Master!$D$25:$G$223,4,FALSE)</f>
        <v>Doprinosi</v>
      </c>
      <c r="C114" s="533"/>
      <c r="D114" s="533"/>
      <c r="E114" s="533"/>
      <c r="F114" s="533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20" t="str">
        <f>+VLOOKUP(LEFT($A115,LEN(A115)-1)*1,[1]Master!$D$25:$G$223,4,FALSE)</f>
        <v>Doprinosi za penzijsko i invalidsko osiguranje</v>
      </c>
      <c r="C115" s="521"/>
      <c r="D115" s="521"/>
      <c r="E115" s="521"/>
      <c r="F115" s="521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20" t="str">
        <f>+VLOOKUP(LEFT($A116,LEN(A116)-1)*1,[1]Master!$D$25:$G$223,4,FALSE)</f>
        <v>Doprinosi za zdravstveno osiguranje</v>
      </c>
      <c r="C116" s="521"/>
      <c r="D116" s="521"/>
      <c r="E116" s="521"/>
      <c r="F116" s="521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20" t="str">
        <f>+VLOOKUP(LEFT($A117,LEN(A117)-1)*1,[1]Master!$D$25:$G$223,4,FALSE)</f>
        <v>Doprinosi za osiguranje od nezaposlenosti</v>
      </c>
      <c r="C117" s="521"/>
      <c r="D117" s="521"/>
      <c r="E117" s="521"/>
      <c r="F117" s="521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20" t="str">
        <f>+VLOOKUP(LEFT($A118,LEN(A118)-1)*1,[1]Master!$D$25:$G$223,4,FALSE)</f>
        <v>Ostali doprinosi</v>
      </c>
      <c r="C118" s="521"/>
      <c r="D118" s="521"/>
      <c r="E118" s="521"/>
      <c r="F118" s="521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24" t="str">
        <f>+VLOOKUP(LEFT($A119,LEN(A119)-1)*1,[1]Master!$D$25:$G$223,4,FALSE)</f>
        <v>Takse</v>
      </c>
      <c r="C119" s="525"/>
      <c r="D119" s="525"/>
      <c r="E119" s="525"/>
      <c r="F119" s="525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24" t="str">
        <f>+VLOOKUP(LEFT($A120,LEN(A120)-1)*1,[1]Master!$D$25:$G$223,4,FALSE)</f>
        <v>Naknade</v>
      </c>
      <c r="C120" s="525"/>
      <c r="D120" s="525"/>
      <c r="E120" s="525"/>
      <c r="F120" s="525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24" t="str">
        <f>+VLOOKUP(LEFT($A121,LEN(A121)-1)*1,[1]Master!$D$25:$G$223,4,FALSE)</f>
        <v>Ostali prihodi</v>
      </c>
      <c r="C121" s="525"/>
      <c r="D121" s="525"/>
      <c r="E121" s="525"/>
      <c r="F121" s="525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24" t="str">
        <f>+VLOOKUP(LEFT($A122,LEN(A122)-1)*1,[1]Master!$D$25:$G$223,4,FALSE)</f>
        <v>Primici od otplate kredita i sredstva prenesena iz prethodne godine</v>
      </c>
      <c r="C122" s="525"/>
      <c r="D122" s="525"/>
      <c r="E122" s="525"/>
      <c r="F122" s="525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6" t="str">
        <f>+VLOOKUP(LEFT($A123,LEN(A123)-1)*1,[1]Master!$D$25:$G$223,4,FALSE)</f>
        <v>Donacije i transferi</v>
      </c>
      <c r="C123" s="527"/>
      <c r="D123" s="527"/>
      <c r="E123" s="527"/>
      <c r="F123" s="527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10" t="str">
        <f>+VLOOKUP(LEFT($A124,LEN(A124)-1)*1,[1]Master!$D$25:$G$223,4,FALSE)</f>
        <v>Budžetki izdaci</v>
      </c>
      <c r="C124" s="511"/>
      <c r="D124" s="511"/>
      <c r="E124" s="511"/>
      <c r="F124" s="511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8" t="str">
        <f>+VLOOKUP(LEFT($A125,LEN(A125)-1)*1,[1]Master!$D$25:$G$223,4,FALSE)</f>
        <v>Tekući izdaci</v>
      </c>
      <c r="C125" s="529"/>
      <c r="D125" s="529"/>
      <c r="E125" s="529"/>
      <c r="F125" s="529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30" t="str">
        <f>+VLOOKUP(LEFT($A126,LEN(A126)-1)*1,[1]Master!$D$25:$G$223,4,FALSE)</f>
        <v>Tekući budžetski izdaci</v>
      </c>
      <c r="C126" s="531"/>
      <c r="D126" s="531"/>
      <c r="E126" s="531"/>
      <c r="F126" s="531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20" t="str">
        <f>+VLOOKUP(LEFT($A127,LEN(A127)-1)*1,[1]Master!$D$25:$G$223,4,FALSE)</f>
        <v>Bruto zarade i doprinosi na teret poslodavca</v>
      </c>
      <c r="C127" s="521"/>
      <c r="D127" s="521"/>
      <c r="E127" s="521"/>
      <c r="F127" s="521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20" t="str">
        <f>+VLOOKUP(LEFT($A128,LEN(A128)-1)*1,[1]Master!$D$25:$G$223,4,FALSE)</f>
        <v>Ostala lična primanja</v>
      </c>
      <c r="C128" s="521"/>
      <c r="D128" s="521"/>
      <c r="E128" s="521"/>
      <c r="F128" s="521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20" t="str">
        <f>+VLOOKUP(LEFT($A129,LEN(A129)-1)*1,[1]Master!$D$25:$G$223,4,FALSE)</f>
        <v>Rashodi za materijal</v>
      </c>
      <c r="C129" s="521"/>
      <c r="D129" s="521"/>
      <c r="E129" s="521"/>
      <c r="F129" s="521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20" t="str">
        <f>+VLOOKUP(LEFT($A130,LEN(A130)-1)*1,[1]Master!$D$25:$G$223,4,FALSE)</f>
        <v>Rashodi za usluge</v>
      </c>
      <c r="C130" s="521"/>
      <c r="D130" s="521"/>
      <c r="E130" s="521"/>
      <c r="F130" s="521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20" t="str">
        <f>+VLOOKUP(LEFT($A131,LEN(A131)-1)*1,[1]Master!$D$25:$G$223,4,FALSE)</f>
        <v>Rashodi za tekuće održavanje</v>
      </c>
      <c r="C131" s="521"/>
      <c r="D131" s="521"/>
      <c r="E131" s="521"/>
      <c r="F131" s="521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20" t="str">
        <f>+VLOOKUP(LEFT($A132,LEN(A132)-1)*1,[1]Master!$D$25:$G$223,4,FALSE)</f>
        <v>Kamate</v>
      </c>
      <c r="C132" s="521"/>
      <c r="D132" s="521"/>
      <c r="E132" s="521"/>
      <c r="F132" s="521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20" t="str">
        <f>+VLOOKUP(LEFT($A133,LEN(A133)-1)*1,[1]Master!$D$25:$G$223,4,FALSE)</f>
        <v>Renta</v>
      </c>
      <c r="C133" s="521"/>
      <c r="D133" s="521"/>
      <c r="E133" s="521"/>
      <c r="F133" s="521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20" t="str">
        <f>+VLOOKUP(LEFT($A134,LEN(A134)-1)*1,[1]Master!$D$25:$G$223,4,FALSE)</f>
        <v>Subvencije</v>
      </c>
      <c r="C134" s="521"/>
      <c r="D134" s="521"/>
      <c r="E134" s="521"/>
      <c r="F134" s="521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20" t="str">
        <f>+VLOOKUP(LEFT($A135,LEN(A135)-1)*1,[1]Master!$D$25:$G$223,4,FALSE)</f>
        <v>Ostali izdaci</v>
      </c>
      <c r="C135" s="521"/>
      <c r="D135" s="521"/>
      <c r="E135" s="521"/>
      <c r="F135" s="521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20" t="str">
        <f>+VLOOKUP(LEFT($A136,LEN(A136)-1)*1,[1]Master!$D$25:$G$223,4,FALSE)</f>
        <v>Kapitalni izdaci u tekućem budžetu</v>
      </c>
      <c r="C136" s="521"/>
      <c r="D136" s="521"/>
      <c r="E136" s="521"/>
      <c r="F136" s="521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8" t="str">
        <f>+VLOOKUP(LEFT($A137,LEN(A137)-1)*1,[1]Master!$D$25:$G$223,4,FALSE)</f>
        <v>Transferi za socijalnu zaštitu</v>
      </c>
      <c r="C137" s="519"/>
      <c r="D137" s="519"/>
      <c r="E137" s="519"/>
      <c r="F137" s="519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20" t="str">
        <f>+VLOOKUP(LEFT($A138,LEN(A138)-1)*1,[1]Master!$D$25:$G$223,4,FALSE)</f>
        <v>Prava iz oblasti socijalne zaštite</v>
      </c>
      <c r="C138" s="521"/>
      <c r="D138" s="521"/>
      <c r="E138" s="521"/>
      <c r="F138" s="521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20" t="str">
        <f>+VLOOKUP(LEFT($A139,LEN(A139)-1)*1,[1]Master!$D$25:$G$223,4,FALSE)</f>
        <v>Sredstva za tehnološke viškove</v>
      </c>
      <c r="C139" s="521"/>
      <c r="D139" s="521"/>
      <c r="E139" s="521"/>
      <c r="F139" s="521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20" t="str">
        <f>+VLOOKUP(LEFT($A140,LEN(A140)-1)*1,[1]Master!$D$25:$G$223,4,FALSE)</f>
        <v>Prava iz oblasti penzijskog i invalidskog osiguranja</v>
      </c>
      <c r="C140" s="521"/>
      <c r="D140" s="521"/>
      <c r="E140" s="521"/>
      <c r="F140" s="521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20" t="str">
        <f>+VLOOKUP(LEFT($A141,LEN(A141)-1)*1,[1]Master!$D$25:$G$223,4,FALSE)</f>
        <v>Ostala prava iz oblasti zdravstvene zaštite</v>
      </c>
      <c r="C141" s="521"/>
      <c r="D141" s="521"/>
      <c r="E141" s="521"/>
      <c r="F141" s="521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20" t="str">
        <f>+VLOOKUP(LEFT($A142,LEN(A142)-1)*1,[1]Master!$D$25:$G$223,4,FALSE)</f>
        <v>Ostala prava iz zdravstvenog osiguranja</v>
      </c>
      <c r="C142" s="521"/>
      <c r="D142" s="521"/>
      <c r="E142" s="521"/>
      <c r="F142" s="521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22" t="str">
        <f>+VLOOKUP(LEFT($A143,LEN(A143)-1)*1,[1]Master!$D$25:$G$223,4,FALSE)</f>
        <v xml:space="preserve">Transferi institucijama, pojedincima, nevladinom i javnom sektoru </v>
      </c>
      <c r="C143" s="523"/>
      <c r="D143" s="523"/>
      <c r="E143" s="523"/>
      <c r="F143" s="523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22" t="str">
        <f>+VLOOKUP(LEFT($A144,LEN(A144)-1)*1,[1]Master!$D$25:$G$223,4,FALSE)</f>
        <v>Kapitalni budžet</v>
      </c>
      <c r="C144" s="523"/>
      <c r="D144" s="523"/>
      <c r="E144" s="523"/>
      <c r="F144" s="523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6" t="str">
        <f>+VLOOKUP(LEFT($A145,LEN(A145)-1)*1,[1]Master!$D$25:$G$223,4,FALSE)</f>
        <v>Pozajmice i krediti</v>
      </c>
      <c r="C145" s="507"/>
      <c r="D145" s="507"/>
      <c r="E145" s="507"/>
      <c r="F145" s="507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6" t="str">
        <f>+VLOOKUP(LEFT($A146,LEN(A146)-1)*1,[1]Master!$D$25:$G$223,4,FALSE)</f>
        <v>Rezerve</v>
      </c>
      <c r="C146" s="507"/>
      <c r="D146" s="507"/>
      <c r="E146" s="507"/>
      <c r="F146" s="507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6" t="str">
        <f>+VLOOKUP(LEFT($A147,LEN(A147)-1)*1,[1]Master!$D$25:$G$223,4,FALSE)</f>
        <v>Otplata garancija</v>
      </c>
      <c r="C147" s="507"/>
      <c r="D147" s="507"/>
      <c r="E147" s="507"/>
      <c r="F147" s="507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20" t="s">
        <v>699</v>
      </c>
      <c r="C148" s="421"/>
      <c r="D148" s="421"/>
      <c r="E148" s="421"/>
      <c r="F148" s="421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+VLOOKUP(LEFT($A149,LEN(A149)-1)*1,[1]Master!$D$25:$G$223,4,FALSE)</f>
        <v>Suficit / deficit</v>
      </c>
      <c r="C149" s="515"/>
      <c r="D149" s="515"/>
      <c r="E149" s="515"/>
      <c r="F149" s="515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6" t="str">
        <f>+VLOOKUP(LEFT($A150,LEN(A150)-1)*1,[1]Master!$D$25:$G$223,4,FALSE)</f>
        <v>Primarni bilans</v>
      </c>
      <c r="C150" s="517"/>
      <c r="D150" s="517"/>
      <c r="E150" s="517"/>
      <c r="F150" s="517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8" t="str">
        <f>+VLOOKUP(LEFT($A151,LEN(A151)-1)*1,[1]Master!$D$25:$G$223,4,FALSE)</f>
        <v>Otplata dugova</v>
      </c>
      <c r="C151" s="519"/>
      <c r="D151" s="519"/>
      <c r="E151" s="519"/>
      <c r="F151" s="519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12" t="str">
        <f>+VLOOKUP(LEFT($A152,LEN(A152)-1)*1,[1]Master!$D$25:$G$223,4,FALSE)</f>
        <v>Otplata hartija od vrijednosti i kredita rezidentima</v>
      </c>
      <c r="C152" s="513"/>
      <c r="D152" s="513"/>
      <c r="E152" s="513"/>
      <c r="F152" s="513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6" t="str">
        <f>+VLOOKUP(LEFT($A153,LEN(A153)-1)*1,[1]Master!$D$25:$G$223,4,FALSE)</f>
        <v>Otplata hartija od vrijednosti i kredita nerezidentima</v>
      </c>
      <c r="C153" s="507"/>
      <c r="D153" s="507"/>
      <c r="E153" s="507"/>
      <c r="F153" s="507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60" t="str">
        <f>+VLOOKUP(LEFT($A154,LEN(A154)-1)*1,[1]Master!$D$25:$G$223,4,FALSE)</f>
        <v>Otplata obaveza iz prethodnih godina</v>
      </c>
      <c r="C154" s="561"/>
      <c r="D154" s="561"/>
      <c r="E154" s="561"/>
      <c r="F154" s="561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8" t="str">
        <f>+VLOOKUP(LEFT($A155,LEN(A155)-1)*1,[1]Master!$D$25:$G$223,4,FALSE)</f>
        <v>Nedostajuća sredstva</v>
      </c>
      <c r="C155" s="509"/>
      <c r="D155" s="509"/>
      <c r="E155" s="509"/>
      <c r="F155" s="509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10" t="str">
        <f>+VLOOKUP(LEFT($A156,LEN(A156)-1)*1,[1]Master!$D$25:$G$223,4,FALSE)</f>
        <v>Finansiranje</v>
      </c>
      <c r="C156" s="511"/>
      <c r="D156" s="511"/>
      <c r="E156" s="511"/>
      <c r="F156" s="511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12" t="str">
        <f>+VLOOKUP(LEFT($A157,LEN(A157)-1)*1,[1]Master!$D$25:$G$223,4,FALSE)</f>
        <v>Pozajmice i krediti od domaćih izvora</v>
      </c>
      <c r="C157" s="513"/>
      <c r="D157" s="513"/>
      <c r="E157" s="513"/>
      <c r="F157" s="513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6" t="str">
        <f>+VLOOKUP(LEFT($A158,LEN(A158)-1)*1,[1]Master!$D$25:$G$223,4,FALSE)</f>
        <v>Pozajmice i krediti od inostranih izvora</v>
      </c>
      <c r="C158" s="507"/>
      <c r="D158" s="507"/>
      <c r="E158" s="507"/>
      <c r="F158" s="507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6" t="str">
        <f>+VLOOKUP(LEFT($A159,LEN(A159)-1)*1,[1]Master!$D$25:$G$223,4,FALSE)</f>
        <v>Primici od prodaje imovine</v>
      </c>
      <c r="C159" s="507"/>
      <c r="D159" s="507"/>
      <c r="E159" s="507"/>
      <c r="F159" s="507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50" activePane="bottomLeft" state="frozen"/>
      <selection pane="bottomLeft" activeCell="V5" sqref="V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559" t="str">
        <f>+Master!G249</f>
        <v>Budget Execution</v>
      </c>
      <c r="C7" s="459"/>
      <c r="D7" s="459"/>
      <c r="E7" s="459"/>
      <c r="F7" s="459"/>
      <c r="G7" s="467">
        <v>2016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+Master!G246</f>
        <v>GDP</v>
      </c>
      <c r="T7" s="261">
        <v>3954200000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7" t="str">
        <f>+Master!G243</f>
        <v>Jan - Sep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8" t="str">
        <f>+VLOOKUP($A18,Master!$D$25:$G$223,4,FALSE)</f>
        <v>Other Republic Taxes</v>
      </c>
      <c r="C18" s="489"/>
      <c r="D18" s="489"/>
      <c r="E18" s="489"/>
      <c r="F18" s="489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8" t="str">
        <f>+VLOOKUP($A19,Master!$D$25:$G$223,4,FALSE)</f>
        <v>Contributions</v>
      </c>
      <c r="C19" s="499"/>
      <c r="D19" s="499"/>
      <c r="E19" s="499"/>
      <c r="F19" s="499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8" t="str">
        <f>+VLOOKUP($A20,Master!$D$25:$G$223,4,FALSE)</f>
        <v>Contributions for Pension and Disability Insurance</v>
      </c>
      <c r="C20" s="489"/>
      <c r="D20" s="489"/>
      <c r="E20" s="489"/>
      <c r="F20" s="489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8" t="str">
        <f>+VLOOKUP($A21,Master!$D$25:$G$223,4,FALSE)</f>
        <v>Contributions for Health Insurance</v>
      </c>
      <c r="C21" s="489"/>
      <c r="D21" s="489"/>
      <c r="E21" s="489"/>
      <c r="F21" s="489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8" t="str">
        <f>+VLOOKUP($A22,Master!$D$25:$G$223,4,FALSE)</f>
        <v>Contributions for  Unemployment Insurance</v>
      </c>
      <c r="C22" s="489"/>
      <c r="D22" s="489"/>
      <c r="E22" s="489"/>
      <c r="F22" s="489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8" t="str">
        <f>+VLOOKUP($A23,Master!$D$25:$G$223,4,FALSE)</f>
        <v>Other contributions</v>
      </c>
      <c r="C23" s="489"/>
      <c r="D23" s="489"/>
      <c r="E23" s="489"/>
      <c r="F23" s="489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90" t="str">
        <f>+VLOOKUP($A24,Master!$D$25:$G$223,4,FALSE)</f>
        <v>Duties</v>
      </c>
      <c r="C24" s="491"/>
      <c r="D24" s="491"/>
      <c r="E24" s="491"/>
      <c r="F24" s="491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90" t="str">
        <f>+VLOOKUP($A25,Master!$D$25:$G$223,4,FALSE)</f>
        <v>Fees</v>
      </c>
      <c r="C25" s="491"/>
      <c r="D25" s="491"/>
      <c r="E25" s="491"/>
      <c r="F25" s="491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90" t="str">
        <f>+VLOOKUP($A26,Master!$D$25:$G$223,4,FALSE)</f>
        <v>Other revenues</v>
      </c>
      <c r="C26" s="491"/>
      <c r="D26" s="491"/>
      <c r="E26" s="491"/>
      <c r="F26" s="491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90" t="str">
        <f>+VLOOKUP($A27,Master!$D$25:$G$223,4,FALSE)</f>
        <v>Receipts from Repayment of Loans and Funds Carried over from Previous Year</v>
      </c>
      <c r="C27" s="491"/>
      <c r="D27" s="491"/>
      <c r="E27" s="491"/>
      <c r="F27" s="491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92" t="str">
        <f>+VLOOKUP($A28,Master!$D$25:$G$223,4,FALSE)</f>
        <v>Grants and Transfers</v>
      </c>
      <c r="C28" s="493"/>
      <c r="D28" s="493"/>
      <c r="E28" s="493"/>
      <c r="F28" s="493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8" t="str">
        <f>+VLOOKUP($A29,Master!$D$25:$G$223,4,FALSE)</f>
        <v>Total Expenditures</v>
      </c>
      <c r="C29" s="479"/>
      <c r="D29" s="479"/>
      <c r="E29" s="479"/>
      <c r="F29" s="479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94" t="str">
        <f>+VLOOKUP($A30,Master!$D$25:$G$223,4,FALSE)</f>
        <v>Current Expenditures</v>
      </c>
      <c r="C30" s="495"/>
      <c r="D30" s="495"/>
      <c r="E30" s="495"/>
      <c r="F30" s="495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6" t="str">
        <f>+VLOOKUP($A31,Master!$D$25:$G$223,4,FALSE)</f>
        <v>Current Budgetary Expenditures</v>
      </c>
      <c r="C31" s="497"/>
      <c r="D31" s="497"/>
      <c r="E31" s="497"/>
      <c r="F31" s="497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8" t="str">
        <f>+VLOOKUP($A32,Master!$D$25:$G$223,4,FALSE)</f>
        <v>Gross Salaries and Contributions</v>
      </c>
      <c r="C32" s="489"/>
      <c r="D32" s="489"/>
      <c r="E32" s="489"/>
      <c r="F32" s="489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8" t="str">
        <f>+VLOOKUP($A33,Master!$D$25:$G$223,4,FALSE)</f>
        <v>Other Personal Income</v>
      </c>
      <c r="C33" s="489"/>
      <c r="D33" s="489"/>
      <c r="E33" s="489"/>
      <c r="F33" s="489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8" t="str">
        <f>+VLOOKUP($A34,Master!$D$25:$G$223,4,FALSE)</f>
        <v>Expenditures for Supplies</v>
      </c>
      <c r="C34" s="489"/>
      <c r="D34" s="489"/>
      <c r="E34" s="489"/>
      <c r="F34" s="489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8" t="str">
        <f>+VLOOKUP($A35,Master!$D$25:$G$223,4,FALSE)</f>
        <v>Expenditures for Services</v>
      </c>
      <c r="C35" s="489"/>
      <c r="D35" s="489"/>
      <c r="E35" s="489"/>
      <c r="F35" s="489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8" t="str">
        <f>+VLOOKUP($A36,Master!$D$25:$G$223,4,FALSE)</f>
        <v>Current Maintenance</v>
      </c>
      <c r="C36" s="489"/>
      <c r="D36" s="489"/>
      <c r="E36" s="489"/>
      <c r="F36" s="489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8" t="str">
        <f>+VLOOKUP($A37,Master!$D$25:$G$223,4,FALSE)</f>
        <v>Interests</v>
      </c>
      <c r="C37" s="489"/>
      <c r="D37" s="489"/>
      <c r="E37" s="489"/>
      <c r="F37" s="489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8" t="str">
        <f>+VLOOKUP($A38,Master!$D$25:$G$223,4,FALSE)</f>
        <v>Rent</v>
      </c>
      <c r="C38" s="489"/>
      <c r="D38" s="489"/>
      <c r="E38" s="489"/>
      <c r="F38" s="489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8" t="str">
        <f>+VLOOKUP($A39,Master!$D$25:$G$223,4,FALSE)</f>
        <v>Subsidies</v>
      </c>
      <c r="C39" s="489"/>
      <c r="D39" s="489"/>
      <c r="E39" s="489"/>
      <c r="F39" s="489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8" t="str">
        <f>+VLOOKUP($A40,Master!$D$25:$G$223,4,FALSE)</f>
        <v>Other expenditures</v>
      </c>
      <c r="C40" s="489"/>
      <c r="D40" s="489"/>
      <c r="E40" s="489"/>
      <c r="F40" s="489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8" t="str">
        <f>+VLOOKUP($A41,Master!$D$25:$G$223,4,FALSE)</f>
        <v>Current Capital Expenditure</v>
      </c>
      <c r="C41" s="489"/>
      <c r="D41" s="489"/>
      <c r="E41" s="489"/>
      <c r="F41" s="489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4" t="str">
        <f>+VLOOKUP($A42,Master!$D$25:$G$223,4,FALSE)</f>
        <v>Social Security Transfers</v>
      </c>
      <c r="C42" s="485"/>
      <c r="D42" s="485"/>
      <c r="E42" s="485"/>
      <c r="F42" s="485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8" t="str">
        <f>+VLOOKUP($A43,Master!$D$25:$G$223,4,FALSE)</f>
        <v>Social Security</v>
      </c>
      <c r="C43" s="489"/>
      <c r="D43" s="489"/>
      <c r="E43" s="489"/>
      <c r="F43" s="489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8" t="str">
        <f>+VLOOKUP($A44,Master!$D$25:$G$223,4,FALSE)</f>
        <v>Funds for redundant labor</v>
      </c>
      <c r="C44" s="489"/>
      <c r="D44" s="489"/>
      <c r="E44" s="489"/>
      <c r="F44" s="489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8" t="str">
        <f>+VLOOKUP($A45,Master!$D$25:$G$223,4,FALSE)</f>
        <v>Pension and Disability Insurance</v>
      </c>
      <c r="C45" s="489"/>
      <c r="D45" s="489"/>
      <c r="E45" s="489"/>
      <c r="F45" s="489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8" t="str">
        <f>+VLOOKUP($A46,Master!$D$25:$G$223,4,FALSE)</f>
        <v>Other Health Care Transfers</v>
      </c>
      <c r="C46" s="489"/>
      <c r="D46" s="489"/>
      <c r="E46" s="489"/>
      <c r="F46" s="489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8" t="str">
        <f>+VLOOKUP($A47,Master!$D$25:$G$223,4,FALSE)</f>
        <v>Other Health Care Insurance</v>
      </c>
      <c r="C47" s="489"/>
      <c r="D47" s="489"/>
      <c r="E47" s="489"/>
      <c r="F47" s="489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6" t="str">
        <f>+VLOOKUP($A48,Master!$D$25:$G$223,4,FALSE)</f>
        <v xml:space="preserve">Transfers to Institutions, Individuals, NGO and Public Sector </v>
      </c>
      <c r="C48" s="487"/>
      <c r="D48" s="487"/>
      <c r="E48" s="487"/>
      <c r="F48" s="487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6" t="str">
        <f>+VLOOKUP($A49,Master!$D$25:$G$223,4,FALSE)</f>
        <v>Capital Expenditure</v>
      </c>
      <c r="C49" s="487"/>
      <c r="D49" s="487"/>
      <c r="E49" s="487"/>
      <c r="F49" s="487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4" t="str">
        <f>+VLOOKUP($A52,Master!$D$25:$G$223,4,FALSE)</f>
        <v>Repayment of Guarantees</v>
      </c>
      <c r="C52" s="475"/>
      <c r="D52" s="475"/>
      <c r="E52" s="475"/>
      <c r="F52" s="475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4" t="str">
        <f>+VLOOKUP($A53,Master!$D$25:$G$223,4,TRUE)</f>
        <v>Repayments of Arrears</v>
      </c>
      <c r="C53" s="475"/>
      <c r="D53" s="475"/>
      <c r="E53" s="475"/>
      <c r="F53" s="475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60" t="str">
        <f>+VLOOKUP($A54,Master!$D$25:$G$225,4,FALSE)</f>
        <v>Net increase of liabilities</v>
      </c>
      <c r="C54" s="561"/>
      <c r="D54" s="561"/>
      <c r="E54" s="561"/>
      <c r="F54" s="561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80" t="str">
        <f>+VLOOKUP($A55,Master!$D$25:$G$223,4,FALSE)</f>
        <v>Surplus / deficit</v>
      </c>
      <c r="C55" s="481"/>
      <c r="D55" s="481"/>
      <c r="E55" s="481"/>
      <c r="F55" s="481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45" t="s">
        <v>778</v>
      </c>
      <c r="C56" s="446"/>
      <c r="D56" s="446"/>
      <c r="E56" s="446"/>
      <c r="F56" s="446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82" t="str">
        <f>+VLOOKUP($A57,Master!$D$25:$G$223,4,FALSE)</f>
        <v>Primary balance</v>
      </c>
      <c r="C57" s="483"/>
      <c r="D57" s="483"/>
      <c r="E57" s="483"/>
      <c r="F57" s="483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4" t="str">
        <f>+VLOOKUP($A58,Master!$D$25:$G$223,4,FALSE)</f>
        <v>Repayment of Debt</v>
      </c>
      <c r="C58" s="485"/>
      <c r="D58" s="485"/>
      <c r="E58" s="485"/>
      <c r="F58" s="485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72" t="str">
        <f>+VLOOKUP($A59,Master!$D$25:$G$223,4,FALSE)</f>
        <v>Repayment of Domestic Debt</v>
      </c>
      <c r="C59" s="473"/>
      <c r="D59" s="473"/>
      <c r="E59" s="473"/>
      <c r="F59" s="473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6" t="str">
        <f>+VLOOKUP($A60,Master!$D$25:$G$223,4,FALSE)</f>
        <v>Repayment of Foreign Debt</v>
      </c>
      <c r="C60" s="457"/>
      <c r="D60" s="457"/>
      <c r="E60" s="457"/>
      <c r="F60" s="457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6" t="str">
        <f>+VLOOKUP($A61,Master!$D$25:$G$223,4,FALSE)</f>
        <v>Financing needs</v>
      </c>
      <c r="C61" s="477"/>
      <c r="D61" s="477"/>
      <c r="E61" s="477"/>
      <c r="F61" s="477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8" t="str">
        <f>+VLOOKUP($A62,Master!$D$25:$G$223,4,FALSE)</f>
        <v>Financing</v>
      </c>
      <c r="C62" s="479"/>
      <c r="D62" s="479"/>
      <c r="E62" s="479"/>
      <c r="F62" s="479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72" t="str">
        <f>+VLOOKUP($A63,Master!$D$25:$G$223,4,FALSE)</f>
        <v>Domestic Loans and Borrowings</v>
      </c>
      <c r="C63" s="473"/>
      <c r="D63" s="473"/>
      <c r="E63" s="473"/>
      <c r="F63" s="473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6" t="str">
        <f>+VLOOKUP($A64,Master!$D$25:$G$223,4,FALSE)</f>
        <v>Foreign Loans and Borrowings</v>
      </c>
      <c r="C64" s="457"/>
      <c r="D64" s="457"/>
      <c r="E64" s="457"/>
      <c r="F64" s="457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6" t="str">
        <f>+VLOOKUP($A65,Master!$D$25:$G$223,4,FALSE)</f>
        <v>Revenues from Selling Assets</v>
      </c>
      <c r="C65" s="457"/>
      <c r="D65" s="457"/>
      <c r="E65" s="457"/>
      <c r="F65" s="457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40" t="str">
        <f>+Master!G250</f>
        <v>Planned Budget Execution</v>
      </c>
      <c r="C102" s="541"/>
      <c r="D102" s="541"/>
      <c r="E102" s="541"/>
      <c r="F102" s="541"/>
      <c r="G102" s="534">
        <v>2016</v>
      </c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35"/>
      <c r="S102" s="115" t="str">
        <f>+S7</f>
        <v>GDP</v>
      </c>
      <c r="T102" s="116">
        <f>+T7</f>
        <v>3954200000</v>
      </c>
    </row>
    <row r="103" spans="1:21" ht="15.75" customHeight="1">
      <c r="B103" s="542"/>
      <c r="C103" s="543"/>
      <c r="D103" s="543"/>
      <c r="E103" s="543"/>
      <c r="F103" s="544"/>
      <c r="G103" s="73" t="str">
        <f t="shared" ref="G103:R103" si="17">+G8</f>
        <v>January</v>
      </c>
      <c r="H103" s="73" t="str">
        <f t="shared" si="17"/>
        <v>February</v>
      </c>
      <c r="I103" s="73" t="str">
        <f t="shared" si="17"/>
        <v>March</v>
      </c>
      <c r="J103" s="73" t="str">
        <f t="shared" si="17"/>
        <v>April</v>
      </c>
      <c r="K103" s="73" t="str">
        <f t="shared" si="17"/>
        <v>May</v>
      </c>
      <c r="L103" s="73" t="str">
        <f t="shared" si="17"/>
        <v>June</v>
      </c>
      <c r="M103" s="73" t="str">
        <f t="shared" si="17"/>
        <v>July</v>
      </c>
      <c r="N103" s="73" t="str">
        <f t="shared" si="17"/>
        <v>August</v>
      </c>
      <c r="O103" s="73" t="str">
        <f t="shared" si="17"/>
        <v>September</v>
      </c>
      <c r="P103" s="73" t="str">
        <f t="shared" si="17"/>
        <v>October</v>
      </c>
      <c r="Q103" s="73" t="str">
        <f t="shared" si="17"/>
        <v>November</v>
      </c>
      <c r="R103" s="73" t="str">
        <f t="shared" si="17"/>
        <v>December</v>
      </c>
      <c r="S103" s="534" t="str">
        <f>+Master!G244</f>
        <v>Jan - Dec</v>
      </c>
      <c r="T103" s="535">
        <f>+T8</f>
        <v>0</v>
      </c>
    </row>
    <row r="104" spans="1:21" ht="13.5" thickBot="1">
      <c r="B104" s="545"/>
      <c r="C104" s="546"/>
      <c r="D104" s="546"/>
      <c r="E104" s="546"/>
      <c r="F104" s="547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+VLOOKUP(LEFT($A105,LEN(A105)-1)*1,Master!$D$25:$G$223,4,FALSE)</f>
        <v>Total Revenues</v>
      </c>
      <c r="C105" s="537"/>
      <c r="D105" s="537"/>
      <c r="E105" s="537"/>
      <c r="F105" s="537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8" t="str">
        <f>+VLOOKUP(LEFT($A106,LEN(A106)-1)*1,Master!$D$25:$G$223,4,FALSE)</f>
        <v>Taxes</v>
      </c>
      <c r="C106" s="539"/>
      <c r="D106" s="539"/>
      <c r="E106" s="539"/>
      <c r="F106" s="539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20" t="str">
        <f>+VLOOKUP(LEFT($A107,LEN(A107)-1)*1,Master!$D$25:$G$223,4,FALSE)</f>
        <v>Personal Income Tax</v>
      </c>
      <c r="C107" s="521"/>
      <c r="D107" s="521"/>
      <c r="E107" s="521"/>
      <c r="F107" s="521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20" t="str">
        <f>+VLOOKUP(LEFT($A108,LEN(A108)-1)*1,Master!$D$25:$G$223,4,FALSE)</f>
        <v>Corporate Income Tax</v>
      </c>
      <c r="C108" s="521"/>
      <c r="D108" s="521"/>
      <c r="E108" s="521"/>
      <c r="F108" s="521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20" t="str">
        <f>+VLOOKUP(LEFT($A109,LEN(A109)-1)*1,Master!$D$25:$G$223,4,FALSE)</f>
        <v xml:space="preserve">Taxes on Sales of Property </v>
      </c>
      <c r="C109" s="521"/>
      <c r="D109" s="521"/>
      <c r="E109" s="521"/>
      <c r="F109" s="521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20" t="str">
        <f>+VLOOKUP(LEFT($A110,LEN(A110)-1)*1,Master!$D$25:$G$223,4,FALSE)</f>
        <v>Value Added Tax</v>
      </c>
      <c r="C110" s="521"/>
      <c r="D110" s="521"/>
      <c r="E110" s="521"/>
      <c r="F110" s="521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20" t="str">
        <f>+VLOOKUP(LEFT($A111,LEN(A111)-1)*1,Master!$D$25:$G$223,4,FALSE)</f>
        <v>Excises</v>
      </c>
      <c r="C111" s="521"/>
      <c r="D111" s="521"/>
      <c r="E111" s="521"/>
      <c r="F111" s="521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20" t="str">
        <f>+VLOOKUP(LEFT($A112,LEN(A112)-1)*1,Master!$D$25:$G$223,4,FALSE)</f>
        <v>Tax on International Trade and Transactions</v>
      </c>
      <c r="C112" s="521"/>
      <c r="D112" s="521"/>
      <c r="E112" s="521"/>
      <c r="F112" s="521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20" t="str">
        <f>+VLOOKUP(LEFT($A113,LEN(A113)-1)*1,Master!$D$25:$G$223,4,FALSE)</f>
        <v>Other Republic Taxes</v>
      </c>
      <c r="C113" s="521"/>
      <c r="D113" s="521"/>
      <c r="E113" s="521"/>
      <c r="F113" s="521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32" t="str">
        <f>+VLOOKUP(LEFT($A114,LEN(A114)-1)*1,Master!$D$25:$G$223,4,FALSE)</f>
        <v>Contributions</v>
      </c>
      <c r="C114" s="533"/>
      <c r="D114" s="533"/>
      <c r="E114" s="533"/>
      <c r="F114" s="533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20" t="str">
        <f>+VLOOKUP(LEFT($A115,LEN(A115)-1)*1,Master!$D$25:$G$223,4,FALSE)</f>
        <v>Contributions for Pension and Disability Insurance</v>
      </c>
      <c r="C115" s="521"/>
      <c r="D115" s="521"/>
      <c r="E115" s="521"/>
      <c r="F115" s="521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20" t="str">
        <f>+VLOOKUP(LEFT($A116,LEN(A116)-1)*1,Master!$D$25:$G$223,4,FALSE)</f>
        <v>Contributions for Health Insurance</v>
      </c>
      <c r="C116" s="521"/>
      <c r="D116" s="521"/>
      <c r="E116" s="521"/>
      <c r="F116" s="521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20" t="str">
        <f>+VLOOKUP(LEFT($A117,LEN(A117)-1)*1,Master!$D$25:$G$223,4,FALSE)</f>
        <v>Contributions for  Unemployment Insurance</v>
      </c>
      <c r="C117" s="521"/>
      <c r="D117" s="521"/>
      <c r="E117" s="521"/>
      <c r="F117" s="521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20" t="str">
        <f>+VLOOKUP(LEFT($A118,LEN(A118)-1)*1,Master!$D$25:$G$223,4,FALSE)</f>
        <v>Other contributions</v>
      </c>
      <c r="C118" s="521"/>
      <c r="D118" s="521"/>
      <c r="E118" s="521"/>
      <c r="F118" s="521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24" t="str">
        <f>+VLOOKUP(LEFT($A119,LEN(A119)-1)*1,Master!$D$25:$G$223,4,FALSE)</f>
        <v>Duties</v>
      </c>
      <c r="C119" s="525"/>
      <c r="D119" s="525"/>
      <c r="E119" s="525"/>
      <c r="F119" s="525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24" t="str">
        <f>+VLOOKUP(LEFT($A120,LEN(A120)-1)*1,Master!$D$25:$G$223,4,FALSE)</f>
        <v>Fees</v>
      </c>
      <c r="C120" s="525"/>
      <c r="D120" s="525"/>
      <c r="E120" s="525"/>
      <c r="F120" s="525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24" t="str">
        <f>+VLOOKUP(LEFT($A121,LEN(A121)-1)*1,Master!$D$25:$G$223,4,FALSE)</f>
        <v>Other revenues</v>
      </c>
      <c r="C121" s="525"/>
      <c r="D121" s="525"/>
      <c r="E121" s="525"/>
      <c r="F121" s="525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24" t="str">
        <f>+VLOOKUP(LEFT($A122,LEN(A122)-1)*1,Master!$D$25:$G$223,4,FALSE)</f>
        <v>Receipts from Repayment of Loans and Funds Carried over from Previous Year</v>
      </c>
      <c r="C122" s="525"/>
      <c r="D122" s="525"/>
      <c r="E122" s="525"/>
      <c r="F122" s="525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6" t="str">
        <f>+VLOOKUP(LEFT($A123,LEN(A123)-1)*1,Master!$D$25:$G$223,4,FALSE)</f>
        <v>Grants and Transfers</v>
      </c>
      <c r="C123" s="527"/>
      <c r="D123" s="527"/>
      <c r="E123" s="527"/>
      <c r="F123" s="527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10" t="str">
        <f>+VLOOKUP(LEFT($A124,LEN(A124)-1)*1,Master!$D$25:$G$223,4,FALSE)</f>
        <v>Total Expenditures</v>
      </c>
      <c r="C124" s="511"/>
      <c r="D124" s="511"/>
      <c r="E124" s="511"/>
      <c r="F124" s="511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8" t="str">
        <f>+VLOOKUP(LEFT($A125,LEN(A125)-1)*1,Master!$D$25:$G$223,4,FALSE)</f>
        <v>Current Expenditures</v>
      </c>
      <c r="C125" s="529"/>
      <c r="D125" s="529"/>
      <c r="E125" s="529"/>
      <c r="F125" s="529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30" t="str">
        <f>+VLOOKUP(LEFT($A126,LEN(A126)-1)*1,Master!$D$25:$G$223,4,FALSE)</f>
        <v>Current Budgetary Expenditures</v>
      </c>
      <c r="C126" s="531"/>
      <c r="D126" s="531"/>
      <c r="E126" s="531"/>
      <c r="F126" s="531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20" t="str">
        <f>+VLOOKUP(LEFT($A127,LEN(A127)-1)*1,Master!$D$25:$G$223,4,FALSE)</f>
        <v>Gross Salaries and Contributions</v>
      </c>
      <c r="C127" s="521"/>
      <c r="D127" s="521"/>
      <c r="E127" s="521"/>
      <c r="F127" s="521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20" t="str">
        <f>+VLOOKUP(LEFT($A128,LEN(A128)-1)*1,Master!$D$25:$G$223,4,FALSE)</f>
        <v>Other Personal Income</v>
      </c>
      <c r="C128" s="521"/>
      <c r="D128" s="521"/>
      <c r="E128" s="521"/>
      <c r="F128" s="521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20" t="str">
        <f>+VLOOKUP(LEFT($A129,LEN(A129)-1)*1,Master!$D$25:$G$223,4,FALSE)</f>
        <v>Expenditures for Supplies</v>
      </c>
      <c r="C129" s="521"/>
      <c r="D129" s="521"/>
      <c r="E129" s="521"/>
      <c r="F129" s="521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20" t="str">
        <f>+VLOOKUP(LEFT($A130,LEN(A130)-1)*1,Master!$D$25:$G$223,4,FALSE)</f>
        <v>Expenditures for Services</v>
      </c>
      <c r="C130" s="521"/>
      <c r="D130" s="521"/>
      <c r="E130" s="521"/>
      <c r="F130" s="521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20" t="str">
        <f>+VLOOKUP(LEFT($A131,LEN(A131)-1)*1,Master!$D$25:$G$223,4,FALSE)</f>
        <v>Current Maintenance</v>
      </c>
      <c r="C131" s="521"/>
      <c r="D131" s="521"/>
      <c r="E131" s="521"/>
      <c r="F131" s="521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20" t="str">
        <f>+VLOOKUP(LEFT($A132,LEN(A132)-1)*1,Master!$D$25:$G$223,4,FALSE)</f>
        <v>Interests</v>
      </c>
      <c r="C132" s="521"/>
      <c r="D132" s="521"/>
      <c r="E132" s="521"/>
      <c r="F132" s="521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20" t="str">
        <f>+VLOOKUP(LEFT($A133,LEN(A133)-1)*1,Master!$D$25:$G$223,4,FALSE)</f>
        <v>Rent</v>
      </c>
      <c r="C133" s="521"/>
      <c r="D133" s="521"/>
      <c r="E133" s="521"/>
      <c r="F133" s="521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20" t="str">
        <f>+VLOOKUP(LEFT($A134,LEN(A134)-1)*1,Master!$D$25:$G$223,4,FALSE)</f>
        <v>Subsidies</v>
      </c>
      <c r="C134" s="521"/>
      <c r="D134" s="521"/>
      <c r="E134" s="521"/>
      <c r="F134" s="521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20" t="str">
        <f>+VLOOKUP(LEFT($A135,LEN(A135)-1)*1,Master!$D$25:$G$223,4,FALSE)</f>
        <v>Other expenditures</v>
      </c>
      <c r="C135" s="521"/>
      <c r="D135" s="521"/>
      <c r="E135" s="521"/>
      <c r="F135" s="521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20" t="str">
        <f>+VLOOKUP(LEFT($A136,LEN(A136)-1)*1,Master!$D$25:$G$223,4,FALSE)</f>
        <v>Current Capital Expenditure</v>
      </c>
      <c r="C136" s="521"/>
      <c r="D136" s="521"/>
      <c r="E136" s="521"/>
      <c r="F136" s="521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8" t="str">
        <f>+VLOOKUP(LEFT($A137,LEN(A137)-1)*1,Master!$D$25:$G$223,4,FALSE)</f>
        <v>Social Security Transfers</v>
      </c>
      <c r="C137" s="519"/>
      <c r="D137" s="519"/>
      <c r="E137" s="519"/>
      <c r="F137" s="519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20" t="str">
        <f>+VLOOKUP(LEFT($A138,LEN(A138)-1)*1,Master!$D$25:$G$223,4,FALSE)</f>
        <v>Social Security</v>
      </c>
      <c r="C138" s="521"/>
      <c r="D138" s="521"/>
      <c r="E138" s="521"/>
      <c r="F138" s="521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20" t="str">
        <f>+VLOOKUP(LEFT($A139,LEN(A139)-1)*1,Master!$D$25:$G$223,4,FALSE)</f>
        <v>Funds for redundant labor</v>
      </c>
      <c r="C139" s="521"/>
      <c r="D139" s="521"/>
      <c r="E139" s="521"/>
      <c r="F139" s="521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20" t="str">
        <f>+VLOOKUP(LEFT($A140,LEN(A140)-1)*1,Master!$D$25:$G$223,4,FALSE)</f>
        <v>Pension and Disability Insurance</v>
      </c>
      <c r="C140" s="521"/>
      <c r="D140" s="521"/>
      <c r="E140" s="521"/>
      <c r="F140" s="521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20" t="str">
        <f>+VLOOKUP(LEFT($A141,LEN(A141)-1)*1,Master!$D$25:$G$223,4,FALSE)</f>
        <v>Other Health Care Transfers</v>
      </c>
      <c r="C141" s="521"/>
      <c r="D141" s="521"/>
      <c r="E141" s="521"/>
      <c r="F141" s="521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20" t="str">
        <f>+VLOOKUP(LEFT($A142,LEN(A142)-1)*1,Master!$D$25:$G$223,4,FALSE)</f>
        <v>Other Health Care Insurance</v>
      </c>
      <c r="C142" s="521"/>
      <c r="D142" s="521"/>
      <c r="E142" s="521"/>
      <c r="F142" s="521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22" t="str">
        <f>+VLOOKUP(LEFT($A143,LEN(A143)-1)*1,Master!$D$25:$G$223,4,FALSE)</f>
        <v xml:space="preserve">Transfers to Institutions, Individuals, NGO and Public Sector </v>
      </c>
      <c r="C143" s="523"/>
      <c r="D143" s="523"/>
      <c r="E143" s="523"/>
      <c r="F143" s="523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22" t="str">
        <f>+VLOOKUP(LEFT($A144,LEN(A144)-1)*1,Master!$D$25:$G$223,4,FALSE)</f>
        <v>Capital Expenditure</v>
      </c>
      <c r="C144" s="523"/>
      <c r="D144" s="523"/>
      <c r="E144" s="523"/>
      <c r="F144" s="523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6" t="str">
        <f>+VLOOKUP(LEFT($A145,LEN(A145)-1)*1,Master!$D$25:$G$223,4,FALSE)</f>
        <v>Credits and Borrowings</v>
      </c>
      <c r="C145" s="507"/>
      <c r="D145" s="507"/>
      <c r="E145" s="507"/>
      <c r="F145" s="507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6" t="str">
        <f>+VLOOKUP(LEFT($A146,LEN(A146)-1)*1,Master!$D$25:$G$223,4,FALSE)</f>
        <v>Reserves</v>
      </c>
      <c r="C146" s="507"/>
      <c r="D146" s="507"/>
      <c r="E146" s="507"/>
      <c r="F146" s="507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6" t="str">
        <f>+VLOOKUP(LEFT($A147,LEN(A147)-1)*1,Master!$D$25:$G$223,4,FALSE)</f>
        <v>Repayment of Guarantees</v>
      </c>
      <c r="C147" s="507"/>
      <c r="D147" s="507"/>
      <c r="E147" s="507"/>
      <c r="F147" s="507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699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+VLOOKUP(LEFT($A149,LEN(A149)-1)*1,Master!$D$25:$G$223,4,FALSE)</f>
        <v>Surplus / deficit</v>
      </c>
      <c r="C149" s="515"/>
      <c r="D149" s="515"/>
      <c r="E149" s="515"/>
      <c r="F149" s="515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6" t="str">
        <f>+VLOOKUP(LEFT($A150,LEN(A150)-1)*1,Master!$D$25:$G$223,4,FALSE)</f>
        <v>Primary balance</v>
      </c>
      <c r="C150" s="517"/>
      <c r="D150" s="517"/>
      <c r="E150" s="517"/>
      <c r="F150" s="517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8" t="str">
        <f>+VLOOKUP(LEFT($A151,LEN(A151)-1)*1,Master!$D$25:$G$223,4,FALSE)</f>
        <v>Repayment of Debt</v>
      </c>
      <c r="C151" s="519"/>
      <c r="D151" s="519"/>
      <c r="E151" s="519"/>
      <c r="F151" s="519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12" t="str">
        <f>+VLOOKUP(LEFT($A152,LEN(A152)-1)*1,Master!$D$25:$G$223,4,FALSE)</f>
        <v>Repayment of Domestic Debt</v>
      </c>
      <c r="C152" s="513"/>
      <c r="D152" s="513"/>
      <c r="E152" s="513"/>
      <c r="F152" s="513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6" t="str">
        <f>+VLOOKUP(LEFT($A153,LEN(A153)-1)*1,Master!$D$25:$G$223,4,FALSE)</f>
        <v>Repayment of Foreign Debt</v>
      </c>
      <c r="C153" s="507"/>
      <c r="D153" s="507"/>
      <c r="E153" s="507"/>
      <c r="F153" s="507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60" t="str">
        <f>+VLOOKUP(LEFT($A154,LEN(A154)-1)*1,Master!$D$25:$G$223,4,FALSE)</f>
        <v>Repayments of Arrears</v>
      </c>
      <c r="C154" s="561"/>
      <c r="D154" s="561"/>
      <c r="E154" s="561"/>
      <c r="F154" s="561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8" t="str">
        <f>+VLOOKUP(LEFT($A155,LEN(A155)-1)*1,Master!$D$25:$G$223,4,FALSE)</f>
        <v>Financing needs</v>
      </c>
      <c r="C155" s="509"/>
      <c r="D155" s="509"/>
      <c r="E155" s="509"/>
      <c r="F155" s="509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10" t="str">
        <f>+VLOOKUP(LEFT($A156,LEN(A156)-1)*1,Master!$D$25:$G$223,4,FALSE)</f>
        <v>Financing</v>
      </c>
      <c r="C156" s="511"/>
      <c r="D156" s="511"/>
      <c r="E156" s="511"/>
      <c r="F156" s="511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12" t="str">
        <f>+VLOOKUP(LEFT($A157,LEN(A157)-1)*1,Master!$D$25:$G$223,4,FALSE)</f>
        <v>Domestic Loans and Borrowings</v>
      </c>
      <c r="C157" s="513"/>
      <c r="D157" s="513"/>
      <c r="E157" s="513"/>
      <c r="F157" s="513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6" t="str">
        <f>+VLOOKUP(LEFT($A158,LEN(A158)-1)*1,Master!$D$25:$G$223,4,FALSE)</f>
        <v>Foreign Loans and Borrowings</v>
      </c>
      <c r="C158" s="507"/>
      <c r="D158" s="507"/>
      <c r="E158" s="507"/>
      <c r="F158" s="507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6" t="str">
        <f>+VLOOKUP(LEFT($A159,LEN(A159)-1)*1,Master!$D$25:$G$223,4,FALSE)</f>
        <v>Revenues from Selling Assets</v>
      </c>
      <c r="C159" s="507"/>
      <c r="D159" s="507"/>
      <c r="E159" s="507"/>
      <c r="F159" s="507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+VLOOKUP(LEFT($A160,LEN(A160)-1)*1,Master!$D$25:$G$223,4,FALSE)</f>
        <v>Increase / decrease of deposits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W29" sqref="W29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559" t="str">
        <f>+Master!G249</f>
        <v>Budget Execution</v>
      </c>
      <c r="C7" s="459"/>
      <c r="D7" s="459"/>
      <c r="E7" s="459"/>
      <c r="F7" s="459"/>
      <c r="G7" s="467">
        <v>2015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+Master!G246</f>
        <v>GDP</v>
      </c>
      <c r="T7" s="261">
        <v>3655000000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7" t="s">
        <v>740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8" t="str">
        <f>+VLOOKUP($A18,Master!$D$25:$G$223,4,FALSE)</f>
        <v>Other Republic Taxes</v>
      </c>
      <c r="C18" s="489"/>
      <c r="D18" s="489"/>
      <c r="E18" s="489"/>
      <c r="F18" s="489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8" t="str">
        <f>+VLOOKUP($A19,Master!$D$25:$G$223,4,FALSE)</f>
        <v>Contributions</v>
      </c>
      <c r="C19" s="499"/>
      <c r="D19" s="499"/>
      <c r="E19" s="499"/>
      <c r="F19" s="499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8" t="str">
        <f>+VLOOKUP($A20,Master!$D$25:$G$223,4,FALSE)</f>
        <v>Contributions for Pension and Disability Insurance</v>
      </c>
      <c r="C20" s="489"/>
      <c r="D20" s="489"/>
      <c r="E20" s="489"/>
      <c r="F20" s="489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8" t="str">
        <f>+VLOOKUP($A21,Master!$D$25:$G$223,4,FALSE)</f>
        <v>Contributions for Health Insurance</v>
      </c>
      <c r="C21" s="489"/>
      <c r="D21" s="489"/>
      <c r="E21" s="489"/>
      <c r="F21" s="489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8" t="str">
        <f>+VLOOKUP($A22,Master!$D$25:$G$223,4,FALSE)</f>
        <v>Contributions for  Unemployment Insurance</v>
      </c>
      <c r="C22" s="489"/>
      <c r="D22" s="489"/>
      <c r="E22" s="489"/>
      <c r="F22" s="489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8" t="str">
        <f>+VLOOKUP($A23,Master!$D$25:$G$223,4,FALSE)</f>
        <v>Other contributions</v>
      </c>
      <c r="C23" s="489"/>
      <c r="D23" s="489"/>
      <c r="E23" s="489"/>
      <c r="F23" s="489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90" t="str">
        <f>+VLOOKUP($A24,Master!$D$25:$G$223,4,FALSE)</f>
        <v>Duties</v>
      </c>
      <c r="C24" s="491"/>
      <c r="D24" s="491"/>
      <c r="E24" s="491"/>
      <c r="F24" s="491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90" t="str">
        <f>+VLOOKUP($A25,Master!$D$25:$G$223,4,FALSE)</f>
        <v>Fees</v>
      </c>
      <c r="C25" s="491"/>
      <c r="D25" s="491"/>
      <c r="E25" s="491"/>
      <c r="F25" s="491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90" t="str">
        <f>+VLOOKUP($A26,Master!$D$25:$G$223,4,FALSE)</f>
        <v>Other revenues</v>
      </c>
      <c r="C26" s="491"/>
      <c r="D26" s="491"/>
      <c r="E26" s="491"/>
      <c r="F26" s="491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90" t="str">
        <f>+VLOOKUP($A27,Master!$D$25:$G$223,4,FALSE)</f>
        <v>Receipts from Repayment of Loans and Funds Carried over from Previous Year</v>
      </c>
      <c r="C27" s="491"/>
      <c r="D27" s="491"/>
      <c r="E27" s="491"/>
      <c r="F27" s="491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92" t="str">
        <f>+VLOOKUP($A28,Master!$D$25:$G$223,4,FALSE)</f>
        <v>Grants and Transfers</v>
      </c>
      <c r="C28" s="493"/>
      <c r="D28" s="493"/>
      <c r="E28" s="493"/>
      <c r="F28" s="493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8" t="str">
        <f>+VLOOKUP($A29,Master!$D$25:$G$223,4,FALSE)</f>
        <v>Total Expenditures</v>
      </c>
      <c r="C29" s="479"/>
      <c r="D29" s="479"/>
      <c r="E29" s="479"/>
      <c r="F29" s="479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94" t="str">
        <f>+VLOOKUP($A30,Master!$D$25:$G$223,4,FALSE)</f>
        <v>Current Expenditures</v>
      </c>
      <c r="C30" s="495"/>
      <c r="D30" s="495"/>
      <c r="E30" s="495"/>
      <c r="F30" s="495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6" t="str">
        <f>+VLOOKUP($A31,Master!$D$25:$G$223,4,FALSE)</f>
        <v>Current Budgetary Expenditures</v>
      </c>
      <c r="C31" s="497"/>
      <c r="D31" s="497"/>
      <c r="E31" s="497"/>
      <c r="F31" s="497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8" t="str">
        <f>+VLOOKUP($A32,Master!$D$25:$G$223,4,FALSE)</f>
        <v>Gross Salaries and Contributions</v>
      </c>
      <c r="C32" s="489"/>
      <c r="D32" s="489"/>
      <c r="E32" s="489"/>
      <c r="F32" s="489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8" t="str">
        <f>+VLOOKUP($A33,Master!$D$25:$G$223,4,FALSE)</f>
        <v>Other Personal Income</v>
      </c>
      <c r="C33" s="489"/>
      <c r="D33" s="489"/>
      <c r="E33" s="489"/>
      <c r="F33" s="489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8" t="str">
        <f>+VLOOKUP($A34,Master!$D$25:$G$223,4,FALSE)</f>
        <v>Expenditures for Supplies</v>
      </c>
      <c r="C34" s="489"/>
      <c r="D34" s="489"/>
      <c r="E34" s="489"/>
      <c r="F34" s="489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8" t="str">
        <f>+VLOOKUP($A35,Master!$D$25:$G$223,4,FALSE)</f>
        <v>Expenditures for Services</v>
      </c>
      <c r="C35" s="489"/>
      <c r="D35" s="489"/>
      <c r="E35" s="489"/>
      <c r="F35" s="489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8" t="str">
        <f>+VLOOKUP($A36,Master!$D$25:$G$223,4,FALSE)</f>
        <v>Current Maintenance</v>
      </c>
      <c r="C36" s="489"/>
      <c r="D36" s="489"/>
      <c r="E36" s="489"/>
      <c r="F36" s="489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8" t="str">
        <f>+VLOOKUP($A37,Master!$D$25:$G$223,4,FALSE)</f>
        <v>Interests</v>
      </c>
      <c r="C37" s="489"/>
      <c r="D37" s="489"/>
      <c r="E37" s="489"/>
      <c r="F37" s="489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8" t="str">
        <f>+VLOOKUP($A38,Master!$D$25:$G$223,4,FALSE)</f>
        <v>Rent</v>
      </c>
      <c r="C38" s="489"/>
      <c r="D38" s="489"/>
      <c r="E38" s="489"/>
      <c r="F38" s="489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8" t="str">
        <f>+VLOOKUP($A39,Master!$D$25:$G$223,4,FALSE)</f>
        <v>Subsidies</v>
      </c>
      <c r="C39" s="489"/>
      <c r="D39" s="489"/>
      <c r="E39" s="489"/>
      <c r="F39" s="489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8" t="str">
        <f>+VLOOKUP($A40,Master!$D$25:$G$223,4,FALSE)</f>
        <v>Other expenditures</v>
      </c>
      <c r="C40" s="489"/>
      <c r="D40" s="489"/>
      <c r="E40" s="489"/>
      <c r="F40" s="489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8" t="str">
        <f>+VLOOKUP($A41,Master!$D$25:$G$223,4,FALSE)</f>
        <v>Current Capital Expenditure</v>
      </c>
      <c r="C41" s="489"/>
      <c r="D41" s="489"/>
      <c r="E41" s="489"/>
      <c r="F41" s="489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4" t="str">
        <f>+VLOOKUP($A42,Master!$D$25:$G$223,4,FALSE)</f>
        <v>Social Security Transfers</v>
      </c>
      <c r="C42" s="485"/>
      <c r="D42" s="485"/>
      <c r="E42" s="485"/>
      <c r="F42" s="485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8" t="str">
        <f>+VLOOKUP($A43,Master!$D$25:$G$223,4,FALSE)</f>
        <v>Social Security</v>
      </c>
      <c r="C43" s="489"/>
      <c r="D43" s="489"/>
      <c r="E43" s="489"/>
      <c r="F43" s="489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8" t="str">
        <f>+VLOOKUP($A44,Master!$D$25:$G$223,4,FALSE)</f>
        <v>Funds for redundant labor</v>
      </c>
      <c r="C44" s="489"/>
      <c r="D44" s="489"/>
      <c r="E44" s="489"/>
      <c r="F44" s="489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8" t="str">
        <f>+VLOOKUP($A45,Master!$D$25:$G$223,4,FALSE)</f>
        <v>Pension and Disability Insurance</v>
      </c>
      <c r="C45" s="489"/>
      <c r="D45" s="489"/>
      <c r="E45" s="489"/>
      <c r="F45" s="489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8" t="str">
        <f>+VLOOKUP($A46,Master!$D$25:$G$223,4,FALSE)</f>
        <v>Other Health Care Transfers</v>
      </c>
      <c r="C46" s="489"/>
      <c r="D46" s="489"/>
      <c r="E46" s="489"/>
      <c r="F46" s="489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8" t="str">
        <f>+VLOOKUP($A47,Master!$D$25:$G$223,4,FALSE)</f>
        <v>Other Health Care Insurance</v>
      </c>
      <c r="C47" s="489"/>
      <c r="D47" s="489"/>
      <c r="E47" s="489"/>
      <c r="F47" s="489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6" t="str">
        <f>+VLOOKUP($A48,Master!$D$25:$G$223,4,FALSE)</f>
        <v xml:space="preserve">Transfers to Institutions, Individuals, NGO and Public Sector </v>
      </c>
      <c r="C48" s="487"/>
      <c r="D48" s="487"/>
      <c r="E48" s="487"/>
      <c r="F48" s="487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6" t="str">
        <f>+VLOOKUP($A49,Master!$D$25:$G$223,4,FALSE)</f>
        <v>Capital Expenditure</v>
      </c>
      <c r="C49" s="487"/>
      <c r="D49" s="487"/>
      <c r="E49" s="487"/>
      <c r="F49" s="487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4" t="str">
        <f>+VLOOKUP($A52,Master!$D$25:$G$223,4,FALSE)</f>
        <v>Repayment of Guarantees</v>
      </c>
      <c r="C52" s="475"/>
      <c r="D52" s="475"/>
      <c r="E52" s="475"/>
      <c r="F52" s="475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4" t="str">
        <f>+VLOOKUP($A53,Master!$D$25:$G$223,4,TRUE)</f>
        <v>Repayments of Arrears</v>
      </c>
      <c r="C53" s="475"/>
      <c r="D53" s="475"/>
      <c r="E53" s="475"/>
      <c r="F53" s="475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60" t="str">
        <f>+VLOOKUP($A54,Master!$D$25:$G$225,4,FALSE)</f>
        <v>Net increase of liabilities</v>
      </c>
      <c r="C54" s="561"/>
      <c r="D54" s="561"/>
      <c r="E54" s="561"/>
      <c r="F54" s="561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80" t="str">
        <f>+VLOOKUP($A55,Master!$D$25:$G$223,4,FALSE)</f>
        <v>Surplus / deficit</v>
      </c>
      <c r="C55" s="481"/>
      <c r="D55" s="481"/>
      <c r="E55" s="481"/>
      <c r="F55" s="481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45" t="s">
        <v>778</v>
      </c>
      <c r="C56" s="446"/>
      <c r="D56" s="446"/>
      <c r="E56" s="446"/>
      <c r="F56" s="446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82" t="str">
        <f>+VLOOKUP($A57,Master!$D$25:$G$223,4,FALSE)</f>
        <v>Primary balance</v>
      </c>
      <c r="C57" s="483"/>
      <c r="D57" s="483"/>
      <c r="E57" s="483"/>
      <c r="F57" s="483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4" t="str">
        <f>+VLOOKUP($A58,Master!$D$25:$G$223,4,FALSE)</f>
        <v>Repayment of Debt</v>
      </c>
      <c r="C58" s="485"/>
      <c r="D58" s="485"/>
      <c r="E58" s="485"/>
      <c r="F58" s="485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72" t="str">
        <f>+VLOOKUP($A59,Master!$D$25:$G$223,4,FALSE)</f>
        <v>Repayment of Domestic Debt</v>
      </c>
      <c r="C59" s="473"/>
      <c r="D59" s="473"/>
      <c r="E59" s="473"/>
      <c r="F59" s="473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6" t="str">
        <f>+VLOOKUP($A60,Master!$D$25:$G$223,4,FALSE)</f>
        <v>Repayment of Foreign Debt</v>
      </c>
      <c r="C60" s="457"/>
      <c r="D60" s="457"/>
      <c r="E60" s="457"/>
      <c r="F60" s="457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6" t="str">
        <f>+VLOOKUP($A61,Master!$D$25:$G$223,4,FALSE)</f>
        <v>Financing needs</v>
      </c>
      <c r="C61" s="477"/>
      <c r="D61" s="477"/>
      <c r="E61" s="477"/>
      <c r="F61" s="477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8" t="str">
        <f>+VLOOKUP($A62,Master!$D$25:$G$223,4,FALSE)</f>
        <v>Financing</v>
      </c>
      <c r="C62" s="479"/>
      <c r="D62" s="479"/>
      <c r="E62" s="479"/>
      <c r="F62" s="479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72" t="str">
        <f>+VLOOKUP($A63,Master!$D$25:$G$223,4,FALSE)</f>
        <v>Domestic Loans and Borrowings</v>
      </c>
      <c r="C63" s="473"/>
      <c r="D63" s="473"/>
      <c r="E63" s="473"/>
      <c r="F63" s="473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6" t="str">
        <f>+VLOOKUP($A64,Master!$D$25:$G$223,4,FALSE)</f>
        <v>Foreign Loans and Borrowings</v>
      </c>
      <c r="C64" s="457"/>
      <c r="D64" s="457"/>
      <c r="E64" s="457"/>
      <c r="F64" s="457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6" t="str">
        <f>+VLOOKUP($A65,Master!$D$25:$G$223,4,FALSE)</f>
        <v>Revenues from Selling Assets</v>
      </c>
      <c r="C65" s="457"/>
      <c r="D65" s="457"/>
      <c r="E65" s="457"/>
      <c r="F65" s="457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49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40" t="str">
        <f>+Master!G250</f>
        <v>Planned Budget Execution</v>
      </c>
      <c r="C102" s="541"/>
      <c r="D102" s="541"/>
      <c r="E102" s="541"/>
      <c r="F102" s="541"/>
      <c r="G102" s="534">
        <v>2015</v>
      </c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35"/>
      <c r="S102" s="115" t="str">
        <f>+S7</f>
        <v>GDP</v>
      </c>
      <c r="T102" s="116">
        <f>+T7</f>
        <v>3655000000</v>
      </c>
    </row>
    <row r="103" spans="1:21" ht="15.75" customHeight="1">
      <c r="B103" s="542"/>
      <c r="C103" s="543"/>
      <c r="D103" s="543"/>
      <c r="E103" s="543"/>
      <c r="F103" s="544"/>
      <c r="G103" s="73" t="str">
        <f t="shared" ref="G103:R103" si="17">+G8</f>
        <v>January</v>
      </c>
      <c r="H103" s="73" t="str">
        <f t="shared" si="17"/>
        <v>February</v>
      </c>
      <c r="I103" s="73" t="str">
        <f t="shared" si="17"/>
        <v>March</v>
      </c>
      <c r="J103" s="73" t="str">
        <f t="shared" si="17"/>
        <v>April</v>
      </c>
      <c r="K103" s="73" t="str">
        <f t="shared" si="17"/>
        <v>May</v>
      </c>
      <c r="L103" s="73" t="str">
        <f t="shared" si="17"/>
        <v>June</v>
      </c>
      <c r="M103" s="73" t="str">
        <f t="shared" si="17"/>
        <v>July</v>
      </c>
      <c r="N103" s="73" t="str">
        <f t="shared" si="17"/>
        <v>August</v>
      </c>
      <c r="O103" s="73" t="str">
        <f t="shared" si="17"/>
        <v>September</v>
      </c>
      <c r="P103" s="73" t="str">
        <f t="shared" si="17"/>
        <v>October</v>
      </c>
      <c r="Q103" s="73" t="str">
        <f t="shared" si="17"/>
        <v>November</v>
      </c>
      <c r="R103" s="73" t="str">
        <f t="shared" si="17"/>
        <v>December</v>
      </c>
      <c r="S103" s="534" t="str">
        <f>+Master!G244</f>
        <v>Jan - Dec</v>
      </c>
      <c r="T103" s="535">
        <f>+T8</f>
        <v>0</v>
      </c>
    </row>
    <row r="104" spans="1:21" ht="13.5" thickBot="1">
      <c r="B104" s="545"/>
      <c r="C104" s="546"/>
      <c r="D104" s="546"/>
      <c r="E104" s="546"/>
      <c r="F104" s="547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+VLOOKUP(LEFT($A105,LEN(A105)-1)*1,Master!$D$25:$G$223,4,FALSE)</f>
        <v>Total Revenues</v>
      </c>
      <c r="C105" s="537"/>
      <c r="D105" s="537"/>
      <c r="E105" s="537"/>
      <c r="F105" s="537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8" t="str">
        <f>+VLOOKUP(LEFT($A106,LEN(A106)-1)*1,Master!$D$25:$G$223,4,FALSE)</f>
        <v>Taxes</v>
      </c>
      <c r="C106" s="539"/>
      <c r="D106" s="539"/>
      <c r="E106" s="539"/>
      <c r="F106" s="539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20" t="str">
        <f>+VLOOKUP(LEFT($A107,LEN(A107)-1)*1,Master!$D$25:$G$223,4,FALSE)</f>
        <v>Personal Income Tax</v>
      </c>
      <c r="C107" s="521"/>
      <c r="D107" s="521"/>
      <c r="E107" s="521"/>
      <c r="F107" s="521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20" t="str">
        <f>+VLOOKUP(LEFT($A108,LEN(A108)-1)*1,Master!$D$25:$G$223,4,FALSE)</f>
        <v>Corporate Income Tax</v>
      </c>
      <c r="C108" s="521"/>
      <c r="D108" s="521"/>
      <c r="E108" s="521"/>
      <c r="F108" s="521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20" t="str">
        <f>+VLOOKUP(LEFT($A109,LEN(A109)-1)*1,Master!$D$25:$G$223,4,FALSE)</f>
        <v xml:space="preserve">Taxes on Sales of Property </v>
      </c>
      <c r="C109" s="521"/>
      <c r="D109" s="521"/>
      <c r="E109" s="521"/>
      <c r="F109" s="521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20" t="str">
        <f>+VLOOKUP(LEFT($A110,LEN(A110)-1)*1,Master!$D$25:$G$223,4,FALSE)</f>
        <v>Value Added Tax</v>
      </c>
      <c r="C110" s="521"/>
      <c r="D110" s="521"/>
      <c r="E110" s="521"/>
      <c r="F110" s="521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20" t="str">
        <f>+VLOOKUP(LEFT($A111,LEN(A111)-1)*1,Master!$D$25:$G$223,4,FALSE)</f>
        <v>Excises</v>
      </c>
      <c r="C111" s="521"/>
      <c r="D111" s="521"/>
      <c r="E111" s="521"/>
      <c r="F111" s="521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20" t="str">
        <f>+VLOOKUP(LEFT($A112,LEN(A112)-1)*1,Master!$D$25:$G$223,4,FALSE)</f>
        <v>Tax on International Trade and Transactions</v>
      </c>
      <c r="C112" s="521"/>
      <c r="D112" s="521"/>
      <c r="E112" s="521"/>
      <c r="F112" s="521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20" t="str">
        <f>+VLOOKUP(LEFT($A113,LEN(A113)-1)*1,Master!$D$25:$G$223,4,FALSE)</f>
        <v>Other Republic Taxes</v>
      </c>
      <c r="C113" s="521"/>
      <c r="D113" s="521"/>
      <c r="E113" s="521"/>
      <c r="F113" s="521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32" t="str">
        <f>+VLOOKUP(LEFT($A114,LEN(A114)-1)*1,Master!$D$25:$G$223,4,FALSE)</f>
        <v>Contributions</v>
      </c>
      <c r="C114" s="533"/>
      <c r="D114" s="533"/>
      <c r="E114" s="533"/>
      <c r="F114" s="533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20" t="str">
        <f>+VLOOKUP(LEFT($A115,LEN(A115)-1)*1,Master!$D$25:$G$223,4,FALSE)</f>
        <v>Contributions for Pension and Disability Insurance</v>
      </c>
      <c r="C115" s="521"/>
      <c r="D115" s="521"/>
      <c r="E115" s="521"/>
      <c r="F115" s="521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20" t="str">
        <f>+VLOOKUP(LEFT($A116,LEN(A116)-1)*1,Master!$D$25:$G$223,4,FALSE)</f>
        <v>Contributions for Health Insurance</v>
      </c>
      <c r="C116" s="521"/>
      <c r="D116" s="521"/>
      <c r="E116" s="521"/>
      <c r="F116" s="521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20" t="str">
        <f>+VLOOKUP(LEFT($A117,LEN(A117)-1)*1,Master!$D$25:$G$223,4,FALSE)</f>
        <v>Contributions for  Unemployment Insurance</v>
      </c>
      <c r="C117" s="521"/>
      <c r="D117" s="521"/>
      <c r="E117" s="521"/>
      <c r="F117" s="521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20" t="str">
        <f>+VLOOKUP(LEFT($A118,LEN(A118)-1)*1,Master!$D$25:$G$223,4,FALSE)</f>
        <v>Other contributions</v>
      </c>
      <c r="C118" s="521"/>
      <c r="D118" s="521"/>
      <c r="E118" s="521"/>
      <c r="F118" s="521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24" t="str">
        <f>+VLOOKUP(LEFT($A119,LEN(A119)-1)*1,Master!$D$25:$G$223,4,FALSE)</f>
        <v>Duties</v>
      </c>
      <c r="C119" s="525"/>
      <c r="D119" s="525"/>
      <c r="E119" s="525"/>
      <c r="F119" s="525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24" t="str">
        <f>+VLOOKUP(LEFT($A120,LEN(A120)-1)*1,Master!$D$25:$G$223,4,FALSE)</f>
        <v>Fees</v>
      </c>
      <c r="C120" s="525"/>
      <c r="D120" s="525"/>
      <c r="E120" s="525"/>
      <c r="F120" s="525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24" t="str">
        <f>+VLOOKUP(LEFT($A121,LEN(A121)-1)*1,Master!$D$25:$G$223,4,FALSE)</f>
        <v>Other revenues</v>
      </c>
      <c r="C121" s="525"/>
      <c r="D121" s="525"/>
      <c r="E121" s="525"/>
      <c r="F121" s="525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24" t="str">
        <f>+VLOOKUP(LEFT($A122,LEN(A122)-1)*1,Master!$D$25:$G$223,4,FALSE)</f>
        <v>Receipts from Repayment of Loans and Funds Carried over from Previous Year</v>
      </c>
      <c r="C122" s="525"/>
      <c r="D122" s="525"/>
      <c r="E122" s="525"/>
      <c r="F122" s="525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6" t="str">
        <f>+VLOOKUP(LEFT($A123,LEN(A123)-1)*1,Master!$D$25:$G$223,4,FALSE)</f>
        <v>Grants and Transfers</v>
      </c>
      <c r="C123" s="527"/>
      <c r="D123" s="527"/>
      <c r="E123" s="527"/>
      <c r="F123" s="527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10" t="str">
        <f>+VLOOKUP(LEFT($A124,LEN(A124)-1)*1,Master!$D$25:$G$223,4,FALSE)</f>
        <v>Total Expenditures</v>
      </c>
      <c r="C124" s="511"/>
      <c r="D124" s="511"/>
      <c r="E124" s="511"/>
      <c r="F124" s="511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8" t="str">
        <f>+VLOOKUP(LEFT($A125,LEN(A125)-1)*1,Master!$D$25:$G$223,4,FALSE)</f>
        <v>Current Expenditures</v>
      </c>
      <c r="C125" s="529"/>
      <c r="D125" s="529"/>
      <c r="E125" s="529"/>
      <c r="F125" s="529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30" t="str">
        <f>+VLOOKUP(LEFT($A126,LEN(A126)-1)*1,Master!$D$25:$G$223,4,FALSE)</f>
        <v>Current Budgetary Expenditures</v>
      </c>
      <c r="C126" s="531"/>
      <c r="D126" s="531"/>
      <c r="E126" s="531"/>
      <c r="F126" s="531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20" t="str">
        <f>+VLOOKUP(LEFT($A127,LEN(A127)-1)*1,Master!$D$25:$G$223,4,FALSE)</f>
        <v>Gross Salaries and Contributions</v>
      </c>
      <c r="C127" s="521"/>
      <c r="D127" s="521"/>
      <c r="E127" s="521"/>
      <c r="F127" s="521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20" t="str">
        <f>+VLOOKUP(LEFT($A128,LEN(A128)-1)*1,Master!$D$25:$G$223,4,FALSE)</f>
        <v>Other Personal Income</v>
      </c>
      <c r="C128" s="521"/>
      <c r="D128" s="521"/>
      <c r="E128" s="521"/>
      <c r="F128" s="521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20" t="str">
        <f>+VLOOKUP(LEFT($A129,LEN(A129)-1)*1,Master!$D$25:$G$223,4,FALSE)</f>
        <v>Expenditures for Supplies</v>
      </c>
      <c r="C129" s="521"/>
      <c r="D129" s="521"/>
      <c r="E129" s="521"/>
      <c r="F129" s="521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20" t="str">
        <f>+VLOOKUP(LEFT($A130,LEN(A130)-1)*1,Master!$D$25:$G$223,4,FALSE)</f>
        <v>Expenditures for Services</v>
      </c>
      <c r="C130" s="521"/>
      <c r="D130" s="521"/>
      <c r="E130" s="521"/>
      <c r="F130" s="521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20" t="str">
        <f>+VLOOKUP(LEFT($A131,LEN(A131)-1)*1,Master!$D$25:$G$223,4,FALSE)</f>
        <v>Current Maintenance</v>
      </c>
      <c r="C131" s="521"/>
      <c r="D131" s="521"/>
      <c r="E131" s="521"/>
      <c r="F131" s="521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20" t="str">
        <f>+VLOOKUP(LEFT($A132,LEN(A132)-1)*1,Master!$D$25:$G$223,4,FALSE)</f>
        <v>Interests</v>
      </c>
      <c r="C132" s="521"/>
      <c r="D132" s="521"/>
      <c r="E132" s="521"/>
      <c r="F132" s="521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20" t="str">
        <f>+VLOOKUP(LEFT($A133,LEN(A133)-1)*1,Master!$D$25:$G$223,4,FALSE)</f>
        <v>Rent</v>
      </c>
      <c r="C133" s="521"/>
      <c r="D133" s="521"/>
      <c r="E133" s="521"/>
      <c r="F133" s="521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20" t="str">
        <f>+VLOOKUP(LEFT($A134,LEN(A134)-1)*1,Master!$D$25:$G$223,4,FALSE)</f>
        <v>Subsidies</v>
      </c>
      <c r="C134" s="521"/>
      <c r="D134" s="521"/>
      <c r="E134" s="521"/>
      <c r="F134" s="521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20" t="str">
        <f>+VLOOKUP(LEFT($A135,LEN(A135)-1)*1,Master!$D$25:$G$223,4,FALSE)</f>
        <v>Other expenditures</v>
      </c>
      <c r="C135" s="521"/>
      <c r="D135" s="521"/>
      <c r="E135" s="521"/>
      <c r="F135" s="521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20" t="str">
        <f>+VLOOKUP(LEFT($A136,LEN(A136)-1)*1,Master!$D$25:$G$223,4,FALSE)</f>
        <v>Current Capital Expenditure</v>
      </c>
      <c r="C136" s="521"/>
      <c r="D136" s="521"/>
      <c r="E136" s="521"/>
      <c r="F136" s="521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8" t="str">
        <f>+VLOOKUP(LEFT($A137,LEN(A137)-1)*1,Master!$D$25:$G$223,4,FALSE)</f>
        <v>Social Security Transfers</v>
      </c>
      <c r="C137" s="519"/>
      <c r="D137" s="519"/>
      <c r="E137" s="519"/>
      <c r="F137" s="519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20" t="str">
        <f>+VLOOKUP(LEFT($A138,LEN(A138)-1)*1,Master!$D$25:$G$223,4,FALSE)</f>
        <v>Social Security</v>
      </c>
      <c r="C138" s="521"/>
      <c r="D138" s="521"/>
      <c r="E138" s="521"/>
      <c r="F138" s="521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20" t="str">
        <f>+VLOOKUP(LEFT($A139,LEN(A139)-1)*1,Master!$D$25:$G$223,4,FALSE)</f>
        <v>Funds for redundant labor</v>
      </c>
      <c r="C139" s="521"/>
      <c r="D139" s="521"/>
      <c r="E139" s="521"/>
      <c r="F139" s="521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20" t="str">
        <f>+VLOOKUP(LEFT($A140,LEN(A140)-1)*1,Master!$D$25:$G$223,4,FALSE)</f>
        <v>Pension and Disability Insurance</v>
      </c>
      <c r="C140" s="521"/>
      <c r="D140" s="521"/>
      <c r="E140" s="521"/>
      <c r="F140" s="521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20" t="str">
        <f>+VLOOKUP(LEFT($A141,LEN(A141)-1)*1,Master!$D$25:$G$223,4,FALSE)</f>
        <v>Other Health Care Transfers</v>
      </c>
      <c r="C141" s="521"/>
      <c r="D141" s="521"/>
      <c r="E141" s="521"/>
      <c r="F141" s="521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20" t="str">
        <f>+VLOOKUP(LEFT($A142,LEN(A142)-1)*1,Master!$D$25:$G$223,4,FALSE)</f>
        <v>Other Health Care Insurance</v>
      </c>
      <c r="C142" s="521"/>
      <c r="D142" s="521"/>
      <c r="E142" s="521"/>
      <c r="F142" s="521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22" t="str">
        <f>+VLOOKUP(LEFT($A143,LEN(A143)-1)*1,Master!$D$25:$G$223,4,FALSE)</f>
        <v xml:space="preserve">Transfers to Institutions, Individuals, NGO and Public Sector </v>
      </c>
      <c r="C143" s="523"/>
      <c r="D143" s="523"/>
      <c r="E143" s="523"/>
      <c r="F143" s="523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22" t="str">
        <f>+VLOOKUP(LEFT($A144,LEN(A144)-1)*1,Master!$D$25:$G$223,4,FALSE)</f>
        <v>Capital Expenditure</v>
      </c>
      <c r="C144" s="523"/>
      <c r="D144" s="523"/>
      <c r="E144" s="523"/>
      <c r="F144" s="523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6" t="str">
        <f>+VLOOKUP(LEFT($A145,LEN(A145)-1)*1,Master!$D$25:$G$223,4,FALSE)</f>
        <v>Credits and Borrowings</v>
      </c>
      <c r="C145" s="507"/>
      <c r="D145" s="507"/>
      <c r="E145" s="507"/>
      <c r="F145" s="507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6" t="str">
        <f>+VLOOKUP(LEFT($A146,LEN(A146)-1)*1,Master!$D$25:$G$223,4,FALSE)</f>
        <v>Reserves</v>
      </c>
      <c r="C146" s="507"/>
      <c r="D146" s="507"/>
      <c r="E146" s="507"/>
      <c r="F146" s="507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60" t="str">
        <f>+VLOOKUP(LEFT($A147,LEN(A147)-1)*1,Master!$D$25:$G$223,4,FALSE)</f>
        <v>Repayment of Guarantees</v>
      </c>
      <c r="C147" s="561"/>
      <c r="D147" s="561"/>
      <c r="E147" s="561"/>
      <c r="F147" s="561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14" t="str">
        <f>+VLOOKUP(LEFT($A148,LEN(A148)-1)*1,Master!$D$25:$G$223,4,FALSE)</f>
        <v>Surplus / deficit</v>
      </c>
      <c r="C148" s="515"/>
      <c r="D148" s="515"/>
      <c r="E148" s="515"/>
      <c r="F148" s="515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6" t="str">
        <f>+VLOOKUP(LEFT($A149,LEN(A149)-1)*1,Master!$D$25:$G$223,4,FALSE)</f>
        <v>Primary balance</v>
      </c>
      <c r="C149" s="517"/>
      <c r="D149" s="517"/>
      <c r="E149" s="517"/>
      <c r="F149" s="517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8" t="str">
        <f>+VLOOKUP(LEFT($A150,LEN(A150)-1)*1,Master!$D$25:$G$223,4,FALSE)</f>
        <v>Repayment of Debt</v>
      </c>
      <c r="C150" s="519"/>
      <c r="D150" s="519"/>
      <c r="E150" s="519"/>
      <c r="F150" s="519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12" t="str">
        <f>+VLOOKUP(LEFT($A151,LEN(A151)-1)*1,Master!$D$25:$G$223,4,FALSE)</f>
        <v>Repayment of Domestic Debt</v>
      </c>
      <c r="C151" s="513"/>
      <c r="D151" s="513"/>
      <c r="E151" s="513"/>
      <c r="F151" s="513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6" t="str">
        <f>+VLOOKUP(LEFT($A152,LEN(A152)-1)*1,Master!$D$25:$G$223,4,FALSE)</f>
        <v>Repayment of Foreign Debt</v>
      </c>
      <c r="C152" s="507"/>
      <c r="D152" s="507"/>
      <c r="E152" s="507"/>
      <c r="F152" s="507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60" t="str">
        <f>+VLOOKUP(LEFT($A153,LEN(A153)-1)*1,Master!$D$25:$G$223,4,FALSE)</f>
        <v>Repayments of Arrears</v>
      </c>
      <c r="C153" s="561"/>
      <c r="D153" s="561"/>
      <c r="E153" s="561"/>
      <c r="F153" s="561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8" t="str">
        <f>+VLOOKUP(LEFT($A154,LEN(A154)-1)*1,Master!$D$25:$G$223,4,FALSE)</f>
        <v>Financing needs</v>
      </c>
      <c r="C154" s="509"/>
      <c r="D154" s="509"/>
      <c r="E154" s="509"/>
      <c r="F154" s="509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10" t="str">
        <f>+VLOOKUP(LEFT($A155,LEN(A155)-1)*1,Master!$D$25:$G$223,4,FALSE)</f>
        <v>Financing</v>
      </c>
      <c r="C155" s="511"/>
      <c r="D155" s="511"/>
      <c r="E155" s="511"/>
      <c r="F155" s="511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12" t="str">
        <f>+VLOOKUP(LEFT($A156,LEN(A156)-1)*1,Master!$D$25:$G$223,4,FALSE)</f>
        <v>Domestic Loans and Borrowings</v>
      </c>
      <c r="C156" s="513"/>
      <c r="D156" s="513"/>
      <c r="E156" s="513"/>
      <c r="F156" s="513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6" t="str">
        <f>+VLOOKUP(LEFT($A157,LEN(A157)-1)*1,Master!$D$25:$G$223,4,FALSE)</f>
        <v>Foreign Loans and Borrowings</v>
      </c>
      <c r="C157" s="507"/>
      <c r="D157" s="507"/>
      <c r="E157" s="507"/>
      <c r="F157" s="507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6" t="str">
        <f>+VLOOKUP(LEFT($A158,LEN(A158)-1)*1,Master!$D$25:$G$223,4,FALSE)</f>
        <v>Revenues from Selling Assets</v>
      </c>
      <c r="C158" s="507"/>
      <c r="D158" s="507"/>
      <c r="E158" s="507"/>
      <c r="F158" s="507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559" t="str">
        <f>+Master!G249</f>
        <v>Budget Execution</v>
      </c>
      <c r="C7" s="459"/>
      <c r="D7" s="459"/>
      <c r="E7" s="459"/>
      <c r="F7" s="459"/>
      <c r="G7" s="467">
        <v>2014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+Master!G246</f>
        <v>GDP</v>
      </c>
      <c r="T7" s="261">
        <v>3457880000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7" t="s">
        <v>705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500" t="str">
        <f>+VLOOKUP($A10,Master!$D$25:$G$223,4,FALSE)</f>
        <v>Total Revenues</v>
      </c>
      <c r="C10" s="501"/>
      <c r="D10" s="501"/>
      <c r="E10" s="501"/>
      <c r="F10" s="501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502" t="str">
        <f>+VLOOKUP($A11,Master!$D$25:$G$223,4,FALSE)</f>
        <v>Taxes</v>
      </c>
      <c r="C11" s="503"/>
      <c r="D11" s="503"/>
      <c r="E11" s="503"/>
      <c r="F11" s="503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8" t="str">
        <f>+VLOOKUP($A18,Master!$D$25:$G$223,4,FALSE)</f>
        <v>Other Republic Taxes</v>
      </c>
      <c r="C18" s="489"/>
      <c r="D18" s="489"/>
      <c r="E18" s="489"/>
      <c r="F18" s="489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8" t="str">
        <f>+VLOOKUP($A19,Master!$D$25:$G$223,4,FALSE)</f>
        <v>Contributions</v>
      </c>
      <c r="C19" s="499"/>
      <c r="D19" s="499"/>
      <c r="E19" s="499"/>
      <c r="F19" s="499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8" t="str">
        <f>+VLOOKUP($A20,Master!$D$25:$G$223,4,FALSE)</f>
        <v>Contributions for Pension and Disability Insurance</v>
      </c>
      <c r="C20" s="489"/>
      <c r="D20" s="489"/>
      <c r="E20" s="489"/>
      <c r="F20" s="489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8" t="str">
        <f>+VLOOKUP($A21,Master!$D$25:$G$223,4,FALSE)</f>
        <v>Contributions for Health Insurance</v>
      </c>
      <c r="C21" s="489"/>
      <c r="D21" s="489"/>
      <c r="E21" s="489"/>
      <c r="F21" s="489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8" t="str">
        <f>+VLOOKUP($A22,Master!$D$25:$G$223,4,FALSE)</f>
        <v>Contributions for  Unemployment Insurance</v>
      </c>
      <c r="C22" s="489"/>
      <c r="D22" s="489"/>
      <c r="E22" s="489"/>
      <c r="F22" s="489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8" t="str">
        <f>+VLOOKUP($A23,Master!$D$25:$G$223,4,FALSE)</f>
        <v>Other contributions</v>
      </c>
      <c r="C23" s="489"/>
      <c r="D23" s="489"/>
      <c r="E23" s="489"/>
      <c r="F23" s="489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90" t="str">
        <f>+VLOOKUP($A24,Master!$D$25:$G$223,4,FALSE)</f>
        <v>Duties</v>
      </c>
      <c r="C24" s="491"/>
      <c r="D24" s="491"/>
      <c r="E24" s="491"/>
      <c r="F24" s="491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90" t="str">
        <f>+VLOOKUP($A25,Master!$D$25:$G$223,4,FALSE)</f>
        <v>Fees</v>
      </c>
      <c r="C25" s="491"/>
      <c r="D25" s="491"/>
      <c r="E25" s="491"/>
      <c r="F25" s="491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90" t="str">
        <f>+VLOOKUP($A26,Master!$D$25:$G$223,4,FALSE)</f>
        <v>Other revenues</v>
      </c>
      <c r="C26" s="491"/>
      <c r="D26" s="491"/>
      <c r="E26" s="491"/>
      <c r="F26" s="491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90" t="str">
        <f>+VLOOKUP($A27,Master!$D$25:$G$223,4,FALSE)</f>
        <v>Receipts from Repayment of Loans and Funds Carried over from Previous Year</v>
      </c>
      <c r="C27" s="491"/>
      <c r="D27" s="491"/>
      <c r="E27" s="491"/>
      <c r="F27" s="491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92" t="str">
        <f>+VLOOKUP($A28,Master!$D$25:$G$223,4,FALSE)</f>
        <v>Grants and Transfers</v>
      </c>
      <c r="C28" s="493"/>
      <c r="D28" s="493"/>
      <c r="E28" s="493"/>
      <c r="F28" s="493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8" t="str">
        <f>+VLOOKUP($A29,Master!$D$25:$G$223,4,FALSE)</f>
        <v>Total Expenditures</v>
      </c>
      <c r="C29" s="479"/>
      <c r="D29" s="479"/>
      <c r="E29" s="479"/>
      <c r="F29" s="479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94" t="str">
        <f>+VLOOKUP($A30,Master!$D$25:$G$223,4,FALSE)</f>
        <v>Current Expenditures</v>
      </c>
      <c r="C30" s="495"/>
      <c r="D30" s="495"/>
      <c r="E30" s="495"/>
      <c r="F30" s="495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6" t="str">
        <f>+VLOOKUP($A31,Master!$D$25:$G$223,4,FALSE)</f>
        <v>Current Budgetary Expenditures</v>
      </c>
      <c r="C31" s="497"/>
      <c r="D31" s="497"/>
      <c r="E31" s="497"/>
      <c r="F31" s="497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8" t="str">
        <f>+VLOOKUP($A32,Master!$D$25:$G$223,4,FALSE)</f>
        <v>Gross Salaries and Contributions</v>
      </c>
      <c r="C32" s="489"/>
      <c r="D32" s="489"/>
      <c r="E32" s="489"/>
      <c r="F32" s="489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8" t="str">
        <f>+VLOOKUP($A33,Master!$D$25:$G$223,4,FALSE)</f>
        <v>Other Personal Income</v>
      </c>
      <c r="C33" s="489"/>
      <c r="D33" s="489"/>
      <c r="E33" s="489"/>
      <c r="F33" s="489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8" t="str">
        <f>+VLOOKUP($A34,Master!$D$25:$G$223,4,FALSE)</f>
        <v>Expenditures for Supplies</v>
      </c>
      <c r="C34" s="489"/>
      <c r="D34" s="489"/>
      <c r="E34" s="489"/>
      <c r="F34" s="489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8" t="str">
        <f>+VLOOKUP($A35,Master!$D$25:$G$223,4,FALSE)</f>
        <v>Expenditures for Services</v>
      </c>
      <c r="C35" s="489"/>
      <c r="D35" s="489"/>
      <c r="E35" s="489"/>
      <c r="F35" s="489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8" t="str">
        <f>+VLOOKUP($A36,Master!$D$25:$G$223,4,FALSE)</f>
        <v>Current Maintenance</v>
      </c>
      <c r="C36" s="489"/>
      <c r="D36" s="489"/>
      <c r="E36" s="489"/>
      <c r="F36" s="489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8" t="str">
        <f>+VLOOKUP($A37,Master!$D$25:$G$223,4,FALSE)</f>
        <v>Interests</v>
      </c>
      <c r="C37" s="489"/>
      <c r="D37" s="489"/>
      <c r="E37" s="489"/>
      <c r="F37" s="489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8" t="str">
        <f>+VLOOKUP($A38,Master!$D$25:$G$223,4,FALSE)</f>
        <v>Rent</v>
      </c>
      <c r="C38" s="489"/>
      <c r="D38" s="489"/>
      <c r="E38" s="489"/>
      <c r="F38" s="489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8" t="str">
        <f>+VLOOKUP($A39,Master!$D$25:$G$223,4,FALSE)</f>
        <v>Subsidies</v>
      </c>
      <c r="C39" s="489"/>
      <c r="D39" s="489"/>
      <c r="E39" s="489"/>
      <c r="F39" s="489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8" t="str">
        <f>+VLOOKUP($A40,Master!$D$25:$G$223,4,FALSE)</f>
        <v>Other expenditures</v>
      </c>
      <c r="C40" s="489"/>
      <c r="D40" s="489"/>
      <c r="E40" s="489"/>
      <c r="F40" s="489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8" t="str">
        <f>+VLOOKUP($A41,Master!$D$25:$G$223,4,FALSE)</f>
        <v>Current Capital Expenditure</v>
      </c>
      <c r="C41" s="489"/>
      <c r="D41" s="489"/>
      <c r="E41" s="489"/>
      <c r="F41" s="489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4" t="str">
        <f>+VLOOKUP($A42,Master!$D$25:$G$223,4,FALSE)</f>
        <v>Social Security Transfers</v>
      </c>
      <c r="C42" s="485"/>
      <c r="D42" s="485"/>
      <c r="E42" s="485"/>
      <c r="F42" s="485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8" t="str">
        <f>+VLOOKUP($A43,Master!$D$25:$G$223,4,FALSE)</f>
        <v>Social Security</v>
      </c>
      <c r="C43" s="489"/>
      <c r="D43" s="489"/>
      <c r="E43" s="489"/>
      <c r="F43" s="489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8" t="str">
        <f>+VLOOKUP($A44,Master!$D$25:$G$223,4,FALSE)</f>
        <v>Funds for redundant labor</v>
      </c>
      <c r="C44" s="489"/>
      <c r="D44" s="489"/>
      <c r="E44" s="489"/>
      <c r="F44" s="489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8" t="str">
        <f>+VLOOKUP($A45,Master!$D$25:$G$223,4,FALSE)</f>
        <v>Pension and Disability Insurance</v>
      </c>
      <c r="C45" s="489"/>
      <c r="D45" s="489"/>
      <c r="E45" s="489"/>
      <c r="F45" s="489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8" t="str">
        <f>+VLOOKUP($A46,Master!$D$25:$G$223,4,FALSE)</f>
        <v>Other Health Care Transfers</v>
      </c>
      <c r="C46" s="489"/>
      <c r="D46" s="489"/>
      <c r="E46" s="489"/>
      <c r="F46" s="489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8" t="str">
        <f>+VLOOKUP($A47,Master!$D$25:$G$223,4,FALSE)</f>
        <v>Other Health Care Insurance</v>
      </c>
      <c r="C47" s="489"/>
      <c r="D47" s="489"/>
      <c r="E47" s="489"/>
      <c r="F47" s="489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6" t="str">
        <f>+VLOOKUP($A48,Master!$D$25:$G$223,4,FALSE)</f>
        <v xml:space="preserve">Transfers to Institutions, Individuals, NGO and Public Sector </v>
      </c>
      <c r="C48" s="487"/>
      <c r="D48" s="487"/>
      <c r="E48" s="487"/>
      <c r="F48" s="487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6" t="str">
        <f>+VLOOKUP($A49,Master!$D$25:$G$223,4,FALSE)</f>
        <v>Capital Expenditure</v>
      </c>
      <c r="C49" s="487"/>
      <c r="D49" s="487"/>
      <c r="E49" s="487"/>
      <c r="F49" s="487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4" t="str">
        <f>+VLOOKUP($A52,Master!$D$25:$G$223,4,FALSE)</f>
        <v>Repayment of Guarantees</v>
      </c>
      <c r="C52" s="475"/>
      <c r="D52" s="475"/>
      <c r="E52" s="475"/>
      <c r="F52" s="475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4" t="str">
        <f>+VLOOKUP($A53,Master!$D$25:$G$223,4,TRUE)</f>
        <v>Repayments of Arrears</v>
      </c>
      <c r="C53" s="475"/>
      <c r="D53" s="475"/>
      <c r="E53" s="475"/>
      <c r="F53" s="475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60" t="str">
        <f>+VLOOKUP($A54,Master!$D$25:$G$225,4,FALSE)</f>
        <v>Net increase of liabilities</v>
      </c>
      <c r="C54" s="561"/>
      <c r="D54" s="561"/>
      <c r="E54" s="561"/>
      <c r="F54" s="561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62" t="str">
        <f>+VLOOKUP($A55,Master!$D$25:$G$223,4,FALSE)</f>
        <v>Surplus / deficit</v>
      </c>
      <c r="C55" s="563"/>
      <c r="D55" s="563"/>
      <c r="E55" s="563"/>
      <c r="F55" s="563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82" t="str">
        <f>+VLOOKUP($A56,Master!$D$25:$G$223,4,FALSE)</f>
        <v>Primary balance</v>
      </c>
      <c r="C56" s="483"/>
      <c r="D56" s="483"/>
      <c r="E56" s="483"/>
      <c r="F56" s="483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4" t="str">
        <f>+VLOOKUP($A57,Master!$D$25:$G$223,4,FALSE)</f>
        <v>Repayment of Debt</v>
      </c>
      <c r="C57" s="485"/>
      <c r="D57" s="485"/>
      <c r="E57" s="485"/>
      <c r="F57" s="485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72" t="str">
        <f>+VLOOKUP($A58,Master!$D$25:$G$223,4,FALSE)</f>
        <v>Repayment of Domestic Debt</v>
      </c>
      <c r="C58" s="473"/>
      <c r="D58" s="473"/>
      <c r="E58" s="473"/>
      <c r="F58" s="473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6" t="str">
        <f>+VLOOKUP($A60,Master!$D$25:$G$223,4,FALSE)</f>
        <v>Financing needs</v>
      </c>
      <c r="C60" s="477"/>
      <c r="D60" s="477"/>
      <c r="E60" s="477"/>
      <c r="F60" s="477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8" t="str">
        <f>+VLOOKUP($A61,Master!$D$25:$G$223,4,FALSE)</f>
        <v>Financing</v>
      </c>
      <c r="C61" s="479"/>
      <c r="D61" s="479"/>
      <c r="E61" s="479"/>
      <c r="F61" s="479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72" t="str">
        <f>+VLOOKUP($A62,Master!$D$25:$G$223,4,FALSE)</f>
        <v>Domestic Loans and Borrowings</v>
      </c>
      <c r="C62" s="473"/>
      <c r="D62" s="473"/>
      <c r="E62" s="473"/>
      <c r="F62" s="473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6" t="str">
        <f>+VLOOKUP($A63,Master!$D$25:$G$223,4,FALSE)</f>
        <v>Foreign Loans and Borrowings</v>
      </c>
      <c r="C63" s="457"/>
      <c r="D63" s="457"/>
      <c r="E63" s="457"/>
      <c r="F63" s="457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6" t="str">
        <f>+VLOOKUP($A64,Master!$D$25:$G$223,4,FALSE)</f>
        <v>Revenues from Selling Assets</v>
      </c>
      <c r="C64" s="457"/>
      <c r="D64" s="457"/>
      <c r="E64" s="457"/>
      <c r="F64" s="457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+VLOOKUP($A65,Master!$D$25:$G$223,4,FALSE)</f>
        <v>Increase / decrease of deposits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40" t="str">
        <f>+Master!G250</f>
        <v>Planned Budget Execution</v>
      </c>
      <c r="C101" s="541"/>
      <c r="D101" s="541"/>
      <c r="E101" s="541"/>
      <c r="F101" s="541"/>
      <c r="G101" s="534">
        <v>2014</v>
      </c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35"/>
      <c r="S101" s="115" t="str">
        <f>+S7</f>
        <v>GDP</v>
      </c>
      <c r="T101" s="116">
        <v>3393200615</v>
      </c>
    </row>
    <row r="102" spans="1:21" ht="15.75" customHeight="1">
      <c r="B102" s="542"/>
      <c r="C102" s="543"/>
      <c r="D102" s="543"/>
      <c r="E102" s="543"/>
      <c r="F102" s="544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534" t="str">
        <f>+Master!G244</f>
        <v>Jan - Dec</v>
      </c>
      <c r="T102" s="535">
        <f>+T8</f>
        <v>0</v>
      </c>
    </row>
    <row r="103" spans="1:21" ht="13.5" thickBot="1">
      <c r="B103" s="545"/>
      <c r="C103" s="546"/>
      <c r="D103" s="546"/>
      <c r="E103" s="546"/>
      <c r="F103" s="54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7" t="str">
        <f t="shared" ref="A104:A111" si="16">+CONCATENATE(A10,"p")</f>
        <v>7p</v>
      </c>
      <c r="B104" s="536" t="str">
        <f>+VLOOKUP(LEFT($A104,LEN(A104)-1)*1,Master!$D$25:$G$223,4,FALSE)</f>
        <v>Total Revenues</v>
      </c>
      <c r="C104" s="537"/>
      <c r="D104" s="537"/>
      <c r="E104" s="537"/>
      <c r="F104" s="537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8" t="str">
        <f>+VLOOKUP(LEFT($A105,LEN(A105)-1)*1,Master!$D$25:$G$223,4,FALSE)</f>
        <v>Taxes</v>
      </c>
      <c r="C105" s="539"/>
      <c r="D105" s="539"/>
      <c r="E105" s="539"/>
      <c r="F105" s="539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20" t="str">
        <f>+VLOOKUP(LEFT($A106,LEN(A106)-1)*1,Master!$D$25:$G$223,4,FALSE)</f>
        <v>Personal Income Tax</v>
      </c>
      <c r="C106" s="521"/>
      <c r="D106" s="521"/>
      <c r="E106" s="521"/>
      <c r="F106" s="521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20" t="str">
        <f>+VLOOKUP(LEFT($A107,LEN(A107)-1)*1,Master!$D$25:$G$223,4,FALSE)</f>
        <v>Corporate Income Tax</v>
      </c>
      <c r="C107" s="521"/>
      <c r="D107" s="521"/>
      <c r="E107" s="521"/>
      <c r="F107" s="521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20" t="str">
        <f>+VLOOKUP(LEFT($A108,LEN(A108)-1)*1,Master!$D$25:$G$223,4,FALSE)</f>
        <v xml:space="preserve">Taxes on Sales of Property </v>
      </c>
      <c r="C108" s="521"/>
      <c r="D108" s="521"/>
      <c r="E108" s="521"/>
      <c r="F108" s="521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20" t="str">
        <f>+VLOOKUP(LEFT($A109,LEN(A109)-1)*1,Master!$D$25:$G$223,4,FALSE)</f>
        <v>Value Added Tax</v>
      </c>
      <c r="C109" s="521"/>
      <c r="D109" s="521"/>
      <c r="E109" s="521"/>
      <c r="F109" s="521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20" t="str">
        <f>+VLOOKUP(LEFT($A110,LEN(A110)-1)*1,Master!$D$25:$G$223,4,FALSE)</f>
        <v>Excises</v>
      </c>
      <c r="C110" s="521"/>
      <c r="D110" s="521"/>
      <c r="E110" s="521"/>
      <c r="F110" s="521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20" t="str">
        <f>+VLOOKUP(LEFT($A111,LEN(A111)-1)*1,Master!$D$25:$G$223,4,FALSE)</f>
        <v>Tax on International Trade and Transactions</v>
      </c>
      <c r="C111" s="521"/>
      <c r="D111" s="521"/>
      <c r="E111" s="521"/>
      <c r="F111" s="521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20" t="e">
        <f>+VLOOKUP(LEFT($A112,LEN(A112)-1)*1,Master!$D$25:$G$223,4,FALSE)</f>
        <v>#REF!</v>
      </c>
      <c r="C112" s="521"/>
      <c r="D112" s="521"/>
      <c r="E112" s="521"/>
      <c r="F112" s="521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20" t="str">
        <f>+VLOOKUP(LEFT($A113,LEN(A113)-1)*1,Master!$D$25:$G$223,4,FALSE)</f>
        <v>Other Republic Taxes</v>
      </c>
      <c r="C113" s="521"/>
      <c r="D113" s="521"/>
      <c r="E113" s="521"/>
      <c r="F113" s="521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32" t="str">
        <f>+VLOOKUP(LEFT($A114,LEN(A114)-1)*1,Master!$D$25:$G$223,4,FALSE)</f>
        <v>Contributions</v>
      </c>
      <c r="C114" s="533"/>
      <c r="D114" s="533"/>
      <c r="E114" s="533"/>
      <c r="F114" s="533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20" t="str">
        <f>+VLOOKUP(LEFT($A115,LEN(A115)-1)*1,Master!$D$25:$G$223,4,FALSE)</f>
        <v>Contributions for Pension and Disability Insurance</v>
      </c>
      <c r="C115" s="521"/>
      <c r="D115" s="521"/>
      <c r="E115" s="521"/>
      <c r="F115" s="521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20" t="str">
        <f>+VLOOKUP(LEFT($A116,LEN(A116)-1)*1,Master!$D$25:$G$223,4,FALSE)</f>
        <v>Contributions for Health Insurance</v>
      </c>
      <c r="C116" s="521"/>
      <c r="D116" s="521"/>
      <c r="E116" s="521"/>
      <c r="F116" s="521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20" t="str">
        <f>+VLOOKUP(LEFT($A117,LEN(A117)-1)*1,Master!$D$25:$G$223,4,FALSE)</f>
        <v>Contributions for  Unemployment Insurance</v>
      </c>
      <c r="C117" s="521"/>
      <c r="D117" s="521"/>
      <c r="E117" s="521"/>
      <c r="F117" s="521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20" t="str">
        <f>+VLOOKUP(LEFT($A118,LEN(A118)-1)*1,Master!$D$25:$G$223,4,FALSE)</f>
        <v>Other contributions</v>
      </c>
      <c r="C118" s="521"/>
      <c r="D118" s="521"/>
      <c r="E118" s="521"/>
      <c r="F118" s="521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4" t="str">
        <f>+VLOOKUP(LEFT($A119,LEN(A119)-1)*1,Master!$D$25:$G$223,4,FALSE)</f>
        <v>Duties</v>
      </c>
      <c r="C119" s="525"/>
      <c r="D119" s="525"/>
      <c r="E119" s="525"/>
      <c r="F119" s="525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4" t="str">
        <f>+VLOOKUP(LEFT($A120,LEN(A120)-1)*1,Master!$D$25:$G$223,4,FALSE)</f>
        <v>Fees</v>
      </c>
      <c r="C120" s="525"/>
      <c r="D120" s="525"/>
      <c r="E120" s="525"/>
      <c r="F120" s="525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4" t="str">
        <f>+VLOOKUP(LEFT($A121,LEN(A121)-1)*1,Master!$D$25:$G$223,4,FALSE)</f>
        <v>Other revenues</v>
      </c>
      <c r="C121" s="525"/>
      <c r="D121" s="525"/>
      <c r="E121" s="525"/>
      <c r="F121" s="525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4" t="str">
        <f>+VLOOKUP(LEFT($A122,LEN(A122)-1)*1,Master!$D$25:$G$223,4,FALSE)</f>
        <v>Receipts from Repayment of Loans and Funds Carried over from Previous Year</v>
      </c>
      <c r="C122" s="525"/>
      <c r="D122" s="525"/>
      <c r="E122" s="525"/>
      <c r="F122" s="525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6" t="str">
        <f>+VLOOKUP(LEFT($A123,LEN(A123)-1)*1,Master!$D$25:$G$223,4,FALSE)</f>
        <v>Grants and Transfers</v>
      </c>
      <c r="C123" s="527"/>
      <c r="D123" s="527"/>
      <c r="E123" s="527"/>
      <c r="F123" s="527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10" t="str">
        <f>+VLOOKUP(LEFT($A124,LEN(A124)-1)*1,Master!$D$25:$G$223,4,FALSE)</f>
        <v>Total Expenditures</v>
      </c>
      <c r="C124" s="511"/>
      <c r="D124" s="511"/>
      <c r="E124" s="511"/>
      <c r="F124" s="511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8" t="str">
        <f>+VLOOKUP(LEFT($A125,LEN(A125)-1)*1,Master!$D$25:$G$223,4,FALSE)</f>
        <v>Current Expenditures</v>
      </c>
      <c r="C125" s="529"/>
      <c r="D125" s="529"/>
      <c r="E125" s="529"/>
      <c r="F125" s="529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30" t="str">
        <f>+VLOOKUP(LEFT($A126,LEN(A126)-1)*1,Master!$D$25:$G$223,4,FALSE)</f>
        <v>Current Budgetary Expenditures</v>
      </c>
      <c r="C126" s="531"/>
      <c r="D126" s="531"/>
      <c r="E126" s="531"/>
      <c r="F126" s="531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20" t="str">
        <f>+VLOOKUP(LEFT($A127,LEN(A127)-1)*1,Master!$D$25:$G$223,4,FALSE)</f>
        <v>Gross Salaries and Contributions</v>
      </c>
      <c r="C127" s="521"/>
      <c r="D127" s="521"/>
      <c r="E127" s="521"/>
      <c r="F127" s="521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20" t="str">
        <f>+VLOOKUP(LEFT($A128,LEN(A128)-1)*1,Master!$D$25:$G$223,4,FALSE)</f>
        <v>Other Personal Income</v>
      </c>
      <c r="C128" s="521"/>
      <c r="D128" s="521"/>
      <c r="E128" s="521"/>
      <c r="F128" s="521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20" t="str">
        <f>+VLOOKUP(LEFT($A129,LEN(A129)-1)*1,Master!$D$25:$G$223,4,FALSE)</f>
        <v>Expenditures for Supplies</v>
      </c>
      <c r="C129" s="521"/>
      <c r="D129" s="521"/>
      <c r="E129" s="521"/>
      <c r="F129" s="521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20" t="str">
        <f>+VLOOKUP(LEFT($A130,LEN(A130)-1)*1,Master!$D$25:$G$223,4,FALSE)</f>
        <v>Expenditures for Services</v>
      </c>
      <c r="C130" s="521"/>
      <c r="D130" s="521"/>
      <c r="E130" s="521"/>
      <c r="F130" s="521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20" t="str">
        <f>+VLOOKUP(LEFT($A131,LEN(A131)-1)*1,Master!$D$25:$G$223,4,FALSE)</f>
        <v>Current Maintenance</v>
      </c>
      <c r="C131" s="521"/>
      <c r="D131" s="521"/>
      <c r="E131" s="521"/>
      <c r="F131" s="521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20" t="str">
        <f>+VLOOKUP(LEFT($A132,LEN(A132)-1)*1,Master!$D$25:$G$223,4,FALSE)</f>
        <v>Interests</v>
      </c>
      <c r="C132" s="521"/>
      <c r="D132" s="521"/>
      <c r="E132" s="521"/>
      <c r="F132" s="521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20" t="str">
        <f>+VLOOKUP(LEFT($A133,LEN(A133)-1)*1,Master!$D$25:$G$223,4,FALSE)</f>
        <v>Rent</v>
      </c>
      <c r="C133" s="521"/>
      <c r="D133" s="521"/>
      <c r="E133" s="521"/>
      <c r="F133" s="521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20" t="str">
        <f>+VLOOKUP(LEFT($A134,LEN(A134)-1)*1,Master!$D$25:$G$223,4,FALSE)</f>
        <v>Subsidies</v>
      </c>
      <c r="C134" s="521"/>
      <c r="D134" s="521"/>
      <c r="E134" s="521"/>
      <c r="F134" s="521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20" t="str">
        <f>+VLOOKUP(LEFT($A135,LEN(A135)-1)*1,Master!$D$25:$G$223,4,FALSE)</f>
        <v>Other expenditures</v>
      </c>
      <c r="C135" s="521"/>
      <c r="D135" s="521"/>
      <c r="E135" s="521"/>
      <c r="F135" s="521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20" t="str">
        <f>+VLOOKUP(LEFT($A136,LEN(A136)-1)*1,Master!$D$25:$G$223,4,FALSE)</f>
        <v>Current Capital Expenditure</v>
      </c>
      <c r="C136" s="521"/>
      <c r="D136" s="521"/>
      <c r="E136" s="521"/>
      <c r="F136" s="521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8" t="str">
        <f>+VLOOKUP(LEFT($A137,LEN(A137)-1)*1,Master!$D$25:$G$223,4,FALSE)</f>
        <v>Social Security Transfers</v>
      </c>
      <c r="C137" s="519"/>
      <c r="D137" s="519"/>
      <c r="E137" s="519"/>
      <c r="F137" s="519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20" t="str">
        <f>+VLOOKUP(LEFT($A138,LEN(A138)-1)*1,Master!$D$25:$G$223,4,FALSE)</f>
        <v>Social Security</v>
      </c>
      <c r="C138" s="521"/>
      <c r="D138" s="521"/>
      <c r="E138" s="521"/>
      <c r="F138" s="521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20" t="str">
        <f>+VLOOKUP(LEFT($A139,LEN(A139)-1)*1,Master!$D$25:$G$223,4,FALSE)</f>
        <v>Funds for redundant labor</v>
      </c>
      <c r="C139" s="521"/>
      <c r="D139" s="521"/>
      <c r="E139" s="521"/>
      <c r="F139" s="521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20" t="str">
        <f>+VLOOKUP(LEFT($A140,LEN(A140)-1)*1,Master!$D$25:$G$223,4,FALSE)</f>
        <v>Pension and Disability Insurance</v>
      </c>
      <c r="C140" s="521"/>
      <c r="D140" s="521"/>
      <c r="E140" s="521"/>
      <c r="F140" s="521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20" t="str">
        <f>+VLOOKUP(LEFT($A141,LEN(A141)-1)*1,Master!$D$25:$G$223,4,FALSE)</f>
        <v>Other Health Care Transfers</v>
      </c>
      <c r="C141" s="521"/>
      <c r="D141" s="521"/>
      <c r="E141" s="521"/>
      <c r="F141" s="521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20" t="str">
        <f>+VLOOKUP(LEFT($A142,LEN(A142)-1)*1,Master!$D$25:$G$223,4,FALSE)</f>
        <v>Other Health Care Insurance</v>
      </c>
      <c r="C142" s="521"/>
      <c r="D142" s="521"/>
      <c r="E142" s="521"/>
      <c r="F142" s="521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22" t="str">
        <f>+VLOOKUP(LEFT($A143,LEN(A143)-1)*1,Master!$D$25:$G$223,4,FALSE)</f>
        <v xml:space="preserve">Transfers to Institutions, Individuals, NGO and Public Sector </v>
      </c>
      <c r="C143" s="523"/>
      <c r="D143" s="523"/>
      <c r="E143" s="523"/>
      <c r="F143" s="523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22" t="str">
        <f>+VLOOKUP(LEFT($A144,LEN(A144)-1)*1,Master!$D$25:$G$223,4,FALSE)</f>
        <v>Capital Expenditure</v>
      </c>
      <c r="C144" s="523"/>
      <c r="D144" s="523"/>
      <c r="E144" s="523"/>
      <c r="F144" s="523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6" t="str">
        <f>+VLOOKUP(LEFT($A145,LEN(A145)-1)*1,Master!$D$25:$G$223,4,FALSE)</f>
        <v>Credits and Borrowings</v>
      </c>
      <c r="C145" s="507"/>
      <c r="D145" s="507"/>
      <c r="E145" s="507"/>
      <c r="F145" s="507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6" t="str">
        <f>+VLOOKUP(LEFT($A146,LEN(A146)-1)*1,Master!$D$25:$G$223,4,FALSE)</f>
        <v>Reserves</v>
      </c>
      <c r="C146" s="507"/>
      <c r="D146" s="507"/>
      <c r="E146" s="507"/>
      <c r="F146" s="507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60" t="str">
        <f>+VLOOKUP(LEFT($A147,LEN(A147)-1)*1,Master!$D$25:$G$223,4,FALSE)</f>
        <v>Repayment of Guarantees</v>
      </c>
      <c r="C147" s="561"/>
      <c r="D147" s="561"/>
      <c r="E147" s="561"/>
      <c r="F147" s="561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14" t="str">
        <f>+VLOOKUP(LEFT($A148,LEN(A148)-1)*1,Master!$D$25:$G$223,4,FALSE)</f>
        <v>Surplus / deficit</v>
      </c>
      <c r="C148" s="515"/>
      <c r="D148" s="515"/>
      <c r="E148" s="515"/>
      <c r="F148" s="515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6" t="str">
        <f>+VLOOKUP(LEFT($A149,LEN(A149)-1)*1,Master!$D$25:$G$223,4,FALSE)</f>
        <v>Primary balance</v>
      </c>
      <c r="C149" s="517"/>
      <c r="D149" s="517"/>
      <c r="E149" s="517"/>
      <c r="F149" s="517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8" t="str">
        <f>+VLOOKUP(LEFT($A150,LEN(A150)-1)*1,Master!$D$25:$G$223,4,FALSE)</f>
        <v>Repayment of Debt</v>
      </c>
      <c r="C150" s="519"/>
      <c r="D150" s="519"/>
      <c r="E150" s="519"/>
      <c r="F150" s="519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12" t="str">
        <f>+VLOOKUP(LEFT($A151,LEN(A151)-1)*1,Master!$D$25:$G$223,4,FALSE)</f>
        <v>Repayment of Domestic Debt</v>
      </c>
      <c r="C151" s="513"/>
      <c r="D151" s="513"/>
      <c r="E151" s="513"/>
      <c r="F151" s="513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6" t="str">
        <f>+VLOOKUP(LEFT($A152,LEN(A152)-1)*1,Master!$D$25:$G$223,4,FALSE)</f>
        <v>Repayment of Foreign Debt</v>
      </c>
      <c r="C152" s="507"/>
      <c r="D152" s="507"/>
      <c r="E152" s="507"/>
      <c r="F152" s="507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60" t="str">
        <f>+VLOOKUP(LEFT($A153,LEN(A153)-1)*1,Master!$D$25:$G$223,4,FALSE)</f>
        <v>Repayments of Arrears</v>
      </c>
      <c r="C153" s="561"/>
      <c r="D153" s="561"/>
      <c r="E153" s="561"/>
      <c r="F153" s="561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8" t="str">
        <f>+VLOOKUP(LEFT($A154,LEN(A154)-1)*1,Master!$D$25:$G$223,4,FALSE)</f>
        <v>Financing needs</v>
      </c>
      <c r="C154" s="509"/>
      <c r="D154" s="509"/>
      <c r="E154" s="509"/>
      <c r="F154" s="509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10" t="str">
        <f>+VLOOKUP(LEFT($A155,LEN(A155)-1)*1,Master!$D$25:$G$223,4,FALSE)</f>
        <v>Financing</v>
      </c>
      <c r="C155" s="511"/>
      <c r="D155" s="511"/>
      <c r="E155" s="511"/>
      <c r="F155" s="511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12" t="str">
        <f>+VLOOKUP(LEFT($A156,LEN(A156)-1)*1,Master!$D$25:$G$223,4,FALSE)</f>
        <v>Domestic Loans and Borrowings</v>
      </c>
      <c r="C156" s="513"/>
      <c r="D156" s="513"/>
      <c r="E156" s="513"/>
      <c r="F156" s="513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6" t="str">
        <f>+VLOOKUP(LEFT($A157,LEN(A157)-1)*1,Master!$D$25:$G$223,4,FALSE)</f>
        <v>Foreign Loans and Borrowings</v>
      </c>
      <c r="C157" s="507"/>
      <c r="D157" s="507"/>
      <c r="E157" s="507"/>
      <c r="F157" s="507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6" t="str">
        <f>+VLOOKUP(LEFT($A158,LEN(A158)-1)*1,Master!$D$25:$G$223,4,FALSE)</f>
        <v>Revenues from Selling Assets</v>
      </c>
      <c r="C158" s="507"/>
      <c r="D158" s="507"/>
      <c r="E158" s="507"/>
      <c r="F158" s="507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40" t="str">
        <f>+Master!G249</f>
        <v>Budget Execution</v>
      </c>
      <c r="C7" s="541"/>
      <c r="D7" s="541"/>
      <c r="E7" s="541"/>
      <c r="F7" s="541"/>
      <c r="G7" s="534">
        <v>2013</v>
      </c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48"/>
      <c r="S7" s="548"/>
      <c r="T7" s="548"/>
      <c r="U7" s="535"/>
      <c r="V7" s="360"/>
      <c r="W7" s="115" t="str">
        <f>+Master!G246</f>
        <v>GDP</v>
      </c>
      <c r="X7" s="116">
        <v>3327000000</v>
      </c>
    </row>
    <row r="8" spans="1:24" ht="16.5" customHeight="1">
      <c r="B8" s="542"/>
      <c r="C8" s="543"/>
      <c r="D8" s="543"/>
      <c r="E8" s="543"/>
      <c r="F8" s="544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534" t="s">
        <v>706</v>
      </c>
      <c r="X8" s="535"/>
    </row>
    <row r="9" spans="1:24" ht="13.5" thickBot="1">
      <c r="B9" s="545"/>
      <c r="C9" s="546"/>
      <c r="D9" s="546"/>
      <c r="E9" s="546"/>
      <c r="F9" s="547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536" t="str">
        <f>+VLOOKUP($A10,Master!$D$25:$G$223,4,FALSE)</f>
        <v>Total Revenues</v>
      </c>
      <c r="C10" s="537"/>
      <c r="D10" s="537"/>
      <c r="E10" s="537"/>
      <c r="F10" s="537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8" t="str">
        <f>+VLOOKUP($A11,Master!$D$25:$G$223,4,FALSE)</f>
        <v>Taxes</v>
      </c>
      <c r="C11" s="539"/>
      <c r="D11" s="539"/>
      <c r="E11" s="539"/>
      <c r="F11" s="539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20" t="str">
        <f>+VLOOKUP($A12,Master!$D$25:$G$223,4,FALSE)</f>
        <v>Personal Income Tax</v>
      </c>
      <c r="C12" s="521"/>
      <c r="D12" s="521"/>
      <c r="E12" s="521"/>
      <c r="F12" s="521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20" t="str">
        <f>+VLOOKUP($A13,Master!$D$25:$G$223,4,FALSE)</f>
        <v>Corporate Income Tax</v>
      </c>
      <c r="C13" s="521"/>
      <c r="D13" s="521"/>
      <c r="E13" s="521"/>
      <c r="F13" s="521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20" t="str">
        <f>+VLOOKUP($A14,Master!$D$25:$G$223,4,FALSE)</f>
        <v xml:space="preserve">Taxes on Sales of Property </v>
      </c>
      <c r="C14" s="521"/>
      <c r="D14" s="521"/>
      <c r="E14" s="521"/>
      <c r="F14" s="521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20" t="str">
        <f>+VLOOKUP($A15,Master!$D$25:$G$223,4,FALSE)</f>
        <v>Value Added Tax</v>
      </c>
      <c r="C15" s="521"/>
      <c r="D15" s="521"/>
      <c r="E15" s="521"/>
      <c r="F15" s="521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20" t="str">
        <f>+VLOOKUP($A16,Master!$D$25:$G$223,4,FALSE)</f>
        <v>Excises</v>
      </c>
      <c r="C16" s="521"/>
      <c r="D16" s="521"/>
      <c r="E16" s="521"/>
      <c r="F16" s="521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20" t="str">
        <f>+VLOOKUP($A17,Master!$D$25:$G$223,4,FALSE)</f>
        <v>Tax on International Trade and Transactions</v>
      </c>
      <c r="C17" s="521"/>
      <c r="D17" s="521"/>
      <c r="E17" s="521"/>
      <c r="F17" s="521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20" t="e">
        <f>+VLOOKUP($A18,Master!$D$25:$G$223,4,FALSE)</f>
        <v>#N/A</v>
      </c>
      <c r="C18" s="521"/>
      <c r="D18" s="521"/>
      <c r="E18" s="521"/>
      <c r="F18" s="521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20" t="str">
        <f>+VLOOKUP($A19,Master!$D$25:$G$223,4,FALSE)</f>
        <v>Other Republic Taxes</v>
      </c>
      <c r="C19" s="521"/>
      <c r="D19" s="521"/>
      <c r="E19" s="521"/>
      <c r="F19" s="521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32" t="str">
        <f>+VLOOKUP($A20,Master!$D$25:$G$223,4,FALSE)</f>
        <v>Contributions</v>
      </c>
      <c r="C20" s="533"/>
      <c r="D20" s="533"/>
      <c r="E20" s="533"/>
      <c r="F20" s="533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20" t="str">
        <f>+VLOOKUP($A21,Master!$D$25:$G$223,4,FALSE)</f>
        <v>Contributions for Pension and Disability Insurance</v>
      </c>
      <c r="C21" s="521"/>
      <c r="D21" s="521"/>
      <c r="E21" s="521"/>
      <c r="F21" s="521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20" t="str">
        <f>+VLOOKUP($A22,Master!$D$25:$G$223,4,FALSE)</f>
        <v>Contributions for Health Insurance</v>
      </c>
      <c r="C22" s="521"/>
      <c r="D22" s="521"/>
      <c r="E22" s="521"/>
      <c r="F22" s="521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20" t="str">
        <f>+VLOOKUP($A23,Master!$D$25:$G$223,4,FALSE)</f>
        <v>Contributions for  Unemployment Insurance</v>
      </c>
      <c r="C23" s="521"/>
      <c r="D23" s="521"/>
      <c r="E23" s="521"/>
      <c r="F23" s="521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20" t="str">
        <f>+VLOOKUP($A24,Master!$D$25:$G$223,4,FALSE)</f>
        <v>Other contributions</v>
      </c>
      <c r="C24" s="521"/>
      <c r="D24" s="521"/>
      <c r="E24" s="521"/>
      <c r="F24" s="521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4" t="str">
        <f>+VLOOKUP($A25,Master!$D$25:$G$223,4,FALSE)</f>
        <v>Duties</v>
      </c>
      <c r="C25" s="525"/>
      <c r="D25" s="525"/>
      <c r="E25" s="525"/>
      <c r="F25" s="525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4" t="str">
        <f>+VLOOKUP($A26,Master!$D$25:$G$223,4,FALSE)</f>
        <v>Fees</v>
      </c>
      <c r="C26" s="525"/>
      <c r="D26" s="525"/>
      <c r="E26" s="525"/>
      <c r="F26" s="525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4" t="str">
        <f>+VLOOKUP($A27,Master!$D$25:$G$223,4,FALSE)</f>
        <v>Other revenues</v>
      </c>
      <c r="C27" s="525"/>
      <c r="D27" s="525"/>
      <c r="E27" s="525"/>
      <c r="F27" s="525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4" t="str">
        <f>+VLOOKUP($A28,Master!$D$25:$G$223,4,FALSE)</f>
        <v>Receipts from Repayment of Loans and Funds Carried over from Previous Year</v>
      </c>
      <c r="C28" s="525"/>
      <c r="D28" s="525"/>
      <c r="E28" s="525"/>
      <c r="F28" s="525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6" t="str">
        <f>+VLOOKUP($A29,Master!$D$25:$G$223,4,FALSE)</f>
        <v>Grants and Transfers</v>
      </c>
      <c r="C29" s="527"/>
      <c r="D29" s="527"/>
      <c r="E29" s="527"/>
      <c r="F29" s="527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10" t="str">
        <f>+VLOOKUP($A30,Master!$D$25:$G$223,4,FALSE)</f>
        <v>Total Expenditures</v>
      </c>
      <c r="C30" s="511"/>
      <c r="D30" s="511"/>
      <c r="E30" s="511"/>
      <c r="F30" s="511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8" t="str">
        <f>+VLOOKUP($A31,Master!$D$25:$G$223,4,FALSE)</f>
        <v>Current Expenditures</v>
      </c>
      <c r="C31" s="529"/>
      <c r="D31" s="529"/>
      <c r="E31" s="529"/>
      <c r="F31" s="529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30" t="str">
        <f>+VLOOKUP($A32,Master!$D$25:$G$223,4,FALSE)</f>
        <v>Current Budgetary Expenditures</v>
      </c>
      <c r="C32" s="531"/>
      <c r="D32" s="531"/>
      <c r="E32" s="531"/>
      <c r="F32" s="531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20" t="str">
        <f>+VLOOKUP($A33,Master!$D$25:$G$223,4,FALSE)</f>
        <v>Gross Salaries and Contributions</v>
      </c>
      <c r="C33" s="521"/>
      <c r="D33" s="521"/>
      <c r="E33" s="521"/>
      <c r="F33" s="521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20" t="str">
        <f>+VLOOKUP($A34,Master!$D$25:$G$223,4,FALSE)</f>
        <v>Other Personal Income</v>
      </c>
      <c r="C34" s="521"/>
      <c r="D34" s="521"/>
      <c r="E34" s="521"/>
      <c r="F34" s="521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20" t="str">
        <f>+VLOOKUP($A35,Master!$D$25:$G$223,4,FALSE)</f>
        <v>Expenditures for Supplies</v>
      </c>
      <c r="C35" s="521"/>
      <c r="D35" s="521"/>
      <c r="E35" s="521"/>
      <c r="F35" s="521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20" t="str">
        <f>+VLOOKUP($A36,Master!$D$25:$G$223,4,FALSE)</f>
        <v>Expenditures for Services</v>
      </c>
      <c r="C36" s="521"/>
      <c r="D36" s="521"/>
      <c r="E36" s="521"/>
      <c r="F36" s="521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20" t="str">
        <f>+VLOOKUP($A37,Master!$D$25:$G$223,4,FALSE)</f>
        <v>Current Maintenance</v>
      </c>
      <c r="C37" s="521"/>
      <c r="D37" s="521"/>
      <c r="E37" s="521"/>
      <c r="F37" s="521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20" t="str">
        <f>+VLOOKUP($A38,Master!$D$25:$G$223,4,FALSE)</f>
        <v>Interests</v>
      </c>
      <c r="C38" s="521"/>
      <c r="D38" s="521"/>
      <c r="E38" s="521"/>
      <c r="F38" s="521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20" t="str">
        <f>+VLOOKUP($A39,Master!$D$25:$G$223,4,FALSE)</f>
        <v>Rent</v>
      </c>
      <c r="C39" s="521"/>
      <c r="D39" s="521"/>
      <c r="E39" s="521"/>
      <c r="F39" s="521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20" t="str">
        <f>+VLOOKUP($A40,Master!$D$25:$G$223,4,FALSE)</f>
        <v>Subsidies</v>
      </c>
      <c r="C40" s="521"/>
      <c r="D40" s="521"/>
      <c r="E40" s="521"/>
      <c r="F40" s="521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20" t="str">
        <f>+VLOOKUP($A41,Master!$D$25:$G$223,4,FALSE)</f>
        <v>Other expenditures</v>
      </c>
      <c r="C41" s="521"/>
      <c r="D41" s="521"/>
      <c r="E41" s="521"/>
      <c r="F41" s="521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20" t="str">
        <f>+VLOOKUP($A42,Master!$D$25:$G$223,4,FALSE)</f>
        <v>Current Capital Expenditure</v>
      </c>
      <c r="C42" s="521"/>
      <c r="D42" s="521"/>
      <c r="E42" s="521"/>
      <c r="F42" s="521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8" t="str">
        <f>+VLOOKUP($A43,Master!$D$25:$G$223,4,FALSE)</f>
        <v>Social Security Transfers</v>
      </c>
      <c r="C43" s="519"/>
      <c r="D43" s="519"/>
      <c r="E43" s="519"/>
      <c r="F43" s="519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20" t="str">
        <f>+VLOOKUP($A44,Master!$D$25:$G$223,4,FALSE)</f>
        <v>Social Security</v>
      </c>
      <c r="C44" s="521"/>
      <c r="D44" s="521"/>
      <c r="E44" s="521"/>
      <c r="F44" s="521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20" t="str">
        <f>+VLOOKUP($A45,Master!$D$25:$G$223,4,FALSE)</f>
        <v>Funds for redundant labor</v>
      </c>
      <c r="C45" s="521"/>
      <c r="D45" s="521"/>
      <c r="E45" s="521"/>
      <c r="F45" s="521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20" t="str">
        <f>+VLOOKUP($A46,Master!$D$25:$G$223,4,FALSE)</f>
        <v>Pension and Disability Insurance</v>
      </c>
      <c r="C46" s="521"/>
      <c r="D46" s="521"/>
      <c r="E46" s="521"/>
      <c r="F46" s="521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20" t="str">
        <f>+VLOOKUP($A47,Master!$D$25:$G$223,4,FALSE)</f>
        <v>Other Health Care Transfers</v>
      </c>
      <c r="C47" s="521"/>
      <c r="D47" s="521"/>
      <c r="E47" s="521"/>
      <c r="F47" s="521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20" t="str">
        <f>+VLOOKUP($A48,Master!$D$25:$G$223,4,FALSE)</f>
        <v>Other Health Care Insurance</v>
      </c>
      <c r="C48" s="521"/>
      <c r="D48" s="521"/>
      <c r="E48" s="521"/>
      <c r="F48" s="521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22" t="str">
        <f>+VLOOKUP($A49,Master!$D$25:$G$223,4,FALSE)</f>
        <v xml:space="preserve">Transfers to Institutions, Individuals, NGO and Public Sector </v>
      </c>
      <c r="C49" s="523"/>
      <c r="D49" s="523"/>
      <c r="E49" s="523"/>
      <c r="F49" s="523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22" t="str">
        <f>+VLOOKUP($A50,Master!$D$25:$G$223,4,FALSE)</f>
        <v>Capital Expenditure</v>
      </c>
      <c r="C50" s="523"/>
      <c r="D50" s="523"/>
      <c r="E50" s="523"/>
      <c r="F50" s="523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6" t="str">
        <f>+VLOOKUP($A51,Master!$D$25:$G$223,4,FALSE)</f>
        <v>Credits and Borrowings</v>
      </c>
      <c r="C51" s="507"/>
      <c r="D51" s="507"/>
      <c r="E51" s="507"/>
      <c r="F51" s="507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6" t="str">
        <f>+VLOOKUP($A52,Master!$D$25:$G$223,4,FALSE)</f>
        <v>Reserves</v>
      </c>
      <c r="C52" s="507"/>
      <c r="D52" s="507"/>
      <c r="E52" s="507"/>
      <c r="F52" s="507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60" t="str">
        <f>+VLOOKUP($A53,Master!$D$25:$G$223,4,FALSE)</f>
        <v>Repayment of Guarantees</v>
      </c>
      <c r="C53" s="561"/>
      <c r="D53" s="561"/>
      <c r="E53" s="561"/>
      <c r="F53" s="561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60" t="str">
        <f>+VLOOKUP($A54,Master!$D$25:$G$223,4,FALSE)</f>
        <v>Repayments of Arrears</v>
      </c>
      <c r="C54" s="561"/>
      <c r="D54" s="561"/>
      <c r="E54" s="561"/>
      <c r="F54" s="561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60" t="str">
        <f>+VLOOKUP($A55,Master!$D$25:$G$225,4,FALSE)</f>
        <v>Net increase of liabilities</v>
      </c>
      <c r="C55" s="561"/>
      <c r="D55" s="561"/>
      <c r="E55" s="561"/>
      <c r="F55" s="561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14" t="str">
        <f>+VLOOKUP($A56,Master!$D$25:$G$223,4,FALSE)</f>
        <v>Surplus / deficit</v>
      </c>
      <c r="C56" s="515"/>
      <c r="D56" s="515"/>
      <c r="E56" s="515"/>
      <c r="F56" s="515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6" t="str">
        <f>+VLOOKUP($A57,Master!$D$25:$G$223,4,FALSE)</f>
        <v>Primary balance</v>
      </c>
      <c r="C57" s="517"/>
      <c r="D57" s="517"/>
      <c r="E57" s="517"/>
      <c r="F57" s="517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8" t="str">
        <f>+VLOOKUP($A58,Master!$D$25:$G$223,4,FALSE)</f>
        <v>Repayment of Debt</v>
      </c>
      <c r="C58" s="519"/>
      <c r="D58" s="519"/>
      <c r="E58" s="519"/>
      <c r="F58" s="519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12" t="str">
        <f>+VLOOKUP($A59,Master!$D$25:$G$223,4,FALSE)</f>
        <v>Repayment of Domestic Debt</v>
      </c>
      <c r="C59" s="513"/>
      <c r="D59" s="513"/>
      <c r="E59" s="513"/>
      <c r="F59" s="513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6" t="str">
        <f>+VLOOKUP($A60,Master!$D$25:$G$223,4,FALSE)</f>
        <v>Repayment of Foreign Debt</v>
      </c>
      <c r="C60" s="507"/>
      <c r="D60" s="507"/>
      <c r="E60" s="507"/>
      <c r="F60" s="507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8" t="str">
        <f>+VLOOKUP($A61,Master!$D$25:$G$223,4,FALSE)</f>
        <v>Financing needs</v>
      </c>
      <c r="C61" s="509"/>
      <c r="D61" s="509"/>
      <c r="E61" s="509"/>
      <c r="F61" s="509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10" t="str">
        <f>+VLOOKUP($A62,Master!$D$25:$G$223,4,FALSE)</f>
        <v>Financing</v>
      </c>
      <c r="C62" s="511"/>
      <c r="D62" s="511"/>
      <c r="E62" s="511"/>
      <c r="F62" s="511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12" t="str">
        <f>+VLOOKUP($A63,Master!$D$25:$G$223,4,FALSE)</f>
        <v>Domestic Loans and Borrowings</v>
      </c>
      <c r="C63" s="513"/>
      <c r="D63" s="513"/>
      <c r="E63" s="513"/>
      <c r="F63" s="513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6" t="str">
        <f>+VLOOKUP($A64,Master!$D$25:$G$223,4,FALSE)</f>
        <v>Foreign Loans and Borrowings</v>
      </c>
      <c r="C64" s="507"/>
      <c r="D64" s="507"/>
      <c r="E64" s="507"/>
      <c r="F64" s="507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6" t="str">
        <f>+VLOOKUP($A65,Master!$D$25:$G$223,4,FALSE)</f>
        <v>Revenues from Selling Assets</v>
      </c>
      <c r="C65" s="507"/>
      <c r="D65" s="507"/>
      <c r="E65" s="507"/>
      <c r="F65" s="507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9" t="str">
        <f>+Master!G250</f>
        <v>Planned Budget Execution</v>
      </c>
      <c r="C102" s="459"/>
      <c r="D102" s="459"/>
      <c r="E102" s="459"/>
      <c r="F102" s="459"/>
      <c r="G102" s="467">
        <v>2013</v>
      </c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71"/>
      <c r="V102" s="363"/>
      <c r="W102" s="260" t="str">
        <f>+W7</f>
        <v>GDP</v>
      </c>
      <c r="X102" s="261">
        <v>3393200615</v>
      </c>
    </row>
    <row r="103" spans="1:24" ht="15.75" customHeight="1">
      <c r="A103" s="169"/>
      <c r="B103" s="460"/>
      <c r="C103" s="461"/>
      <c r="D103" s="461"/>
      <c r="E103" s="461"/>
      <c r="F103" s="462"/>
      <c r="G103" s="170" t="str">
        <f t="shared" ref="G103:U103" si="20">+G8</f>
        <v>January</v>
      </c>
      <c r="H103" s="170" t="str">
        <f t="shared" si="20"/>
        <v>February</v>
      </c>
      <c r="I103" s="170" t="str">
        <f t="shared" si="20"/>
        <v>March</v>
      </c>
      <c r="J103" s="170"/>
      <c r="K103" s="170" t="str">
        <f t="shared" si="20"/>
        <v>April</v>
      </c>
      <c r="L103" s="170" t="str">
        <f t="shared" si="20"/>
        <v>May</v>
      </c>
      <c r="M103" s="170" t="str">
        <f t="shared" si="20"/>
        <v>June</v>
      </c>
      <c r="N103" s="170"/>
      <c r="O103" s="170" t="str">
        <f t="shared" si="20"/>
        <v>July</v>
      </c>
      <c r="P103" s="170" t="str">
        <f t="shared" si="20"/>
        <v>August</v>
      </c>
      <c r="Q103" s="170" t="str">
        <f t="shared" si="20"/>
        <v>September</v>
      </c>
      <c r="R103" s="170"/>
      <c r="S103" s="170" t="str">
        <f t="shared" si="20"/>
        <v>October</v>
      </c>
      <c r="T103" s="170" t="str">
        <f t="shared" si="20"/>
        <v>November</v>
      </c>
      <c r="U103" s="170" t="str">
        <f t="shared" si="20"/>
        <v>December</v>
      </c>
      <c r="V103" s="170"/>
      <c r="W103" s="467" t="str">
        <f>+Master!G244</f>
        <v>Jan - Dec</v>
      </c>
      <c r="X103" s="471">
        <f>+X8</f>
        <v>0</v>
      </c>
    </row>
    <row r="104" spans="1:24" ht="13.5" thickBot="1">
      <c r="A104" s="169"/>
      <c r="B104" s="463"/>
      <c r="C104" s="464"/>
      <c r="D104" s="464"/>
      <c r="E104" s="464"/>
      <c r="F104" s="465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GDP</v>
      </c>
    </row>
    <row r="105" spans="1:24" ht="13.5" thickBot="1">
      <c r="A105" s="297" t="str">
        <f t="shared" ref="A105:A148" si="21">+CONCATENATE(A10,"p")</f>
        <v>7p</v>
      </c>
      <c r="B105" s="500" t="str">
        <f>+VLOOKUP(LEFT($A105,LEN(A105)-1)*1,Master!$D$25:$G$223,4,FALSE)</f>
        <v>Total Revenues</v>
      </c>
      <c r="C105" s="501"/>
      <c r="D105" s="501"/>
      <c r="E105" s="501"/>
      <c r="F105" s="501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502" t="str">
        <f>+VLOOKUP(LEFT($A106,LEN(A106)-1)*1,Master!$D$25:$G$223,4,FALSE)</f>
        <v>Taxes</v>
      </c>
      <c r="C106" s="503"/>
      <c r="D106" s="503"/>
      <c r="E106" s="503"/>
      <c r="F106" s="503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8" t="str">
        <f>+VLOOKUP(LEFT($A107,LEN(A107)-1)*1,Master!$D$25:$G$223,4,FALSE)</f>
        <v>Personal Income Tax</v>
      </c>
      <c r="C107" s="489"/>
      <c r="D107" s="489"/>
      <c r="E107" s="489"/>
      <c r="F107" s="489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8" t="str">
        <f>+VLOOKUP(LEFT($A108,LEN(A108)-1)*1,Master!$D$25:$G$223,4,FALSE)</f>
        <v>Corporate Income Tax</v>
      </c>
      <c r="C108" s="489"/>
      <c r="D108" s="489"/>
      <c r="E108" s="489"/>
      <c r="F108" s="489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8" t="str">
        <f>+VLOOKUP(LEFT($A109,LEN(A109)-1)*1,Master!$D$25:$G$223,4,FALSE)</f>
        <v xml:space="preserve">Taxes on Sales of Property </v>
      </c>
      <c r="C109" s="489"/>
      <c r="D109" s="489"/>
      <c r="E109" s="489"/>
      <c r="F109" s="489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8" t="str">
        <f>+VLOOKUP(LEFT($A110,LEN(A110)-1)*1,Master!$D$25:$G$223,4,FALSE)</f>
        <v>Value Added Tax</v>
      </c>
      <c r="C110" s="489"/>
      <c r="D110" s="489"/>
      <c r="E110" s="489"/>
      <c r="F110" s="489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8" t="str">
        <f>+VLOOKUP(LEFT($A111,LEN(A111)-1)*1,Master!$D$25:$G$223,4,FALSE)</f>
        <v>Excises</v>
      </c>
      <c r="C111" s="489"/>
      <c r="D111" s="489"/>
      <c r="E111" s="489"/>
      <c r="F111" s="489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8" t="str">
        <f>+VLOOKUP(LEFT($A112,LEN(A112)-1)*1,Master!$D$25:$G$223,4,FALSE)</f>
        <v>Tax on International Trade and Transactions</v>
      </c>
      <c r="C112" s="489"/>
      <c r="D112" s="489"/>
      <c r="E112" s="489"/>
      <c r="F112" s="489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8" t="e">
        <f>+VLOOKUP(LEFT($A113,LEN(A113)-1)*1,Master!$D$25:$G$223,4,FALSE)</f>
        <v>#N/A</v>
      </c>
      <c r="C113" s="489"/>
      <c r="D113" s="489"/>
      <c r="E113" s="489"/>
      <c r="F113" s="489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8" t="str">
        <f>+VLOOKUP(LEFT($A114,LEN(A114)-1)*1,Master!$D$25:$G$223,4,FALSE)</f>
        <v>Other Republic Taxes</v>
      </c>
      <c r="C114" s="489"/>
      <c r="D114" s="489"/>
      <c r="E114" s="489"/>
      <c r="F114" s="489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8" t="str">
        <f>+VLOOKUP(LEFT($A115,LEN(A115)-1)*1,Master!$D$25:$G$223,4,FALSE)</f>
        <v>Contributions</v>
      </c>
      <c r="C115" s="499"/>
      <c r="D115" s="499"/>
      <c r="E115" s="499"/>
      <c r="F115" s="499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8" t="str">
        <f>+VLOOKUP(LEFT($A116,LEN(A116)-1)*1,Master!$D$25:$G$223,4,FALSE)</f>
        <v>Contributions for Pension and Disability Insurance</v>
      </c>
      <c r="C116" s="489"/>
      <c r="D116" s="489"/>
      <c r="E116" s="489"/>
      <c r="F116" s="489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8" t="str">
        <f>+VLOOKUP(LEFT($A117,LEN(A117)-1)*1,Master!$D$25:$G$223,4,FALSE)</f>
        <v>Contributions for Health Insurance</v>
      </c>
      <c r="C117" s="489"/>
      <c r="D117" s="489"/>
      <c r="E117" s="489"/>
      <c r="F117" s="489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8" t="str">
        <f>+VLOOKUP(LEFT($A118,LEN(A118)-1)*1,Master!$D$25:$G$223,4,FALSE)</f>
        <v>Contributions for  Unemployment Insurance</v>
      </c>
      <c r="C118" s="489"/>
      <c r="D118" s="489"/>
      <c r="E118" s="489"/>
      <c r="F118" s="489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8" t="str">
        <f>+VLOOKUP(LEFT($A119,LEN(A119)-1)*1,Master!$D$25:$G$223,4,FALSE)</f>
        <v>Other contributions</v>
      </c>
      <c r="C119" s="489"/>
      <c r="D119" s="489"/>
      <c r="E119" s="489"/>
      <c r="F119" s="489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90" t="str">
        <f>+VLOOKUP(LEFT($A120,LEN(A120)-1)*1,Master!$D$25:$G$223,4,FALSE)</f>
        <v>Duties</v>
      </c>
      <c r="C120" s="491"/>
      <c r="D120" s="491"/>
      <c r="E120" s="491"/>
      <c r="F120" s="491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90" t="str">
        <f>+VLOOKUP(LEFT($A121,LEN(A121)-1)*1,Master!$D$25:$G$223,4,FALSE)</f>
        <v>Fees</v>
      </c>
      <c r="C121" s="491"/>
      <c r="D121" s="491"/>
      <c r="E121" s="491"/>
      <c r="F121" s="491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90" t="str">
        <f>+VLOOKUP(LEFT($A122,LEN(A122)-1)*1,Master!$D$25:$G$223,4,FALSE)</f>
        <v>Other revenues</v>
      </c>
      <c r="C122" s="491"/>
      <c r="D122" s="491"/>
      <c r="E122" s="491"/>
      <c r="F122" s="491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90" t="str">
        <f>+VLOOKUP(LEFT($A123,LEN(A123)-1)*1,Master!$D$25:$G$223,4,FALSE)</f>
        <v>Receipts from Repayment of Loans and Funds Carried over from Previous Year</v>
      </c>
      <c r="C123" s="491"/>
      <c r="D123" s="491"/>
      <c r="E123" s="491"/>
      <c r="F123" s="491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92" t="str">
        <f>+VLOOKUP(LEFT($A124,LEN(A124)-1)*1,Master!$D$25:$G$223,4,FALSE)</f>
        <v>Grants and Transfers</v>
      </c>
      <c r="C124" s="493"/>
      <c r="D124" s="493"/>
      <c r="E124" s="493"/>
      <c r="F124" s="493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8" t="str">
        <f>+VLOOKUP(LEFT($A125,LEN(A125)-1)*1,Master!$D$25:$G$223,4,FALSE)</f>
        <v>Total Expenditures</v>
      </c>
      <c r="C125" s="479"/>
      <c r="D125" s="479"/>
      <c r="E125" s="479"/>
      <c r="F125" s="479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94" t="str">
        <f>+VLOOKUP(LEFT($A126,LEN(A126)-1)*1,Master!$D$25:$G$223,4,FALSE)</f>
        <v>Current Expenditures</v>
      </c>
      <c r="C126" s="495"/>
      <c r="D126" s="495"/>
      <c r="E126" s="495"/>
      <c r="F126" s="495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6" t="str">
        <f>+VLOOKUP(LEFT($A127,LEN(A127)-1)*1,Master!$D$25:$G$223,4,FALSE)</f>
        <v>Current Budgetary Expenditures</v>
      </c>
      <c r="C127" s="497"/>
      <c r="D127" s="497"/>
      <c r="E127" s="497"/>
      <c r="F127" s="497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8" t="str">
        <f>+VLOOKUP(LEFT($A128,LEN(A128)-1)*1,Master!$D$25:$G$223,4,FALSE)</f>
        <v>Gross Salaries and Contributions</v>
      </c>
      <c r="C128" s="489"/>
      <c r="D128" s="489"/>
      <c r="E128" s="489"/>
      <c r="F128" s="489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8" t="str">
        <f>+VLOOKUP(LEFT($A129,LEN(A129)-1)*1,Master!$D$25:$G$223,4,FALSE)</f>
        <v>Other Personal Income</v>
      </c>
      <c r="C129" s="489"/>
      <c r="D129" s="489"/>
      <c r="E129" s="489"/>
      <c r="F129" s="489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8" t="str">
        <f>+VLOOKUP(LEFT($A130,LEN(A130)-1)*1,Master!$D$25:$G$223,4,FALSE)</f>
        <v>Expenditures for Supplies</v>
      </c>
      <c r="C130" s="489"/>
      <c r="D130" s="489"/>
      <c r="E130" s="489"/>
      <c r="F130" s="489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8" t="str">
        <f>+VLOOKUP(LEFT($A131,LEN(A131)-1)*1,Master!$D$25:$G$223,4,FALSE)</f>
        <v>Expenditures for Services</v>
      </c>
      <c r="C131" s="489"/>
      <c r="D131" s="489"/>
      <c r="E131" s="489"/>
      <c r="F131" s="489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8" t="str">
        <f>+VLOOKUP(LEFT($A132,LEN(A132)-1)*1,Master!$D$25:$G$223,4,FALSE)</f>
        <v>Current Maintenance</v>
      </c>
      <c r="C132" s="489"/>
      <c r="D132" s="489"/>
      <c r="E132" s="489"/>
      <c r="F132" s="489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8" t="str">
        <f>+VLOOKUP(LEFT($A133,LEN(A133)-1)*1,Master!$D$25:$G$223,4,FALSE)</f>
        <v>Interests</v>
      </c>
      <c r="C133" s="489"/>
      <c r="D133" s="489"/>
      <c r="E133" s="489"/>
      <c r="F133" s="489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8" t="str">
        <f>+VLOOKUP(LEFT($A134,LEN(A134)-1)*1,Master!$D$25:$G$223,4,FALSE)</f>
        <v>Rent</v>
      </c>
      <c r="C134" s="489"/>
      <c r="D134" s="489"/>
      <c r="E134" s="489"/>
      <c r="F134" s="489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8" t="str">
        <f>+VLOOKUP(LEFT($A135,LEN(A135)-1)*1,Master!$D$25:$G$223,4,FALSE)</f>
        <v>Subsidies</v>
      </c>
      <c r="C135" s="489"/>
      <c r="D135" s="489"/>
      <c r="E135" s="489"/>
      <c r="F135" s="489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8" t="str">
        <f>+VLOOKUP(LEFT($A136,LEN(A136)-1)*1,Master!$D$25:$G$223,4,FALSE)</f>
        <v>Other expenditures</v>
      </c>
      <c r="C136" s="489"/>
      <c r="D136" s="489"/>
      <c r="E136" s="489"/>
      <c r="F136" s="489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8" t="str">
        <f>+VLOOKUP(LEFT($A137,LEN(A137)-1)*1,Master!$D$25:$G$223,4,FALSE)</f>
        <v>Current Capital Expenditure</v>
      </c>
      <c r="C137" s="489"/>
      <c r="D137" s="489"/>
      <c r="E137" s="489"/>
      <c r="F137" s="489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4" t="str">
        <f>+VLOOKUP(LEFT($A138,LEN(A138)-1)*1,Master!$D$25:$G$223,4,FALSE)</f>
        <v>Social Security Transfers</v>
      </c>
      <c r="C138" s="485"/>
      <c r="D138" s="485"/>
      <c r="E138" s="485"/>
      <c r="F138" s="485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8" t="str">
        <f>+VLOOKUP(LEFT($A139,LEN(A139)-1)*1,Master!$D$25:$G$223,4,FALSE)</f>
        <v>Social Security</v>
      </c>
      <c r="C139" s="489"/>
      <c r="D139" s="489"/>
      <c r="E139" s="489"/>
      <c r="F139" s="489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8" t="str">
        <f>+VLOOKUP(LEFT($A140,LEN(A140)-1)*1,Master!$D$25:$G$223,4,FALSE)</f>
        <v>Funds for redundant labor</v>
      </c>
      <c r="C140" s="489"/>
      <c r="D140" s="489"/>
      <c r="E140" s="489"/>
      <c r="F140" s="489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8" t="str">
        <f>+VLOOKUP(LEFT($A141,LEN(A141)-1)*1,Master!$D$25:$G$223,4,FALSE)</f>
        <v>Pension and Disability Insurance</v>
      </c>
      <c r="C141" s="489"/>
      <c r="D141" s="489"/>
      <c r="E141" s="489"/>
      <c r="F141" s="489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8" t="str">
        <f>+VLOOKUP(LEFT($A142,LEN(A142)-1)*1,Master!$D$25:$G$223,4,FALSE)</f>
        <v>Other Health Care Transfers</v>
      </c>
      <c r="C142" s="489"/>
      <c r="D142" s="489"/>
      <c r="E142" s="489"/>
      <c r="F142" s="489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8" t="str">
        <f>+VLOOKUP(LEFT($A143,LEN(A143)-1)*1,Master!$D$25:$G$223,4,FALSE)</f>
        <v>Other Health Care Insurance</v>
      </c>
      <c r="C143" s="489"/>
      <c r="D143" s="489"/>
      <c r="E143" s="489"/>
      <c r="F143" s="489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6" t="str">
        <f>+VLOOKUP(LEFT($A144,LEN(A144)-1)*1,Master!$D$25:$G$223,4,FALSE)</f>
        <v xml:space="preserve">Transfers to Institutions, Individuals, NGO and Public Sector </v>
      </c>
      <c r="C144" s="487"/>
      <c r="D144" s="487"/>
      <c r="E144" s="487"/>
      <c r="F144" s="487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6" t="str">
        <f>+VLOOKUP(LEFT($A145,LEN(A145)-1)*1,Master!$D$25:$G$223,4,FALSE)</f>
        <v>Capital Expenditure</v>
      </c>
      <c r="C145" s="487"/>
      <c r="D145" s="487"/>
      <c r="E145" s="487"/>
      <c r="F145" s="487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6" t="str">
        <f>+VLOOKUP(LEFT($A146,LEN(A146)-1)*1,Master!$D$25:$G$223,4,FALSE)</f>
        <v>Credits and Borrowings</v>
      </c>
      <c r="C146" s="457"/>
      <c r="D146" s="457"/>
      <c r="E146" s="457"/>
      <c r="F146" s="457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6" t="str">
        <f>+VLOOKUP(LEFT($A147,LEN(A147)-1)*1,Master!$D$25:$G$223,4,FALSE)</f>
        <v>Reserves</v>
      </c>
      <c r="C147" s="457"/>
      <c r="D147" s="457"/>
      <c r="E147" s="457"/>
      <c r="F147" s="457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4" t="str">
        <f>+VLOOKUP(LEFT($A148,LEN(A148)-1)*1,Master!$D$25:$G$223,4,FALSE)</f>
        <v>Repayment of Guarantees</v>
      </c>
      <c r="C148" s="475"/>
      <c r="D148" s="475"/>
      <c r="E148" s="475"/>
      <c r="F148" s="475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80" t="str">
        <f>+VLOOKUP(LEFT($A149,LEN(A149)-1)*1,Master!$D$25:$G$223,4,FALSE)</f>
        <v>Surplus / deficit</v>
      </c>
      <c r="C149" s="481"/>
      <c r="D149" s="481"/>
      <c r="E149" s="481"/>
      <c r="F149" s="481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82" t="str">
        <f>+VLOOKUP(LEFT($A150,LEN(A150)-1)*1,Master!$D$25:$G$223,4,FALSE)</f>
        <v>Primary balance</v>
      </c>
      <c r="C150" s="483"/>
      <c r="D150" s="483"/>
      <c r="E150" s="483"/>
      <c r="F150" s="483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4" t="str">
        <f>+VLOOKUP(LEFT($A151,LEN(A151)-1)*1,Master!$D$25:$G$223,4,FALSE)</f>
        <v>Repayment of Debt</v>
      </c>
      <c r="C151" s="485"/>
      <c r="D151" s="485"/>
      <c r="E151" s="485"/>
      <c r="F151" s="485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72" t="str">
        <f>+VLOOKUP(LEFT($A152,LEN(A152)-1)*1,Master!$D$25:$G$223,4,FALSE)</f>
        <v>Repayment of Domestic Debt</v>
      </c>
      <c r="C152" s="473"/>
      <c r="D152" s="473"/>
      <c r="E152" s="473"/>
      <c r="F152" s="473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6" t="str">
        <f>+VLOOKUP(LEFT($A153,LEN(A153)-1)*1,Master!$D$25:$G$223,4,FALSE)</f>
        <v>Repayment of Foreign Debt</v>
      </c>
      <c r="C153" s="457"/>
      <c r="D153" s="457"/>
      <c r="E153" s="457"/>
      <c r="F153" s="457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4" t="str">
        <f>+VLOOKUP(LEFT($A154,LEN(A154)-1)*1,Master!$D$25:$G$223,4,FALSE)</f>
        <v>Repayments of Arrears</v>
      </c>
      <c r="C154" s="475"/>
      <c r="D154" s="475"/>
      <c r="E154" s="475"/>
      <c r="F154" s="475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6" t="str">
        <f>+VLOOKUP(LEFT($A155,LEN(A155)-1)*1,Master!$D$25:$G$223,4,FALSE)</f>
        <v>Financing needs</v>
      </c>
      <c r="C155" s="477"/>
      <c r="D155" s="477"/>
      <c r="E155" s="477"/>
      <c r="F155" s="477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8" t="str">
        <f>+VLOOKUP(LEFT($A156,LEN(A156)-1)*1,Master!$D$25:$G$223,4,FALSE)</f>
        <v>Financing</v>
      </c>
      <c r="C156" s="479"/>
      <c r="D156" s="479"/>
      <c r="E156" s="479"/>
      <c r="F156" s="479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72" t="str">
        <f>+VLOOKUP(LEFT($A157,LEN(A157)-1)*1,Master!$D$25:$G$223,4,FALSE)</f>
        <v>Domestic Loans and Borrowings</v>
      </c>
      <c r="C157" s="473"/>
      <c r="D157" s="473"/>
      <c r="E157" s="473"/>
      <c r="F157" s="473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6" t="str">
        <f>+VLOOKUP(LEFT($A158,LEN(A158)-1)*1,Master!$D$25:$G$223,4,FALSE)</f>
        <v>Foreign Loans and Borrowings</v>
      </c>
      <c r="C158" s="457"/>
      <c r="D158" s="457"/>
      <c r="E158" s="457"/>
      <c r="F158" s="457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6" t="str">
        <f>+VLOOKUP(LEFT($A159,LEN(A159)-1)*1,Master!$D$25:$G$223,4,FALSE)</f>
        <v>Revenues from Selling Assets</v>
      </c>
      <c r="C159" s="457"/>
      <c r="D159" s="457"/>
      <c r="E159" s="457"/>
      <c r="F159" s="457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+VLOOKUP(LEFT($A160,LEN(A160)-1)*1,Master!$D$25:$G$223,4,FALSE)</f>
        <v>Increase / decrease of deposits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Analytics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Tamara Poleksic</cp:lastModifiedBy>
  <cp:lastPrinted>2017-03-01T13:10:49Z</cp:lastPrinted>
  <dcterms:created xsi:type="dcterms:W3CDTF">2014-09-15T13:41:17Z</dcterms:created>
  <dcterms:modified xsi:type="dcterms:W3CDTF">2018-12-05T09:49:18Z</dcterms:modified>
</cp:coreProperties>
</file>