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15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updateLinks="always" codeName="ThisWorkbook" defaultThemeVersion="124226"/>
  <bookViews>
    <workbookView xWindow="7395" yWindow="0" windowWidth="11490" windowHeight="8085" tabRatio="883" firstSheet="8" activeTab="9"/>
  </bookViews>
  <sheets>
    <sheet name="Cental Budget" sheetId="19" state="hidden" r:id="rId1"/>
    <sheet name="Local Government" sheetId="20" state="hidden" r:id="rId2"/>
    <sheet name="Public expenditure" sheetId="21" state="hidden" r:id="rId3"/>
    <sheet name="Execution for 2012" sheetId="23" state="hidden" r:id="rId4"/>
    <sheet name="Core data tab" sheetId="27" state="hidden" r:id="rId5"/>
    <sheet name="Cental Budget_int" sheetId="10" state="hidden" r:id="rId6"/>
    <sheet name="Local Government_int" sheetId="11" state="hidden" r:id="rId7"/>
    <sheet name="Public expenditure_int" sheetId="7" state="hidden" r:id="rId8"/>
    <sheet name="Public debt tab" sheetId="18" r:id="rId9"/>
    <sheet name="Analitics tab 2013" sheetId="16" r:id="rId10"/>
    <sheet name="Execution for 2013" sheetId="15" r:id="rId11"/>
    <sheet name="Monthly plan for 2013" sheetId="14" r:id="rId12"/>
    <sheet name="Monthly plan for 2012" sheetId="22" state="hidden" r:id="rId13"/>
    <sheet name="Execution for 2012_int" sheetId="26" r:id="rId14"/>
    <sheet name="MasterSheet" sheetId="13" state="hidden" r:id="rId15"/>
    <sheet name="Data for 2011" sheetId="17" state="hidden" r:id="rId16"/>
    <sheet name="Sheet1" sheetId="25" state="hidden" r:id="rId17"/>
    <sheet name="Sheet2" sheetId="28" state="hidden" r:id="rId18"/>
    <sheet name="Sheet3" sheetId="29" state="hidden" r:id="rId19"/>
  </sheets>
  <externalReferences>
    <externalReference r:id="rId20"/>
    <externalReference r:id="rId21"/>
    <externalReference r:id="rId22"/>
    <externalReference r:id="rId23"/>
  </externalReferences>
  <definedNames>
    <definedName name="_END94" localSheetId="0">#REF!</definedName>
    <definedName name="_END94" localSheetId="3">#REF!</definedName>
    <definedName name="_END94" localSheetId="1">#REF!</definedName>
    <definedName name="_END94" localSheetId="12">#REF!</definedName>
    <definedName name="_END94" localSheetId="2">#REF!</definedName>
    <definedName name="_END94">#REF!</definedName>
    <definedName name="_iva1" localSheetId="0" hidden="1">{#N/A,#N/A,FALSE,"CB";#N/A,#N/A,FALSE,"CMB";#N/A,#N/A,FALSE,"NBFI"}</definedName>
    <definedName name="_iva1" localSheetId="5" hidden="1">{#N/A,#N/A,FALSE,"CB";#N/A,#N/A,FALSE,"CMB";#N/A,#N/A,FALSE,"NBFI"}</definedName>
    <definedName name="_iva1" localSheetId="4" hidden="1">{#N/A,#N/A,FALSE,"CB";#N/A,#N/A,FALSE,"CMB";#N/A,#N/A,FALSE,"NBFI"}</definedName>
    <definedName name="_iva1" localSheetId="13" hidden="1">{#N/A,#N/A,FALSE,"CB";#N/A,#N/A,FALSE,"CMB";#N/A,#N/A,FALSE,"NBFI"}</definedName>
    <definedName name="_iva1" hidden="1">{#N/A,#N/A,FALSE,"CB";#N/A,#N/A,FALSE,"CMB";#N/A,#N/A,FALSE,"NBFI"}</definedName>
    <definedName name="_iva2" localSheetId="0" hidden="1">{#N/A,#N/A,FALSE,"CB";#N/A,#N/A,FALSE,"CMB";#N/A,#N/A,FALSE,"BSYS";#N/A,#N/A,FALSE,"NBFI";#N/A,#N/A,FALSE,"FSYS"}</definedName>
    <definedName name="_iva2" localSheetId="5" hidden="1">{#N/A,#N/A,FALSE,"CB";#N/A,#N/A,FALSE,"CMB";#N/A,#N/A,FALSE,"BSYS";#N/A,#N/A,FALSE,"NBFI";#N/A,#N/A,FALSE,"FSYS"}</definedName>
    <definedName name="_iva2" localSheetId="4" hidden="1">{#N/A,#N/A,FALSE,"CB";#N/A,#N/A,FALSE,"CMB";#N/A,#N/A,FALSE,"BSYS";#N/A,#N/A,FALSE,"NBFI";#N/A,#N/A,FALSE,"FSYS"}</definedName>
    <definedName name="_iva2" localSheetId="13" hidden="1">{#N/A,#N/A,FALSE,"CB";#N/A,#N/A,FALSE,"CMB";#N/A,#N/A,FALSE,"BSYS";#N/A,#N/A,FALSE,"NBFI";#N/A,#N/A,FALSE,"FSYS"}</definedName>
    <definedName name="_iva2" hidden="1">{#N/A,#N/A,FALSE,"CB";#N/A,#N/A,FALSE,"CMB";#N/A,#N/A,FALSE,"BSYS";#N/A,#N/A,FALSE,"NBFI";#N/A,#N/A,FALSE,"FSYS"}</definedName>
    <definedName name="_Order1" hidden="1">0</definedName>
    <definedName name="_Order2" hidden="1">0</definedName>
    <definedName name="_Regression_Out" localSheetId="0" hidden="1">#REF!</definedName>
    <definedName name="_Regression_Out" localSheetId="3" hidden="1">#REF!</definedName>
    <definedName name="_Regression_Out" localSheetId="1" hidden="1">#REF!</definedName>
    <definedName name="_Regression_Out" localSheetId="12" hidden="1">#REF!</definedName>
    <definedName name="_Regression_Out" localSheetId="2" hidden="1">#REF!</definedName>
    <definedName name="_Regression_Out" hidden="1">#REF!</definedName>
    <definedName name="_Regression_X" localSheetId="0" hidden="1">#REF!</definedName>
    <definedName name="_Regression_X" localSheetId="3" hidden="1">#REF!</definedName>
    <definedName name="_Regression_X" localSheetId="1" hidden="1">#REF!</definedName>
    <definedName name="_Regression_X" localSheetId="12" hidden="1">#REF!</definedName>
    <definedName name="_Regression_X" localSheetId="2" hidden="1">#REF!</definedName>
    <definedName name="_Regression_X" hidden="1">#REF!</definedName>
    <definedName name="_Regression_Y" localSheetId="0" hidden="1">#REF!</definedName>
    <definedName name="_Regression_Y" localSheetId="3" hidden="1">#REF!</definedName>
    <definedName name="_Regression_Y" localSheetId="1" hidden="1">#REF!</definedName>
    <definedName name="_Regression_Y" localSheetId="12" hidden="1">#REF!</definedName>
    <definedName name="_Regression_Y" localSheetId="2" hidden="1">#REF!</definedName>
    <definedName name="_Regression_Y" hidden="1">#REF!</definedName>
    <definedName name="_SUM2" localSheetId="0">#REF!</definedName>
    <definedName name="_SUM2" localSheetId="3">#REF!</definedName>
    <definedName name="_SUM2" localSheetId="1">#REF!</definedName>
    <definedName name="_SUM2" localSheetId="12">#REF!</definedName>
    <definedName name="_SUM2" localSheetId="2">#REF!</definedName>
    <definedName name="_SUM2">#REF!</definedName>
    <definedName name="_tab1" localSheetId="0">#REF!</definedName>
    <definedName name="_tab1" localSheetId="3">#REF!</definedName>
    <definedName name="_tab1" localSheetId="1">#REF!</definedName>
    <definedName name="_tab1" localSheetId="12">#REF!</definedName>
    <definedName name="_tab1" localSheetId="2">#REF!</definedName>
    <definedName name="_tab1">#REF!</definedName>
    <definedName name="_tab10" localSheetId="0">#REF!</definedName>
    <definedName name="_tab10" localSheetId="3">#REF!</definedName>
    <definedName name="_tab10" localSheetId="1">#REF!</definedName>
    <definedName name="_tab10" localSheetId="12">#REF!</definedName>
    <definedName name="_tab10" localSheetId="2">#REF!</definedName>
    <definedName name="_tab10">#REF!</definedName>
    <definedName name="_tab11" localSheetId="0">#REF!</definedName>
    <definedName name="_tab11" localSheetId="3">#REF!</definedName>
    <definedName name="_tab11" localSheetId="1">#REF!</definedName>
    <definedName name="_tab11" localSheetId="12">#REF!</definedName>
    <definedName name="_tab11" localSheetId="2">#REF!</definedName>
    <definedName name="_tab11">#REF!</definedName>
    <definedName name="_tab12" localSheetId="0">#REF!</definedName>
    <definedName name="_tab12" localSheetId="3">#REF!</definedName>
    <definedName name="_tab12" localSheetId="1">#REF!</definedName>
    <definedName name="_tab12" localSheetId="12">#REF!</definedName>
    <definedName name="_tab12" localSheetId="2">#REF!</definedName>
    <definedName name="_tab12">#REF!</definedName>
    <definedName name="_tab13" localSheetId="0">#REF!</definedName>
    <definedName name="_tab13" localSheetId="3">#REF!</definedName>
    <definedName name="_tab13" localSheetId="1">#REF!</definedName>
    <definedName name="_tab13" localSheetId="12">#REF!</definedName>
    <definedName name="_tab13" localSheetId="2">#REF!</definedName>
    <definedName name="_tab13">#REF!</definedName>
    <definedName name="_tab14" localSheetId="0">#REF!</definedName>
    <definedName name="_tab14" localSheetId="3">#REF!</definedName>
    <definedName name="_tab14" localSheetId="1">#REF!</definedName>
    <definedName name="_tab14" localSheetId="12">#REF!</definedName>
    <definedName name="_tab14" localSheetId="2">#REF!</definedName>
    <definedName name="_tab14">#REF!</definedName>
    <definedName name="_tab15" localSheetId="0">#REF!</definedName>
    <definedName name="_tab15" localSheetId="3">#REF!</definedName>
    <definedName name="_tab15" localSheetId="1">#REF!</definedName>
    <definedName name="_tab15" localSheetId="12">#REF!</definedName>
    <definedName name="_tab15" localSheetId="2">#REF!</definedName>
    <definedName name="_tab15">#REF!</definedName>
    <definedName name="_tab16" localSheetId="0">#REF!</definedName>
    <definedName name="_tab16" localSheetId="3">#REF!</definedName>
    <definedName name="_tab16" localSheetId="1">#REF!</definedName>
    <definedName name="_tab16" localSheetId="12">#REF!</definedName>
    <definedName name="_tab16" localSheetId="2">#REF!</definedName>
    <definedName name="_tab16">#REF!</definedName>
    <definedName name="_tab17" localSheetId="0">#REF!</definedName>
    <definedName name="_tab17" localSheetId="3">#REF!</definedName>
    <definedName name="_tab17" localSheetId="1">#REF!</definedName>
    <definedName name="_tab17" localSheetId="12">#REF!</definedName>
    <definedName name="_tab17" localSheetId="2">#REF!</definedName>
    <definedName name="_tab17">#REF!</definedName>
    <definedName name="_tab18" localSheetId="0">#REF!</definedName>
    <definedName name="_tab18" localSheetId="3">#REF!</definedName>
    <definedName name="_tab18" localSheetId="1">#REF!</definedName>
    <definedName name="_tab18" localSheetId="12">#REF!</definedName>
    <definedName name="_tab18" localSheetId="2">#REF!</definedName>
    <definedName name="_tab18">#REF!</definedName>
    <definedName name="_tab19" localSheetId="0">#REF!</definedName>
    <definedName name="_tab19" localSheetId="3">#REF!</definedName>
    <definedName name="_tab19" localSheetId="1">#REF!</definedName>
    <definedName name="_tab19" localSheetId="12">#REF!</definedName>
    <definedName name="_tab19" localSheetId="2">#REF!</definedName>
    <definedName name="_tab19">#REF!</definedName>
    <definedName name="_tab20" localSheetId="0">#REF!</definedName>
    <definedName name="_tab20" localSheetId="3">#REF!</definedName>
    <definedName name="_tab20" localSheetId="1">#REF!</definedName>
    <definedName name="_tab20" localSheetId="12">#REF!</definedName>
    <definedName name="_tab20" localSheetId="2">#REF!</definedName>
    <definedName name="_tab20">#REF!</definedName>
    <definedName name="_tab21" localSheetId="0">#REF!</definedName>
    <definedName name="_tab21" localSheetId="3">#REF!</definedName>
    <definedName name="_tab21" localSheetId="1">#REF!</definedName>
    <definedName name="_tab21" localSheetId="12">#REF!</definedName>
    <definedName name="_tab21" localSheetId="2">#REF!</definedName>
    <definedName name="_tab21">#REF!</definedName>
    <definedName name="_tab22" localSheetId="0">#REF!</definedName>
    <definedName name="_tab22" localSheetId="3">#REF!</definedName>
    <definedName name="_tab22" localSheetId="1">#REF!</definedName>
    <definedName name="_tab22" localSheetId="12">#REF!</definedName>
    <definedName name="_tab22" localSheetId="2">#REF!</definedName>
    <definedName name="_tab22">#REF!</definedName>
    <definedName name="_tab23" localSheetId="0">#REF!</definedName>
    <definedName name="_tab23" localSheetId="3">#REF!</definedName>
    <definedName name="_tab23" localSheetId="1">#REF!</definedName>
    <definedName name="_tab23" localSheetId="12">#REF!</definedName>
    <definedName name="_tab23" localSheetId="2">#REF!</definedName>
    <definedName name="_tab23">#REF!</definedName>
    <definedName name="_tab24" localSheetId="0">#REF!</definedName>
    <definedName name="_tab24" localSheetId="3">#REF!</definedName>
    <definedName name="_tab24" localSheetId="1">#REF!</definedName>
    <definedName name="_tab24" localSheetId="12">#REF!</definedName>
    <definedName name="_tab24" localSheetId="2">#REF!</definedName>
    <definedName name="_tab24">#REF!</definedName>
    <definedName name="_tab25" localSheetId="0">#REF!</definedName>
    <definedName name="_tab25" localSheetId="3">#REF!</definedName>
    <definedName name="_tab25" localSheetId="1">#REF!</definedName>
    <definedName name="_tab25" localSheetId="12">#REF!</definedName>
    <definedName name="_tab25" localSheetId="2">#REF!</definedName>
    <definedName name="_tab25">#REF!</definedName>
    <definedName name="_tab26" localSheetId="0">#REF!</definedName>
    <definedName name="_tab26" localSheetId="3">#REF!</definedName>
    <definedName name="_tab26" localSheetId="1">#REF!</definedName>
    <definedName name="_tab26" localSheetId="12">#REF!</definedName>
    <definedName name="_tab26" localSheetId="2">#REF!</definedName>
    <definedName name="_tab26">#REF!</definedName>
    <definedName name="_tab27" localSheetId="0">#REF!</definedName>
    <definedName name="_tab27" localSheetId="3">#REF!</definedName>
    <definedName name="_tab27" localSheetId="1">#REF!</definedName>
    <definedName name="_tab27" localSheetId="12">#REF!</definedName>
    <definedName name="_tab27" localSheetId="2">#REF!</definedName>
    <definedName name="_tab27">#REF!</definedName>
    <definedName name="_tab28" localSheetId="0">#REF!</definedName>
    <definedName name="_tab28" localSheetId="3">#REF!</definedName>
    <definedName name="_tab28" localSheetId="1">#REF!</definedName>
    <definedName name="_tab28" localSheetId="12">#REF!</definedName>
    <definedName name="_tab28" localSheetId="2">#REF!</definedName>
    <definedName name="_tab28">#REF!</definedName>
    <definedName name="_tab29" localSheetId="0">#REF!</definedName>
    <definedName name="_tab29" localSheetId="3">#REF!</definedName>
    <definedName name="_tab29" localSheetId="1">#REF!</definedName>
    <definedName name="_tab29" localSheetId="12">#REF!</definedName>
    <definedName name="_tab29" localSheetId="2">#REF!</definedName>
    <definedName name="_tab29">#REF!</definedName>
    <definedName name="_tab3" localSheetId="0">#REF!</definedName>
    <definedName name="_tab3" localSheetId="3">#REF!</definedName>
    <definedName name="_tab3" localSheetId="1">#REF!</definedName>
    <definedName name="_tab3" localSheetId="12">#REF!</definedName>
    <definedName name="_tab3" localSheetId="2">#REF!</definedName>
    <definedName name="_tab3">#REF!</definedName>
    <definedName name="_tab30" localSheetId="0">#REF!</definedName>
    <definedName name="_tab30" localSheetId="3">#REF!</definedName>
    <definedName name="_tab30" localSheetId="1">#REF!</definedName>
    <definedName name="_tab30" localSheetId="12">#REF!</definedName>
    <definedName name="_tab30" localSheetId="2">#REF!</definedName>
    <definedName name="_tab30">#REF!</definedName>
    <definedName name="_tab31" localSheetId="0">#REF!</definedName>
    <definedName name="_tab31" localSheetId="3">#REF!</definedName>
    <definedName name="_tab31" localSheetId="1">#REF!</definedName>
    <definedName name="_tab31" localSheetId="12">#REF!</definedName>
    <definedName name="_tab31" localSheetId="2">#REF!</definedName>
    <definedName name="_tab31">#REF!</definedName>
    <definedName name="_tab32" localSheetId="0">#REF!</definedName>
    <definedName name="_tab32" localSheetId="3">#REF!</definedName>
    <definedName name="_tab32" localSheetId="1">#REF!</definedName>
    <definedName name="_tab32" localSheetId="12">#REF!</definedName>
    <definedName name="_tab32" localSheetId="2">#REF!</definedName>
    <definedName name="_tab32">#REF!</definedName>
    <definedName name="_tab34" localSheetId="0">#REF!</definedName>
    <definedName name="_tab34" localSheetId="3">#REF!</definedName>
    <definedName name="_tab34" localSheetId="1">#REF!</definedName>
    <definedName name="_tab34" localSheetId="12">#REF!</definedName>
    <definedName name="_tab34" localSheetId="2">#REF!</definedName>
    <definedName name="_tab34">#REF!</definedName>
    <definedName name="_tab35" localSheetId="0">#REF!</definedName>
    <definedName name="_tab35" localSheetId="3">#REF!</definedName>
    <definedName name="_tab35" localSheetId="1">#REF!</definedName>
    <definedName name="_tab35" localSheetId="12">#REF!</definedName>
    <definedName name="_tab35" localSheetId="2">#REF!</definedName>
    <definedName name="_tab35">#REF!</definedName>
    <definedName name="_tab36" localSheetId="0">#REF!</definedName>
    <definedName name="_tab36" localSheetId="3">#REF!</definedName>
    <definedName name="_tab36" localSheetId="1">#REF!</definedName>
    <definedName name="_tab36" localSheetId="12">#REF!</definedName>
    <definedName name="_tab36" localSheetId="2">#REF!</definedName>
    <definedName name="_tab36">#REF!</definedName>
    <definedName name="_tab37" localSheetId="0">#REF!</definedName>
    <definedName name="_tab37" localSheetId="3">#REF!</definedName>
    <definedName name="_tab37" localSheetId="1">#REF!</definedName>
    <definedName name="_tab37" localSheetId="12">#REF!</definedName>
    <definedName name="_tab37" localSheetId="2">#REF!</definedName>
    <definedName name="_tab37">#REF!</definedName>
    <definedName name="_tab38" localSheetId="0">#REF!</definedName>
    <definedName name="_tab38" localSheetId="3">#REF!</definedName>
    <definedName name="_tab38" localSheetId="1">#REF!</definedName>
    <definedName name="_tab38" localSheetId="12">#REF!</definedName>
    <definedName name="_tab38" localSheetId="2">#REF!</definedName>
    <definedName name="_tab38">#REF!</definedName>
    <definedName name="_tab39" localSheetId="0">#REF!</definedName>
    <definedName name="_tab39" localSheetId="3">#REF!</definedName>
    <definedName name="_tab39" localSheetId="1">#REF!</definedName>
    <definedName name="_tab39" localSheetId="12">#REF!</definedName>
    <definedName name="_tab39" localSheetId="2">#REF!</definedName>
    <definedName name="_tab39">#REF!</definedName>
    <definedName name="_tab4" localSheetId="0">#REF!</definedName>
    <definedName name="_tab4" localSheetId="3">#REF!</definedName>
    <definedName name="_tab4" localSheetId="1">#REF!</definedName>
    <definedName name="_tab4" localSheetId="12">#REF!</definedName>
    <definedName name="_tab4" localSheetId="2">#REF!</definedName>
    <definedName name="_tab4">#REF!</definedName>
    <definedName name="_tab41" localSheetId="0">#REF!</definedName>
    <definedName name="_tab41" localSheetId="3">#REF!</definedName>
    <definedName name="_tab41" localSheetId="1">#REF!</definedName>
    <definedName name="_tab41" localSheetId="12">#REF!</definedName>
    <definedName name="_tab41" localSheetId="2">#REF!</definedName>
    <definedName name="_tab41">#REF!</definedName>
    <definedName name="_tab42" localSheetId="0">#REF!</definedName>
    <definedName name="_tab42" localSheetId="3">#REF!</definedName>
    <definedName name="_tab42" localSheetId="1">#REF!</definedName>
    <definedName name="_tab42" localSheetId="12">#REF!</definedName>
    <definedName name="_tab42" localSheetId="2">#REF!</definedName>
    <definedName name="_tab42">#REF!</definedName>
    <definedName name="_tab43" localSheetId="0">#REF!</definedName>
    <definedName name="_tab43" localSheetId="3">#REF!</definedName>
    <definedName name="_tab43" localSheetId="1">#REF!</definedName>
    <definedName name="_tab43" localSheetId="12">#REF!</definedName>
    <definedName name="_tab43" localSheetId="2">#REF!</definedName>
    <definedName name="_tab43">#REF!</definedName>
    <definedName name="_tab44" localSheetId="0">#REF!</definedName>
    <definedName name="_tab44" localSheetId="3">#REF!</definedName>
    <definedName name="_tab44" localSheetId="1">#REF!</definedName>
    <definedName name="_tab44" localSheetId="12">#REF!</definedName>
    <definedName name="_tab44" localSheetId="2">#REF!</definedName>
    <definedName name="_tab44">#REF!</definedName>
    <definedName name="_tab49" localSheetId="0">#REF!</definedName>
    <definedName name="_tab49" localSheetId="3">#REF!</definedName>
    <definedName name="_tab49" localSheetId="1">#REF!</definedName>
    <definedName name="_tab49" localSheetId="12">#REF!</definedName>
    <definedName name="_tab49" localSheetId="2">#REF!</definedName>
    <definedName name="_tab49">#REF!</definedName>
    <definedName name="_tab5" localSheetId="0">#REF!</definedName>
    <definedName name="_tab5" localSheetId="3">#REF!</definedName>
    <definedName name="_tab5" localSheetId="1">#REF!</definedName>
    <definedName name="_tab5" localSheetId="12">#REF!</definedName>
    <definedName name="_tab5" localSheetId="2">#REF!</definedName>
    <definedName name="_tab5">#REF!</definedName>
    <definedName name="_tab7" localSheetId="0">#REF!</definedName>
    <definedName name="_tab7" localSheetId="3">#REF!</definedName>
    <definedName name="_tab7" localSheetId="1">#REF!</definedName>
    <definedName name="_tab7" localSheetId="12">#REF!</definedName>
    <definedName name="_tab7" localSheetId="2">#REF!</definedName>
    <definedName name="_tab7">#REF!</definedName>
    <definedName name="_tab8" localSheetId="0">#REF!</definedName>
    <definedName name="_tab8" localSheetId="3">#REF!</definedName>
    <definedName name="_tab8" localSheetId="1">#REF!</definedName>
    <definedName name="_tab8" localSheetId="12">#REF!</definedName>
    <definedName name="_tab8" localSheetId="2">#REF!</definedName>
    <definedName name="_tab8">#REF!</definedName>
    <definedName name="_tab9" localSheetId="0">#REF!</definedName>
    <definedName name="_tab9" localSheetId="3">#REF!</definedName>
    <definedName name="_tab9" localSheetId="1">#REF!</definedName>
    <definedName name="_tab9" localSheetId="12">#REF!</definedName>
    <definedName name="_tab9" localSheetId="2">#REF!</definedName>
    <definedName name="_tab9">#REF!</definedName>
    <definedName name="_WB2" localSheetId="0">#REF!</definedName>
    <definedName name="_WB2" localSheetId="3">#REF!</definedName>
    <definedName name="_WB2" localSheetId="1">#REF!</definedName>
    <definedName name="_WB2" localSheetId="12">#REF!</definedName>
    <definedName name="_WB2" localSheetId="2">#REF!</definedName>
    <definedName name="_WB2">#REF!</definedName>
    <definedName name="Batumi_debt" localSheetId="0">[1]debt_sust!#REF!</definedName>
    <definedName name="Batumi_debt" localSheetId="4">[1]debt_sust!#REF!</definedName>
    <definedName name="Batumi_debt" localSheetId="3">[1]debt_sust!#REF!</definedName>
    <definedName name="Batumi_debt" localSheetId="13">[1]debt_sust!#REF!</definedName>
    <definedName name="Batumi_debt" localSheetId="1">[1]debt_sust!#REF!</definedName>
    <definedName name="Batumi_debt" localSheetId="12">[1]debt_sust!#REF!</definedName>
    <definedName name="Batumi_debt" localSheetId="2">[1]debt_sust!#REF!</definedName>
    <definedName name="Batumi_debt">[1]debt_sust!#REF!</definedName>
    <definedName name="BCA" localSheetId="0">#REF!</definedName>
    <definedName name="BCA" localSheetId="3">#REF!</definedName>
    <definedName name="BCA" localSheetId="1">#REF!</definedName>
    <definedName name="BCA" localSheetId="12">#REF!</definedName>
    <definedName name="BCA" localSheetId="2">#REF!</definedName>
    <definedName name="BCA">#REF!</definedName>
    <definedName name="BCA_NGDP" localSheetId="0">#REF!</definedName>
    <definedName name="BCA_NGDP" localSheetId="3">#REF!</definedName>
    <definedName name="BCA_NGDP" localSheetId="1">#REF!</definedName>
    <definedName name="BCA_NGDP" localSheetId="12">#REF!</definedName>
    <definedName name="BCA_NGDP" localSheetId="2">#REF!</definedName>
    <definedName name="BCA_NGDP">#REF!</definedName>
    <definedName name="BE" localSheetId="0">#REF!</definedName>
    <definedName name="BE" localSheetId="3">#REF!</definedName>
    <definedName name="BE" localSheetId="1">#REF!</definedName>
    <definedName name="BE" localSheetId="12">#REF!</definedName>
    <definedName name="BE" localSheetId="2">#REF!</definedName>
    <definedName name="BE">#REF!</definedName>
    <definedName name="BEA" localSheetId="0">#REF!</definedName>
    <definedName name="BEA" localSheetId="3">#REF!</definedName>
    <definedName name="BEA" localSheetId="1">#REF!</definedName>
    <definedName name="BEA" localSheetId="12">#REF!</definedName>
    <definedName name="BEA" localSheetId="2">#REF!</definedName>
    <definedName name="BEA">#REF!</definedName>
    <definedName name="BED" localSheetId="0">#REF!</definedName>
    <definedName name="BED" localSheetId="3">#REF!</definedName>
    <definedName name="BED" localSheetId="1">#REF!</definedName>
    <definedName name="BED" localSheetId="12">#REF!</definedName>
    <definedName name="BED" localSheetId="2">#REF!</definedName>
    <definedName name="BED">#REF!</definedName>
    <definedName name="BEI" localSheetId="0">#REF!</definedName>
    <definedName name="BEI" localSheetId="3">#REF!</definedName>
    <definedName name="BEI" localSheetId="1">#REF!</definedName>
    <definedName name="BEI" localSheetId="12">#REF!</definedName>
    <definedName name="BEI" localSheetId="2">#REF!</definedName>
    <definedName name="BEI">#REF!</definedName>
    <definedName name="BER" localSheetId="0">#REF!</definedName>
    <definedName name="BER" localSheetId="3">#REF!</definedName>
    <definedName name="BER" localSheetId="1">#REF!</definedName>
    <definedName name="BER" localSheetId="12">#REF!</definedName>
    <definedName name="BER" localSheetId="2">#REF!</definedName>
    <definedName name="BER">#REF!</definedName>
    <definedName name="BF" localSheetId="0">#REF!</definedName>
    <definedName name="BF" localSheetId="3">#REF!</definedName>
    <definedName name="BF" localSheetId="1">#REF!</definedName>
    <definedName name="BF" localSheetId="12">#REF!</definedName>
    <definedName name="BF" localSheetId="2">#REF!</definedName>
    <definedName name="BF">#REF!</definedName>
    <definedName name="BFD" localSheetId="0">#REF!</definedName>
    <definedName name="BFD" localSheetId="3">#REF!</definedName>
    <definedName name="BFD" localSheetId="1">#REF!</definedName>
    <definedName name="BFD" localSheetId="12">#REF!</definedName>
    <definedName name="BFD" localSheetId="2">#REF!</definedName>
    <definedName name="BFD">#REF!</definedName>
    <definedName name="BFDA" localSheetId="0">#REF!</definedName>
    <definedName name="BFDA" localSheetId="3">#REF!</definedName>
    <definedName name="BFDA" localSheetId="1">#REF!</definedName>
    <definedName name="BFDA" localSheetId="12">#REF!</definedName>
    <definedName name="BFDA" localSheetId="2">#REF!</definedName>
    <definedName name="BFDA">#REF!</definedName>
    <definedName name="BFDI" localSheetId="0">#REF!</definedName>
    <definedName name="BFDI" localSheetId="3">#REF!</definedName>
    <definedName name="BFDI" localSheetId="1">#REF!</definedName>
    <definedName name="BFDI" localSheetId="12">#REF!</definedName>
    <definedName name="BFDI" localSheetId="2">#REF!</definedName>
    <definedName name="BFDI">#REF!</definedName>
    <definedName name="BFDIL" localSheetId="0">#REF!</definedName>
    <definedName name="BFDIL" localSheetId="3">#REF!</definedName>
    <definedName name="BFDIL" localSheetId="1">#REF!</definedName>
    <definedName name="BFDIL" localSheetId="12">#REF!</definedName>
    <definedName name="BFDIL" localSheetId="2">#REF!</definedName>
    <definedName name="BFDIL">#REF!</definedName>
    <definedName name="BFL_D" localSheetId="0">#REF!</definedName>
    <definedName name="BFL_D" localSheetId="3">#REF!</definedName>
    <definedName name="BFL_D" localSheetId="1">#REF!</definedName>
    <definedName name="BFL_D" localSheetId="12">#REF!</definedName>
    <definedName name="BFL_D" localSheetId="2">#REF!</definedName>
    <definedName name="BFL_D">#REF!</definedName>
    <definedName name="BFO" localSheetId="0">#REF!</definedName>
    <definedName name="BFO" localSheetId="3">#REF!</definedName>
    <definedName name="BFO" localSheetId="1">#REF!</definedName>
    <definedName name="BFO" localSheetId="12">#REF!</definedName>
    <definedName name="BFO" localSheetId="2">#REF!</definedName>
    <definedName name="BFO">#REF!</definedName>
    <definedName name="BFOA" localSheetId="0">#REF!</definedName>
    <definedName name="BFOA" localSheetId="3">#REF!</definedName>
    <definedName name="BFOA" localSheetId="1">#REF!</definedName>
    <definedName name="BFOA" localSheetId="12">#REF!</definedName>
    <definedName name="BFOA" localSheetId="2">#REF!</definedName>
    <definedName name="BFOA">#REF!</definedName>
    <definedName name="BFOAG" localSheetId="0">#REF!</definedName>
    <definedName name="BFOAG" localSheetId="3">#REF!</definedName>
    <definedName name="BFOAG" localSheetId="1">#REF!</definedName>
    <definedName name="BFOAG" localSheetId="12">#REF!</definedName>
    <definedName name="BFOAG" localSheetId="2">#REF!</definedName>
    <definedName name="BFOAG">#REF!</definedName>
    <definedName name="BFOL" localSheetId="0">#REF!</definedName>
    <definedName name="BFOL" localSheetId="3">#REF!</definedName>
    <definedName name="BFOL" localSheetId="1">#REF!</definedName>
    <definedName name="BFOL" localSheetId="12">#REF!</definedName>
    <definedName name="BFOL" localSheetId="2">#REF!</definedName>
    <definedName name="BFOL">#REF!</definedName>
    <definedName name="BFOL_B" localSheetId="0">#REF!</definedName>
    <definedName name="BFOL_B" localSheetId="3">#REF!</definedName>
    <definedName name="BFOL_B" localSheetId="1">#REF!</definedName>
    <definedName name="BFOL_B" localSheetId="12">#REF!</definedName>
    <definedName name="BFOL_B" localSheetId="2">#REF!</definedName>
    <definedName name="BFOL_B">#REF!</definedName>
    <definedName name="BFOL_G" localSheetId="0">#REF!</definedName>
    <definedName name="BFOL_G" localSheetId="3">#REF!</definedName>
    <definedName name="BFOL_G" localSheetId="1">#REF!</definedName>
    <definedName name="BFOL_G" localSheetId="12">#REF!</definedName>
    <definedName name="BFOL_G" localSheetId="2">#REF!</definedName>
    <definedName name="BFOL_G">#REF!</definedName>
    <definedName name="BFOL_L" localSheetId="0">#REF!</definedName>
    <definedName name="BFOL_L" localSheetId="3">#REF!</definedName>
    <definedName name="BFOL_L" localSheetId="1">#REF!</definedName>
    <definedName name="BFOL_L" localSheetId="12">#REF!</definedName>
    <definedName name="BFOL_L" localSheetId="2">#REF!</definedName>
    <definedName name="BFOL_L">#REF!</definedName>
    <definedName name="BFOL_O" localSheetId="0">#REF!</definedName>
    <definedName name="BFOL_O" localSheetId="3">#REF!</definedName>
    <definedName name="BFOL_O" localSheetId="1">#REF!</definedName>
    <definedName name="BFOL_O" localSheetId="12">#REF!</definedName>
    <definedName name="BFOL_O" localSheetId="2">#REF!</definedName>
    <definedName name="BFOL_O">#REF!</definedName>
    <definedName name="BFOL_S" localSheetId="0">#REF!</definedName>
    <definedName name="BFOL_S" localSheetId="3">#REF!</definedName>
    <definedName name="BFOL_S" localSheetId="1">#REF!</definedName>
    <definedName name="BFOL_S" localSheetId="12">#REF!</definedName>
    <definedName name="BFOL_S" localSheetId="2">#REF!</definedName>
    <definedName name="BFOL_S">#REF!</definedName>
    <definedName name="BFOLB" localSheetId="0">#REF!</definedName>
    <definedName name="BFOLB" localSheetId="3">#REF!</definedName>
    <definedName name="BFOLB" localSheetId="1">#REF!</definedName>
    <definedName name="BFOLB" localSheetId="12">#REF!</definedName>
    <definedName name="BFOLB" localSheetId="2">#REF!</definedName>
    <definedName name="BFOLB">#REF!</definedName>
    <definedName name="BFOLG_L" localSheetId="0">#REF!</definedName>
    <definedName name="BFOLG_L" localSheetId="3">#REF!</definedName>
    <definedName name="BFOLG_L" localSheetId="1">#REF!</definedName>
    <definedName name="BFOLG_L" localSheetId="12">#REF!</definedName>
    <definedName name="BFOLG_L" localSheetId="2">#REF!</definedName>
    <definedName name="BFOLG_L">#REF!</definedName>
    <definedName name="BFP" localSheetId="0">#REF!</definedName>
    <definedName name="BFP" localSheetId="3">#REF!</definedName>
    <definedName name="BFP" localSheetId="1">#REF!</definedName>
    <definedName name="BFP" localSheetId="12">#REF!</definedName>
    <definedName name="BFP" localSheetId="2">#REF!</definedName>
    <definedName name="BFP">#REF!</definedName>
    <definedName name="BFPA" localSheetId="0">#REF!</definedName>
    <definedName name="BFPA" localSheetId="3">#REF!</definedName>
    <definedName name="BFPA" localSheetId="1">#REF!</definedName>
    <definedName name="BFPA" localSheetId="12">#REF!</definedName>
    <definedName name="BFPA" localSheetId="2">#REF!</definedName>
    <definedName name="BFPA">#REF!</definedName>
    <definedName name="BFPAG" localSheetId="0">#REF!</definedName>
    <definedName name="BFPAG" localSheetId="3">#REF!</definedName>
    <definedName name="BFPAG" localSheetId="1">#REF!</definedName>
    <definedName name="BFPAG" localSheetId="12">#REF!</definedName>
    <definedName name="BFPAG" localSheetId="2">#REF!</definedName>
    <definedName name="BFPAG">#REF!</definedName>
    <definedName name="BFPL" localSheetId="0">#REF!</definedName>
    <definedName name="BFPL" localSheetId="3">#REF!</definedName>
    <definedName name="BFPL" localSheetId="1">#REF!</definedName>
    <definedName name="BFPL" localSheetId="12">#REF!</definedName>
    <definedName name="BFPL" localSheetId="2">#REF!</definedName>
    <definedName name="BFPL">#REF!</definedName>
    <definedName name="BFPLBN" localSheetId="0">#REF!</definedName>
    <definedName name="BFPLBN" localSheetId="3">#REF!</definedName>
    <definedName name="BFPLBN" localSheetId="1">#REF!</definedName>
    <definedName name="BFPLBN" localSheetId="12">#REF!</definedName>
    <definedName name="BFPLBN" localSheetId="2">#REF!</definedName>
    <definedName name="BFPLBN">#REF!</definedName>
    <definedName name="BFPLD" localSheetId="0">#REF!</definedName>
    <definedName name="BFPLD" localSheetId="3">#REF!</definedName>
    <definedName name="BFPLD" localSheetId="1">#REF!</definedName>
    <definedName name="BFPLD" localSheetId="12">#REF!</definedName>
    <definedName name="BFPLD" localSheetId="2">#REF!</definedName>
    <definedName name="BFPLD">#REF!</definedName>
    <definedName name="BFPLD_G" localSheetId="0">#REF!</definedName>
    <definedName name="BFPLD_G" localSheetId="3">#REF!</definedName>
    <definedName name="BFPLD_G" localSheetId="1">#REF!</definedName>
    <definedName name="BFPLD_G" localSheetId="12">#REF!</definedName>
    <definedName name="BFPLD_G" localSheetId="2">#REF!</definedName>
    <definedName name="BFPLD_G">#REF!</definedName>
    <definedName name="BFPLE" localSheetId="0">#REF!</definedName>
    <definedName name="BFPLE" localSheetId="3">#REF!</definedName>
    <definedName name="BFPLE" localSheetId="1">#REF!</definedName>
    <definedName name="BFPLE" localSheetId="12">#REF!</definedName>
    <definedName name="BFPLE" localSheetId="2">#REF!</definedName>
    <definedName name="BFPLE">#REF!</definedName>
    <definedName name="BFPLE_G" localSheetId="0">#REF!</definedName>
    <definedName name="BFPLE_G" localSheetId="3">#REF!</definedName>
    <definedName name="BFPLE_G" localSheetId="1">#REF!</definedName>
    <definedName name="BFPLE_G" localSheetId="12">#REF!</definedName>
    <definedName name="BFPLE_G" localSheetId="2">#REF!</definedName>
    <definedName name="BFPLE_G">#REF!</definedName>
    <definedName name="BFPLMM" localSheetId="0">#REF!</definedName>
    <definedName name="BFPLMM" localSheetId="3">#REF!</definedName>
    <definedName name="BFPLMM" localSheetId="1">#REF!</definedName>
    <definedName name="BFPLMM" localSheetId="12">#REF!</definedName>
    <definedName name="BFPLMM" localSheetId="2">#REF!</definedName>
    <definedName name="BFPLMM">#REF!</definedName>
    <definedName name="BFRA" localSheetId="0">#REF!</definedName>
    <definedName name="BFRA" localSheetId="3">#REF!</definedName>
    <definedName name="BFRA" localSheetId="1">#REF!</definedName>
    <definedName name="BFRA" localSheetId="12">#REF!</definedName>
    <definedName name="BFRA" localSheetId="2">#REF!</definedName>
    <definedName name="BFRA">#REF!</definedName>
    <definedName name="BFUND" localSheetId="0">#REF!</definedName>
    <definedName name="BFUND" localSheetId="3">#REF!</definedName>
    <definedName name="BFUND" localSheetId="1">#REF!</definedName>
    <definedName name="BFUND" localSheetId="12">#REF!</definedName>
    <definedName name="BFUND" localSheetId="2">#REF!</definedName>
    <definedName name="BFUND">#REF!</definedName>
    <definedName name="BGS" localSheetId="0">#REF!</definedName>
    <definedName name="BGS" localSheetId="3">#REF!</definedName>
    <definedName name="BGS" localSheetId="1">#REF!</definedName>
    <definedName name="BGS" localSheetId="12">#REF!</definedName>
    <definedName name="BGS" localSheetId="2">#REF!</definedName>
    <definedName name="BGS">#REF!</definedName>
    <definedName name="BI" localSheetId="0">#REF!</definedName>
    <definedName name="BI" localSheetId="3">#REF!</definedName>
    <definedName name="BI" localSheetId="1">#REF!</definedName>
    <definedName name="BI" localSheetId="12">#REF!</definedName>
    <definedName name="BI" localSheetId="2">#REF!</definedName>
    <definedName name="BI">#REF!</definedName>
    <definedName name="BIP" localSheetId="0">#REF!</definedName>
    <definedName name="BIP" localSheetId="3">#REF!</definedName>
    <definedName name="BIP" localSheetId="1">#REF!</definedName>
    <definedName name="BIP" localSheetId="12">#REF!</definedName>
    <definedName name="BIP" localSheetId="2">#REF!</definedName>
    <definedName name="BIP">#REF!</definedName>
    <definedName name="BK" localSheetId="0">#REF!</definedName>
    <definedName name="BK" localSheetId="3">#REF!</definedName>
    <definedName name="BK" localSheetId="1">#REF!</definedName>
    <definedName name="BK" localSheetId="12">#REF!</definedName>
    <definedName name="BK" localSheetId="2">#REF!</definedName>
    <definedName name="BK">#REF!</definedName>
    <definedName name="BKFA" localSheetId="0">#REF!</definedName>
    <definedName name="BKFA" localSheetId="3">#REF!</definedName>
    <definedName name="BKFA" localSheetId="1">#REF!</definedName>
    <definedName name="BKFA" localSheetId="12">#REF!</definedName>
    <definedName name="BKFA" localSheetId="2">#REF!</definedName>
    <definedName name="BKFA">#REF!</definedName>
    <definedName name="BM" localSheetId="0">#REF!</definedName>
    <definedName name="BM" localSheetId="3">#REF!</definedName>
    <definedName name="BM" localSheetId="1">#REF!</definedName>
    <definedName name="BM" localSheetId="12">#REF!</definedName>
    <definedName name="BM" localSheetId="2">#REF!</definedName>
    <definedName name="BM">#REF!</definedName>
    <definedName name="BMG" localSheetId="0">#REF!</definedName>
    <definedName name="BMG" localSheetId="3">#REF!</definedName>
    <definedName name="BMG" localSheetId="1">#REF!</definedName>
    <definedName name="BMG" localSheetId="12">#REF!</definedName>
    <definedName name="BMG" localSheetId="2">#REF!</definedName>
    <definedName name="BMG">#REF!</definedName>
    <definedName name="BMII" localSheetId="0">#REF!</definedName>
    <definedName name="BMII" localSheetId="3">#REF!</definedName>
    <definedName name="BMII" localSheetId="1">#REF!</definedName>
    <definedName name="BMII" localSheetId="12">#REF!</definedName>
    <definedName name="BMII" localSheetId="2">#REF!</definedName>
    <definedName name="BMII">#REF!</definedName>
    <definedName name="BMII_7" localSheetId="0">#REF!</definedName>
    <definedName name="BMII_7" localSheetId="3">#REF!</definedName>
    <definedName name="BMII_7" localSheetId="1">#REF!</definedName>
    <definedName name="BMII_7" localSheetId="12">#REF!</definedName>
    <definedName name="BMII_7" localSheetId="2">#REF!</definedName>
    <definedName name="BMII_7">#REF!</definedName>
    <definedName name="BMS" localSheetId="0">#REF!</definedName>
    <definedName name="BMS" localSheetId="3">#REF!</definedName>
    <definedName name="BMS" localSheetId="1">#REF!</definedName>
    <definedName name="BMS" localSheetId="12">#REF!</definedName>
    <definedName name="BMS" localSheetId="2">#REF!</definedName>
    <definedName name="BMS">#REF!</definedName>
    <definedName name="BOP" localSheetId="0">#REF!</definedName>
    <definedName name="BOP" localSheetId="3">#REF!</definedName>
    <definedName name="BOP" localSheetId="1">#REF!</definedName>
    <definedName name="BOP" localSheetId="12">#REF!</definedName>
    <definedName name="BOP" localSheetId="2">#REF!</definedName>
    <definedName name="BOP">#REF!</definedName>
    <definedName name="BRASS" localSheetId="0">#REF!</definedName>
    <definedName name="BRASS" localSheetId="3">#REF!</definedName>
    <definedName name="BRASS" localSheetId="1">#REF!</definedName>
    <definedName name="BRASS" localSheetId="12">#REF!</definedName>
    <definedName name="BRASS" localSheetId="2">#REF!</definedName>
    <definedName name="BRASS">#REF!</definedName>
    <definedName name="BTR" localSheetId="0">#REF!</definedName>
    <definedName name="BTR" localSheetId="3">#REF!</definedName>
    <definedName name="BTR" localSheetId="1">#REF!</definedName>
    <definedName name="BTR" localSheetId="12">#REF!</definedName>
    <definedName name="BTR" localSheetId="2">#REF!</definedName>
    <definedName name="BTR">#REF!</definedName>
    <definedName name="BTRG" localSheetId="0">#REF!</definedName>
    <definedName name="BTRG" localSheetId="3">#REF!</definedName>
    <definedName name="BTRG" localSheetId="1">#REF!</definedName>
    <definedName name="BTRG" localSheetId="12">#REF!</definedName>
    <definedName name="BTRG" localSheetId="2">#REF!</definedName>
    <definedName name="BTRG">#REF!</definedName>
    <definedName name="BX" localSheetId="0">#REF!</definedName>
    <definedName name="BX" localSheetId="3">#REF!</definedName>
    <definedName name="BX" localSheetId="1">#REF!</definedName>
    <definedName name="BX" localSheetId="12">#REF!</definedName>
    <definedName name="BX" localSheetId="2">#REF!</definedName>
    <definedName name="BX">#REF!</definedName>
    <definedName name="BXG" localSheetId="0">#REF!</definedName>
    <definedName name="BXG" localSheetId="3">#REF!</definedName>
    <definedName name="BXG" localSheetId="1">#REF!</definedName>
    <definedName name="BXG" localSheetId="12">#REF!</definedName>
    <definedName name="BXG" localSheetId="2">#REF!</definedName>
    <definedName name="BXG">#REF!</definedName>
    <definedName name="BXS" localSheetId="0">#REF!</definedName>
    <definedName name="BXS" localSheetId="3">#REF!</definedName>
    <definedName name="BXS" localSheetId="1">#REF!</definedName>
    <definedName name="BXS" localSheetId="12">#REF!</definedName>
    <definedName name="BXS" localSheetId="2">#REF!</definedName>
    <definedName name="BXS">#REF!</definedName>
    <definedName name="CCODE" localSheetId="0">#REF!</definedName>
    <definedName name="CCODE" localSheetId="3">#REF!</definedName>
    <definedName name="CCODE" localSheetId="1">#REF!</definedName>
    <definedName name="CCODE" localSheetId="12">#REF!</definedName>
    <definedName name="CCODE" localSheetId="2">#REF!</definedName>
    <definedName name="CCODE">#REF!</definedName>
    <definedName name="chart4" localSheetId="0" hidden="1">{#N/A,#N/A,FALSE,"CB";#N/A,#N/A,FALSE,"CMB";#N/A,#N/A,FALSE,"NBFI"}</definedName>
    <definedName name="chart4" localSheetId="5" hidden="1">{#N/A,#N/A,FALSE,"CB";#N/A,#N/A,FALSE,"CMB";#N/A,#N/A,FALSE,"NBFI"}</definedName>
    <definedName name="chart4" localSheetId="4" hidden="1">{#N/A,#N/A,FALSE,"CB";#N/A,#N/A,FALSE,"CMB";#N/A,#N/A,FALSE,"NBFI"}</definedName>
    <definedName name="chart4" localSheetId="13" hidden="1">{#N/A,#N/A,FALSE,"CB";#N/A,#N/A,FALSE,"CMB";#N/A,#N/A,FALSE,"NBFI"}</definedName>
    <definedName name="chart4" hidden="1">{#N/A,#N/A,FALSE,"CB";#N/A,#N/A,FALSE,"CMB";#N/A,#N/A,FALSE,"NBFI"}</definedName>
    <definedName name="ChartA" localSheetId="0" hidden="1">{#N/A,#N/A,FALSE,"CB";#N/A,#N/A,FALSE,"CMB";#N/A,#N/A,FALSE,"NBFI"}</definedName>
    <definedName name="ChartA" localSheetId="5" hidden="1">{#N/A,#N/A,FALSE,"CB";#N/A,#N/A,FALSE,"CMB";#N/A,#N/A,FALSE,"NBFI"}</definedName>
    <definedName name="ChartA" localSheetId="4" hidden="1">{#N/A,#N/A,FALSE,"CB";#N/A,#N/A,FALSE,"CMB";#N/A,#N/A,FALSE,"NBFI"}</definedName>
    <definedName name="ChartA" localSheetId="13" hidden="1">{#N/A,#N/A,FALSE,"CB";#N/A,#N/A,FALSE,"CMB";#N/A,#N/A,FALSE,"NBFI"}</definedName>
    <definedName name="ChartA" hidden="1">{#N/A,#N/A,FALSE,"CB";#N/A,#N/A,FALSE,"CMB";#N/A,#N/A,FALSE,"NBFI"}</definedName>
    <definedName name="Chartvel" localSheetId="0" hidden="1">{#N/A,#N/A,FALSE,"CB";#N/A,#N/A,FALSE,"CMB";#N/A,#N/A,FALSE,"BSYS";#N/A,#N/A,FALSE,"NBFI";#N/A,#N/A,FALSE,"FSYS"}</definedName>
    <definedName name="Chartvel" localSheetId="5" hidden="1">{#N/A,#N/A,FALSE,"CB";#N/A,#N/A,FALSE,"CMB";#N/A,#N/A,FALSE,"BSYS";#N/A,#N/A,FALSE,"NBFI";#N/A,#N/A,FALSE,"FSYS"}</definedName>
    <definedName name="Chartvel" localSheetId="4" hidden="1">{#N/A,#N/A,FALSE,"CB";#N/A,#N/A,FALSE,"CMB";#N/A,#N/A,FALSE,"BSYS";#N/A,#N/A,FALSE,"NBFI";#N/A,#N/A,FALSE,"FSYS"}</definedName>
    <definedName name="Chartvel" localSheetId="13" hidden="1">{#N/A,#N/A,FALSE,"CB";#N/A,#N/A,FALSE,"CMB";#N/A,#N/A,FALSE,"BSYS";#N/A,#N/A,FALSE,"NBFI";#N/A,#N/A,FALSE,"FSYS"}</definedName>
    <definedName name="Chartvel" hidden="1">{#N/A,#N/A,FALSE,"CB";#N/A,#N/A,FALSE,"CMB";#N/A,#N/A,FALSE,"BSYS";#N/A,#N/A,FALSE,"NBFI";#N/A,#N/A,FALSE,"FSYS"}</definedName>
    <definedName name="CHK5.1" localSheetId="0">#REF!</definedName>
    <definedName name="CHK5.1" localSheetId="3">#REF!</definedName>
    <definedName name="CHK5.1" localSheetId="1">#REF!</definedName>
    <definedName name="CHK5.1" localSheetId="12">#REF!</definedName>
    <definedName name="CHK5.1" localSheetId="2">#REF!</definedName>
    <definedName name="CHK5.1">#REF!</definedName>
    <definedName name="CPF" localSheetId="0">#REF!</definedName>
    <definedName name="CPF" localSheetId="3">#REF!</definedName>
    <definedName name="CPF" localSheetId="1">#REF!</definedName>
    <definedName name="CPF" localSheetId="12">#REF!</definedName>
    <definedName name="CPF" localSheetId="2">#REF!</definedName>
    <definedName name="CPF">#REF!</definedName>
    <definedName name="CPI_Core" localSheetId="0">#REF!</definedName>
    <definedName name="CPI_Core" localSheetId="3">#REF!</definedName>
    <definedName name="CPI_Core" localSheetId="1">#REF!</definedName>
    <definedName name="CPI_Core" localSheetId="12">#REF!</definedName>
    <definedName name="CPI_Core" localSheetId="2">#REF!</definedName>
    <definedName name="CPI_Core">#REF!</definedName>
    <definedName name="CPI_NAT_monthly" localSheetId="0">#REF!</definedName>
    <definedName name="CPI_NAT_monthly" localSheetId="3">#REF!</definedName>
    <definedName name="CPI_NAT_monthly" localSheetId="1">#REF!</definedName>
    <definedName name="CPI_NAT_monthly" localSheetId="12">#REF!</definedName>
    <definedName name="CPI_NAT_monthly" localSheetId="2">#REF!</definedName>
    <definedName name="CPI_NAT_monthly">#REF!</definedName>
    <definedName name="D" localSheetId="0">#REF!</definedName>
    <definedName name="D" localSheetId="3">#REF!</definedName>
    <definedName name="D" localSheetId="1">#REF!</definedName>
    <definedName name="D" localSheetId="12">#REF!</definedName>
    <definedName name="D" localSheetId="2">#REF!</definedName>
    <definedName name="D">#REF!</definedName>
    <definedName name="D_B" localSheetId="0">#REF!</definedName>
    <definedName name="D_B" localSheetId="3">#REF!</definedName>
    <definedName name="D_B" localSheetId="1">#REF!</definedName>
    <definedName name="D_B" localSheetId="12">#REF!</definedName>
    <definedName name="D_B" localSheetId="2">#REF!</definedName>
    <definedName name="D_B">#REF!</definedName>
    <definedName name="D_G" localSheetId="0">#REF!</definedName>
    <definedName name="D_G" localSheetId="3">#REF!</definedName>
    <definedName name="D_G" localSheetId="1">#REF!</definedName>
    <definedName name="D_G" localSheetId="12">#REF!</definedName>
    <definedName name="D_G" localSheetId="2">#REF!</definedName>
    <definedName name="D_G">#REF!</definedName>
    <definedName name="D_Ind" localSheetId="0">#REF!</definedName>
    <definedName name="D_Ind" localSheetId="3">#REF!</definedName>
    <definedName name="D_Ind" localSheetId="1">#REF!</definedName>
    <definedName name="D_Ind" localSheetId="12">#REF!</definedName>
    <definedName name="D_Ind" localSheetId="2">#REF!</definedName>
    <definedName name="D_Ind">#REF!</definedName>
    <definedName name="D_L" localSheetId="0">#REF!</definedName>
    <definedName name="D_L" localSheetId="3">#REF!</definedName>
    <definedName name="D_L" localSheetId="1">#REF!</definedName>
    <definedName name="D_L" localSheetId="12">#REF!</definedName>
    <definedName name="D_L" localSheetId="2">#REF!</definedName>
    <definedName name="D_L">#REF!</definedName>
    <definedName name="D_O" localSheetId="0">#REF!</definedName>
    <definedName name="D_O" localSheetId="3">#REF!</definedName>
    <definedName name="D_O" localSheetId="1">#REF!</definedName>
    <definedName name="D_O" localSheetId="12">#REF!</definedName>
    <definedName name="D_O" localSheetId="2">#REF!</definedName>
    <definedName name="D_O">#REF!</definedName>
    <definedName name="D_S" localSheetId="0">#REF!</definedName>
    <definedName name="D_S" localSheetId="3">#REF!</definedName>
    <definedName name="D_S" localSheetId="1">#REF!</definedName>
    <definedName name="D_S" localSheetId="12">#REF!</definedName>
    <definedName name="D_S" localSheetId="2">#REF!</definedName>
    <definedName name="D_S">#REF!</definedName>
    <definedName name="D_SRM" localSheetId="0">#REF!</definedName>
    <definedName name="D_SRM" localSheetId="3">#REF!</definedName>
    <definedName name="D_SRM" localSheetId="1">#REF!</definedName>
    <definedName name="D_SRM" localSheetId="12">#REF!</definedName>
    <definedName name="D_SRM" localSheetId="2">#REF!</definedName>
    <definedName name="D_SRM">#REF!</definedName>
    <definedName name="D_SY" localSheetId="0">#REF!</definedName>
    <definedName name="D_SY" localSheetId="3">#REF!</definedName>
    <definedName name="D_SY" localSheetId="1">#REF!</definedName>
    <definedName name="D_SY" localSheetId="12">#REF!</definedName>
    <definedName name="D_SY" localSheetId="2">#REF!</definedName>
    <definedName name="D_SY">#REF!</definedName>
    <definedName name="DA" localSheetId="0">#REF!</definedName>
    <definedName name="DA" localSheetId="3">#REF!</definedName>
    <definedName name="DA" localSheetId="1">#REF!</definedName>
    <definedName name="DA" localSheetId="12">#REF!</definedName>
    <definedName name="DA" localSheetId="2">#REF!</definedName>
    <definedName name="DA">#REF!</definedName>
    <definedName name="DATES" localSheetId="0">#REF!</definedName>
    <definedName name="DATES" localSheetId="3">#REF!</definedName>
    <definedName name="DATES" localSheetId="1">#REF!</definedName>
    <definedName name="DATES" localSheetId="12">#REF!</definedName>
    <definedName name="DATES" localSheetId="2">#REF!</definedName>
    <definedName name="DATES">#REF!</definedName>
    <definedName name="Dates1" localSheetId="0">#REF!</definedName>
    <definedName name="Dates1" localSheetId="3">#REF!</definedName>
    <definedName name="Dates1" localSheetId="1">#REF!</definedName>
    <definedName name="Dates1" localSheetId="12">#REF!</definedName>
    <definedName name="Dates1" localSheetId="2">#REF!</definedName>
    <definedName name="Dates1">#REF!</definedName>
    <definedName name="dateweo" localSheetId="0">#REF!</definedName>
    <definedName name="dateweo" localSheetId="3">#REF!</definedName>
    <definedName name="dateweo" localSheetId="1">#REF!</definedName>
    <definedName name="dateweo" localSheetId="12">#REF!</definedName>
    <definedName name="dateweo" localSheetId="2">#REF!</definedName>
    <definedName name="dateweo">#REF!</definedName>
    <definedName name="DB" localSheetId="0">#REF!</definedName>
    <definedName name="DB" localSheetId="3">#REF!</definedName>
    <definedName name="DB" localSheetId="1">#REF!</definedName>
    <definedName name="DB" localSheetId="12">#REF!</definedName>
    <definedName name="DB" localSheetId="2">#REF!</definedName>
    <definedName name="DB">#REF!</definedName>
    <definedName name="DE" localSheetId="0" hidden="1">{#N/A,#N/A,FALSE,"CREDIT"}</definedName>
    <definedName name="DE" localSheetId="5" hidden="1">{#N/A,#N/A,FALSE,"CREDIT"}</definedName>
    <definedName name="DE" localSheetId="4" hidden="1">{#N/A,#N/A,FALSE,"CREDIT"}</definedName>
    <definedName name="DE" localSheetId="13" hidden="1">{#N/A,#N/A,FALSE,"CREDIT"}</definedName>
    <definedName name="DE" hidden="1">{#N/A,#N/A,FALSE,"CREDIT"}</definedName>
    <definedName name="DEFL" localSheetId="0">#REF!</definedName>
    <definedName name="DEFL" localSheetId="3">#REF!</definedName>
    <definedName name="DEFL" localSheetId="1">#REF!</definedName>
    <definedName name="DEFL" localSheetId="12">#REF!</definedName>
    <definedName name="DEFL" localSheetId="2">#REF!</definedName>
    <definedName name="DEFL">#REF!</definedName>
    <definedName name="DG" localSheetId="0">#REF!</definedName>
    <definedName name="DG" localSheetId="3">#REF!</definedName>
    <definedName name="DG" localSheetId="1">#REF!</definedName>
    <definedName name="DG" localSheetId="12">#REF!</definedName>
    <definedName name="DG" localSheetId="2">#REF!</definedName>
    <definedName name="DG">#REF!</definedName>
    <definedName name="DG_S" localSheetId="0">#REF!</definedName>
    <definedName name="DG_S" localSheetId="3">#REF!</definedName>
    <definedName name="DG_S" localSheetId="1">#REF!</definedName>
    <definedName name="DG_S" localSheetId="12">#REF!</definedName>
    <definedName name="DG_S" localSheetId="2">#REF!</definedName>
    <definedName name="DG_S">#REF!</definedName>
    <definedName name="DO" localSheetId="0">#REF!</definedName>
    <definedName name="DO" localSheetId="3">#REF!</definedName>
    <definedName name="DO" localSheetId="1">#REF!</definedName>
    <definedName name="DO" localSheetId="12">#REF!</definedName>
    <definedName name="DO" localSheetId="2">#REF!</definedName>
    <definedName name="DO">#REF!</definedName>
    <definedName name="DS" localSheetId="0">#REF!</definedName>
    <definedName name="DS" localSheetId="3">#REF!</definedName>
    <definedName name="DS" localSheetId="1">#REF!</definedName>
    <definedName name="DS" localSheetId="12">#REF!</definedName>
    <definedName name="DS" localSheetId="2">#REF!</definedName>
    <definedName name="DS">#REF!</definedName>
    <definedName name="DSA_Assumptions" localSheetId="0">#REF!</definedName>
    <definedName name="DSA_Assumptions" localSheetId="3">#REF!</definedName>
    <definedName name="DSA_Assumptions" localSheetId="1">#REF!</definedName>
    <definedName name="DSA_Assumptions" localSheetId="12">#REF!</definedName>
    <definedName name="DSA_Assumptions" localSheetId="2">#REF!</definedName>
    <definedName name="DSA_Assumptions">#REF!</definedName>
    <definedName name="DSI" localSheetId="0">#REF!</definedName>
    <definedName name="DSI" localSheetId="3">#REF!</definedName>
    <definedName name="DSI" localSheetId="1">#REF!</definedName>
    <definedName name="DSI" localSheetId="12">#REF!</definedName>
    <definedName name="DSI" localSheetId="2">#REF!</definedName>
    <definedName name="DSI">#REF!</definedName>
    <definedName name="DSP" localSheetId="0">#REF!</definedName>
    <definedName name="DSP" localSheetId="3">#REF!</definedName>
    <definedName name="DSP" localSheetId="1">#REF!</definedName>
    <definedName name="DSP" localSheetId="12">#REF!</definedName>
    <definedName name="DSP" localSheetId="2">#REF!</definedName>
    <definedName name="DSP">#REF!</definedName>
    <definedName name="DSPG" localSheetId="0">#REF!</definedName>
    <definedName name="DSPG" localSheetId="3">#REF!</definedName>
    <definedName name="DSPG" localSheetId="1">#REF!</definedName>
    <definedName name="DSPG" localSheetId="12">#REF!</definedName>
    <definedName name="DSPG" localSheetId="2">#REF!</definedName>
    <definedName name="DSPG">#REF!</definedName>
    <definedName name="E" localSheetId="0" hidden="1">{#N/A,#N/A,FALSE,"DEPO"}</definedName>
    <definedName name="E" localSheetId="5" hidden="1">{#N/A,#N/A,FALSE,"DEPO"}</definedName>
    <definedName name="E" localSheetId="4" hidden="1">{#N/A,#N/A,FALSE,"DEPO"}</definedName>
    <definedName name="E" localSheetId="13" hidden="1">{#N/A,#N/A,FALSE,"DEPO"}</definedName>
    <definedName name="E" hidden="1">{#N/A,#N/A,FALSE,"DEPO"}</definedName>
    <definedName name="EBRD" localSheetId="0">#REF!</definedName>
    <definedName name="EBRD" localSheetId="3">#REF!</definedName>
    <definedName name="EBRD" localSheetId="1">#REF!</definedName>
    <definedName name="EBRD" localSheetId="12">#REF!</definedName>
    <definedName name="EBRD" localSheetId="2">#REF!</definedName>
    <definedName name="EBRD">#REF!</definedName>
    <definedName name="EDNA" localSheetId="0">#REF!</definedName>
    <definedName name="EDNA" localSheetId="3">#REF!</definedName>
    <definedName name="EDNA" localSheetId="1">#REF!</definedName>
    <definedName name="EDNA" localSheetId="12">#REF!</definedName>
    <definedName name="EDNA" localSheetId="2">#REF!</definedName>
    <definedName name="EDNA">#REF!</definedName>
    <definedName name="EDSSDESCRIPTOR" localSheetId="0">#REF!</definedName>
    <definedName name="EDSSDESCRIPTOR" localSheetId="3">#REF!</definedName>
    <definedName name="EDSSDESCRIPTOR" localSheetId="1">#REF!</definedName>
    <definedName name="EDSSDESCRIPTOR" localSheetId="12">#REF!</definedName>
    <definedName name="EDSSDESCRIPTOR" localSheetId="2">#REF!</definedName>
    <definedName name="EDSSDESCRIPTOR">#REF!</definedName>
    <definedName name="EDSSFILE" localSheetId="0">#REF!</definedName>
    <definedName name="EDSSFILE" localSheetId="3">#REF!</definedName>
    <definedName name="EDSSFILE" localSheetId="1">#REF!</definedName>
    <definedName name="EDSSFILE" localSheetId="12">#REF!</definedName>
    <definedName name="EDSSFILE" localSheetId="2">#REF!</definedName>
    <definedName name="EDSSFILE">#REF!</definedName>
    <definedName name="EDSSNAME" localSheetId="0">#REF!</definedName>
    <definedName name="EDSSNAME" localSheetId="3">#REF!</definedName>
    <definedName name="EDSSNAME" localSheetId="1">#REF!</definedName>
    <definedName name="EDSSNAME" localSheetId="12">#REF!</definedName>
    <definedName name="EDSSNAME" localSheetId="2">#REF!</definedName>
    <definedName name="EDSSNAME">#REF!</definedName>
    <definedName name="EDSSTABLES" localSheetId="0">#REF!</definedName>
    <definedName name="EDSSTABLES" localSheetId="3">#REF!</definedName>
    <definedName name="EDSSTABLES" localSheetId="1">#REF!</definedName>
    <definedName name="EDSSTABLES" localSheetId="12">#REF!</definedName>
    <definedName name="EDSSTABLES" localSheetId="2">#REF!</definedName>
    <definedName name="EDSSTABLES">#REF!</definedName>
    <definedName name="EDSSTIME" localSheetId="0">#REF!</definedName>
    <definedName name="EDSSTIME" localSheetId="3">#REF!</definedName>
    <definedName name="EDSSTIME" localSheetId="1">#REF!</definedName>
    <definedName name="EDSSTIME" localSheetId="12">#REF!</definedName>
    <definedName name="EDSSTIME" localSheetId="2">#REF!</definedName>
    <definedName name="EDSSTIME">#REF!</definedName>
    <definedName name="EEE" localSheetId="0" hidden="1">{#N/A,#N/A,FALSE,"EXCISE"}</definedName>
    <definedName name="EEE" localSheetId="5" hidden="1">{#N/A,#N/A,FALSE,"EXCISE"}</definedName>
    <definedName name="EEE" localSheetId="4" hidden="1">{#N/A,#N/A,FALSE,"EXCISE"}</definedName>
    <definedName name="EEE" localSheetId="13" hidden="1">{#N/A,#N/A,FALSE,"EXCISE"}</definedName>
    <definedName name="EEE" hidden="1">{#N/A,#N/A,FALSE,"EXCISE"}</definedName>
    <definedName name="EISCODE" localSheetId="0">#REF!</definedName>
    <definedName name="EISCODE" localSheetId="3">#REF!</definedName>
    <definedName name="EISCODE" localSheetId="1">#REF!</definedName>
    <definedName name="EISCODE" localSheetId="12">#REF!</definedName>
    <definedName name="EISCODE" localSheetId="2">#REF!</definedName>
    <definedName name="EISCODE">#REF!</definedName>
    <definedName name="empty" localSheetId="0">#REF!</definedName>
    <definedName name="empty" localSheetId="3">#REF!</definedName>
    <definedName name="empty" localSheetId="1">#REF!</definedName>
    <definedName name="empty" localSheetId="12">#REF!</definedName>
    <definedName name="empty" localSheetId="2">#REF!</definedName>
    <definedName name="empty">#REF!</definedName>
    <definedName name="ert" localSheetId="0">#REF!</definedName>
    <definedName name="ert" localSheetId="3">#REF!</definedName>
    <definedName name="ert" localSheetId="1">#REF!</definedName>
    <definedName name="ert" localSheetId="12">#REF!</definedName>
    <definedName name="ert" localSheetId="2">#REF!</definedName>
    <definedName name="ert">#REF!</definedName>
    <definedName name="ESAF_QUAR_GDP" localSheetId="0">#REF!</definedName>
    <definedName name="ESAF_QUAR_GDP" localSheetId="3">#REF!</definedName>
    <definedName name="ESAF_QUAR_GDP" localSheetId="1">#REF!</definedName>
    <definedName name="ESAF_QUAR_GDP" localSheetId="12">#REF!</definedName>
    <definedName name="ESAF_QUAR_GDP" localSheetId="2">#REF!</definedName>
    <definedName name="ESAF_QUAR_GDP">#REF!</definedName>
    <definedName name="F" localSheetId="0" hidden="1">{#N/A,#N/A,FALSE,"CB";#N/A,#N/A,FALSE,"CMB";#N/A,#N/A,FALSE,"NBFI"}</definedName>
    <definedName name="F" localSheetId="5" hidden="1">{#N/A,#N/A,FALSE,"CB";#N/A,#N/A,FALSE,"CMB";#N/A,#N/A,FALSE,"NBFI"}</definedName>
    <definedName name="F" localSheetId="4" hidden="1">{#N/A,#N/A,FALSE,"CB";#N/A,#N/A,FALSE,"CMB";#N/A,#N/A,FALSE,"NBFI"}</definedName>
    <definedName name="F" localSheetId="13" hidden="1">{#N/A,#N/A,FALSE,"CB";#N/A,#N/A,FALSE,"CMB";#N/A,#N/A,FALSE,"NBFI"}</definedName>
    <definedName name="F" hidden="1">{#N/A,#N/A,FALSE,"CB";#N/A,#N/A,FALSE,"CMB";#N/A,#N/A,FALSE,"NBFI"}</definedName>
    <definedName name="Feb_98" localSheetId="0">#REF!</definedName>
    <definedName name="Feb_98" localSheetId="3">#REF!</definedName>
    <definedName name="Feb_98" localSheetId="1">#REF!</definedName>
    <definedName name="Feb_98" localSheetId="12">#REF!</definedName>
    <definedName name="Feb_98" localSheetId="2">#REF!</definedName>
    <definedName name="Feb_98">#REF!</definedName>
    <definedName name="FFF" localSheetId="0" hidden="1">{#N/A,#N/A,FALSE,"CB";#N/A,#N/A,FALSE,"CMB";#N/A,#N/A,FALSE,"BSYS";#N/A,#N/A,FALSE,"NBFI";#N/A,#N/A,FALSE,"FSYS"}</definedName>
    <definedName name="FFF" localSheetId="5" hidden="1">{#N/A,#N/A,FALSE,"CB";#N/A,#N/A,FALSE,"CMB";#N/A,#N/A,FALSE,"BSYS";#N/A,#N/A,FALSE,"NBFI";#N/A,#N/A,FALSE,"FSYS"}</definedName>
    <definedName name="FFF" localSheetId="4" hidden="1">{#N/A,#N/A,FALSE,"CB";#N/A,#N/A,FALSE,"CMB";#N/A,#N/A,FALSE,"BSYS";#N/A,#N/A,FALSE,"NBFI";#N/A,#N/A,FALSE,"FSYS"}</definedName>
    <definedName name="FFF" localSheetId="13" hidden="1">{#N/A,#N/A,FALSE,"CB";#N/A,#N/A,FALSE,"CMB";#N/A,#N/A,FALSE,"BSYS";#N/A,#N/A,FALSE,"NBFI";#N/A,#N/A,FALSE,"FSYS"}</definedName>
    <definedName name="FFF" hidden="1">{#N/A,#N/A,FALSE,"CB";#N/A,#N/A,FALSE,"CMB";#N/A,#N/A,FALSE,"BSYS";#N/A,#N/A,FALSE,"NBFI";#N/A,#N/A,FALSE,"FSYS"}</definedName>
    <definedName name="fis_98" localSheetId="0">#REF!</definedName>
    <definedName name="fis_98" localSheetId="3">#REF!</definedName>
    <definedName name="fis_98" localSheetId="1">#REF!</definedName>
    <definedName name="fis_98" localSheetId="12">#REF!</definedName>
    <definedName name="fis_98" localSheetId="2">#REF!</definedName>
    <definedName name="fis_98">#REF!</definedName>
    <definedName name="fis_gdp" localSheetId="0">#REF!</definedName>
    <definedName name="fis_gdp" localSheetId="3">#REF!</definedName>
    <definedName name="fis_gdp" localSheetId="1">#REF!</definedName>
    <definedName name="fis_gdp" localSheetId="12">#REF!</definedName>
    <definedName name="fis_gdp" localSheetId="2">#REF!</definedName>
    <definedName name="fis_gdp">#REF!</definedName>
    <definedName name="fis_lari" localSheetId="0">#REF!</definedName>
    <definedName name="fis_lari" localSheetId="3">#REF!</definedName>
    <definedName name="fis_lari" localSheetId="1">#REF!</definedName>
    <definedName name="fis_lari" localSheetId="12">#REF!</definedName>
    <definedName name="fis_lari" localSheetId="2">#REF!</definedName>
    <definedName name="fis_lari">#REF!</definedName>
    <definedName name="Fisc" localSheetId="0">#REF!</definedName>
    <definedName name="Fisc" localSheetId="3">#REF!</definedName>
    <definedName name="Fisc" localSheetId="1">#REF!</definedName>
    <definedName name="Fisc" localSheetId="12">#REF!</definedName>
    <definedName name="Fisc" localSheetId="2">#REF!</definedName>
    <definedName name="Fisc">#REF!</definedName>
    <definedName name="framework_macro" localSheetId="0">#REF!</definedName>
    <definedName name="framework_macro" localSheetId="3">#REF!</definedName>
    <definedName name="framework_macro" localSheetId="1">#REF!</definedName>
    <definedName name="framework_macro" localSheetId="12">#REF!</definedName>
    <definedName name="framework_macro" localSheetId="2">#REF!</definedName>
    <definedName name="framework_macro">#REF!</definedName>
    <definedName name="framework_macro_new" localSheetId="0">#REF!</definedName>
    <definedName name="framework_macro_new" localSheetId="3">#REF!</definedName>
    <definedName name="framework_macro_new" localSheetId="1">#REF!</definedName>
    <definedName name="framework_macro_new" localSheetId="12">#REF!</definedName>
    <definedName name="framework_macro_new" localSheetId="2">#REF!</definedName>
    <definedName name="framework_macro_new">#REF!</definedName>
    <definedName name="framework_monetary" localSheetId="0">#REF!</definedName>
    <definedName name="framework_monetary" localSheetId="3">#REF!</definedName>
    <definedName name="framework_monetary" localSheetId="1">#REF!</definedName>
    <definedName name="framework_monetary" localSheetId="12">#REF!</definedName>
    <definedName name="framework_monetary" localSheetId="2">#REF!</definedName>
    <definedName name="framework_monetary">#REF!</definedName>
    <definedName name="H" localSheetId="0" hidden="1">{#N/A,#N/A,FALSE,"BANKS"}</definedName>
    <definedName name="H" localSheetId="5" hidden="1">{#N/A,#N/A,FALSE,"BANKS"}</definedName>
    <definedName name="H" localSheetId="4" hidden="1">{#N/A,#N/A,FALSE,"BANKS"}</definedName>
    <definedName name="H" localSheetId="13" hidden="1">{#N/A,#N/A,FALSE,"BANKS"}</definedName>
    <definedName name="H" hidden="1">{#N/A,#N/A,FALSE,"BANKS"}</definedName>
    <definedName name="hello" localSheetId="0" hidden="1">{#N/A,#N/A,FALSE,"CB";#N/A,#N/A,FALSE,"CMB";#N/A,#N/A,FALSE,"BSYS";#N/A,#N/A,FALSE,"NBFI";#N/A,#N/A,FALSE,"FSYS"}</definedName>
    <definedName name="hello" localSheetId="5" hidden="1">{#N/A,#N/A,FALSE,"CB";#N/A,#N/A,FALSE,"CMB";#N/A,#N/A,FALSE,"BSYS";#N/A,#N/A,FALSE,"NBFI";#N/A,#N/A,FALSE,"FSYS"}</definedName>
    <definedName name="hello" localSheetId="4" hidden="1">{#N/A,#N/A,FALSE,"CB";#N/A,#N/A,FALSE,"CMB";#N/A,#N/A,FALSE,"BSYS";#N/A,#N/A,FALSE,"NBFI";#N/A,#N/A,FALSE,"FSYS"}</definedName>
    <definedName name="hello" localSheetId="13" hidden="1">{#N/A,#N/A,FALSE,"CB";#N/A,#N/A,FALSE,"CMB";#N/A,#N/A,FALSE,"BSYS";#N/A,#N/A,FALSE,"NBFI";#N/A,#N/A,FALSE,"FSYS"}</definedName>
    <definedName name="hello" hidden="1">{#N/A,#N/A,FALSE,"CB";#N/A,#N/A,FALSE,"CMB";#N/A,#N/A,FALSE,"BSYS";#N/A,#N/A,FALSE,"NBFI";#N/A,#N/A,FALSE,"FSYS"}</definedName>
    <definedName name="IM" localSheetId="0">#REF!</definedName>
    <definedName name="IM" localSheetId="3">#REF!</definedName>
    <definedName name="IM" localSheetId="1">#REF!</definedName>
    <definedName name="IM" localSheetId="12">#REF!</definedName>
    <definedName name="IM" localSheetId="2">#REF!</definedName>
    <definedName name="IM">#REF!</definedName>
    <definedName name="IMF" localSheetId="0">#REF!</definedName>
    <definedName name="IMF" localSheetId="3">#REF!</definedName>
    <definedName name="IMF" localSheetId="1">#REF!</definedName>
    <definedName name="IMF" localSheetId="12">#REF!</definedName>
    <definedName name="IMF" localSheetId="2">#REF!</definedName>
    <definedName name="IMF">#REF!</definedName>
    <definedName name="INDUST1" localSheetId="0">#REF!</definedName>
    <definedName name="INDUST1" localSheetId="3">#REF!</definedName>
    <definedName name="INDUST1" localSheetId="1">#REF!</definedName>
    <definedName name="INDUST1" localSheetId="12">#REF!</definedName>
    <definedName name="INDUST1" localSheetId="2">#REF!</definedName>
    <definedName name="INDUST1">#REF!</definedName>
    <definedName name="INDUST2" localSheetId="0">#REF!</definedName>
    <definedName name="INDUST2" localSheetId="3">#REF!</definedName>
    <definedName name="INDUST2" localSheetId="1">#REF!</definedName>
    <definedName name="INDUST2" localSheetId="12">#REF!</definedName>
    <definedName name="INDUST2" localSheetId="2">#REF!</definedName>
    <definedName name="INDUST2">#REF!</definedName>
    <definedName name="iva" localSheetId="0" hidden="1">{#N/A,#N/A,FALSE,"CB";#N/A,#N/A,FALSE,"CMB";#N/A,#N/A,FALSE,"NBFI"}</definedName>
    <definedName name="iva" localSheetId="5" hidden="1">{#N/A,#N/A,FALSE,"CB";#N/A,#N/A,FALSE,"CMB";#N/A,#N/A,FALSE,"NBFI"}</definedName>
    <definedName name="iva" localSheetId="4" hidden="1">{#N/A,#N/A,FALSE,"CB";#N/A,#N/A,FALSE,"CMB";#N/A,#N/A,FALSE,"NBFI"}</definedName>
    <definedName name="iva" localSheetId="13" hidden="1">{#N/A,#N/A,FALSE,"CB";#N/A,#N/A,FALSE,"CMB";#N/A,#N/A,FALSE,"NBFI"}</definedName>
    <definedName name="iva" hidden="1">{#N/A,#N/A,FALSE,"CB";#N/A,#N/A,FALSE,"CMB";#N/A,#N/A,FALSE,"NBFI"}</definedName>
    <definedName name="jan" localSheetId="0" hidden="1">{#N/A,#N/A,FALSE,"CB";#N/A,#N/A,FALSE,"CMB";#N/A,#N/A,FALSE,"NBFI"}</definedName>
    <definedName name="jan" localSheetId="5" hidden="1">{#N/A,#N/A,FALSE,"CB";#N/A,#N/A,FALSE,"CMB";#N/A,#N/A,FALSE,"NBFI"}</definedName>
    <definedName name="jan" localSheetId="4" hidden="1">{#N/A,#N/A,FALSE,"CB";#N/A,#N/A,FALSE,"CMB";#N/A,#N/A,FALSE,"NBFI"}</definedName>
    <definedName name="jan" localSheetId="13" hidden="1">{#N/A,#N/A,FALSE,"CB";#N/A,#N/A,FALSE,"CMB";#N/A,#N/A,FALSE,"NBFI"}</definedName>
    <definedName name="jan" hidden="1">{#N/A,#N/A,FALSE,"CB";#N/A,#N/A,FALSE,"CMB";#N/A,#N/A,FALSE,"NBFI"}</definedName>
    <definedName name="last_978" localSheetId="0">#REF!</definedName>
    <definedName name="last_978" localSheetId="3">#REF!</definedName>
    <definedName name="last_978" localSheetId="1">#REF!</definedName>
    <definedName name="last_978" localSheetId="12">#REF!</definedName>
    <definedName name="last_978" localSheetId="2">#REF!</definedName>
    <definedName name="last_978">#REF!</definedName>
    <definedName name="MACRO_ASSUMP_2006" localSheetId="0">#REF!</definedName>
    <definedName name="MACRO_ASSUMP_2006" localSheetId="3">#REF!</definedName>
    <definedName name="MACRO_ASSUMP_2006" localSheetId="1">#REF!</definedName>
    <definedName name="MACRO_ASSUMP_2006" localSheetId="12">#REF!</definedName>
    <definedName name="MACRO_ASSUMP_2006" localSheetId="2">#REF!</definedName>
    <definedName name="MACRO_ASSUMP_2006">#REF!</definedName>
    <definedName name="MCV_B" localSheetId="0">#REF!</definedName>
    <definedName name="MCV_B" localSheetId="3">#REF!</definedName>
    <definedName name="MCV_B" localSheetId="1">#REF!</definedName>
    <definedName name="MCV_B" localSheetId="12">#REF!</definedName>
    <definedName name="MCV_B" localSheetId="2">#REF!</definedName>
    <definedName name="MCV_B">#REF!</definedName>
    <definedName name="MCV_B1" localSheetId="0">#REF!</definedName>
    <definedName name="MCV_B1" localSheetId="3">#REF!</definedName>
    <definedName name="MCV_B1" localSheetId="1">#REF!</definedName>
    <definedName name="MCV_B1" localSheetId="12">#REF!</definedName>
    <definedName name="MCV_B1" localSheetId="2">#REF!</definedName>
    <definedName name="MCV_B1">#REF!</definedName>
    <definedName name="MCV_D" localSheetId="0">#REF!</definedName>
    <definedName name="MCV_D" localSheetId="3">#REF!</definedName>
    <definedName name="MCV_D" localSheetId="1">#REF!</definedName>
    <definedName name="MCV_D" localSheetId="12">#REF!</definedName>
    <definedName name="MCV_D" localSheetId="2">#REF!</definedName>
    <definedName name="MCV_D">#REF!</definedName>
    <definedName name="MCV_D1" localSheetId="0">#REF!</definedName>
    <definedName name="MCV_D1" localSheetId="3">#REF!</definedName>
    <definedName name="MCV_D1" localSheetId="1">#REF!</definedName>
    <definedName name="MCV_D1" localSheetId="12">#REF!</definedName>
    <definedName name="MCV_D1" localSheetId="2">#REF!</definedName>
    <definedName name="MCV_D1">#REF!</definedName>
    <definedName name="MCV_T" localSheetId="0">#REF!</definedName>
    <definedName name="MCV_T" localSheetId="3">#REF!</definedName>
    <definedName name="MCV_T" localSheetId="1">#REF!</definedName>
    <definedName name="MCV_T" localSheetId="12">#REF!</definedName>
    <definedName name="MCV_T" localSheetId="2">#REF!</definedName>
    <definedName name="MCV_T">#REF!</definedName>
    <definedName name="MCV_T1" localSheetId="0">#REF!</definedName>
    <definedName name="MCV_T1" localSheetId="3">#REF!</definedName>
    <definedName name="MCV_T1" localSheetId="1">#REF!</definedName>
    <definedName name="MCV_T1" localSheetId="12">#REF!</definedName>
    <definedName name="MCV_T1" localSheetId="2">#REF!</definedName>
    <definedName name="MCV_T1">#REF!</definedName>
    <definedName name="NAMES" localSheetId="0">#REF!</definedName>
    <definedName name="NAMES" localSheetId="3">#REF!</definedName>
    <definedName name="NAMES" localSheetId="1">#REF!</definedName>
    <definedName name="NAMES" localSheetId="12">#REF!</definedName>
    <definedName name="NAMES" localSheetId="2">#REF!</definedName>
    <definedName name="NAMES">#REF!</definedName>
    <definedName name="nameweo" localSheetId="0">#REF!</definedName>
    <definedName name="nameweo" localSheetId="3">#REF!</definedName>
    <definedName name="nameweo" localSheetId="1">#REF!</definedName>
    <definedName name="nameweo" localSheetId="12">#REF!</definedName>
    <definedName name="nameweo" localSheetId="2">#REF!</definedName>
    <definedName name="nameweo">#REF!</definedName>
    <definedName name="nominal" localSheetId="0">#REF!</definedName>
    <definedName name="nominal" localSheetId="3">#REF!</definedName>
    <definedName name="nominal" localSheetId="1">#REF!</definedName>
    <definedName name="nominal" localSheetId="12">#REF!</definedName>
    <definedName name="nominal" localSheetId="2">#REF!</definedName>
    <definedName name="nominal">#REF!</definedName>
    <definedName name="OLE_LINK2" localSheetId="4">'Core data tab'!#REF!</definedName>
    <definedName name="Paym_Cap" localSheetId="0">#REF!</definedName>
    <definedName name="Paym_Cap" localSheetId="3">#REF!</definedName>
    <definedName name="Paym_Cap" localSheetId="1">#REF!</definedName>
    <definedName name="Paym_Cap" localSheetId="12">#REF!</definedName>
    <definedName name="Paym_Cap" localSheetId="2">#REF!</definedName>
    <definedName name="Paym_Cap">#REF!</definedName>
    <definedName name="Payroll" localSheetId="0">#REF!</definedName>
    <definedName name="Payroll" localSheetId="3">#REF!</definedName>
    <definedName name="Payroll" localSheetId="1">#REF!</definedName>
    <definedName name="Payroll" localSheetId="12">#REF!</definedName>
    <definedName name="Payroll" localSheetId="2">#REF!</definedName>
    <definedName name="Payroll">#REF!</definedName>
    <definedName name="pchBM" localSheetId="0">#REF!</definedName>
    <definedName name="pchBM" localSheetId="3">#REF!</definedName>
    <definedName name="pchBM" localSheetId="1">#REF!</definedName>
    <definedName name="pchBM" localSheetId="12">#REF!</definedName>
    <definedName name="pchBM" localSheetId="2">#REF!</definedName>
    <definedName name="pchBM">#REF!</definedName>
    <definedName name="pchBMG" localSheetId="0">#REF!</definedName>
    <definedName name="pchBMG" localSheetId="3">#REF!</definedName>
    <definedName name="pchBMG" localSheetId="1">#REF!</definedName>
    <definedName name="pchBMG" localSheetId="12">#REF!</definedName>
    <definedName name="pchBMG" localSheetId="2">#REF!</definedName>
    <definedName name="pchBMG">#REF!</definedName>
    <definedName name="pchBX" localSheetId="0">#REF!</definedName>
    <definedName name="pchBX" localSheetId="3">#REF!</definedName>
    <definedName name="pchBX" localSheetId="1">#REF!</definedName>
    <definedName name="pchBX" localSheetId="12">#REF!</definedName>
    <definedName name="pchBX" localSheetId="2">#REF!</definedName>
    <definedName name="pchBX">#REF!</definedName>
    <definedName name="pchBXG" localSheetId="0">#REF!</definedName>
    <definedName name="pchBXG" localSheetId="3">#REF!</definedName>
    <definedName name="pchBXG" localSheetId="1">#REF!</definedName>
    <definedName name="pchBXG" localSheetId="12">#REF!</definedName>
    <definedName name="pchBXG" localSheetId="2">#REF!</definedName>
    <definedName name="pchBXG">#REF!</definedName>
    <definedName name="PCPI" localSheetId="0">#REF!</definedName>
    <definedName name="PCPI" localSheetId="3">#REF!</definedName>
    <definedName name="PCPI" localSheetId="1">#REF!</definedName>
    <definedName name="PCPI" localSheetId="12">#REF!</definedName>
    <definedName name="PCPI" localSheetId="2">#REF!</definedName>
    <definedName name="PCPI">#REF!</definedName>
    <definedName name="PFP" localSheetId="0">#REF!</definedName>
    <definedName name="PFP" localSheetId="3">#REF!</definedName>
    <definedName name="PFP" localSheetId="1">#REF!</definedName>
    <definedName name="PFP" localSheetId="12">#REF!</definedName>
    <definedName name="PFP" localSheetId="2">#REF!</definedName>
    <definedName name="PFP">#REF!</definedName>
    <definedName name="pfp_table1" localSheetId="0">#REF!</definedName>
    <definedName name="pfp_table1" localSheetId="3">#REF!</definedName>
    <definedName name="pfp_table1" localSheetId="1">#REF!</definedName>
    <definedName name="pfp_table1" localSheetId="12">#REF!</definedName>
    <definedName name="pfp_table1" localSheetId="2">#REF!</definedName>
    <definedName name="pfp_table1">#REF!</definedName>
    <definedName name="PRICE" localSheetId="0">#REF!</definedName>
    <definedName name="PRICE" localSheetId="3">#REF!</definedName>
    <definedName name="PRICE" localSheetId="1">#REF!</definedName>
    <definedName name="PRICE" localSheetId="12">#REF!</definedName>
    <definedName name="PRICE" localSheetId="2">#REF!</definedName>
    <definedName name="PRICE">#REF!</definedName>
    <definedName name="PRICETAB" localSheetId="0">#REF!</definedName>
    <definedName name="PRICETAB" localSheetId="3">#REF!</definedName>
    <definedName name="PRICETAB" localSheetId="1">#REF!</definedName>
    <definedName name="PRICETAB" localSheetId="12">#REF!</definedName>
    <definedName name="PRICETAB" localSheetId="2">#REF!</definedName>
    <definedName name="PRICETAB">#REF!</definedName>
    <definedName name="_xlnm.Print_Area" localSheetId="4">'Core data tab'!$A$1:$R$52</definedName>
    <definedName name="_xlnm.Print_Area" localSheetId="1">'Local Government'!$A$1:$AB$112</definedName>
    <definedName name="_xlnm.Print_Area" localSheetId="6">'Local Government_int'!$A$1:$AB$113</definedName>
    <definedName name="_xlnm.Print_Titles" localSheetId="0">#REF!,#REF!</definedName>
    <definedName name="_xlnm.Print_Titles" localSheetId="3">#REF!,#REF!</definedName>
    <definedName name="_xlnm.Print_Titles" localSheetId="1">#REF!,#REF!</definedName>
    <definedName name="_xlnm.Print_Titles" localSheetId="12">#REF!,#REF!</definedName>
    <definedName name="_xlnm.Print_Titles" localSheetId="2">#REF!,#REF!</definedName>
    <definedName name="_xlnm.Print_Titles">#REF!,#REF!</definedName>
    <definedName name="PRMONTH" localSheetId="0">#REF!</definedName>
    <definedName name="PRMONTH" localSheetId="3">#REF!</definedName>
    <definedName name="PRMONTH" localSheetId="1">#REF!</definedName>
    <definedName name="PRMONTH" localSheetId="12">#REF!</definedName>
    <definedName name="PRMONTH" localSheetId="2">#REF!</definedName>
    <definedName name="PRMONTH">#REF!</definedName>
    <definedName name="PRYEAR" localSheetId="0">#REF!</definedName>
    <definedName name="PRYEAR" localSheetId="3">#REF!</definedName>
    <definedName name="PRYEAR" localSheetId="1">#REF!</definedName>
    <definedName name="PRYEAR" localSheetId="12">#REF!</definedName>
    <definedName name="PRYEAR" localSheetId="2">#REF!</definedName>
    <definedName name="PRYEAR">#REF!</definedName>
    <definedName name="Q_5" localSheetId="0">#REF!</definedName>
    <definedName name="Q_5" localSheetId="3">#REF!</definedName>
    <definedName name="Q_5" localSheetId="1">#REF!</definedName>
    <definedName name="Q_5" localSheetId="12">#REF!</definedName>
    <definedName name="Q_5" localSheetId="2">#REF!</definedName>
    <definedName name="Q_5">#REF!</definedName>
    <definedName name="Q_6" localSheetId="0">#REF!</definedName>
    <definedName name="Q_6" localSheetId="3">#REF!</definedName>
    <definedName name="Q_6" localSheetId="1">#REF!</definedName>
    <definedName name="Q_6" localSheetId="12">#REF!</definedName>
    <definedName name="Q_6" localSheetId="2">#REF!</definedName>
    <definedName name="Q_6">#REF!</definedName>
    <definedName name="Q_7" localSheetId="0">#REF!</definedName>
    <definedName name="Q_7" localSheetId="3">#REF!</definedName>
    <definedName name="Q_7" localSheetId="1">#REF!</definedName>
    <definedName name="Q_7" localSheetId="12">#REF!</definedName>
    <definedName name="Q_7" localSheetId="2">#REF!</definedName>
    <definedName name="Q_7">#REF!</definedName>
    <definedName name="qqq" localSheetId="0" hidden="1">{#N/A,#N/A,FALSE,"EXTRABUDGT"}</definedName>
    <definedName name="qqq" localSheetId="5" hidden="1">{#N/A,#N/A,FALSE,"EXTRABUDGT"}</definedName>
    <definedName name="qqq" localSheetId="4" hidden="1">{#N/A,#N/A,FALSE,"EXTRABUDGT"}</definedName>
    <definedName name="qqq" localSheetId="13" hidden="1">{#N/A,#N/A,FALSE,"EXTRABUDGT"}</definedName>
    <definedName name="qqq" hidden="1">{#N/A,#N/A,FALSE,"EXTRABUDGT"}</definedName>
    <definedName name="qwe" localSheetId="0">#REF!</definedName>
    <definedName name="qwe" localSheetId="3">#REF!</definedName>
    <definedName name="qwe" localSheetId="1">#REF!</definedName>
    <definedName name="qwe" localSheetId="12">#REF!</definedName>
    <definedName name="qwe" localSheetId="2">#REF!</definedName>
    <definedName name="qwe">#REF!</definedName>
    <definedName name="rangename" localSheetId="0">[2]documentation!#REF!</definedName>
    <definedName name="rangename" localSheetId="3">[2]documentation!#REF!</definedName>
    <definedName name="rangename" localSheetId="1">[2]documentation!#REF!</definedName>
    <definedName name="rangename" localSheetId="12">[2]documentation!#REF!</definedName>
    <definedName name="rangename" localSheetId="2">[2]documentation!#REF!</definedName>
    <definedName name="rangename">[2]documentation!#REF!</definedName>
    <definedName name="RED_BOP" localSheetId="0">#REF!</definedName>
    <definedName name="RED_BOP" localSheetId="3">#REF!</definedName>
    <definedName name="RED_BOP" localSheetId="1">#REF!</definedName>
    <definedName name="RED_BOP" localSheetId="12">#REF!</definedName>
    <definedName name="RED_BOP" localSheetId="2">#REF!</definedName>
    <definedName name="RED_BOP">#REF!</definedName>
    <definedName name="red_cpi" localSheetId="0">#REF!</definedName>
    <definedName name="red_cpi" localSheetId="3">#REF!</definedName>
    <definedName name="red_cpi" localSheetId="1">#REF!</definedName>
    <definedName name="red_cpi" localSheetId="12">#REF!</definedName>
    <definedName name="red_cpi" localSheetId="2">#REF!</definedName>
    <definedName name="red_cpi">#REF!</definedName>
    <definedName name="RED_D" localSheetId="0">#REF!</definedName>
    <definedName name="RED_D" localSheetId="3">#REF!</definedName>
    <definedName name="RED_D" localSheetId="1">#REF!</definedName>
    <definedName name="RED_D" localSheetId="12">#REF!</definedName>
    <definedName name="RED_D" localSheetId="2">#REF!</definedName>
    <definedName name="RED_D">#REF!</definedName>
    <definedName name="RED_DS" localSheetId="0">#REF!</definedName>
    <definedName name="RED_DS" localSheetId="3">#REF!</definedName>
    <definedName name="RED_DS" localSheetId="1">#REF!</definedName>
    <definedName name="RED_DS" localSheetId="12">#REF!</definedName>
    <definedName name="RED_DS" localSheetId="2">#REF!</definedName>
    <definedName name="RED_DS">#REF!</definedName>
    <definedName name="red_gdp_exp" localSheetId="0">#REF!</definedName>
    <definedName name="red_gdp_exp" localSheetId="3">#REF!</definedName>
    <definedName name="red_gdp_exp" localSheetId="1">#REF!</definedName>
    <definedName name="red_gdp_exp" localSheetId="12">#REF!</definedName>
    <definedName name="red_gdp_exp" localSheetId="2">#REF!</definedName>
    <definedName name="red_gdp_exp">#REF!</definedName>
    <definedName name="red_govt_empl" localSheetId="0">#REF!</definedName>
    <definedName name="red_govt_empl" localSheetId="3">#REF!</definedName>
    <definedName name="red_govt_empl" localSheetId="1">#REF!</definedName>
    <definedName name="red_govt_empl" localSheetId="12">#REF!</definedName>
    <definedName name="red_govt_empl" localSheetId="2">#REF!</definedName>
    <definedName name="red_govt_empl">#REF!</definedName>
    <definedName name="RED_NATCPI" localSheetId="0">#REF!</definedName>
    <definedName name="RED_NATCPI" localSheetId="3">#REF!</definedName>
    <definedName name="RED_NATCPI" localSheetId="1">#REF!</definedName>
    <definedName name="RED_NATCPI" localSheetId="12">#REF!</definedName>
    <definedName name="RED_NATCPI" localSheetId="2">#REF!</definedName>
    <definedName name="RED_NATCPI">#REF!</definedName>
    <definedName name="RED_TBCPI" localSheetId="0">#REF!</definedName>
    <definedName name="RED_TBCPI" localSheetId="3">#REF!</definedName>
    <definedName name="RED_TBCPI" localSheetId="1">#REF!</definedName>
    <definedName name="RED_TBCPI" localSheetId="12">#REF!</definedName>
    <definedName name="RED_TBCPI" localSheetId="2">#REF!</definedName>
    <definedName name="RED_TBCPI">#REF!</definedName>
    <definedName name="RED_TRD" localSheetId="0">#REF!</definedName>
    <definedName name="RED_TRD" localSheetId="3">#REF!</definedName>
    <definedName name="RED_TRD" localSheetId="1">#REF!</definedName>
    <definedName name="RED_TRD" localSheetId="12">#REF!</definedName>
    <definedName name="RED_TRD" localSheetId="2">#REF!</definedName>
    <definedName name="RED_TRD">#REF!</definedName>
    <definedName name="REGISTERALL" localSheetId="0">#REF!</definedName>
    <definedName name="REGISTERALL" localSheetId="3">#REF!</definedName>
    <definedName name="REGISTERALL" localSheetId="1">#REF!</definedName>
    <definedName name="REGISTERALL" localSheetId="12">#REF!</definedName>
    <definedName name="REGISTERALL" localSheetId="2">#REF!</definedName>
    <definedName name="REGISTERALL">#REF!</definedName>
    <definedName name="right" localSheetId="0">#REF!</definedName>
    <definedName name="right" localSheetId="3">#REF!</definedName>
    <definedName name="right" localSheetId="1">#REF!</definedName>
    <definedName name="right" localSheetId="12">#REF!</definedName>
    <definedName name="right" localSheetId="2">#REF!</definedName>
    <definedName name="right">#REF!</definedName>
    <definedName name="rindex" localSheetId="0">#REF!</definedName>
    <definedName name="rindex" localSheetId="3">#REF!</definedName>
    <definedName name="rindex" localSheetId="1">#REF!</definedName>
    <definedName name="rindex" localSheetId="12">#REF!</definedName>
    <definedName name="rindex" localSheetId="2">#REF!</definedName>
    <definedName name="rindex">#REF!</definedName>
    <definedName name="rter" localSheetId="0">#REF!</definedName>
    <definedName name="rter" localSheetId="3">#REF!</definedName>
    <definedName name="rter" localSheetId="1">#REF!</definedName>
    <definedName name="rter" localSheetId="12">#REF!</definedName>
    <definedName name="rter" localSheetId="2">#REF!</definedName>
    <definedName name="rter">#REF!</definedName>
    <definedName name="SA_Tab" localSheetId="0">#REF!</definedName>
    <definedName name="SA_Tab" localSheetId="3">#REF!</definedName>
    <definedName name="SA_Tab" localSheetId="1">#REF!</definedName>
    <definedName name="SA_Tab" localSheetId="12">#REF!</definedName>
    <definedName name="SA_Tab" localSheetId="2">#REF!</definedName>
    <definedName name="SA_Tab">#REF!</definedName>
    <definedName name="sampletable" localSheetId="0">#REF!</definedName>
    <definedName name="sampletable" localSheetId="3">#REF!</definedName>
    <definedName name="sampletable" localSheetId="1">#REF!</definedName>
    <definedName name="sampletable" localSheetId="12">#REF!</definedName>
    <definedName name="sampletable" localSheetId="2">#REF!</definedName>
    <definedName name="sampletable">#REF!</definedName>
    <definedName name="sdf" localSheetId="0">#REF!</definedName>
    <definedName name="sdf" localSheetId="3">#REF!</definedName>
    <definedName name="sdf" localSheetId="1">#REF!</definedName>
    <definedName name="sdf" localSheetId="12">#REF!</definedName>
    <definedName name="sdf" localSheetId="2">#REF!</definedName>
    <definedName name="sdf">#REF!</definedName>
    <definedName name="sds_gdp_exp_lari" localSheetId="0">#REF!</definedName>
    <definedName name="sds_gdp_exp_lari" localSheetId="3">#REF!</definedName>
    <definedName name="sds_gdp_exp_lari" localSheetId="1">#REF!</definedName>
    <definedName name="sds_gdp_exp_lari" localSheetId="12">#REF!</definedName>
    <definedName name="sds_gdp_exp_lari" localSheetId="2">#REF!</definedName>
    <definedName name="sds_gdp_exp_lari">#REF!</definedName>
    <definedName name="sds_gdp_origin" localSheetId="0">#REF!</definedName>
    <definedName name="sds_gdp_origin" localSheetId="3">#REF!</definedName>
    <definedName name="sds_gdp_origin" localSheetId="1">#REF!</definedName>
    <definedName name="sds_gdp_origin" localSheetId="12">#REF!</definedName>
    <definedName name="sds_gdp_origin" localSheetId="2">#REF!</definedName>
    <definedName name="sds_gdp_origin">#REF!</definedName>
    <definedName name="sds_gpd_exp_gdp" localSheetId="0">#REF!</definedName>
    <definedName name="sds_gpd_exp_gdp" localSheetId="3">#REF!</definedName>
    <definedName name="sds_gpd_exp_gdp" localSheetId="1">#REF!</definedName>
    <definedName name="sds_gpd_exp_gdp" localSheetId="12">#REF!</definedName>
    <definedName name="sds_gpd_exp_gdp" localSheetId="2">#REF!</definedName>
    <definedName name="sds_gpd_exp_gdp">#REF!</definedName>
    <definedName name="SECTORS" localSheetId="0">#REF!</definedName>
    <definedName name="SECTORS" localSheetId="3">#REF!</definedName>
    <definedName name="SECTORS" localSheetId="1">#REF!</definedName>
    <definedName name="SECTORS" localSheetId="12">#REF!</definedName>
    <definedName name="SECTORS" localSheetId="2">#REF!</definedName>
    <definedName name="SECTORS">#REF!</definedName>
    <definedName name="SEI" localSheetId="0">#REF!</definedName>
    <definedName name="SEI" localSheetId="3">#REF!</definedName>
    <definedName name="SEI" localSheetId="1">#REF!</definedName>
    <definedName name="SEI" localSheetId="12">#REF!</definedName>
    <definedName name="SEI" localSheetId="2">#REF!</definedName>
    <definedName name="SEI">#REF!</definedName>
    <definedName name="sheetname">[3]contents!$A$17:$A$107</definedName>
    <definedName name="STFQTAB" localSheetId="0">#REF!</definedName>
    <definedName name="STFQTAB" localSheetId="3">#REF!</definedName>
    <definedName name="STFQTAB" localSheetId="1">#REF!</definedName>
    <definedName name="STFQTAB" localSheetId="12">#REF!</definedName>
    <definedName name="STFQTAB" localSheetId="2">#REF!</definedName>
    <definedName name="STFQTAB">#REF!</definedName>
    <definedName name="sum" localSheetId="0">#REF!</definedName>
    <definedName name="sum" localSheetId="3">#REF!</definedName>
    <definedName name="sum" localSheetId="1">#REF!</definedName>
    <definedName name="sum" localSheetId="12">#REF!</definedName>
    <definedName name="sum" localSheetId="2">#REF!</definedName>
    <definedName name="sum">#REF!</definedName>
    <definedName name="tab4b" localSheetId="0">#REF!</definedName>
    <definedName name="tab4b" localSheetId="3">#REF!</definedName>
    <definedName name="tab4b" localSheetId="1">#REF!</definedName>
    <definedName name="tab4b" localSheetId="12">#REF!</definedName>
    <definedName name="tab4b" localSheetId="2">#REF!</definedName>
    <definedName name="tab4b">#REF!</definedName>
    <definedName name="tablename">[3]contents!$C$17:$C$96</definedName>
    <definedName name="tabletemplate" localSheetId="0">#REF!</definedName>
    <definedName name="tabletemplate" localSheetId="3">#REF!</definedName>
    <definedName name="tabletemplate" localSheetId="1">#REF!</definedName>
    <definedName name="tabletemplate" localSheetId="12">#REF!</definedName>
    <definedName name="tabletemplate" localSheetId="2">#REF!</definedName>
    <definedName name="tabletemplate">#REF!</definedName>
    <definedName name="TM" localSheetId="0">#REF!</definedName>
    <definedName name="TM" localSheetId="3">#REF!</definedName>
    <definedName name="TM" localSheetId="1">#REF!</definedName>
    <definedName name="TM" localSheetId="12">#REF!</definedName>
    <definedName name="TM" localSheetId="2">#REF!</definedName>
    <definedName name="TM">#REF!</definedName>
    <definedName name="TM_D" localSheetId="0">#REF!</definedName>
    <definedName name="TM_D" localSheetId="3">#REF!</definedName>
    <definedName name="TM_D" localSheetId="1">#REF!</definedName>
    <definedName name="TM_D" localSheetId="12">#REF!</definedName>
    <definedName name="TM_D" localSheetId="2">#REF!</definedName>
    <definedName name="TM_D">#REF!</definedName>
    <definedName name="TM_Dpch" localSheetId="0">#REF!</definedName>
    <definedName name="TM_Dpch" localSheetId="3">#REF!</definedName>
    <definedName name="TM_Dpch" localSheetId="1">#REF!</definedName>
    <definedName name="TM_Dpch" localSheetId="12">#REF!</definedName>
    <definedName name="TM_Dpch" localSheetId="2">#REF!</definedName>
    <definedName name="TM_Dpch">#REF!</definedName>
    <definedName name="TM_R" localSheetId="0">#REF!</definedName>
    <definedName name="TM_R" localSheetId="3">#REF!</definedName>
    <definedName name="TM_R" localSheetId="1">#REF!</definedName>
    <definedName name="TM_R" localSheetId="12">#REF!</definedName>
    <definedName name="TM_R" localSheetId="2">#REF!</definedName>
    <definedName name="TM_R">#REF!</definedName>
    <definedName name="TM_Rpch" localSheetId="0">#REF!</definedName>
    <definedName name="TM_Rpch" localSheetId="3">#REF!</definedName>
    <definedName name="TM_Rpch" localSheetId="1">#REF!</definedName>
    <definedName name="TM_Rpch" localSheetId="12">#REF!</definedName>
    <definedName name="TM_Rpch" localSheetId="2">#REF!</definedName>
    <definedName name="TM_Rpch">#REF!</definedName>
    <definedName name="TMG" localSheetId="0">#REF!</definedName>
    <definedName name="TMG" localSheetId="3">#REF!</definedName>
    <definedName name="TMG" localSheetId="1">#REF!</definedName>
    <definedName name="TMG" localSheetId="12">#REF!</definedName>
    <definedName name="TMG" localSheetId="2">#REF!</definedName>
    <definedName name="TMG">#REF!</definedName>
    <definedName name="TMG_D" localSheetId="0">#REF!</definedName>
    <definedName name="TMG_D" localSheetId="3">#REF!</definedName>
    <definedName name="TMG_D" localSheetId="1">#REF!</definedName>
    <definedName name="TMG_D" localSheetId="12">#REF!</definedName>
    <definedName name="TMG_D" localSheetId="2">#REF!</definedName>
    <definedName name="TMG_D">#REF!</definedName>
    <definedName name="TMG_Dpch" localSheetId="0">#REF!</definedName>
    <definedName name="TMG_Dpch" localSheetId="3">#REF!</definedName>
    <definedName name="TMG_Dpch" localSheetId="1">#REF!</definedName>
    <definedName name="TMG_Dpch" localSheetId="12">#REF!</definedName>
    <definedName name="TMG_Dpch" localSheetId="2">#REF!</definedName>
    <definedName name="TMG_Dpch">#REF!</definedName>
    <definedName name="TMG_R" localSheetId="0">#REF!</definedName>
    <definedName name="TMG_R" localSheetId="3">#REF!</definedName>
    <definedName name="TMG_R" localSheetId="1">#REF!</definedName>
    <definedName name="TMG_R" localSheetId="12">#REF!</definedName>
    <definedName name="TMG_R" localSheetId="2">#REF!</definedName>
    <definedName name="TMG_R">#REF!</definedName>
    <definedName name="TMG_Rpch" localSheetId="0">#REF!</definedName>
    <definedName name="TMG_Rpch" localSheetId="3">#REF!</definedName>
    <definedName name="TMG_Rpch" localSheetId="1">#REF!</definedName>
    <definedName name="TMG_Rpch" localSheetId="12">#REF!</definedName>
    <definedName name="TMG_Rpch" localSheetId="2">#REF!</definedName>
    <definedName name="TMG_Rpch">#REF!</definedName>
    <definedName name="TMGO" localSheetId="0">#REF!</definedName>
    <definedName name="TMGO" localSheetId="3">#REF!</definedName>
    <definedName name="TMGO" localSheetId="1">#REF!</definedName>
    <definedName name="TMGO" localSheetId="12">#REF!</definedName>
    <definedName name="TMGO" localSheetId="2">#REF!</definedName>
    <definedName name="TMGO">#REF!</definedName>
    <definedName name="TMGO_D" localSheetId="0">#REF!</definedName>
    <definedName name="TMGO_D" localSheetId="3">#REF!</definedName>
    <definedName name="TMGO_D" localSheetId="1">#REF!</definedName>
    <definedName name="TMGO_D" localSheetId="12">#REF!</definedName>
    <definedName name="TMGO_D" localSheetId="2">#REF!</definedName>
    <definedName name="TMGO_D">#REF!</definedName>
    <definedName name="TMGO_Dpch" localSheetId="0">#REF!</definedName>
    <definedName name="TMGO_Dpch" localSheetId="3">#REF!</definedName>
    <definedName name="TMGO_Dpch" localSheetId="1">#REF!</definedName>
    <definedName name="TMGO_Dpch" localSheetId="12">#REF!</definedName>
    <definedName name="TMGO_Dpch" localSheetId="2">#REF!</definedName>
    <definedName name="TMGO_Dpch">#REF!</definedName>
    <definedName name="TMGO_R" localSheetId="0">#REF!</definedName>
    <definedName name="TMGO_R" localSheetId="3">#REF!</definedName>
    <definedName name="TMGO_R" localSheetId="1">#REF!</definedName>
    <definedName name="TMGO_R" localSheetId="12">#REF!</definedName>
    <definedName name="TMGO_R" localSheetId="2">#REF!</definedName>
    <definedName name="TMGO_R">#REF!</definedName>
    <definedName name="TMGO_Rpch" localSheetId="0">#REF!</definedName>
    <definedName name="TMGO_Rpch" localSheetId="3">#REF!</definedName>
    <definedName name="TMGO_Rpch" localSheetId="1">#REF!</definedName>
    <definedName name="TMGO_Rpch" localSheetId="12">#REF!</definedName>
    <definedName name="TMGO_Rpch" localSheetId="2">#REF!</definedName>
    <definedName name="TMGO_Rpch">#REF!</definedName>
    <definedName name="TMGXO" localSheetId="0">#REF!</definedName>
    <definedName name="TMGXO" localSheetId="3">#REF!</definedName>
    <definedName name="TMGXO" localSheetId="1">#REF!</definedName>
    <definedName name="TMGXO" localSheetId="12">#REF!</definedName>
    <definedName name="TMGXO" localSheetId="2">#REF!</definedName>
    <definedName name="TMGXO">#REF!</definedName>
    <definedName name="TMGXO_D" localSheetId="0">#REF!</definedName>
    <definedName name="TMGXO_D" localSheetId="3">#REF!</definedName>
    <definedName name="TMGXO_D" localSheetId="1">#REF!</definedName>
    <definedName name="TMGXO_D" localSheetId="12">#REF!</definedName>
    <definedName name="TMGXO_D" localSheetId="2">#REF!</definedName>
    <definedName name="TMGXO_D">#REF!</definedName>
    <definedName name="TMGXO_Dpch" localSheetId="0">#REF!</definedName>
    <definedName name="TMGXO_Dpch" localSheetId="3">#REF!</definedName>
    <definedName name="TMGXO_Dpch" localSheetId="1">#REF!</definedName>
    <definedName name="TMGXO_Dpch" localSheetId="12">#REF!</definedName>
    <definedName name="TMGXO_Dpch" localSheetId="2">#REF!</definedName>
    <definedName name="TMGXO_Dpch">#REF!</definedName>
    <definedName name="TMGXO_R" localSheetId="0">#REF!</definedName>
    <definedName name="TMGXO_R" localSheetId="3">#REF!</definedName>
    <definedName name="TMGXO_R" localSheetId="1">#REF!</definedName>
    <definedName name="TMGXO_R" localSheetId="12">#REF!</definedName>
    <definedName name="TMGXO_R" localSheetId="2">#REF!</definedName>
    <definedName name="TMGXO_R">#REF!</definedName>
    <definedName name="TMGXO_Rpch" localSheetId="0">#REF!</definedName>
    <definedName name="TMGXO_Rpch" localSheetId="3">#REF!</definedName>
    <definedName name="TMGXO_Rpch" localSheetId="1">#REF!</definedName>
    <definedName name="TMGXO_Rpch" localSheetId="12">#REF!</definedName>
    <definedName name="TMGXO_Rpch" localSheetId="2">#REF!</definedName>
    <definedName name="TMGXO_Rpch">#REF!</definedName>
    <definedName name="TMS" localSheetId="0">#REF!</definedName>
    <definedName name="TMS" localSheetId="3">#REF!</definedName>
    <definedName name="TMS" localSheetId="1">#REF!</definedName>
    <definedName name="TMS" localSheetId="12">#REF!</definedName>
    <definedName name="TMS" localSheetId="2">#REF!</definedName>
    <definedName name="TMS">#REF!</definedName>
    <definedName name="Trade" localSheetId="0">#REF!</definedName>
    <definedName name="Trade" localSheetId="3">#REF!</definedName>
    <definedName name="Trade" localSheetId="1">#REF!</definedName>
    <definedName name="Trade" localSheetId="12">#REF!</definedName>
    <definedName name="Trade" localSheetId="2">#REF!</definedName>
    <definedName name="Trade">#REF!</definedName>
    <definedName name="TX" localSheetId="0">#REF!</definedName>
    <definedName name="TX" localSheetId="3">#REF!</definedName>
    <definedName name="TX" localSheetId="1">#REF!</definedName>
    <definedName name="TX" localSheetId="12">#REF!</definedName>
    <definedName name="TX" localSheetId="2">#REF!</definedName>
    <definedName name="TX">#REF!</definedName>
    <definedName name="TX_D" localSheetId="0">#REF!</definedName>
    <definedName name="TX_D" localSheetId="3">#REF!</definedName>
    <definedName name="TX_D" localSheetId="1">#REF!</definedName>
    <definedName name="TX_D" localSheetId="12">#REF!</definedName>
    <definedName name="TX_D" localSheetId="2">#REF!</definedName>
    <definedName name="TX_D">#REF!</definedName>
    <definedName name="TX_Dpch" localSheetId="0">#REF!</definedName>
    <definedName name="TX_Dpch" localSheetId="3">#REF!</definedName>
    <definedName name="TX_Dpch" localSheetId="1">#REF!</definedName>
    <definedName name="TX_Dpch" localSheetId="12">#REF!</definedName>
    <definedName name="TX_Dpch" localSheetId="2">#REF!</definedName>
    <definedName name="TX_Dpch">#REF!</definedName>
    <definedName name="TX_R" localSheetId="0">#REF!</definedName>
    <definedName name="TX_R" localSheetId="3">#REF!</definedName>
    <definedName name="TX_R" localSheetId="1">#REF!</definedName>
    <definedName name="TX_R" localSheetId="12">#REF!</definedName>
    <definedName name="TX_R" localSheetId="2">#REF!</definedName>
    <definedName name="TX_R">#REF!</definedName>
    <definedName name="TX_Rpch" localSheetId="0">#REF!</definedName>
    <definedName name="TX_Rpch" localSheetId="3">#REF!</definedName>
    <definedName name="TX_Rpch" localSheetId="1">#REF!</definedName>
    <definedName name="TX_Rpch" localSheetId="12">#REF!</definedName>
    <definedName name="TX_Rpch" localSheetId="2">#REF!</definedName>
    <definedName name="TX_Rpch">#REF!</definedName>
    <definedName name="TXG" localSheetId="0">#REF!</definedName>
    <definedName name="TXG" localSheetId="3">#REF!</definedName>
    <definedName name="TXG" localSheetId="1">#REF!</definedName>
    <definedName name="TXG" localSheetId="12">#REF!</definedName>
    <definedName name="TXG" localSheetId="2">#REF!</definedName>
    <definedName name="TXG">#REF!</definedName>
    <definedName name="TXG_D" localSheetId="0">#REF!</definedName>
    <definedName name="TXG_D" localSheetId="3">#REF!</definedName>
    <definedName name="TXG_D" localSheetId="1">#REF!</definedName>
    <definedName name="TXG_D" localSheetId="12">#REF!</definedName>
    <definedName name="TXG_D" localSheetId="2">#REF!</definedName>
    <definedName name="TXG_D">#REF!</definedName>
    <definedName name="TXG_Dpch" localSheetId="0">#REF!</definedName>
    <definedName name="TXG_Dpch" localSheetId="3">#REF!</definedName>
    <definedName name="TXG_Dpch" localSheetId="1">#REF!</definedName>
    <definedName name="TXG_Dpch" localSheetId="12">#REF!</definedName>
    <definedName name="TXG_Dpch" localSheetId="2">#REF!</definedName>
    <definedName name="TXG_Dpch">#REF!</definedName>
    <definedName name="TXG_R" localSheetId="0">#REF!</definedName>
    <definedName name="TXG_R" localSheetId="3">#REF!</definedName>
    <definedName name="TXG_R" localSheetId="1">#REF!</definedName>
    <definedName name="TXG_R" localSheetId="12">#REF!</definedName>
    <definedName name="TXG_R" localSheetId="2">#REF!</definedName>
    <definedName name="TXG_R">#REF!</definedName>
    <definedName name="TXG_Rpch" localSheetId="0">#REF!</definedName>
    <definedName name="TXG_Rpch" localSheetId="3">#REF!</definedName>
    <definedName name="TXG_Rpch" localSheetId="1">#REF!</definedName>
    <definedName name="TXG_Rpch" localSheetId="12">#REF!</definedName>
    <definedName name="TXG_Rpch" localSheetId="2">#REF!</definedName>
    <definedName name="TXG_Rpch">#REF!</definedName>
    <definedName name="TXGO" localSheetId="0">#REF!</definedName>
    <definedName name="TXGO" localSheetId="3">#REF!</definedName>
    <definedName name="TXGO" localSheetId="1">#REF!</definedName>
    <definedName name="TXGO" localSheetId="12">#REF!</definedName>
    <definedName name="TXGO" localSheetId="2">#REF!</definedName>
    <definedName name="TXGO">#REF!</definedName>
    <definedName name="TXGO_D" localSheetId="0">#REF!</definedName>
    <definedName name="TXGO_D" localSheetId="3">#REF!</definedName>
    <definedName name="TXGO_D" localSheetId="1">#REF!</definedName>
    <definedName name="TXGO_D" localSheetId="12">#REF!</definedName>
    <definedName name="TXGO_D" localSheetId="2">#REF!</definedName>
    <definedName name="TXGO_D">#REF!</definedName>
    <definedName name="TXGO_Dpch" localSheetId="0">#REF!</definedName>
    <definedName name="TXGO_Dpch" localSheetId="3">#REF!</definedName>
    <definedName name="TXGO_Dpch" localSheetId="1">#REF!</definedName>
    <definedName name="TXGO_Dpch" localSheetId="12">#REF!</definedName>
    <definedName name="TXGO_Dpch" localSheetId="2">#REF!</definedName>
    <definedName name="TXGO_Dpch">#REF!</definedName>
    <definedName name="TXGO_R" localSheetId="0">#REF!</definedName>
    <definedName name="TXGO_R" localSheetId="3">#REF!</definedName>
    <definedName name="TXGO_R" localSheetId="1">#REF!</definedName>
    <definedName name="TXGO_R" localSheetId="12">#REF!</definedName>
    <definedName name="TXGO_R" localSheetId="2">#REF!</definedName>
    <definedName name="TXGO_R">#REF!</definedName>
    <definedName name="TXGO_Rpch" localSheetId="0">#REF!</definedName>
    <definedName name="TXGO_Rpch" localSheetId="3">#REF!</definedName>
    <definedName name="TXGO_Rpch" localSheetId="1">#REF!</definedName>
    <definedName name="TXGO_Rpch" localSheetId="12">#REF!</definedName>
    <definedName name="TXGO_Rpch" localSheetId="2">#REF!</definedName>
    <definedName name="TXGO_Rpch">#REF!</definedName>
    <definedName name="TXGXO" localSheetId="0">#REF!</definedName>
    <definedName name="TXGXO" localSheetId="3">#REF!</definedName>
    <definedName name="TXGXO" localSheetId="1">#REF!</definedName>
    <definedName name="TXGXO" localSheetId="12">#REF!</definedName>
    <definedName name="TXGXO" localSheetId="2">#REF!</definedName>
    <definedName name="TXGXO">#REF!</definedName>
    <definedName name="TXGXO_D" localSheetId="0">#REF!</definedName>
    <definedName name="TXGXO_D" localSheetId="3">#REF!</definedName>
    <definedName name="TXGXO_D" localSheetId="1">#REF!</definedName>
    <definedName name="TXGXO_D" localSheetId="12">#REF!</definedName>
    <definedName name="TXGXO_D" localSheetId="2">#REF!</definedName>
    <definedName name="TXGXO_D">#REF!</definedName>
    <definedName name="TXGXO_Dpch" localSheetId="0">#REF!</definedName>
    <definedName name="TXGXO_Dpch" localSheetId="3">#REF!</definedName>
    <definedName name="TXGXO_Dpch" localSheetId="1">#REF!</definedName>
    <definedName name="TXGXO_Dpch" localSheetId="12">#REF!</definedName>
    <definedName name="TXGXO_Dpch" localSheetId="2">#REF!</definedName>
    <definedName name="TXGXO_Dpch">#REF!</definedName>
    <definedName name="TXGXO_R" localSheetId="0">#REF!</definedName>
    <definedName name="TXGXO_R" localSheetId="3">#REF!</definedName>
    <definedName name="TXGXO_R" localSheetId="1">#REF!</definedName>
    <definedName name="TXGXO_R" localSheetId="12">#REF!</definedName>
    <definedName name="TXGXO_R" localSheetId="2">#REF!</definedName>
    <definedName name="TXGXO_R">#REF!</definedName>
    <definedName name="TXGXO_Rpch" localSheetId="0">#REF!</definedName>
    <definedName name="TXGXO_Rpch" localSheetId="3">#REF!</definedName>
    <definedName name="TXGXO_Rpch" localSheetId="1">#REF!</definedName>
    <definedName name="TXGXO_Rpch" localSheetId="12">#REF!</definedName>
    <definedName name="TXGXO_Rpch" localSheetId="2">#REF!</definedName>
    <definedName name="TXGXO_Rpch">#REF!</definedName>
    <definedName name="TXS" localSheetId="0">#REF!</definedName>
    <definedName name="TXS" localSheetId="3">#REF!</definedName>
    <definedName name="TXS" localSheetId="1">#REF!</definedName>
    <definedName name="TXS" localSheetId="12">#REF!</definedName>
    <definedName name="TXS" localSheetId="2">#REF!</definedName>
    <definedName name="TXS">#REF!</definedName>
    <definedName name="uio" localSheetId="0">#REF!</definedName>
    <definedName name="uio" localSheetId="3">#REF!</definedName>
    <definedName name="uio" localSheetId="1">#REF!</definedName>
    <definedName name="uio" localSheetId="12">#REF!</definedName>
    <definedName name="uio" localSheetId="2">#REF!</definedName>
    <definedName name="uio">#REF!</definedName>
    <definedName name="unemp_96Q3" localSheetId="0">#REF!</definedName>
    <definedName name="unemp_96Q3" localSheetId="3">#REF!</definedName>
    <definedName name="unemp_96Q3" localSheetId="1">#REF!</definedName>
    <definedName name="unemp_96Q3" localSheetId="12">#REF!</definedName>
    <definedName name="unemp_96Q3" localSheetId="2">#REF!</definedName>
    <definedName name="unemp_96Q3">#REF!</definedName>
    <definedName name="unemp_96Q4" localSheetId="0">#REF!</definedName>
    <definedName name="unemp_96Q4" localSheetId="3">#REF!</definedName>
    <definedName name="unemp_96Q4" localSheetId="1">#REF!</definedName>
    <definedName name="unemp_96Q4" localSheetId="12">#REF!</definedName>
    <definedName name="unemp_96Q4" localSheetId="2">#REF!</definedName>
    <definedName name="unemp_96Q4">#REF!</definedName>
    <definedName name="unemp_97Q1" localSheetId="0">#REF!</definedName>
    <definedName name="unemp_97Q1" localSheetId="3">#REF!</definedName>
    <definedName name="unemp_97Q1" localSheetId="1">#REF!</definedName>
    <definedName name="unemp_97Q1" localSheetId="12">#REF!</definedName>
    <definedName name="unemp_97Q1" localSheetId="2">#REF!</definedName>
    <definedName name="unemp_97Q1">#REF!</definedName>
    <definedName name="unemp_97Q2" localSheetId="0">#REF!</definedName>
    <definedName name="unemp_97Q2" localSheetId="3">#REF!</definedName>
    <definedName name="unemp_97Q2" localSheetId="1">#REF!</definedName>
    <definedName name="unemp_97Q2" localSheetId="12">#REF!</definedName>
    <definedName name="unemp_97Q2" localSheetId="2">#REF!</definedName>
    <definedName name="unemp_97Q2">#REF!</definedName>
    <definedName name="unemp_nat" localSheetId="0">#REF!</definedName>
    <definedName name="unemp_nat" localSheetId="3">#REF!</definedName>
    <definedName name="unemp_nat" localSheetId="1">#REF!</definedName>
    <definedName name="unemp_nat" localSheetId="12">#REF!</definedName>
    <definedName name="unemp_nat" localSheetId="2">#REF!</definedName>
    <definedName name="unemp_nat">#REF!</definedName>
    <definedName name="unemp_urbrural" localSheetId="0">#REF!</definedName>
    <definedName name="unemp_urbrural" localSheetId="3">#REF!</definedName>
    <definedName name="unemp_urbrural" localSheetId="1">#REF!</definedName>
    <definedName name="unemp_urbrural" localSheetId="12">#REF!</definedName>
    <definedName name="unemp_urbrural" localSheetId="2">#REF!</definedName>
    <definedName name="unemp_urbrural">#REF!</definedName>
    <definedName name="USERNAME" localSheetId="0">#REF!</definedName>
    <definedName name="USERNAME" localSheetId="3">#REF!</definedName>
    <definedName name="USERNAME" localSheetId="1">#REF!</definedName>
    <definedName name="USERNAME" localSheetId="12">#REF!</definedName>
    <definedName name="USERNAME" localSheetId="2">#REF!</definedName>
    <definedName name="USERNAME">#REF!</definedName>
    <definedName name="wage_govt_sector" localSheetId="0">#REF!</definedName>
    <definedName name="wage_govt_sector" localSheetId="3">#REF!</definedName>
    <definedName name="wage_govt_sector" localSheetId="1">#REF!</definedName>
    <definedName name="wage_govt_sector" localSheetId="12">#REF!</definedName>
    <definedName name="wage_govt_sector" localSheetId="2">#REF!</definedName>
    <definedName name="wage_govt_sector">#REF!</definedName>
    <definedName name="WEO" localSheetId="0">#REF!</definedName>
    <definedName name="WEO" localSheetId="3">#REF!</definedName>
    <definedName name="WEO" localSheetId="1">#REF!</definedName>
    <definedName name="WEO" localSheetId="12">#REF!</definedName>
    <definedName name="WEO" localSheetId="2">#REF!</definedName>
    <definedName name="WEO">#REF!</definedName>
    <definedName name="WPCP33_D" localSheetId="0">#REF!</definedName>
    <definedName name="WPCP33_D" localSheetId="3">#REF!</definedName>
    <definedName name="WPCP33_D" localSheetId="1">#REF!</definedName>
    <definedName name="WPCP33_D" localSheetId="12">#REF!</definedName>
    <definedName name="WPCP33_D" localSheetId="2">#REF!</definedName>
    <definedName name="WPCP33_D">#REF!</definedName>
    <definedName name="WPCP33pch" localSheetId="0">#REF!</definedName>
    <definedName name="WPCP33pch" localSheetId="3">#REF!</definedName>
    <definedName name="WPCP33pch" localSheetId="1">#REF!</definedName>
    <definedName name="WPCP33pch" localSheetId="12">#REF!</definedName>
    <definedName name="WPCP33pch" localSheetId="2">#REF!</definedName>
    <definedName name="WPCP33pch">#REF!</definedName>
    <definedName name="wrn.BANKS." localSheetId="0" hidden="1">{#N/A,#N/A,FALSE,"BANKS"}</definedName>
    <definedName name="wrn.BANKS." localSheetId="5" hidden="1">{#N/A,#N/A,FALSE,"BANKS"}</definedName>
    <definedName name="wrn.BANKS." localSheetId="4" hidden="1">{#N/A,#N/A,FALSE,"BANKS"}</definedName>
    <definedName name="wrn.BANKS." localSheetId="13" hidden="1">{#N/A,#N/A,FALSE,"BANKS"}</definedName>
    <definedName name="wrn.BANKS." hidden="1">{#N/A,#N/A,FALSE,"BANKS"}</definedName>
    <definedName name="wrn.BOP." localSheetId="0" hidden="1">{#N/A,#N/A,FALSE,"BOP"}</definedName>
    <definedName name="wrn.BOP." localSheetId="5" hidden="1">{#N/A,#N/A,FALSE,"BOP"}</definedName>
    <definedName name="wrn.BOP." localSheetId="4" hidden="1">{#N/A,#N/A,FALSE,"BOP"}</definedName>
    <definedName name="wrn.BOP." localSheetId="13" hidden="1">{#N/A,#N/A,FALSE,"BOP"}</definedName>
    <definedName name="wrn.BOP." hidden="1">{#N/A,#N/A,FALSE,"BOP"}</definedName>
    <definedName name="wrn.CREDIT." localSheetId="0" hidden="1">{#N/A,#N/A,FALSE,"CREDIT"}</definedName>
    <definedName name="wrn.CREDIT." localSheetId="5" hidden="1">{#N/A,#N/A,FALSE,"CREDIT"}</definedName>
    <definedName name="wrn.CREDIT." localSheetId="4" hidden="1">{#N/A,#N/A,FALSE,"CREDIT"}</definedName>
    <definedName name="wrn.CREDIT." localSheetId="13" hidden="1">{#N/A,#N/A,FALSE,"CREDIT"}</definedName>
    <definedName name="wrn.CREDIT." hidden="1">{#N/A,#N/A,FALSE,"CREDIT"}</definedName>
    <definedName name="wrn.DEBTSVC." localSheetId="0" hidden="1">{#N/A,#N/A,FALSE,"DEBTSVC"}</definedName>
    <definedName name="wrn.DEBTSVC." localSheetId="5" hidden="1">{#N/A,#N/A,FALSE,"DEBTSVC"}</definedName>
    <definedName name="wrn.DEBTSVC." localSheetId="4" hidden="1">{#N/A,#N/A,FALSE,"DEBTSVC"}</definedName>
    <definedName name="wrn.DEBTSVC." localSheetId="13" hidden="1">{#N/A,#N/A,FALSE,"DEBTSVC"}</definedName>
    <definedName name="wrn.DEBTSVC." hidden="1">{#N/A,#N/A,FALSE,"DEBTSVC"}</definedName>
    <definedName name="wrn.DEPO." localSheetId="0" hidden="1">{#N/A,#N/A,FALSE,"DEPO"}</definedName>
    <definedName name="wrn.DEPO." localSheetId="5" hidden="1">{#N/A,#N/A,FALSE,"DEPO"}</definedName>
    <definedName name="wrn.DEPO." localSheetId="4" hidden="1">{#N/A,#N/A,FALSE,"DEPO"}</definedName>
    <definedName name="wrn.DEPO." localSheetId="13" hidden="1">{#N/A,#N/A,FALSE,"DEPO"}</definedName>
    <definedName name="wrn.DEPO." hidden="1">{#N/A,#N/A,FALSE,"DEPO"}</definedName>
    <definedName name="wrn.EXCISE." localSheetId="0" hidden="1">{#N/A,#N/A,FALSE,"EXCISE"}</definedName>
    <definedName name="wrn.EXCISE." localSheetId="5" hidden="1">{#N/A,#N/A,FALSE,"EXCISE"}</definedName>
    <definedName name="wrn.EXCISE." localSheetId="4" hidden="1">{#N/A,#N/A,FALSE,"EXCISE"}</definedName>
    <definedName name="wrn.EXCISE." localSheetId="13" hidden="1">{#N/A,#N/A,FALSE,"EXCISE"}</definedName>
    <definedName name="wrn.EXCISE." hidden="1">{#N/A,#N/A,FALSE,"EXCISE"}</definedName>
    <definedName name="wrn.EXRATE." localSheetId="0" hidden="1">{#N/A,#N/A,FALSE,"EXRATE"}</definedName>
    <definedName name="wrn.EXRATE." localSheetId="5" hidden="1">{#N/A,#N/A,FALSE,"EXRATE"}</definedName>
    <definedName name="wrn.EXRATE." localSheetId="4" hidden="1">{#N/A,#N/A,FALSE,"EXRATE"}</definedName>
    <definedName name="wrn.EXRATE." localSheetId="13" hidden="1">{#N/A,#N/A,FALSE,"EXRATE"}</definedName>
    <definedName name="wrn.EXRATE." hidden="1">{#N/A,#N/A,FALSE,"EXRATE"}</definedName>
    <definedName name="wrn.EXTDEBT." localSheetId="0" hidden="1">{#N/A,#N/A,FALSE,"EXTDEBT"}</definedName>
    <definedName name="wrn.EXTDEBT." localSheetId="5" hidden="1">{#N/A,#N/A,FALSE,"EXTDEBT"}</definedName>
    <definedName name="wrn.EXTDEBT." localSheetId="4" hidden="1">{#N/A,#N/A,FALSE,"EXTDEBT"}</definedName>
    <definedName name="wrn.EXTDEBT." localSheetId="13" hidden="1">{#N/A,#N/A,FALSE,"EXTDEBT"}</definedName>
    <definedName name="wrn.EXTDEBT." hidden="1">{#N/A,#N/A,FALSE,"EXTDEBT"}</definedName>
    <definedName name="wrn.EXTRABUDGT." localSheetId="0" hidden="1">{#N/A,#N/A,FALSE,"EXTRABUDGT"}</definedName>
    <definedName name="wrn.EXTRABUDGT." localSheetId="5" hidden="1">{#N/A,#N/A,FALSE,"EXTRABUDGT"}</definedName>
    <definedName name="wrn.EXTRABUDGT." localSheetId="4" hidden="1">{#N/A,#N/A,FALSE,"EXTRABUDGT"}</definedName>
    <definedName name="wrn.EXTRABUDGT." localSheetId="13" hidden="1">{#N/A,#N/A,FALSE,"EXTRABUDGT"}</definedName>
    <definedName name="wrn.EXTRABUDGT." hidden="1">{#N/A,#N/A,FALSE,"EXTRABUDGT"}</definedName>
    <definedName name="wrn.EXTRABUDGT2." localSheetId="0" hidden="1">{#N/A,#N/A,FALSE,"EXTRABUDGT2"}</definedName>
    <definedName name="wrn.EXTRABUDGT2." localSheetId="5" hidden="1">{#N/A,#N/A,FALSE,"EXTRABUDGT2"}</definedName>
    <definedName name="wrn.EXTRABUDGT2." localSheetId="4" hidden="1">{#N/A,#N/A,FALSE,"EXTRABUDGT2"}</definedName>
    <definedName name="wrn.EXTRABUDGT2." localSheetId="13" hidden="1">{#N/A,#N/A,FALSE,"EXTRABUDGT2"}</definedName>
    <definedName name="wrn.EXTRABUDGT2." hidden="1">{#N/A,#N/A,FALSE,"EXTRABUDGT2"}</definedName>
    <definedName name="wrn.GDP." localSheetId="0" hidden="1">{#N/A,#N/A,FALSE,"GDP_ORIGIN";#N/A,#N/A,FALSE,"EMP_POP"}</definedName>
    <definedName name="wrn.GDP." localSheetId="5" hidden="1">{#N/A,#N/A,FALSE,"GDP_ORIGIN";#N/A,#N/A,FALSE,"EMP_POP"}</definedName>
    <definedName name="wrn.GDP." localSheetId="4" hidden="1">{#N/A,#N/A,FALSE,"GDP_ORIGIN";#N/A,#N/A,FALSE,"EMP_POP"}</definedName>
    <definedName name="wrn.GDP." localSheetId="13" hidden="1">{#N/A,#N/A,FALSE,"GDP_ORIGIN";#N/A,#N/A,FALSE,"EMP_POP"}</definedName>
    <definedName name="wrn.GDP." hidden="1">{#N/A,#N/A,FALSE,"GDP_ORIGIN";#N/A,#N/A,FALSE,"EMP_POP"}</definedName>
    <definedName name="wrn.GGOVT." localSheetId="0" hidden="1">{#N/A,#N/A,FALSE,"GGOVT"}</definedName>
    <definedName name="wrn.GGOVT." localSheetId="5" hidden="1">{#N/A,#N/A,FALSE,"GGOVT"}</definedName>
    <definedName name="wrn.GGOVT." localSheetId="4" hidden="1">{#N/A,#N/A,FALSE,"GGOVT"}</definedName>
    <definedName name="wrn.GGOVT." localSheetId="13" hidden="1">{#N/A,#N/A,FALSE,"GGOVT"}</definedName>
    <definedName name="wrn.GGOVT." hidden="1">{#N/A,#N/A,FALSE,"GGOVT"}</definedName>
    <definedName name="wrn.GGOVT2." localSheetId="0" hidden="1">{#N/A,#N/A,FALSE,"GGOVT2"}</definedName>
    <definedName name="wrn.GGOVT2." localSheetId="5" hidden="1">{#N/A,#N/A,FALSE,"GGOVT2"}</definedName>
    <definedName name="wrn.GGOVT2." localSheetId="4" hidden="1">{#N/A,#N/A,FALSE,"GGOVT2"}</definedName>
    <definedName name="wrn.GGOVT2." localSheetId="13" hidden="1">{#N/A,#N/A,FALSE,"GGOVT2"}</definedName>
    <definedName name="wrn.GGOVT2." hidden="1">{#N/A,#N/A,FALSE,"GGOVT2"}</definedName>
    <definedName name="wrn.GGOVTPC." localSheetId="0" hidden="1">{#N/A,#N/A,FALSE,"GGOVT%"}</definedName>
    <definedName name="wrn.GGOVTPC." localSheetId="5" hidden="1">{#N/A,#N/A,FALSE,"GGOVT%"}</definedName>
    <definedName name="wrn.GGOVTPC." localSheetId="4" hidden="1">{#N/A,#N/A,FALSE,"GGOVT%"}</definedName>
    <definedName name="wrn.GGOVTPC." localSheetId="13" hidden="1">{#N/A,#N/A,FALSE,"GGOVT%"}</definedName>
    <definedName name="wrn.GGOVTPC." hidden="1">{#N/A,#N/A,FALSE,"GGOVT%"}</definedName>
    <definedName name="wrn.INCOMETX." localSheetId="0" hidden="1">{#N/A,#N/A,FALSE,"INCOMETX"}</definedName>
    <definedName name="wrn.INCOMETX." localSheetId="5" hidden="1">{#N/A,#N/A,FALSE,"INCOMETX"}</definedName>
    <definedName name="wrn.INCOMETX." localSheetId="4" hidden="1">{#N/A,#N/A,FALSE,"INCOMETX"}</definedName>
    <definedName name="wrn.INCOMETX." localSheetId="13" hidden="1">{#N/A,#N/A,FALSE,"INCOMETX"}</definedName>
    <definedName name="wrn.INCOMETX." hidden="1">{#N/A,#N/A,FALSE,"INCOMETX"}</definedName>
    <definedName name="wrn.INTERST." localSheetId="0" hidden="1">{#N/A,#N/A,FALSE,"INTERST"}</definedName>
    <definedName name="wrn.INTERST." localSheetId="5" hidden="1">{#N/A,#N/A,FALSE,"INTERST"}</definedName>
    <definedName name="wrn.INTERST." localSheetId="4" hidden="1">{#N/A,#N/A,FALSE,"INTERST"}</definedName>
    <definedName name="wrn.INTERST." localSheetId="13" hidden="1">{#N/A,#N/A,FALSE,"INTERST"}</definedName>
    <definedName name="wrn.INTERST." hidden="1">{#N/A,#N/A,FALSE,"INTERST"}</definedName>
    <definedName name="wrn.MAIN." localSheetId="0" hidden="1">{#N/A,#N/A,FALSE,"CB";#N/A,#N/A,FALSE,"CMB";#N/A,#N/A,FALSE,"BSYS";#N/A,#N/A,FALSE,"NBFI";#N/A,#N/A,FALSE,"FSYS"}</definedName>
    <definedName name="wrn.MAIN." localSheetId="5" hidden="1">{#N/A,#N/A,FALSE,"CB";#N/A,#N/A,FALSE,"CMB";#N/A,#N/A,FALSE,"BSYS";#N/A,#N/A,FALSE,"NBFI";#N/A,#N/A,FALSE,"FSYS"}</definedName>
    <definedName name="wrn.MAIN." localSheetId="4" hidden="1">{#N/A,#N/A,FALSE,"CB";#N/A,#N/A,FALSE,"CMB";#N/A,#N/A,FALSE,"BSYS";#N/A,#N/A,FALSE,"NBFI";#N/A,#N/A,FALSE,"FSYS"}</definedName>
    <definedName name="wrn.MAIN." localSheetId="13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IT." localSheetId="0" hidden="1">{#N/A,#N/A,FALSE,"CB";#N/A,#N/A,FALSE,"CMB";#N/A,#N/A,FALSE,"NBFI"}</definedName>
    <definedName name="wrn.MIT." localSheetId="5" hidden="1">{#N/A,#N/A,FALSE,"CB";#N/A,#N/A,FALSE,"CMB";#N/A,#N/A,FALSE,"NBFI"}</definedName>
    <definedName name="wrn.MIT." localSheetId="4" hidden="1">{#N/A,#N/A,FALSE,"CB";#N/A,#N/A,FALSE,"CMB";#N/A,#N/A,FALSE,"NBFI"}</definedName>
    <definedName name="wrn.MIT." localSheetId="13" hidden="1">{#N/A,#N/A,FALSE,"CB";#N/A,#N/A,FALSE,"CMB";#N/A,#N/A,FALSE,"NBFI"}</definedName>
    <definedName name="wrn.MIT." hidden="1">{#N/A,#N/A,FALSE,"CB";#N/A,#N/A,FALSE,"CMB";#N/A,#N/A,FALSE,"NBFI"}</definedName>
    <definedName name="wrn.MS." localSheetId="0" hidden="1">{#N/A,#N/A,FALSE,"MS"}</definedName>
    <definedName name="wrn.MS." localSheetId="5" hidden="1">{#N/A,#N/A,FALSE,"MS"}</definedName>
    <definedName name="wrn.MS." localSheetId="4" hidden="1">{#N/A,#N/A,FALSE,"MS"}</definedName>
    <definedName name="wrn.MS." localSheetId="13" hidden="1">{#N/A,#N/A,FALSE,"MS"}</definedName>
    <definedName name="wrn.MS." hidden="1">{#N/A,#N/A,FALSE,"MS"}</definedName>
    <definedName name="wrn.NBG." localSheetId="0" hidden="1">{#N/A,#N/A,FALSE,"NBG"}</definedName>
    <definedName name="wrn.NBG." localSheetId="5" hidden="1">{#N/A,#N/A,FALSE,"NBG"}</definedName>
    <definedName name="wrn.NBG." localSheetId="4" hidden="1">{#N/A,#N/A,FALSE,"NBG"}</definedName>
    <definedName name="wrn.NBG." localSheetId="13" hidden="1">{#N/A,#N/A,FALSE,"NBG"}</definedName>
    <definedName name="wrn.NBG." hidden="1">{#N/A,#N/A,FALSE,"NBG"}</definedName>
    <definedName name="wrn.PCPI." localSheetId="0" hidden="1">{#N/A,#N/A,FALSE,"PCPI"}</definedName>
    <definedName name="wrn.PCPI." localSheetId="5" hidden="1">{#N/A,#N/A,FALSE,"PCPI"}</definedName>
    <definedName name="wrn.PCPI." localSheetId="4" hidden="1">{#N/A,#N/A,FALSE,"PCPI"}</definedName>
    <definedName name="wrn.PCPI." localSheetId="13" hidden="1">{#N/A,#N/A,FALSE,"PCPI"}</definedName>
    <definedName name="wrn.PCPI." hidden="1">{#N/A,#N/A,FALSE,"PCPI"}</definedName>
    <definedName name="wrn.PENSION." localSheetId="0" hidden="1">{#N/A,#N/A,FALSE,"PENSION"}</definedName>
    <definedName name="wrn.PENSION." localSheetId="5" hidden="1">{#N/A,#N/A,FALSE,"PENSION"}</definedName>
    <definedName name="wrn.PENSION." localSheetId="4" hidden="1">{#N/A,#N/A,FALSE,"PENSION"}</definedName>
    <definedName name="wrn.PENSION." localSheetId="13" hidden="1">{#N/A,#N/A,FALSE,"PENSION"}</definedName>
    <definedName name="wrn.PENSION." hidden="1">{#N/A,#N/A,FALSE,"PENSION"}</definedName>
    <definedName name="wrn.PRUDENT." localSheetId="0" hidden="1">{#N/A,#N/A,FALSE,"PRUDENT"}</definedName>
    <definedName name="wrn.PRUDENT." localSheetId="5" hidden="1">{#N/A,#N/A,FALSE,"PRUDENT"}</definedName>
    <definedName name="wrn.PRUDENT." localSheetId="4" hidden="1">{#N/A,#N/A,FALSE,"PRUDENT"}</definedName>
    <definedName name="wrn.PRUDENT." localSheetId="13" hidden="1">{#N/A,#N/A,FALSE,"PRUDENT"}</definedName>
    <definedName name="wrn.PRUDENT." hidden="1">{#N/A,#N/A,FALSE,"PRUDENT"}</definedName>
    <definedName name="wrn.PUBLEXP." localSheetId="0" hidden="1">{#N/A,#N/A,FALSE,"PUBLEXP"}</definedName>
    <definedName name="wrn.PUBLEXP." localSheetId="5" hidden="1">{#N/A,#N/A,FALSE,"PUBLEXP"}</definedName>
    <definedName name="wrn.PUBLEXP." localSheetId="4" hidden="1">{#N/A,#N/A,FALSE,"PUBLEXP"}</definedName>
    <definedName name="wrn.PUBLEXP." localSheetId="13" hidden="1">{#N/A,#N/A,FALSE,"PUBLEXP"}</definedName>
    <definedName name="wrn.PUBLEXP." hidden="1">{#N/A,#N/A,FALSE,"PUBLEXP"}</definedName>
    <definedName name="wrn.REDTABS.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13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0" hidden="1">{#N/A,#N/A,FALSE,"REVSHARE"}</definedName>
    <definedName name="wrn.REVSHARE." localSheetId="5" hidden="1">{#N/A,#N/A,FALSE,"REVSHARE"}</definedName>
    <definedName name="wrn.REVSHARE." localSheetId="4" hidden="1">{#N/A,#N/A,FALSE,"REVSHARE"}</definedName>
    <definedName name="wrn.REVSHARE." localSheetId="13" hidden="1">{#N/A,#N/A,FALSE,"REVSHARE"}</definedName>
    <definedName name="wrn.REVSHARE." hidden="1">{#N/A,#N/A,FALSE,"REVSHARE"}</definedName>
    <definedName name="wrn.Staff._.Report._.Tables." localSheetId="0" hidden="1">{#N/A,#N/A,FALSE,"SRFSYS";#N/A,#N/A,FALSE,"SRBSYS"}</definedName>
    <definedName name="wrn.Staff._.Report._.Tables." localSheetId="5" hidden="1">{#N/A,#N/A,FALSE,"SRFSYS";#N/A,#N/A,FALSE,"SRBSYS"}</definedName>
    <definedName name="wrn.Staff._.Report._.Tables." localSheetId="4" hidden="1">{#N/A,#N/A,FALSE,"SRFSYS";#N/A,#N/A,FALSE,"SRBSYS"}</definedName>
    <definedName name="wrn.Staff._.Report._.Tables." localSheetId="13" hidden="1">{#N/A,#N/A,FALSE,"SRFSYS";#N/A,#N/A,FALSE,"SRBSYS"}</definedName>
    <definedName name="wrn.Staff._.Report._.Tables." hidden="1">{#N/A,#N/A,FALSE,"SRFSYS";#N/A,#N/A,FALSE,"SRBSYS"}</definedName>
    <definedName name="wrn.STATE." localSheetId="0" hidden="1">{#N/A,#N/A,FALSE,"STATE"}</definedName>
    <definedName name="wrn.STATE." localSheetId="5" hidden="1">{#N/A,#N/A,FALSE,"STATE"}</definedName>
    <definedName name="wrn.STATE." localSheetId="4" hidden="1">{#N/A,#N/A,FALSE,"STATE"}</definedName>
    <definedName name="wrn.STATE." localSheetId="13" hidden="1">{#N/A,#N/A,FALSE,"STATE"}</definedName>
    <definedName name="wrn.STATE." hidden="1">{#N/A,#N/A,FALSE,"STATE"}</definedName>
    <definedName name="wrn.TAXARREARS." localSheetId="0" hidden="1">{#N/A,#N/A,FALSE,"TAXARREARS"}</definedName>
    <definedName name="wrn.TAXARREARS." localSheetId="5" hidden="1">{#N/A,#N/A,FALSE,"TAXARREARS"}</definedName>
    <definedName name="wrn.TAXARREARS." localSheetId="4" hidden="1">{#N/A,#N/A,FALSE,"TAXARREARS"}</definedName>
    <definedName name="wrn.TAXARREARS." localSheetId="13" hidden="1">{#N/A,#N/A,FALSE,"TAXARREARS"}</definedName>
    <definedName name="wrn.TAXARREARS." hidden="1">{#N/A,#N/A,FALSE,"TAXARREARS"}</definedName>
    <definedName name="wrn.TAXPAYRS." localSheetId="0" hidden="1">{#N/A,#N/A,FALSE,"TAXPAYRS"}</definedName>
    <definedName name="wrn.TAXPAYRS." localSheetId="5" hidden="1">{#N/A,#N/A,FALSE,"TAXPAYRS"}</definedName>
    <definedName name="wrn.TAXPAYRS." localSheetId="4" hidden="1">{#N/A,#N/A,FALSE,"TAXPAYRS"}</definedName>
    <definedName name="wrn.TAXPAYRS." localSheetId="13" hidden="1">{#N/A,#N/A,FALSE,"TAXPAYRS"}</definedName>
    <definedName name="wrn.TAXPAYRS." hidden="1">{#N/A,#N/A,FALSE,"TAXPAYRS"}</definedName>
    <definedName name="wrn.TRADE." localSheetId="0" hidden="1">{#N/A,#N/A,FALSE,"TRADE"}</definedName>
    <definedName name="wrn.TRADE." localSheetId="5" hidden="1">{#N/A,#N/A,FALSE,"TRADE"}</definedName>
    <definedName name="wrn.TRADE." localSheetId="4" hidden="1">{#N/A,#N/A,FALSE,"TRADE"}</definedName>
    <definedName name="wrn.TRADE." localSheetId="13" hidden="1">{#N/A,#N/A,FALSE,"TRADE"}</definedName>
    <definedName name="wrn.TRADE." hidden="1">{#N/A,#N/A,FALSE,"TRADE"}</definedName>
    <definedName name="wrn.TRANSPORT." localSheetId="0" hidden="1">{#N/A,#N/A,FALSE,"TRANPORT"}</definedName>
    <definedName name="wrn.TRANSPORT." localSheetId="5" hidden="1">{#N/A,#N/A,FALSE,"TRANPORT"}</definedName>
    <definedName name="wrn.TRANSPORT." localSheetId="4" hidden="1">{#N/A,#N/A,FALSE,"TRANPORT"}</definedName>
    <definedName name="wrn.TRANSPORT." localSheetId="13" hidden="1">{#N/A,#N/A,FALSE,"TRANPORT"}</definedName>
    <definedName name="wrn.TRANSPORT." hidden="1">{#N/A,#N/A,FALSE,"TRANPORT"}</definedName>
    <definedName name="wrn.UNEMPL." localSheetId="0" hidden="1">{#N/A,#N/A,FALSE,"EMP_POP";#N/A,#N/A,FALSE,"UNEMPL"}</definedName>
    <definedName name="wrn.UNEMPL." localSheetId="5" hidden="1">{#N/A,#N/A,FALSE,"EMP_POP";#N/A,#N/A,FALSE,"UNEMPL"}</definedName>
    <definedName name="wrn.UNEMPL." localSheetId="4" hidden="1">{#N/A,#N/A,FALSE,"EMP_POP";#N/A,#N/A,FALSE,"UNEMPL"}</definedName>
    <definedName name="wrn.UNEMPL." localSheetId="13" hidden="1">{#N/A,#N/A,FALSE,"EMP_POP";#N/A,#N/A,FALSE,"UNEMPL"}</definedName>
    <definedName name="wrn.UNEMPL." hidden="1">{#N/A,#N/A,FALSE,"EMP_POP";#N/A,#N/A,FALSE,"UNEMPL"}</definedName>
    <definedName name="wrn.WAGES." localSheetId="0" hidden="1">{#N/A,#N/A,FALSE,"WAGES"}</definedName>
    <definedName name="wrn.WAGES." localSheetId="5" hidden="1">{#N/A,#N/A,FALSE,"WAGES"}</definedName>
    <definedName name="wrn.WAGES." localSheetId="4" hidden="1">{#N/A,#N/A,FALSE,"WAGES"}</definedName>
    <definedName name="wrn.WAGES." localSheetId="13" hidden="1">{#N/A,#N/A,FALSE,"WAGES"}</definedName>
    <definedName name="wrn.WAGES." hidden="1">{#N/A,#N/A,FALSE,"WAGES"}</definedName>
    <definedName name="xxWRS_10" localSheetId="0">#REF!</definedName>
    <definedName name="xxWRS_10" localSheetId="3">#REF!</definedName>
    <definedName name="xxWRS_10" localSheetId="1">#REF!</definedName>
    <definedName name="xxWRS_10" localSheetId="12">#REF!</definedName>
    <definedName name="xxWRS_10" localSheetId="2">#REF!</definedName>
    <definedName name="xxWRS_10">#REF!</definedName>
    <definedName name="xxWRS_6" localSheetId="0">#REF!</definedName>
    <definedName name="xxWRS_6" localSheetId="3">#REF!</definedName>
    <definedName name="xxWRS_6" localSheetId="1">#REF!</definedName>
    <definedName name="xxWRS_6" localSheetId="12">#REF!</definedName>
    <definedName name="xxWRS_6" localSheetId="2">#REF!</definedName>
    <definedName name="xxWRS_6">#REF!</definedName>
    <definedName name="xxWRS_7" localSheetId="0">#REF!</definedName>
    <definedName name="xxWRS_7" localSheetId="3">#REF!</definedName>
    <definedName name="xxWRS_7" localSheetId="1">#REF!</definedName>
    <definedName name="xxWRS_7" localSheetId="12">#REF!</definedName>
    <definedName name="xxWRS_7" localSheetId="2">#REF!</definedName>
    <definedName name="xxWRS_7">#REF!</definedName>
    <definedName name="xxWRS_8" localSheetId="0">#REF!</definedName>
    <definedName name="xxWRS_8" localSheetId="3">#REF!</definedName>
    <definedName name="xxWRS_8" localSheetId="1">#REF!</definedName>
    <definedName name="xxWRS_8" localSheetId="12">#REF!</definedName>
    <definedName name="xxWRS_8" localSheetId="2">#REF!</definedName>
    <definedName name="xxWRS_8">#REF!</definedName>
    <definedName name="xxWRS_9" localSheetId="0">#REF!</definedName>
    <definedName name="xxWRS_9" localSheetId="3">#REF!</definedName>
    <definedName name="xxWRS_9" localSheetId="1">#REF!</definedName>
    <definedName name="xxWRS_9" localSheetId="12">#REF!</definedName>
    <definedName name="xxWRS_9" localSheetId="2">#REF!</definedName>
    <definedName name="xxWRS_9">#REF!</definedName>
    <definedName name="Years" localSheetId="0">#REF!</definedName>
    <definedName name="Years" localSheetId="3">#REF!</definedName>
    <definedName name="Years" localSheetId="1">#REF!</definedName>
    <definedName name="Years" localSheetId="12">#REF!</definedName>
    <definedName name="Years" localSheetId="2">#REF!</definedName>
    <definedName name="Years">#REF!</definedName>
    <definedName name="yyy" localSheetId="0" hidden="1">{#N/A,#N/A,FALSE,"MS"}</definedName>
    <definedName name="yyy" localSheetId="5" hidden="1">{#N/A,#N/A,FALSE,"MS"}</definedName>
    <definedName name="yyy" localSheetId="4" hidden="1">{#N/A,#N/A,FALSE,"MS"}</definedName>
    <definedName name="yyy" localSheetId="13" hidden="1">{#N/A,#N/A,FALSE,"MS"}</definedName>
    <definedName name="yyy" hidden="1">{#N/A,#N/A,FALSE,"MS"}</definedName>
    <definedName name="yyyyy" localSheetId="0" hidden="1">{#N/A,#N/A,FALSE,"INTERST"}</definedName>
    <definedName name="yyyyy" localSheetId="5" hidden="1">{#N/A,#N/A,FALSE,"INTERST"}</definedName>
    <definedName name="yyyyy" localSheetId="4" hidden="1">{#N/A,#N/A,FALSE,"INTERST"}</definedName>
    <definedName name="yyyyy" localSheetId="13" hidden="1">{#N/A,#N/A,FALSE,"INTERST"}</definedName>
    <definedName name="yyyyy" hidden="1">{#N/A,#N/A,FALSE,"INTERST"}</definedName>
    <definedName name="Z_05AB59A7_9F04_4F70_A17E_8EF60EF35C7C_.wvu.PrintArea" localSheetId="0" hidden="1">'Cental Budget'!$C$17:$P$98</definedName>
    <definedName name="Z_05AB59A7_9F04_4F70_A17E_8EF60EF35C7C_.wvu.PrintArea" localSheetId="5" hidden="1">'Cental Budget_int'!$C$17:$P$98</definedName>
    <definedName name="Z_5F444141_AB98_4370_9413_F1F0A45DC16B_.wvu.Cols" localSheetId="2" hidden="1">'Public expenditure'!$AZ:$BC</definedName>
    <definedName name="Z_5F444141_AB98_4370_9413_F1F0A45DC16B_.wvu.Cols" localSheetId="7" hidden="1">'Public expenditure_int'!$AZ:$BC</definedName>
    <definedName name="Z_5F444141_AB98_4370_9413_F1F0A45DC16B_.wvu.Rows" localSheetId="2" hidden="1">'Public expenditure'!$75:$75,'Public expenditure'!$78:$78,'Public expenditure'!$81:$81,'Public expenditure'!#REF!,'Public expenditure'!$94:$94</definedName>
    <definedName name="Z_5F444141_AB98_4370_9413_F1F0A45DC16B_.wvu.Rows" localSheetId="7" hidden="1">'Public expenditure_int'!$76:$76,'Public expenditure_int'!$79:$79,'Public expenditure_int'!$74:$74,'Public expenditure_int'!#REF!,'Public expenditure_int'!$94:$94</definedName>
    <definedName name="Z_636A372C_EE02_4B23_8381_E3299ADF8816_.wvu.Cols" localSheetId="0" hidden="1">'Cental Budget'!#REF!</definedName>
    <definedName name="Z_636A372C_EE02_4B23_8381_E3299ADF8816_.wvu.Cols" localSheetId="5" hidden="1">'Cental Budget_int'!#REF!</definedName>
    <definedName name="Z_7AC1CC92_093E_4DA9_98F8_470D5521A68C_.wvu.Rows" localSheetId="0" hidden="1">'Cental Budget'!$54:$58,'Cental Budget'!$68:$72,'Cental Budget'!$74:$78,'Cental Budget'!$90:$90</definedName>
    <definedName name="Z_7AC1CC92_093E_4DA9_98F8_470D5521A68C_.wvu.Rows" localSheetId="5" hidden="1">'Cental Budget_int'!$54:$58,'Cental Budget_int'!$68:$72,'Cental Budget_int'!$74:$78,'Cental Budget_int'!$90:$90</definedName>
    <definedName name="Z_A32CDCC2_9D7B_41FA_91EC_562A88521235_.wvu.Cols" localSheetId="0" hidden="1">'Cental Budget'!#REF!,'Cental Budget'!#REF!</definedName>
    <definedName name="Z_A32CDCC2_9D7B_41FA_91EC_562A88521235_.wvu.Cols" localSheetId="5" hidden="1">'Cental Budget_int'!#REF!,'Cental Budget_int'!#REF!</definedName>
    <definedName name="Z_A4D59F75_8091_4878_A19C_E6F7EFCC98D0_.wvu.Cols" localSheetId="2" hidden="1">'Public expenditure'!$E:$E,'Public expenditure'!#REF!,'Public expenditure'!#REF!,'Public expenditure'!#REF!,'Public expenditure'!#REF!,'Public expenditure'!#REF!,'Public expenditure'!$AZ:$AZ,'Public expenditure'!$BB:$BB</definedName>
    <definedName name="Z_A4D59F75_8091_4878_A19C_E6F7EFCC98D0_.wvu.Cols" localSheetId="7" hidden="1">'Public expenditure_int'!$E:$E,'Public expenditure_int'!#REF!,'Public expenditure_int'!#REF!,'Public expenditure_int'!#REF!,'Public expenditure_int'!#REF!,'Public expenditure_int'!#REF!,'Public expenditure_int'!$AZ:$AZ,'Public expenditure_int'!$BB:$BB</definedName>
    <definedName name="Z_E484E83A_8AE1_4ACE_A5D4_7D98A52A9B4B_.wvu.Cols" localSheetId="2" hidden="1">'Public expenditure'!$AZ:$BC</definedName>
    <definedName name="Z_E484E83A_8AE1_4ACE_A5D4_7D98A52A9B4B_.wvu.Cols" localSheetId="7" hidden="1">'Public expenditure_int'!$AZ:$BC</definedName>
    <definedName name="Z_E484E83A_8AE1_4ACE_A5D4_7D98A52A9B4B_.wvu.Rows" localSheetId="2" hidden="1">'Public expenditure'!$75:$75,'Public expenditure'!$78:$78,'Public expenditure'!$81:$81,'Public expenditure'!#REF!,'Public expenditure'!$94:$94</definedName>
    <definedName name="Z_E484E83A_8AE1_4ACE_A5D4_7D98A52A9B4B_.wvu.Rows" localSheetId="7" hidden="1">'Public expenditure_int'!$76:$76,'Public expenditure_int'!$79:$79,'Public expenditure_int'!$74:$74,'Public expenditure_int'!#REF!,'Public expenditure_int'!$94:$94</definedName>
    <definedName name="Z_F37FAB72_D883_4CEB_A5EC_0FA851AD2DC3_.wvu.Cols" localSheetId="0" hidden="1">'Cental Budget'!#REF!</definedName>
    <definedName name="Z_F37FAB72_D883_4CEB_A5EC_0FA851AD2DC3_.wvu.Cols" localSheetId="5" hidden="1">'Cental Budget_int'!#REF!</definedName>
  </definedNames>
  <calcPr calcId="124519" concurrentCalc="0" concurrentManualCount="1"/>
  <customWorkbookViews>
    <customWorkbookView name="RATKO - Personal View" guid="{A4D59F75-8091-4878-A19C-E6F7EFCC98D0}" mergeInterval="0" personalView="1" maximized="1" windowWidth="1276" windowHeight="850" activeSheetId="5"/>
    <customWorkbookView name="pc - Personal View" guid="{5F444141-AB98-4370-9413-F1F0A45DC16B}" mergeInterval="0" personalView="1" maximized="1" windowWidth="1276" windowHeight="874" activeSheetId="5"/>
    <customWorkbookView name="iva.vukovic - Personal View" guid="{E484E83A-8AE1-4ACE-A5D4-7D98A52A9B4B}" mergeInterval="0" personalView="1" maximized="1" windowWidth="1276" windowHeight="856" tabRatio="796" activeSheetId="3"/>
  </customWorkbookViews>
  <fileRecoveryPr autoRecover="0"/>
</workbook>
</file>

<file path=xl/calcChain.xml><?xml version="1.0" encoding="utf-8"?>
<calcChain xmlns="http://schemas.openxmlformats.org/spreadsheetml/2006/main">
  <c r="P76" i="16"/>
  <c r="P77"/>
  <c r="P78"/>
  <c r="P79"/>
  <c r="P80"/>
  <c r="P81"/>
  <c r="P82"/>
  <c r="P83"/>
  <c r="P84"/>
  <c r="P85"/>
  <c r="P86"/>
  <c r="P87"/>
  <c r="P88"/>
  <c r="P89"/>
  <c r="P90"/>
  <c r="P75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E20" i="14"/>
  <c r="E27" i="16"/>
  <c r="E28"/>
  <c r="E29"/>
  <c r="E30"/>
  <c r="E31"/>
  <c r="E32"/>
  <c r="E33"/>
  <c r="E34"/>
  <c r="E28" i="14"/>
  <c r="E35" i="16"/>
  <c r="E36"/>
  <c r="E37"/>
  <c r="E38"/>
  <c r="E39"/>
  <c r="E33" i="14"/>
  <c r="E40" i="16"/>
  <c r="E41"/>
  <c r="E42"/>
  <c r="E43"/>
  <c r="E44"/>
  <c r="E38" i="14"/>
  <c r="E45" i="16"/>
  <c r="E46"/>
  <c r="E47"/>
  <c r="E48"/>
  <c r="E49"/>
  <c r="E50"/>
  <c r="E51"/>
  <c r="E45" i="14"/>
  <c r="E52" i="16"/>
  <c r="E53"/>
  <c r="E54"/>
  <c r="E55"/>
  <c r="E56"/>
  <c r="E57"/>
  <c r="P103"/>
  <c r="P102"/>
  <c r="P101"/>
  <c r="P100"/>
  <c r="P99"/>
  <c r="P98"/>
  <c r="P97"/>
  <c r="P96"/>
  <c r="P95"/>
  <c r="P94"/>
  <c r="P93"/>
  <c r="P92"/>
  <c r="P91"/>
  <c r="P73"/>
  <c r="P72"/>
  <c r="P71"/>
  <c r="P70"/>
  <c r="P69"/>
  <c r="P68"/>
  <c r="P67"/>
  <c r="P66"/>
  <c r="P65"/>
  <c r="P64"/>
  <c r="P63"/>
  <c r="P62"/>
  <c r="P61"/>
  <c r="P60"/>
  <c r="P59"/>
  <c r="P58"/>
  <c r="M103"/>
  <c r="L103"/>
  <c r="M102"/>
  <c r="L102"/>
  <c r="M101"/>
  <c r="L101"/>
  <c r="M100"/>
  <c r="L100"/>
  <c r="M99"/>
  <c r="L99"/>
  <c r="M98"/>
  <c r="L98"/>
  <c r="M97"/>
  <c r="L97"/>
  <c r="M96"/>
  <c r="L96"/>
  <c r="M95"/>
  <c r="L95"/>
  <c r="M94"/>
  <c r="L94"/>
  <c r="M93"/>
  <c r="L93"/>
  <c r="M92"/>
  <c r="L92"/>
  <c r="M91"/>
  <c r="L91"/>
  <c r="M90"/>
  <c r="L90"/>
  <c r="M89"/>
  <c r="L89"/>
  <c r="M88"/>
  <c r="L88"/>
  <c r="M87"/>
  <c r="L87"/>
  <c r="M86"/>
  <c r="L86"/>
  <c r="M85"/>
  <c r="L85"/>
  <c r="M84"/>
  <c r="L84"/>
  <c r="M83"/>
  <c r="L83"/>
  <c r="M82"/>
  <c r="L82"/>
  <c r="M81"/>
  <c r="L81"/>
  <c r="M80"/>
  <c r="L80"/>
  <c r="M79"/>
  <c r="L79"/>
  <c r="M78"/>
  <c r="L78"/>
  <c r="M77"/>
  <c r="L77"/>
  <c r="M76"/>
  <c r="L76"/>
  <c r="M75"/>
  <c r="L75"/>
  <c r="M74"/>
  <c r="L74"/>
  <c r="M73"/>
  <c r="L73"/>
  <c r="M72"/>
  <c r="L72"/>
  <c r="M71"/>
  <c r="L71"/>
  <c r="M70"/>
  <c r="L70"/>
  <c r="M69"/>
  <c r="L69"/>
  <c r="M68"/>
  <c r="L68"/>
  <c r="M67"/>
  <c r="L67"/>
  <c r="M66"/>
  <c r="L66"/>
  <c r="M65"/>
  <c r="L65"/>
  <c r="M64"/>
  <c r="L64"/>
  <c r="M63"/>
  <c r="L63"/>
  <c r="M62"/>
  <c r="L62"/>
  <c r="M61"/>
  <c r="L61"/>
  <c r="M60"/>
  <c r="L60"/>
  <c r="M59"/>
  <c r="L59"/>
  <c r="M58"/>
  <c r="L58"/>
  <c r="E25" i="15"/>
  <c r="E60"/>
  <c r="E59"/>
  <c r="E74"/>
  <c r="E80"/>
  <c r="E57"/>
  <c r="E90"/>
  <c r="E92"/>
  <c r="E96"/>
  <c r="E102"/>
  <c r="F59"/>
  <c r="F57"/>
  <c r="F90"/>
  <c r="F96"/>
  <c r="F102"/>
  <c r="G59"/>
  <c r="G57"/>
  <c r="G90"/>
  <c r="G96"/>
  <c r="G102"/>
  <c r="Q102"/>
  <c r="F103" i="16"/>
  <c r="E19" i="14"/>
  <c r="E54"/>
  <c r="E53"/>
  <c r="E68"/>
  <c r="E74"/>
  <c r="E51"/>
  <c r="E84"/>
  <c r="E86"/>
  <c r="E90"/>
  <c r="E96"/>
  <c r="F51"/>
  <c r="F84"/>
  <c r="F90"/>
  <c r="F96"/>
  <c r="G51"/>
  <c r="G84"/>
  <c r="G90"/>
  <c r="G96"/>
  <c r="H51"/>
  <c r="H84"/>
  <c r="H90"/>
  <c r="H96"/>
  <c r="E103" i="16"/>
  <c r="F102"/>
  <c r="E102"/>
  <c r="F101"/>
  <c r="E101"/>
  <c r="F100"/>
  <c r="E100"/>
  <c r="F99"/>
  <c r="E99"/>
  <c r="E97" i="15"/>
  <c r="F97"/>
  <c r="G97"/>
  <c r="Q97"/>
  <c r="F98" i="16"/>
  <c r="E91" i="14"/>
  <c r="F91"/>
  <c r="G91"/>
  <c r="H91"/>
  <c r="E98" i="16"/>
  <c r="Q96" i="15"/>
  <c r="F97" i="16"/>
  <c r="E97"/>
  <c r="F96"/>
  <c r="E96"/>
  <c r="F95"/>
  <c r="E95"/>
  <c r="F94"/>
  <c r="E94"/>
  <c r="Q92" i="15"/>
  <c r="F93" i="16"/>
  <c r="E93"/>
  <c r="E91" i="15"/>
  <c r="F91"/>
  <c r="G91"/>
  <c r="Q91"/>
  <c r="F92" i="16"/>
  <c r="E85" i="14"/>
  <c r="F85"/>
  <c r="G85"/>
  <c r="H85"/>
  <c r="E92" i="16"/>
  <c r="Q90" i="15"/>
  <c r="F91" i="16"/>
  <c r="E91"/>
  <c r="F90"/>
  <c r="E90"/>
  <c r="F89"/>
  <c r="E89"/>
  <c r="F88"/>
  <c r="E88"/>
  <c r="F87"/>
  <c r="E87"/>
  <c r="F86"/>
  <c r="E86"/>
  <c r="F85"/>
  <c r="E85"/>
  <c r="F84"/>
  <c r="E84"/>
  <c r="F83"/>
  <c r="E83"/>
  <c r="F82"/>
  <c r="E82"/>
  <c r="Q80" i="15"/>
  <c r="F81" i="16"/>
  <c r="E81"/>
  <c r="F80"/>
  <c r="E80"/>
  <c r="F79"/>
  <c r="E79"/>
  <c r="F78"/>
  <c r="E78"/>
  <c r="F77"/>
  <c r="E77"/>
  <c r="F76"/>
  <c r="E76"/>
  <c r="Q74" i="15"/>
  <c r="F75" i="16"/>
  <c r="E75"/>
  <c r="F74"/>
  <c r="E74"/>
  <c r="F73"/>
  <c r="E73"/>
  <c r="F72"/>
  <c r="E72"/>
  <c r="F71"/>
  <c r="E71"/>
  <c r="F70"/>
  <c r="E70"/>
  <c r="F69"/>
  <c r="E69"/>
  <c r="F68"/>
  <c r="E68"/>
  <c r="F67"/>
  <c r="E67"/>
  <c r="F66"/>
  <c r="E66"/>
  <c r="F65"/>
  <c r="E65"/>
  <c r="F64"/>
  <c r="E64"/>
  <c r="F63"/>
  <c r="E63"/>
  <c r="F62"/>
  <c r="E62"/>
  <c r="Q60" i="15"/>
  <c r="F61" i="16"/>
  <c r="E61"/>
  <c r="Q59" i="15"/>
  <c r="F60" i="16"/>
  <c r="E60"/>
  <c r="E58" i="15"/>
  <c r="F58"/>
  <c r="G58"/>
  <c r="Q58"/>
  <c r="F59" i="16"/>
  <c r="E52" i="14"/>
  <c r="F52"/>
  <c r="G52"/>
  <c r="H52"/>
  <c r="E59" i="16"/>
  <c r="Q57" i="15"/>
  <c r="F58" i="16"/>
  <c r="E58"/>
  <c r="E26"/>
  <c r="I90"/>
  <c r="I91"/>
  <c r="I92"/>
  <c r="I93"/>
  <c r="I94"/>
  <c r="I95"/>
  <c r="I96"/>
  <c r="I97"/>
  <c r="I89"/>
  <c r="I88"/>
  <c r="I87"/>
  <c r="I86"/>
  <c r="I85"/>
  <c r="I84"/>
  <c r="I83"/>
  <c r="I82"/>
  <c r="I81"/>
  <c r="I80"/>
  <c r="I79"/>
  <c r="I78"/>
  <c r="I77"/>
  <c r="I76"/>
  <c r="I75"/>
  <c r="E15" i="18"/>
  <c r="O92" i="16"/>
  <c r="U41" i="18"/>
  <c r="V41"/>
  <c r="W41"/>
  <c r="X41"/>
  <c r="Y41"/>
  <c r="Z41"/>
  <c r="AA41"/>
  <c r="AB41"/>
  <c r="I62" i="16"/>
  <c r="I63"/>
  <c r="I64"/>
  <c r="I65"/>
  <c r="I66"/>
  <c r="I67"/>
  <c r="I68"/>
  <c r="I69"/>
  <c r="I70"/>
  <c r="I71"/>
  <c r="I72"/>
  <c r="I73"/>
  <c r="I98"/>
  <c r="I99"/>
  <c r="I100"/>
  <c r="I101"/>
  <c r="I102"/>
  <c r="I103"/>
  <c r="I61"/>
  <c r="I60"/>
  <c r="I59"/>
  <c r="I58"/>
  <c r="M102" i="15"/>
  <c r="M97"/>
  <c r="M96"/>
  <c r="M92"/>
  <c r="M91"/>
  <c r="M90"/>
  <c r="M80"/>
  <c r="M74"/>
  <c r="M60"/>
  <c r="M59"/>
  <c r="M57"/>
  <c r="M58"/>
  <c r="L60"/>
  <c r="L59"/>
  <c r="L74"/>
  <c r="L80"/>
  <c r="L57"/>
  <c r="L24" i="16"/>
  <c r="P26"/>
  <c r="M26"/>
  <c r="L26"/>
  <c r="I26"/>
  <c r="M39" i="15"/>
  <c r="M51"/>
  <c r="M44"/>
  <c r="M34"/>
  <c r="M26"/>
  <c r="K60"/>
  <c r="K59"/>
  <c r="L58"/>
  <c r="E42" i="18"/>
  <c r="G42"/>
  <c r="L92" i="15"/>
  <c r="K92"/>
  <c r="L51"/>
  <c r="L44"/>
  <c r="L39"/>
  <c r="L34"/>
  <c r="L26"/>
  <c r="M25"/>
  <c r="L25"/>
  <c r="J34"/>
  <c r="K34"/>
  <c r="L90"/>
  <c r="Q42" i="18"/>
  <c r="R94" i="16"/>
  <c r="O32" i="18"/>
  <c r="O33"/>
  <c r="M32"/>
  <c r="M31"/>
  <c r="M33"/>
  <c r="T30"/>
  <c r="S30"/>
  <c r="R30"/>
  <c r="Q30"/>
  <c r="P30"/>
  <c r="O30"/>
  <c r="N30"/>
  <c r="M30"/>
  <c r="S29"/>
  <c r="K29"/>
  <c r="Q29"/>
  <c r="I29"/>
  <c r="O29"/>
  <c r="G29"/>
  <c r="M29"/>
  <c r="E29"/>
  <c r="K51" i="15"/>
  <c r="K44"/>
  <c r="K39"/>
  <c r="K26"/>
  <c r="F80"/>
  <c r="G80"/>
  <c r="H80"/>
  <c r="I80"/>
  <c r="J80"/>
  <c r="K80"/>
  <c r="F74"/>
  <c r="G74"/>
  <c r="H74"/>
  <c r="I74"/>
  <c r="J74"/>
  <c r="K74"/>
  <c r="O42" i="18"/>
  <c r="O31"/>
  <c r="N41"/>
  <c r="O41"/>
  <c r="P41"/>
  <c r="M42"/>
  <c r="R89" i="26"/>
  <c r="P79"/>
  <c r="O79"/>
  <c r="N79"/>
  <c r="M79"/>
  <c r="L79"/>
  <c r="K79"/>
  <c r="J79"/>
  <c r="I79"/>
  <c r="H79"/>
  <c r="G79"/>
  <c r="F79"/>
  <c r="E79"/>
  <c r="R79"/>
  <c r="S81"/>
  <c r="P66"/>
  <c r="O66"/>
  <c r="N66"/>
  <c r="M66"/>
  <c r="L66"/>
  <c r="K66"/>
  <c r="J66"/>
  <c r="I66"/>
  <c r="H66"/>
  <c r="G66"/>
  <c r="F66"/>
  <c r="E66"/>
  <c r="P64"/>
  <c r="O64"/>
  <c r="N64"/>
  <c r="M64"/>
  <c r="L64"/>
  <c r="K64"/>
  <c r="J64"/>
  <c r="I64"/>
  <c r="H64"/>
  <c r="G64"/>
  <c r="F64"/>
  <c r="E64"/>
  <c r="P63"/>
  <c r="O63"/>
  <c r="N63"/>
  <c r="M63"/>
  <c r="L63"/>
  <c r="K63"/>
  <c r="J63"/>
  <c r="I63"/>
  <c r="H63"/>
  <c r="G63"/>
  <c r="F63"/>
  <c r="E63"/>
  <c r="S63"/>
  <c r="P62"/>
  <c r="P61"/>
  <c r="O61"/>
  <c r="N61"/>
  <c r="M61"/>
  <c r="L61"/>
  <c r="K61"/>
  <c r="J61"/>
  <c r="I61"/>
  <c r="H61"/>
  <c r="G61"/>
  <c r="F61"/>
  <c r="E61"/>
  <c r="P25" i="16"/>
  <c r="R25"/>
  <c r="O25"/>
  <c r="K57" i="15"/>
  <c r="K25"/>
  <c r="R82" i="26"/>
  <c r="D83"/>
  <c r="K33" i="18"/>
  <c r="K32"/>
  <c r="I31"/>
  <c r="G31"/>
  <c r="E31"/>
  <c r="L30"/>
  <c r="K30"/>
  <c r="J30"/>
  <c r="I30"/>
  <c r="H30"/>
  <c r="G30"/>
  <c r="F30"/>
  <c r="E30"/>
  <c r="G17"/>
  <c r="M20"/>
  <c r="K20"/>
  <c r="I20"/>
  <c r="G20"/>
  <c r="E20"/>
  <c r="J19"/>
  <c r="I19"/>
  <c r="H19"/>
  <c r="G19"/>
  <c r="F19"/>
  <c r="E19"/>
  <c r="M15"/>
  <c r="N22"/>
  <c r="K15"/>
  <c r="L21"/>
  <c r="I15"/>
  <c r="J22"/>
  <c r="G15"/>
  <c r="F33"/>
  <c r="N15"/>
  <c r="L15"/>
  <c r="J15"/>
  <c r="H15"/>
  <c r="F15"/>
  <c r="E19" i="10"/>
  <c r="F19"/>
  <c r="G19"/>
  <c r="H19"/>
  <c r="I19"/>
  <c r="J19"/>
  <c r="K19"/>
  <c r="L19"/>
  <c r="M19"/>
  <c r="N19"/>
  <c r="O19"/>
  <c r="P19"/>
  <c r="E21"/>
  <c r="E29"/>
  <c r="E34"/>
  <c r="E34" i="19"/>
  <c r="E39" i="10"/>
  <c r="E46"/>
  <c r="F46"/>
  <c r="F46" i="19"/>
  <c r="G21" i="10"/>
  <c r="H21"/>
  <c r="H21" i="19"/>
  <c r="G29" i="10"/>
  <c r="G34"/>
  <c r="G39"/>
  <c r="G46"/>
  <c r="I21"/>
  <c r="I29"/>
  <c r="J29"/>
  <c r="J29" i="19"/>
  <c r="I34" i="10"/>
  <c r="I39"/>
  <c r="J39"/>
  <c r="J39" i="19"/>
  <c r="I46" i="10"/>
  <c r="K21"/>
  <c r="L21"/>
  <c r="L21" i="19"/>
  <c r="K29" i="10"/>
  <c r="K34"/>
  <c r="L34"/>
  <c r="L34" i="19"/>
  <c r="K39" i="10"/>
  <c r="L39"/>
  <c r="L39" i="19"/>
  <c r="K46" i="10"/>
  <c r="L46"/>
  <c r="L46" i="19"/>
  <c r="M21" i="10"/>
  <c r="M29"/>
  <c r="M29" i="19"/>
  <c r="M34" i="10"/>
  <c r="M35" i="21"/>
  <c r="M39" i="10"/>
  <c r="M39" i="19"/>
  <c r="M46" i="10"/>
  <c r="O21"/>
  <c r="O21" i="19"/>
  <c r="O29" i="10"/>
  <c r="P29"/>
  <c r="P29" i="19"/>
  <c r="O34" i="10"/>
  <c r="P34"/>
  <c r="P34" i="19"/>
  <c r="O39" i="10"/>
  <c r="O46"/>
  <c r="F21"/>
  <c r="F21" i="19"/>
  <c r="F22" i="10"/>
  <c r="H22"/>
  <c r="H22" i="19"/>
  <c r="J22" i="10"/>
  <c r="L22"/>
  <c r="N22"/>
  <c r="N22" i="19"/>
  <c r="P22" i="10"/>
  <c r="P22" i="19"/>
  <c r="F23" i="10"/>
  <c r="H23"/>
  <c r="J23"/>
  <c r="L23"/>
  <c r="L23" i="19"/>
  <c r="N23" i="10"/>
  <c r="P23"/>
  <c r="F24"/>
  <c r="F24" i="19"/>
  <c r="H24" i="10"/>
  <c r="H24" i="19"/>
  <c r="J24" i="10"/>
  <c r="L24"/>
  <c r="N24"/>
  <c r="P24"/>
  <c r="P24" i="19"/>
  <c r="F25" i="10"/>
  <c r="H25"/>
  <c r="J25"/>
  <c r="J25" i="19"/>
  <c r="L25" i="10"/>
  <c r="L25" i="19"/>
  <c r="N25" i="10"/>
  <c r="P25"/>
  <c r="F26"/>
  <c r="H26"/>
  <c r="H26" i="19"/>
  <c r="J26" i="10"/>
  <c r="L26"/>
  <c r="N26"/>
  <c r="N26" i="19"/>
  <c r="P26" i="10"/>
  <c r="P26" i="19"/>
  <c r="F27" i="10"/>
  <c r="H27"/>
  <c r="J27"/>
  <c r="L27"/>
  <c r="L27" i="19"/>
  <c r="N27" i="10"/>
  <c r="P27"/>
  <c r="F28"/>
  <c r="F28" i="19"/>
  <c r="H28" i="10"/>
  <c r="J28"/>
  <c r="L28"/>
  <c r="N28"/>
  <c r="P28"/>
  <c r="P28" i="19"/>
  <c r="L29" i="10"/>
  <c r="L29" i="19"/>
  <c r="F30" i="10"/>
  <c r="H30"/>
  <c r="J30"/>
  <c r="L30"/>
  <c r="L30" i="19"/>
  <c r="N30" i="10"/>
  <c r="N30" i="19"/>
  <c r="P30" i="10"/>
  <c r="F31"/>
  <c r="H31"/>
  <c r="H31" i="19"/>
  <c r="J31" i="10"/>
  <c r="J31" i="19"/>
  <c r="L31" i="10"/>
  <c r="N31"/>
  <c r="P31"/>
  <c r="F32"/>
  <c r="F32" i="19"/>
  <c r="H32" i="10"/>
  <c r="J32"/>
  <c r="L32"/>
  <c r="N32"/>
  <c r="P32"/>
  <c r="F33"/>
  <c r="H33"/>
  <c r="J33"/>
  <c r="L33"/>
  <c r="N33"/>
  <c r="P33"/>
  <c r="P33" i="19"/>
  <c r="H34" i="10"/>
  <c r="J34"/>
  <c r="J34" i="19"/>
  <c r="F35" i="10"/>
  <c r="H35"/>
  <c r="J35"/>
  <c r="L35"/>
  <c r="L35" i="19"/>
  <c r="N35" i="10"/>
  <c r="N35" i="19"/>
  <c r="P35" i="10"/>
  <c r="F36"/>
  <c r="H36"/>
  <c r="H36" i="19"/>
  <c r="J36" i="10"/>
  <c r="J36" i="19"/>
  <c r="L36" i="10"/>
  <c r="L36" i="19"/>
  <c r="N36" i="10"/>
  <c r="P36"/>
  <c r="F37"/>
  <c r="F37" i="19"/>
  <c r="H37" i="10"/>
  <c r="J37"/>
  <c r="L37"/>
  <c r="N37"/>
  <c r="P37"/>
  <c r="F38"/>
  <c r="H38"/>
  <c r="J38"/>
  <c r="L38"/>
  <c r="L38" i="19"/>
  <c r="N38" i="10"/>
  <c r="P38"/>
  <c r="P38" i="19"/>
  <c r="N39" i="10"/>
  <c r="N39" i="19"/>
  <c r="F40" i="10"/>
  <c r="H40"/>
  <c r="J40"/>
  <c r="J40" i="19"/>
  <c r="L40" i="10"/>
  <c r="N40"/>
  <c r="P40"/>
  <c r="P40" i="19"/>
  <c r="F41" i="10"/>
  <c r="H41"/>
  <c r="J41"/>
  <c r="L41"/>
  <c r="L41" i="19"/>
  <c r="N41" i="10"/>
  <c r="N41" i="19"/>
  <c r="P41" i="10"/>
  <c r="F42"/>
  <c r="H42"/>
  <c r="H42" i="19"/>
  <c r="J42" i="10"/>
  <c r="L42"/>
  <c r="N42"/>
  <c r="P42"/>
  <c r="F43"/>
  <c r="F43" i="19"/>
  <c r="H43" i="10"/>
  <c r="J43"/>
  <c r="L43"/>
  <c r="N43"/>
  <c r="P43"/>
  <c r="F44"/>
  <c r="H44"/>
  <c r="J44"/>
  <c r="J44" i="19"/>
  <c r="L44" i="10"/>
  <c r="N44"/>
  <c r="P44"/>
  <c r="P44" i="19"/>
  <c r="F45" i="10"/>
  <c r="H45"/>
  <c r="J45"/>
  <c r="L45"/>
  <c r="L45" i="19"/>
  <c r="N45" i="10"/>
  <c r="N45" i="19"/>
  <c r="P45" i="10"/>
  <c r="N46"/>
  <c r="F47"/>
  <c r="H47"/>
  <c r="J47"/>
  <c r="L47"/>
  <c r="N47"/>
  <c r="P47"/>
  <c r="F48"/>
  <c r="F48" i="19"/>
  <c r="H48" i="10"/>
  <c r="J48"/>
  <c r="L48"/>
  <c r="N48"/>
  <c r="N48" i="19"/>
  <c r="P48" i="10"/>
  <c r="P48" i="19"/>
  <c r="F49" i="10"/>
  <c r="H49"/>
  <c r="J49"/>
  <c r="J49" i="19"/>
  <c r="L49" i="10"/>
  <c r="L49" i="19"/>
  <c r="N49" i="10"/>
  <c r="P49"/>
  <c r="F50"/>
  <c r="H50"/>
  <c r="H50" i="19"/>
  <c r="J50" i="10"/>
  <c r="L50"/>
  <c r="N50"/>
  <c r="N50" i="19"/>
  <c r="P50" i="10"/>
  <c r="F51"/>
  <c r="H51"/>
  <c r="J51"/>
  <c r="J51" i="19"/>
  <c r="L51" i="10"/>
  <c r="N51"/>
  <c r="P51"/>
  <c r="E55"/>
  <c r="E69"/>
  <c r="E75"/>
  <c r="G55"/>
  <c r="G69"/>
  <c r="G75"/>
  <c r="H75"/>
  <c r="H75" i="19"/>
  <c r="I55" i="10"/>
  <c r="I54"/>
  <c r="I69"/>
  <c r="J69"/>
  <c r="J69" i="19"/>
  <c r="I75" i="10"/>
  <c r="I75" i="19"/>
  <c r="K55" i="10"/>
  <c r="K69"/>
  <c r="L69"/>
  <c r="L69" i="19"/>
  <c r="K75" i="10"/>
  <c r="M55"/>
  <c r="M54"/>
  <c r="M54" i="19"/>
  <c r="M69" i="10"/>
  <c r="N69"/>
  <c r="N69" i="19"/>
  <c r="M75" i="10"/>
  <c r="O55"/>
  <c r="O54"/>
  <c r="O54" i="19"/>
  <c r="O69" i="10"/>
  <c r="P69"/>
  <c r="P69" i="19"/>
  <c r="O75" i="10"/>
  <c r="F56"/>
  <c r="H56"/>
  <c r="J56"/>
  <c r="J56" i="19"/>
  <c r="L56" i="10"/>
  <c r="L56" i="19"/>
  <c r="N56" i="10"/>
  <c r="P56"/>
  <c r="F57"/>
  <c r="F57" i="19"/>
  <c r="H57" i="10"/>
  <c r="H57" i="19"/>
  <c r="J57" i="10"/>
  <c r="L57"/>
  <c r="N57"/>
  <c r="N57" i="19"/>
  <c r="P57" i="10"/>
  <c r="P57" i="19"/>
  <c r="F58" i="10"/>
  <c r="H58"/>
  <c r="J58"/>
  <c r="J58" i="19"/>
  <c r="L58" i="10"/>
  <c r="L58" i="19"/>
  <c r="N58" i="10"/>
  <c r="P58"/>
  <c r="F59"/>
  <c r="F59" i="19"/>
  <c r="H59" i="10"/>
  <c r="H59" i="19"/>
  <c r="J59" i="10"/>
  <c r="L59"/>
  <c r="N59"/>
  <c r="N59" i="19"/>
  <c r="P59" i="10"/>
  <c r="F60"/>
  <c r="H60"/>
  <c r="J60"/>
  <c r="J60" i="19"/>
  <c r="L60" i="10"/>
  <c r="L60" i="19"/>
  <c r="N60" i="10"/>
  <c r="P60"/>
  <c r="F61"/>
  <c r="F61" i="19"/>
  <c r="H61" i="10"/>
  <c r="J61"/>
  <c r="L61"/>
  <c r="N61"/>
  <c r="N61" i="19"/>
  <c r="P61" i="10"/>
  <c r="P61" i="19"/>
  <c r="F62" i="10"/>
  <c r="H62"/>
  <c r="J62"/>
  <c r="J62" i="19"/>
  <c r="L62" i="10"/>
  <c r="L62" i="19"/>
  <c r="N62" i="10"/>
  <c r="P62"/>
  <c r="F63"/>
  <c r="F63" i="19"/>
  <c r="H63" i="10"/>
  <c r="H63" i="19"/>
  <c r="J63" i="10"/>
  <c r="L63"/>
  <c r="N63"/>
  <c r="N63" i="19"/>
  <c r="P63" i="10"/>
  <c r="P63" i="19"/>
  <c r="F64" i="10"/>
  <c r="H64"/>
  <c r="J64"/>
  <c r="J64" i="19"/>
  <c r="L64" i="10"/>
  <c r="N64"/>
  <c r="P64"/>
  <c r="F65"/>
  <c r="H65"/>
  <c r="J65"/>
  <c r="L65"/>
  <c r="N65"/>
  <c r="N65" i="19"/>
  <c r="P65" i="10"/>
  <c r="P65" i="19"/>
  <c r="F66" i="10"/>
  <c r="H66"/>
  <c r="J66"/>
  <c r="J66" i="19"/>
  <c r="L66" i="10"/>
  <c r="L66" i="19"/>
  <c r="N66" i="10"/>
  <c r="P66"/>
  <c r="F67"/>
  <c r="F67" i="19"/>
  <c r="H67" i="10"/>
  <c r="H67" i="19"/>
  <c r="J67" i="10"/>
  <c r="L67"/>
  <c r="N67"/>
  <c r="N67" i="19"/>
  <c r="P67" i="10"/>
  <c r="P67" i="19"/>
  <c r="F68" i="10"/>
  <c r="H68"/>
  <c r="J68"/>
  <c r="L68"/>
  <c r="N68"/>
  <c r="P68"/>
  <c r="F70"/>
  <c r="H70"/>
  <c r="J70"/>
  <c r="L70"/>
  <c r="L70" i="19"/>
  <c r="N70" i="10"/>
  <c r="N70" i="19"/>
  <c r="P70" i="10"/>
  <c r="F71"/>
  <c r="H71"/>
  <c r="H71" i="19"/>
  <c r="J71" i="10"/>
  <c r="J71" i="19"/>
  <c r="L71" i="10"/>
  <c r="N71"/>
  <c r="P71"/>
  <c r="F72"/>
  <c r="F72" i="19"/>
  <c r="H72" i="10"/>
  <c r="J72"/>
  <c r="L72"/>
  <c r="L72" i="19"/>
  <c r="N72" i="10"/>
  <c r="P72"/>
  <c r="F73"/>
  <c r="H73"/>
  <c r="J73"/>
  <c r="L73"/>
  <c r="N73"/>
  <c r="P73"/>
  <c r="P73" i="19"/>
  <c r="F74" i="10"/>
  <c r="F74" i="19"/>
  <c r="H74" i="10"/>
  <c r="J74"/>
  <c r="L74"/>
  <c r="L74" i="19"/>
  <c r="N74" i="10"/>
  <c r="N74" i="19"/>
  <c r="P74" i="10"/>
  <c r="F75"/>
  <c r="F75" i="19"/>
  <c r="N75" i="10"/>
  <c r="N75" i="19"/>
  <c r="F76" i="10"/>
  <c r="H76"/>
  <c r="H76" i="19"/>
  <c r="J76" i="10"/>
  <c r="J76" i="19"/>
  <c r="L76" i="10"/>
  <c r="N76"/>
  <c r="P76"/>
  <c r="P76" i="19"/>
  <c r="F77" i="10"/>
  <c r="F77" i="19"/>
  <c r="H77" i="10"/>
  <c r="J77"/>
  <c r="L77"/>
  <c r="N77"/>
  <c r="P77"/>
  <c r="F78"/>
  <c r="H78"/>
  <c r="H78" i="19"/>
  <c r="J78" i="10"/>
  <c r="J78" i="19"/>
  <c r="L78" i="10"/>
  <c r="N78"/>
  <c r="P78"/>
  <c r="P78" i="19"/>
  <c r="F79" i="10"/>
  <c r="F79" i="19"/>
  <c r="H79" i="10"/>
  <c r="J79"/>
  <c r="L79"/>
  <c r="L79" i="19"/>
  <c r="N79" i="10"/>
  <c r="N79" i="19"/>
  <c r="P79" i="10"/>
  <c r="F80"/>
  <c r="H80"/>
  <c r="H80" i="19"/>
  <c r="J80" i="10"/>
  <c r="J80" i="19"/>
  <c r="L80" i="10"/>
  <c r="N80"/>
  <c r="P80"/>
  <c r="P80" i="19"/>
  <c r="F81" i="10"/>
  <c r="F81" i="19"/>
  <c r="H81" i="10"/>
  <c r="J81"/>
  <c r="L81"/>
  <c r="L81" i="19"/>
  <c r="N81" i="10"/>
  <c r="N81" i="19"/>
  <c r="P81" i="10"/>
  <c r="F82"/>
  <c r="H82"/>
  <c r="H82" i="19"/>
  <c r="J82" i="10"/>
  <c r="J82" i="19"/>
  <c r="L82" i="10"/>
  <c r="N82"/>
  <c r="P82"/>
  <c r="P82" i="19"/>
  <c r="F83" i="10"/>
  <c r="H83"/>
  <c r="J83"/>
  <c r="L83"/>
  <c r="L83" i="19"/>
  <c r="N83" i="10"/>
  <c r="N83" i="19"/>
  <c r="P83" i="10"/>
  <c r="F84"/>
  <c r="H84"/>
  <c r="H91" i="19"/>
  <c r="J84" i="10"/>
  <c r="J91" i="19"/>
  <c r="L84" i="10"/>
  <c r="L91" i="19"/>
  <c r="N84" i="10"/>
  <c r="P84"/>
  <c r="P91" i="19"/>
  <c r="F85" i="10"/>
  <c r="F84" i="19"/>
  <c r="H85" i="10"/>
  <c r="J85"/>
  <c r="L85"/>
  <c r="L84" i="19"/>
  <c r="N85" i="10"/>
  <c r="N84" i="19"/>
  <c r="P85" i="10"/>
  <c r="E88"/>
  <c r="F88"/>
  <c r="G88"/>
  <c r="H88"/>
  <c r="I88"/>
  <c r="J88"/>
  <c r="K88"/>
  <c r="L88"/>
  <c r="M88"/>
  <c r="N88"/>
  <c r="O88"/>
  <c r="P88"/>
  <c r="F89"/>
  <c r="F88" i="19"/>
  <c r="H89" i="10"/>
  <c r="J89"/>
  <c r="L89"/>
  <c r="L88" i="19"/>
  <c r="N89" i="10"/>
  <c r="P89"/>
  <c r="F90"/>
  <c r="H90"/>
  <c r="H89" i="19"/>
  <c r="J90" i="10"/>
  <c r="J89" i="19"/>
  <c r="L90" i="10"/>
  <c r="N90"/>
  <c r="P90"/>
  <c r="P89" i="19"/>
  <c r="F91" i="10"/>
  <c r="H91"/>
  <c r="J91"/>
  <c r="L91"/>
  <c r="L90" i="19"/>
  <c r="N91" i="10"/>
  <c r="N90" i="19"/>
  <c r="P91" i="10"/>
  <c r="F94"/>
  <c r="H94"/>
  <c r="H94" i="19"/>
  <c r="J94" i="10"/>
  <c r="L94"/>
  <c r="N94"/>
  <c r="P94"/>
  <c r="P94" i="19"/>
  <c r="F95" i="10"/>
  <c r="F95" i="19"/>
  <c r="H95" i="10"/>
  <c r="J95"/>
  <c r="L95"/>
  <c r="N95"/>
  <c r="P95"/>
  <c r="F96"/>
  <c r="H96"/>
  <c r="H96" i="19"/>
  <c r="J96" i="10"/>
  <c r="J96" i="19"/>
  <c r="L96" i="10"/>
  <c r="N96"/>
  <c r="P96"/>
  <c r="P96" i="19"/>
  <c r="F97" i="10"/>
  <c r="H97"/>
  <c r="J97"/>
  <c r="L97"/>
  <c r="L97" i="19"/>
  <c r="N97" i="10"/>
  <c r="N97" i="19"/>
  <c r="P97" i="10"/>
  <c r="H11" i="27"/>
  <c r="I25" i="16"/>
  <c r="K25"/>
  <c r="I60" i="15"/>
  <c r="I59"/>
  <c r="I57"/>
  <c r="I58"/>
  <c r="I92"/>
  <c r="N29" i="16"/>
  <c r="N33"/>
  <c r="N36"/>
  <c r="O38"/>
  <c r="N41"/>
  <c r="N46"/>
  <c r="N48"/>
  <c r="N53"/>
  <c r="O55"/>
  <c r="N57"/>
  <c r="U22" i="10"/>
  <c r="U23"/>
  <c r="U24"/>
  <c r="Y24"/>
  <c r="U25"/>
  <c r="U26"/>
  <c r="U26" i="19"/>
  <c r="U27" i="10"/>
  <c r="U28"/>
  <c r="Y28"/>
  <c r="U30"/>
  <c r="U31"/>
  <c r="U32"/>
  <c r="U33"/>
  <c r="U29"/>
  <c r="U35"/>
  <c r="U36"/>
  <c r="U37"/>
  <c r="U37" i="19"/>
  <c r="U40" i="10"/>
  <c r="W40"/>
  <c r="W40" i="19"/>
  <c r="U41" i="10"/>
  <c r="U42"/>
  <c r="U42" i="19"/>
  <c r="U43" i="10"/>
  <c r="V43"/>
  <c r="U44"/>
  <c r="U45"/>
  <c r="U47"/>
  <c r="U48"/>
  <c r="U49"/>
  <c r="Y49"/>
  <c r="Z49"/>
  <c r="U50"/>
  <c r="U51"/>
  <c r="AA64"/>
  <c r="U72"/>
  <c r="W72"/>
  <c r="Z62" i="11"/>
  <c r="AA55" i="10"/>
  <c r="AA75"/>
  <c r="AB75"/>
  <c r="AA88"/>
  <c r="AB88"/>
  <c r="Z30" i="11"/>
  <c r="Z35"/>
  <c r="Z41"/>
  <c r="Z51"/>
  <c r="Z74"/>
  <c r="Z81"/>
  <c r="Z80"/>
  <c r="Z105"/>
  <c r="Z94"/>
  <c r="Y55" i="10"/>
  <c r="Y64"/>
  <c r="Y51" i="7"/>
  <c r="Y75" i="10"/>
  <c r="Z75"/>
  <c r="Y88"/>
  <c r="Z88"/>
  <c r="T22" i="11"/>
  <c r="X30"/>
  <c r="T36"/>
  <c r="T43"/>
  <c r="X51"/>
  <c r="X61"/>
  <c r="X60"/>
  <c r="X74"/>
  <c r="X80"/>
  <c r="X105"/>
  <c r="X94"/>
  <c r="U38" i="10"/>
  <c r="W38"/>
  <c r="W38" i="19"/>
  <c r="U55" i="10"/>
  <c r="U61"/>
  <c r="U62"/>
  <c r="U66"/>
  <c r="V66"/>
  <c r="V66" i="19"/>
  <c r="U68" i="10"/>
  <c r="U70"/>
  <c r="V70"/>
  <c r="U76"/>
  <c r="U76" i="19"/>
  <c r="U82" i="10"/>
  <c r="U88"/>
  <c r="V88"/>
  <c r="T30" i="11"/>
  <c r="T30" i="20"/>
  <c r="T48" i="11"/>
  <c r="T50"/>
  <c r="T52"/>
  <c r="T62"/>
  <c r="U43" i="21"/>
  <c r="T75" i="11"/>
  <c r="T81"/>
  <c r="T87"/>
  <c r="T89"/>
  <c r="T105"/>
  <c r="T104" i="20"/>
  <c r="T94" i="11"/>
  <c r="AC87" i="7"/>
  <c r="AA87"/>
  <c r="Y87"/>
  <c r="U87"/>
  <c r="S87"/>
  <c r="AC86"/>
  <c r="AA86"/>
  <c r="Y86"/>
  <c r="U86"/>
  <c r="S86"/>
  <c r="W86"/>
  <c r="AC85"/>
  <c r="AA85"/>
  <c r="Y85"/>
  <c r="U85"/>
  <c r="S85"/>
  <c r="AC84"/>
  <c r="AA84"/>
  <c r="Y84"/>
  <c r="U84"/>
  <c r="S84"/>
  <c r="AC81"/>
  <c r="AA81"/>
  <c r="Y81"/>
  <c r="U81"/>
  <c r="S81"/>
  <c r="AC80"/>
  <c r="AA80"/>
  <c r="Y80"/>
  <c r="U80"/>
  <c r="S80"/>
  <c r="AC79"/>
  <c r="AA79"/>
  <c r="Y79"/>
  <c r="U79"/>
  <c r="S79"/>
  <c r="AC75"/>
  <c r="AA75"/>
  <c r="Y75"/>
  <c r="U75"/>
  <c r="S75"/>
  <c r="AC74"/>
  <c r="AA74"/>
  <c r="Y74"/>
  <c r="U74"/>
  <c r="S74"/>
  <c r="AA73"/>
  <c r="Y73"/>
  <c r="U73"/>
  <c r="S73"/>
  <c r="W73"/>
  <c r="W72"/>
  <c r="S15"/>
  <c r="W71"/>
  <c r="AA70"/>
  <c r="Y70"/>
  <c r="S70"/>
  <c r="AC69"/>
  <c r="AA69"/>
  <c r="Y69"/>
  <c r="U69"/>
  <c r="S69"/>
  <c r="AA68"/>
  <c r="AA67"/>
  <c r="Y68"/>
  <c r="Y67"/>
  <c r="U68"/>
  <c r="S68"/>
  <c r="S67"/>
  <c r="AA66"/>
  <c r="Y66"/>
  <c r="S66"/>
  <c r="AA65"/>
  <c r="Y65"/>
  <c r="S65"/>
  <c r="AA64"/>
  <c r="Y64"/>
  <c r="S64"/>
  <c r="Y63"/>
  <c r="S63"/>
  <c r="AA61"/>
  <c r="Y61"/>
  <c r="U61"/>
  <c r="S61"/>
  <c r="AA60"/>
  <c r="Y60"/>
  <c r="U60"/>
  <c r="V60"/>
  <c r="S60"/>
  <c r="S59"/>
  <c r="AA58"/>
  <c r="Y58"/>
  <c r="U58"/>
  <c r="S58"/>
  <c r="AA57"/>
  <c r="Y57"/>
  <c r="S57"/>
  <c r="AA55"/>
  <c r="Y55"/>
  <c r="S55"/>
  <c r="T55"/>
  <c r="AA54"/>
  <c r="Y54"/>
  <c r="S54"/>
  <c r="AA53"/>
  <c r="Y53"/>
  <c r="S53"/>
  <c r="AA52"/>
  <c r="Y52"/>
  <c r="S52"/>
  <c r="S51"/>
  <c r="AA50"/>
  <c r="Y50"/>
  <c r="S50"/>
  <c r="AA49"/>
  <c r="Y49"/>
  <c r="S49"/>
  <c r="AA48"/>
  <c r="Y48"/>
  <c r="S48"/>
  <c r="Y47"/>
  <c r="Y46"/>
  <c r="Y45"/>
  <c r="Y44"/>
  <c r="Y43"/>
  <c r="S38"/>
  <c r="S46" i="10"/>
  <c r="S46" i="19"/>
  <c r="R51" i="11"/>
  <c r="Y15" i="7"/>
  <c r="Z72"/>
  <c r="S39" i="10"/>
  <c r="T39"/>
  <c r="T39" i="19"/>
  <c r="R41" i="11"/>
  <c r="S36" i="21"/>
  <c r="AC15" i="7"/>
  <c r="AD72"/>
  <c r="AA15"/>
  <c r="AB71"/>
  <c r="S34" i="10"/>
  <c r="S34" i="19"/>
  <c r="R35" i="11"/>
  <c r="S34" i="7"/>
  <c r="S33"/>
  <c r="S32"/>
  <c r="S31"/>
  <c r="U29"/>
  <c r="S29"/>
  <c r="S28"/>
  <c r="S27"/>
  <c r="S26"/>
  <c r="U25"/>
  <c r="S25"/>
  <c r="S24"/>
  <c r="S23"/>
  <c r="S22"/>
  <c r="AB19"/>
  <c r="AA19"/>
  <c r="Z19"/>
  <c r="Y19"/>
  <c r="X19"/>
  <c r="W19"/>
  <c r="V19"/>
  <c r="U19"/>
  <c r="AD15"/>
  <c r="AB15"/>
  <c r="Z15"/>
  <c r="V15"/>
  <c r="U15"/>
  <c r="R105" i="11"/>
  <c r="V103"/>
  <c r="R15"/>
  <c r="V102"/>
  <c r="V101" i="20"/>
  <c r="V101" i="11"/>
  <c r="V100"/>
  <c r="V99" i="20"/>
  <c r="V97" i="11"/>
  <c r="V95" i="20"/>
  <c r="V96" i="11"/>
  <c r="V95"/>
  <c r="AB94"/>
  <c r="R94"/>
  <c r="V91"/>
  <c r="V90"/>
  <c r="AB89"/>
  <c r="V89"/>
  <c r="V88" i="20"/>
  <c r="V88" i="11"/>
  <c r="AB87"/>
  <c r="V86"/>
  <c r="AB85"/>
  <c r="T85"/>
  <c r="U65" i="7"/>
  <c r="T84" i="11"/>
  <c r="AB83"/>
  <c r="T83"/>
  <c r="AB82"/>
  <c r="T82"/>
  <c r="AB80"/>
  <c r="R80"/>
  <c r="V79"/>
  <c r="V78"/>
  <c r="V77"/>
  <c r="V76"/>
  <c r="V76" i="20"/>
  <c r="AB74" i="11"/>
  <c r="R74"/>
  <c r="T73"/>
  <c r="T72"/>
  <c r="T71"/>
  <c r="T70"/>
  <c r="T69"/>
  <c r="U50" i="7"/>
  <c r="AB68" i="11"/>
  <c r="T68"/>
  <c r="T67"/>
  <c r="V67"/>
  <c r="V67" i="20"/>
  <c r="U48" i="7"/>
  <c r="V48"/>
  <c r="Z66" i="11"/>
  <c r="T66"/>
  <c r="U47" i="7"/>
  <c r="Z65" i="11"/>
  <c r="AA46" i="7"/>
  <c r="T65" i="11"/>
  <c r="Z64"/>
  <c r="T64"/>
  <c r="Z63"/>
  <c r="AB63"/>
  <c r="T63"/>
  <c r="U44" i="7"/>
  <c r="V57" i="11"/>
  <c r="V56"/>
  <c r="V56" i="20"/>
  <c r="T55" i="11"/>
  <c r="T54"/>
  <c r="T53"/>
  <c r="V53"/>
  <c r="V53" i="20"/>
  <c r="AB51" i="11"/>
  <c r="V49"/>
  <c r="V47"/>
  <c r="V47" i="20"/>
  <c r="V46" i="11"/>
  <c r="V46" i="20"/>
  <c r="V45" i="11"/>
  <c r="V44"/>
  <c r="V44" i="20"/>
  <c r="V42" i="11"/>
  <c r="V42" i="20"/>
  <c r="AB41" i="11"/>
  <c r="T40"/>
  <c r="T39"/>
  <c r="V39"/>
  <c r="V39" i="20"/>
  <c r="T38" i="11"/>
  <c r="T37"/>
  <c r="AB35"/>
  <c r="V34"/>
  <c r="V33"/>
  <c r="V33" i="20"/>
  <c r="V32" i="11"/>
  <c r="V31"/>
  <c r="V31" i="20"/>
  <c r="AB30" i="11"/>
  <c r="R30"/>
  <c r="R30" i="20"/>
  <c r="V29" i="11"/>
  <c r="V28"/>
  <c r="V27"/>
  <c r="V27" i="20"/>
  <c r="T26" i="11"/>
  <c r="V26"/>
  <c r="T25"/>
  <c r="V25"/>
  <c r="T24"/>
  <c r="T23"/>
  <c r="R21"/>
  <c r="AA19"/>
  <c r="Z19"/>
  <c r="Y19"/>
  <c r="X19"/>
  <c r="W19"/>
  <c r="V19"/>
  <c r="U19"/>
  <c r="T19"/>
  <c r="AB15"/>
  <c r="AC55"/>
  <c r="Z15"/>
  <c r="X15"/>
  <c r="T15"/>
  <c r="W19" i="10"/>
  <c r="X19"/>
  <c r="W81"/>
  <c r="W81" i="19"/>
  <c r="W83" i="10"/>
  <c r="W83" i="19"/>
  <c r="W89" i="10"/>
  <c r="W88" i="19"/>
  <c r="W90" i="10"/>
  <c r="W89" i="19"/>
  <c r="W91" i="10"/>
  <c r="W90" i="19"/>
  <c r="W94" i="10"/>
  <c r="W95"/>
  <c r="W96"/>
  <c r="W86" i="21"/>
  <c r="W97" i="10"/>
  <c r="W97" i="19"/>
  <c r="AD97" i="10"/>
  <c r="AB97"/>
  <c r="Z97"/>
  <c r="V97"/>
  <c r="V97" i="19"/>
  <c r="AD96" i="10"/>
  <c r="AB96"/>
  <c r="Z96"/>
  <c r="V96"/>
  <c r="V96" i="19"/>
  <c r="AD95" i="10"/>
  <c r="AB95"/>
  <c r="Z95"/>
  <c r="V95"/>
  <c r="V95" i="19"/>
  <c r="AD94" i="10"/>
  <c r="AB94"/>
  <c r="Z94"/>
  <c r="V94"/>
  <c r="AD91"/>
  <c r="AB91"/>
  <c r="Z91"/>
  <c r="V91"/>
  <c r="AD90"/>
  <c r="AB90"/>
  <c r="Z90"/>
  <c r="V90"/>
  <c r="V89" i="19"/>
  <c r="AD89" i="10"/>
  <c r="AB89"/>
  <c r="Z89"/>
  <c r="V89"/>
  <c r="AC88"/>
  <c r="AD88"/>
  <c r="AD85"/>
  <c r="AB85"/>
  <c r="Z85"/>
  <c r="V85"/>
  <c r="V84" i="19"/>
  <c r="AD84" i="10"/>
  <c r="AB84"/>
  <c r="Z84"/>
  <c r="V84"/>
  <c r="AC83"/>
  <c r="AC73" i="7"/>
  <c r="AB83" i="10"/>
  <c r="Z83"/>
  <c r="V83"/>
  <c r="V83" i="19"/>
  <c r="AC82" i="10"/>
  <c r="AC70" i="7"/>
  <c r="AB82" i="10"/>
  <c r="Z82"/>
  <c r="AC81"/>
  <c r="AC68" i="7"/>
  <c r="AB81" i="10"/>
  <c r="Z81"/>
  <c r="V81"/>
  <c r="AC80"/>
  <c r="AD80"/>
  <c r="AB80"/>
  <c r="Z80"/>
  <c r="V80"/>
  <c r="V80" i="19"/>
  <c r="AC79" i="10"/>
  <c r="AB105" i="11"/>
  <c r="AB79" i="10"/>
  <c r="Z79"/>
  <c r="V79"/>
  <c r="AC78"/>
  <c r="AD78"/>
  <c r="AB78"/>
  <c r="Z78"/>
  <c r="V78"/>
  <c r="V78" i="19"/>
  <c r="AC77" i="10"/>
  <c r="AC64" i="7"/>
  <c r="AB77" i="10"/>
  <c r="Z77"/>
  <c r="V77"/>
  <c r="V77" i="19"/>
  <c r="AC76" i="10"/>
  <c r="AD76"/>
  <c r="AB76"/>
  <c r="Z76"/>
  <c r="AC74"/>
  <c r="AC61" i="7"/>
  <c r="AB74" i="10"/>
  <c r="Z74"/>
  <c r="V74"/>
  <c r="AC73"/>
  <c r="AC60" i="7"/>
  <c r="AB73" i="10"/>
  <c r="Z73"/>
  <c r="V73"/>
  <c r="V73" i="19"/>
  <c r="AC71" i="10"/>
  <c r="AC58" i="7"/>
  <c r="AB71" i="10"/>
  <c r="Z71"/>
  <c r="V71"/>
  <c r="AC70"/>
  <c r="AB70"/>
  <c r="Z70"/>
  <c r="AC68"/>
  <c r="AC55" i="7"/>
  <c r="AB68" i="10"/>
  <c r="Z68"/>
  <c r="AC67"/>
  <c r="AC54" i="7"/>
  <c r="AB67" i="10"/>
  <c r="Z67"/>
  <c r="V67"/>
  <c r="AC66"/>
  <c r="AC53" i="7"/>
  <c r="AB66" i="10"/>
  <c r="Z66"/>
  <c r="AC65"/>
  <c r="AD65"/>
  <c r="AB65"/>
  <c r="Z65"/>
  <c r="V65"/>
  <c r="V64"/>
  <c r="AC63"/>
  <c r="AC50" i="7"/>
  <c r="AB63" i="10"/>
  <c r="Z63"/>
  <c r="V63"/>
  <c r="V63" i="19"/>
  <c r="AC62" i="10"/>
  <c r="AD62"/>
  <c r="AB62"/>
  <c r="Z62"/>
  <c r="AC61"/>
  <c r="AC48" i="7"/>
  <c r="AD48"/>
  <c r="AB61" i="10"/>
  <c r="Z61"/>
  <c r="AD60"/>
  <c r="AB60"/>
  <c r="Z60"/>
  <c r="V60"/>
  <c r="AD59"/>
  <c r="AB59"/>
  <c r="Z59"/>
  <c r="V59"/>
  <c r="AD58"/>
  <c r="AB58"/>
  <c r="Z58"/>
  <c r="V58"/>
  <c r="AD57"/>
  <c r="AB57"/>
  <c r="Z57"/>
  <c r="V57"/>
  <c r="AD56"/>
  <c r="AB56"/>
  <c r="Z56"/>
  <c r="V56"/>
  <c r="V56" i="19"/>
  <c r="AC55" i="10"/>
  <c r="AA38"/>
  <c r="Z38"/>
  <c r="V24"/>
  <c r="V24" i="19"/>
  <c r="AB19" i="10"/>
  <c r="AA19"/>
  <c r="Z19"/>
  <c r="Y19"/>
  <c r="V19"/>
  <c r="U19"/>
  <c r="AB72" i="7"/>
  <c r="AB52"/>
  <c r="AD53"/>
  <c r="Z84"/>
  <c r="AD87"/>
  <c r="Z50"/>
  <c r="AB68"/>
  <c r="AB84"/>
  <c r="T66"/>
  <c r="T85"/>
  <c r="AA100" i="11"/>
  <c r="AA73"/>
  <c r="AA77"/>
  <c r="AA55"/>
  <c r="AA38"/>
  <c r="AA22"/>
  <c r="AC79"/>
  <c r="AC44"/>
  <c r="AC42"/>
  <c r="AC22"/>
  <c r="AC96"/>
  <c r="V24"/>
  <c r="X24"/>
  <c r="Y24" i="7"/>
  <c r="Z24"/>
  <c r="X25" i="11"/>
  <c r="X26"/>
  <c r="Z26"/>
  <c r="AA26"/>
  <c r="V40"/>
  <c r="V40" i="20"/>
  <c r="X40" i="11"/>
  <c r="V54"/>
  <c r="V64"/>
  <c r="AB65"/>
  <c r="AC46" i="7"/>
  <c r="AD46"/>
  <c r="V68" i="11"/>
  <c r="V69"/>
  <c r="W49" i="10"/>
  <c r="W49" i="19"/>
  <c r="W45" i="10"/>
  <c r="W45" i="19"/>
  <c r="W42" i="10"/>
  <c r="W42" i="19"/>
  <c r="W28" i="10"/>
  <c r="W28" i="19"/>
  <c r="V40" i="10"/>
  <c r="V41"/>
  <c r="V47"/>
  <c r="V49"/>
  <c r="V50"/>
  <c r="V50" i="19"/>
  <c r="V72" i="10"/>
  <c r="V72" i="19"/>
  <c r="F38" i="27"/>
  <c r="G37"/>
  <c r="G36"/>
  <c r="G35"/>
  <c r="G34"/>
  <c r="G33"/>
  <c r="G32"/>
  <c r="G31"/>
  <c r="G30"/>
  <c r="F30"/>
  <c r="G29"/>
  <c r="G28"/>
  <c r="G27"/>
  <c r="G26"/>
  <c r="G25"/>
  <c r="G24"/>
  <c r="G23"/>
  <c r="G22"/>
  <c r="G21"/>
  <c r="G20"/>
  <c r="F20"/>
  <c r="F18"/>
  <c r="E54" i="26"/>
  <c r="F60" i="15"/>
  <c r="G60"/>
  <c r="H51"/>
  <c r="H44"/>
  <c r="H39"/>
  <c r="H34"/>
  <c r="L54" i="26"/>
  <c r="M54"/>
  <c r="N54"/>
  <c r="O54"/>
  <c r="O53"/>
  <c r="P54"/>
  <c r="X57" i="15"/>
  <c r="T61"/>
  <c r="T62"/>
  <c r="T63"/>
  <c r="T64"/>
  <c r="T65"/>
  <c r="T66"/>
  <c r="T67"/>
  <c r="T68"/>
  <c r="T69"/>
  <c r="T70"/>
  <c r="T71"/>
  <c r="T72"/>
  <c r="T73"/>
  <c r="T75"/>
  <c r="T76"/>
  <c r="T77"/>
  <c r="T78"/>
  <c r="T79"/>
  <c r="T81"/>
  <c r="T82"/>
  <c r="T83"/>
  <c r="T84"/>
  <c r="T85"/>
  <c r="T86"/>
  <c r="T87"/>
  <c r="T88"/>
  <c r="D74" i="16"/>
  <c r="Q73" i="15"/>
  <c r="S73"/>
  <c r="U73"/>
  <c r="Q67" i="14"/>
  <c r="Q95" i="26"/>
  <c r="Q94"/>
  <c r="Q93"/>
  <c r="Q92"/>
  <c r="Q89"/>
  <c r="Q88"/>
  <c r="Q87"/>
  <c r="P86"/>
  <c r="O86"/>
  <c r="N86"/>
  <c r="M86"/>
  <c r="L86"/>
  <c r="K86"/>
  <c r="J86"/>
  <c r="I86"/>
  <c r="H86"/>
  <c r="G86"/>
  <c r="F86"/>
  <c r="E86"/>
  <c r="Q82"/>
  <c r="Q81"/>
  <c r="Q80"/>
  <c r="Q79"/>
  <c r="Q78"/>
  <c r="Q77"/>
  <c r="Q76"/>
  <c r="Q75"/>
  <c r="Q74"/>
  <c r="P73"/>
  <c r="O73"/>
  <c r="N73"/>
  <c r="M73"/>
  <c r="L73"/>
  <c r="K73"/>
  <c r="J73"/>
  <c r="I73"/>
  <c r="H73"/>
  <c r="G73"/>
  <c r="F73"/>
  <c r="E73"/>
  <c r="Q72"/>
  <c r="Q71"/>
  <c r="Q70"/>
  <c r="Q69"/>
  <c r="Q68"/>
  <c r="P67"/>
  <c r="O67"/>
  <c r="N67"/>
  <c r="M67"/>
  <c r="L67"/>
  <c r="K67"/>
  <c r="J67"/>
  <c r="I67"/>
  <c r="H67"/>
  <c r="G67"/>
  <c r="F67"/>
  <c r="E67"/>
  <c r="Q66"/>
  <c r="Q65"/>
  <c r="Q64"/>
  <c r="Q63"/>
  <c r="Q60"/>
  <c r="Q59"/>
  <c r="Q58"/>
  <c r="Q57"/>
  <c r="Q56"/>
  <c r="Q55"/>
  <c r="K54"/>
  <c r="J54"/>
  <c r="I54"/>
  <c r="H54"/>
  <c r="H53"/>
  <c r="H51"/>
  <c r="G54"/>
  <c r="G53"/>
  <c r="G51"/>
  <c r="F54"/>
  <c r="F53"/>
  <c r="N53"/>
  <c r="M53"/>
  <c r="J53"/>
  <c r="Q50"/>
  <c r="Q49"/>
  <c r="Q48"/>
  <c r="Q47"/>
  <c r="Q46"/>
  <c r="P45"/>
  <c r="O45"/>
  <c r="N45"/>
  <c r="M45"/>
  <c r="L45"/>
  <c r="K45"/>
  <c r="J45"/>
  <c r="I45"/>
  <c r="H45"/>
  <c r="G45"/>
  <c r="F45"/>
  <c r="E45"/>
  <c r="Q44"/>
  <c r="Q43"/>
  <c r="Q42"/>
  <c r="Q41"/>
  <c r="Q40"/>
  <c r="Q39"/>
  <c r="P38"/>
  <c r="O38"/>
  <c r="N38"/>
  <c r="M38"/>
  <c r="L38"/>
  <c r="K38"/>
  <c r="J38"/>
  <c r="I38"/>
  <c r="H38"/>
  <c r="G38"/>
  <c r="F38"/>
  <c r="E38"/>
  <c r="Q37"/>
  <c r="Q36"/>
  <c r="Q35"/>
  <c r="Q34"/>
  <c r="P33"/>
  <c r="O33"/>
  <c r="N33"/>
  <c r="M33"/>
  <c r="L33"/>
  <c r="K33"/>
  <c r="J33"/>
  <c r="I33"/>
  <c r="H33"/>
  <c r="G33"/>
  <c r="F33"/>
  <c r="E33"/>
  <c r="Q32"/>
  <c r="Q31"/>
  <c r="Q30"/>
  <c r="Q29"/>
  <c r="P28"/>
  <c r="P19"/>
  <c r="O28"/>
  <c r="N28"/>
  <c r="M28"/>
  <c r="L28"/>
  <c r="K28"/>
  <c r="J28"/>
  <c r="I28"/>
  <c r="H28"/>
  <c r="G28"/>
  <c r="F28"/>
  <c r="E28"/>
  <c r="Q27"/>
  <c r="Q26"/>
  <c r="Q25"/>
  <c r="Q24"/>
  <c r="Q23"/>
  <c r="Q22"/>
  <c r="Q21"/>
  <c r="M20"/>
  <c r="L20"/>
  <c r="K20"/>
  <c r="J20"/>
  <c r="I20"/>
  <c r="H20"/>
  <c r="G20"/>
  <c r="F20"/>
  <c r="E20"/>
  <c r="P26" i="15"/>
  <c r="O26"/>
  <c r="N26"/>
  <c r="P60"/>
  <c r="P59"/>
  <c r="O60"/>
  <c r="O59"/>
  <c r="N60"/>
  <c r="N59"/>
  <c r="J60"/>
  <c r="H60"/>
  <c r="H59"/>
  <c r="H57"/>
  <c r="H58"/>
  <c r="E14" i="14"/>
  <c r="P54"/>
  <c r="P53"/>
  <c r="O54"/>
  <c r="O53"/>
  <c r="N54"/>
  <c r="N53"/>
  <c r="M54"/>
  <c r="M53"/>
  <c r="M51"/>
  <c r="M52"/>
  <c r="L54"/>
  <c r="K54"/>
  <c r="K53"/>
  <c r="J54"/>
  <c r="I54"/>
  <c r="I53"/>
  <c r="H54"/>
  <c r="H53"/>
  <c r="G54"/>
  <c r="G53"/>
  <c r="F54"/>
  <c r="F53"/>
  <c r="Q29" i="7"/>
  <c r="P30" i="11"/>
  <c r="P35"/>
  <c r="P35" i="20"/>
  <c r="N74" i="16"/>
  <c r="O74"/>
  <c r="C100" i="11"/>
  <c r="C101"/>
  <c r="O39" i="17"/>
  <c r="O72"/>
  <c r="E39"/>
  <c r="F39"/>
  <c r="G39"/>
  <c r="H39"/>
  <c r="U39"/>
  <c r="I39"/>
  <c r="J39"/>
  <c r="K39"/>
  <c r="L39"/>
  <c r="L72"/>
  <c r="M39"/>
  <c r="N39"/>
  <c r="P70"/>
  <c r="D39"/>
  <c r="T39"/>
  <c r="R61" i="11"/>
  <c r="R61" i="20"/>
  <c r="S75" i="10"/>
  <c r="Q75"/>
  <c r="Q75" i="19"/>
  <c r="S69" i="10"/>
  <c r="Q69"/>
  <c r="R69"/>
  <c r="R69" i="19"/>
  <c r="P105" i="11"/>
  <c r="N105"/>
  <c r="N104" i="20"/>
  <c r="P94" i="11"/>
  <c r="N94"/>
  <c r="P51"/>
  <c r="P51" i="20"/>
  <c r="N51" i="11"/>
  <c r="N51" i="20"/>
  <c r="N41" i="11"/>
  <c r="Q38" i="7"/>
  <c r="Q34"/>
  <c r="Q33"/>
  <c r="Q32"/>
  <c r="Q31"/>
  <c r="Q28"/>
  <c r="Q27"/>
  <c r="Q26"/>
  <c r="Q25"/>
  <c r="Q24"/>
  <c r="Q23"/>
  <c r="Q22"/>
  <c r="Q74"/>
  <c r="Q73"/>
  <c r="Q70"/>
  <c r="Q69"/>
  <c r="Q68"/>
  <c r="Q66"/>
  <c r="Q65"/>
  <c r="Q64"/>
  <c r="Q63"/>
  <c r="Q61"/>
  <c r="Q60"/>
  <c r="Q59"/>
  <c r="Q58"/>
  <c r="Q57"/>
  <c r="S47"/>
  <c r="S46"/>
  <c r="S45"/>
  <c r="S44"/>
  <c r="S43"/>
  <c r="Q55"/>
  <c r="Q54"/>
  <c r="Q53"/>
  <c r="Q52"/>
  <c r="Q51"/>
  <c r="Q50"/>
  <c r="Q49"/>
  <c r="Q48"/>
  <c r="Q47"/>
  <c r="Q46"/>
  <c r="Q45"/>
  <c r="Q44"/>
  <c r="Q43"/>
  <c r="N80" i="11"/>
  <c r="P61"/>
  <c r="Q61" i="15"/>
  <c r="S61"/>
  <c r="Q62"/>
  <c r="Q63"/>
  <c r="Q64"/>
  <c r="Q65"/>
  <c r="Q66"/>
  <c r="Q67"/>
  <c r="S67"/>
  <c r="Q68"/>
  <c r="G69" i="16"/>
  <c r="Q69" i="15"/>
  <c r="S69"/>
  <c r="Q70"/>
  <c r="S70"/>
  <c r="U70"/>
  <c r="Q71"/>
  <c r="S71"/>
  <c r="Q72"/>
  <c r="S72"/>
  <c r="S65"/>
  <c r="S63"/>
  <c r="N51"/>
  <c r="O51"/>
  <c r="P51"/>
  <c r="N44"/>
  <c r="O44"/>
  <c r="P44"/>
  <c r="N39"/>
  <c r="O39"/>
  <c r="P39"/>
  <c r="N34"/>
  <c r="O34"/>
  <c r="P34"/>
  <c r="Y42" i="18"/>
  <c r="AA42"/>
  <c r="W42"/>
  <c r="P80" i="15"/>
  <c r="R91" i="10"/>
  <c r="R90" i="19"/>
  <c r="R89" i="10"/>
  <c r="R88" i="19"/>
  <c r="R85" i="10"/>
  <c r="R84" i="19"/>
  <c r="R84" i="10"/>
  <c r="R91" i="19"/>
  <c r="R83" i="10"/>
  <c r="R83" i="19"/>
  <c r="R82" i="10"/>
  <c r="R82" i="19"/>
  <c r="R81" i="10"/>
  <c r="R81" i="19"/>
  <c r="R80" i="10"/>
  <c r="R80" i="19"/>
  <c r="R79" i="10"/>
  <c r="R79" i="19"/>
  <c r="R78" i="10"/>
  <c r="R78" i="19"/>
  <c r="R77" i="10"/>
  <c r="R77" i="19"/>
  <c r="R76" i="10"/>
  <c r="R76" i="19"/>
  <c r="R74" i="10"/>
  <c r="R74" i="19"/>
  <c r="R73" i="10"/>
  <c r="R73" i="19"/>
  <c r="R72" i="10"/>
  <c r="R72" i="19"/>
  <c r="R71" i="10"/>
  <c r="R71" i="19"/>
  <c r="R70" i="10"/>
  <c r="R70" i="19"/>
  <c r="R68" i="10"/>
  <c r="R68" i="19"/>
  <c r="R67" i="10"/>
  <c r="R66"/>
  <c r="R66" i="19"/>
  <c r="R65" i="10"/>
  <c r="R65" i="19"/>
  <c r="R64" i="10"/>
  <c r="R64" i="19"/>
  <c r="R63" i="10"/>
  <c r="R63" i="19"/>
  <c r="R62" i="10"/>
  <c r="R62" i="19"/>
  <c r="R61" i="10"/>
  <c r="R61" i="19"/>
  <c r="R60" i="10"/>
  <c r="R60" i="19"/>
  <c r="R59" i="10"/>
  <c r="R59" i="19"/>
  <c r="R58" i="10"/>
  <c r="R58" i="19"/>
  <c r="R57" i="10"/>
  <c r="R57" i="19"/>
  <c r="R56" i="10"/>
  <c r="R56" i="19"/>
  <c r="R51" i="10"/>
  <c r="R51" i="19"/>
  <c r="R50" i="10"/>
  <c r="R50" i="19"/>
  <c r="R49" i="10"/>
  <c r="R49" i="19"/>
  <c r="R48" i="10"/>
  <c r="R48" i="19"/>
  <c r="R47" i="10"/>
  <c r="R47" i="19"/>
  <c r="R45" i="10"/>
  <c r="R45" i="19"/>
  <c r="R44" i="10"/>
  <c r="R44" i="19"/>
  <c r="R43" i="10"/>
  <c r="R43" i="19"/>
  <c r="R42" i="10"/>
  <c r="R42" i="19"/>
  <c r="R41" i="10"/>
  <c r="R41" i="19"/>
  <c r="R40" i="10"/>
  <c r="R40" i="19"/>
  <c r="R38" i="10"/>
  <c r="R38" i="19"/>
  <c r="R37" i="10"/>
  <c r="R37" i="19"/>
  <c r="R36" i="10"/>
  <c r="R36" i="19"/>
  <c r="R35" i="10"/>
  <c r="R35" i="19"/>
  <c r="R33" i="10"/>
  <c r="R33" i="19"/>
  <c r="R32" i="10"/>
  <c r="R32" i="19"/>
  <c r="R31" i="10"/>
  <c r="R31" i="19"/>
  <c r="R30" i="10"/>
  <c r="R30" i="19"/>
  <c r="R28" i="10"/>
  <c r="R28" i="19"/>
  <c r="R27" i="10"/>
  <c r="R27" i="19"/>
  <c r="R26" i="10"/>
  <c r="R26" i="19"/>
  <c r="R25" i="10"/>
  <c r="R25" i="19"/>
  <c r="R24" i="10"/>
  <c r="R24" i="19"/>
  <c r="R23" i="10"/>
  <c r="R23" i="19"/>
  <c r="R22" i="10"/>
  <c r="R22" i="19"/>
  <c r="T97" i="10"/>
  <c r="T96"/>
  <c r="T96" i="19"/>
  <c r="T94" i="10"/>
  <c r="T91"/>
  <c r="T90"/>
  <c r="T89"/>
  <c r="T88" i="19"/>
  <c r="T85" i="10"/>
  <c r="T84"/>
  <c r="T83"/>
  <c r="T82"/>
  <c r="T81"/>
  <c r="X81"/>
  <c r="X81" i="19"/>
  <c r="T80" i="10"/>
  <c r="T79"/>
  <c r="T79" i="19"/>
  <c r="T78" i="10"/>
  <c r="T77"/>
  <c r="T77" i="19"/>
  <c r="T76" i="10"/>
  <c r="T76" i="19"/>
  <c r="T74" i="10"/>
  <c r="T74" i="19"/>
  <c r="T73" i="10"/>
  <c r="T73" i="19"/>
  <c r="T72" i="10"/>
  <c r="T71"/>
  <c r="T70"/>
  <c r="T68"/>
  <c r="T68" i="19"/>
  <c r="T67" i="10"/>
  <c r="X67"/>
  <c r="X67" i="19"/>
  <c r="T66" i="10"/>
  <c r="T65"/>
  <c r="T64"/>
  <c r="T64" i="19"/>
  <c r="T63" i="10"/>
  <c r="T62"/>
  <c r="T62" i="19"/>
  <c r="T61" i="10"/>
  <c r="T61" i="19"/>
  <c r="T60" i="10"/>
  <c r="T60" i="19"/>
  <c r="T59" i="10"/>
  <c r="T59" i="19"/>
  <c r="T58" i="10"/>
  <c r="X58"/>
  <c r="X58" i="19"/>
  <c r="T57" i="10"/>
  <c r="X57"/>
  <c r="X57" i="19"/>
  <c r="T56" i="10"/>
  <c r="T51"/>
  <c r="T51" i="19"/>
  <c r="T50" i="10"/>
  <c r="T50" i="19"/>
  <c r="T49" i="10"/>
  <c r="T49" i="19"/>
  <c r="T48" i="10"/>
  <c r="T47"/>
  <c r="T47" i="19"/>
  <c r="T45" i="10"/>
  <c r="T45" i="19"/>
  <c r="T44" i="10"/>
  <c r="T44" i="19"/>
  <c r="T43" i="10"/>
  <c r="T42"/>
  <c r="T42" i="19"/>
  <c r="T41" i="10"/>
  <c r="T41" i="19"/>
  <c r="T40" i="10"/>
  <c r="T40" i="19"/>
  <c r="T38" i="10"/>
  <c r="T37"/>
  <c r="T36"/>
  <c r="T36" i="19"/>
  <c r="T35" i="10"/>
  <c r="T35" i="19"/>
  <c r="T33" i="10"/>
  <c r="T32"/>
  <c r="T32" i="19"/>
  <c r="T31" i="10"/>
  <c r="T31" i="19"/>
  <c r="T30" i="10"/>
  <c r="T30" i="19"/>
  <c r="T28" i="10"/>
  <c r="T27"/>
  <c r="T27" i="19"/>
  <c r="T26" i="10"/>
  <c r="T26" i="19"/>
  <c r="T25" i="10"/>
  <c r="T24"/>
  <c r="T23"/>
  <c r="T23" i="19"/>
  <c r="T22" i="10"/>
  <c r="V91" i="19"/>
  <c r="V81"/>
  <c r="V71"/>
  <c r="V65"/>
  <c r="V58"/>
  <c r="V57"/>
  <c r="L15" i="16"/>
  <c r="K15"/>
  <c r="J15"/>
  <c r="I15"/>
  <c r="H15"/>
  <c r="G15"/>
  <c r="F15"/>
  <c r="E15"/>
  <c r="V102" i="20"/>
  <c r="T102"/>
  <c r="R102"/>
  <c r="P102"/>
  <c r="N102"/>
  <c r="L102"/>
  <c r="J102"/>
  <c r="H102"/>
  <c r="F102"/>
  <c r="D102"/>
  <c r="T101"/>
  <c r="R101"/>
  <c r="P101"/>
  <c r="N101"/>
  <c r="L101"/>
  <c r="J101"/>
  <c r="H101"/>
  <c r="F101"/>
  <c r="D101"/>
  <c r="V100"/>
  <c r="T100"/>
  <c r="R100"/>
  <c r="P100"/>
  <c r="N100"/>
  <c r="L100"/>
  <c r="J100"/>
  <c r="H100"/>
  <c r="F100"/>
  <c r="D100"/>
  <c r="T99"/>
  <c r="R99"/>
  <c r="P99"/>
  <c r="N99"/>
  <c r="L99"/>
  <c r="J99"/>
  <c r="H99"/>
  <c r="F99"/>
  <c r="D99"/>
  <c r="T96"/>
  <c r="R96"/>
  <c r="P96"/>
  <c r="N96"/>
  <c r="L96"/>
  <c r="J96"/>
  <c r="H96"/>
  <c r="F96"/>
  <c r="D96"/>
  <c r="T95"/>
  <c r="R95"/>
  <c r="P95"/>
  <c r="N95"/>
  <c r="L95"/>
  <c r="J95"/>
  <c r="H95"/>
  <c r="F95"/>
  <c r="D95"/>
  <c r="T94"/>
  <c r="R94"/>
  <c r="P94"/>
  <c r="N94"/>
  <c r="L94"/>
  <c r="J94"/>
  <c r="H94"/>
  <c r="F94"/>
  <c r="D94"/>
  <c r="V93"/>
  <c r="T93"/>
  <c r="R93"/>
  <c r="P93"/>
  <c r="N93"/>
  <c r="L93"/>
  <c r="J93"/>
  <c r="H93"/>
  <c r="F93"/>
  <c r="D93"/>
  <c r="T88"/>
  <c r="R88"/>
  <c r="P88"/>
  <c r="N88"/>
  <c r="L88"/>
  <c r="J88"/>
  <c r="H88"/>
  <c r="F88"/>
  <c r="D88"/>
  <c r="R87"/>
  <c r="P87"/>
  <c r="N87"/>
  <c r="L87"/>
  <c r="J87"/>
  <c r="H87"/>
  <c r="F87"/>
  <c r="D87"/>
  <c r="T86"/>
  <c r="R86"/>
  <c r="P86"/>
  <c r="N86"/>
  <c r="L86"/>
  <c r="J86"/>
  <c r="H86"/>
  <c r="F86"/>
  <c r="D86"/>
  <c r="T85"/>
  <c r="R85"/>
  <c r="P85"/>
  <c r="N85"/>
  <c r="L85"/>
  <c r="J85"/>
  <c r="H85"/>
  <c r="F85"/>
  <c r="D85"/>
  <c r="T84"/>
  <c r="R84"/>
  <c r="P84"/>
  <c r="N84"/>
  <c r="L84"/>
  <c r="J84"/>
  <c r="H84"/>
  <c r="F84"/>
  <c r="D84"/>
  <c r="T83"/>
  <c r="R83"/>
  <c r="P83"/>
  <c r="N83"/>
  <c r="L83"/>
  <c r="J83"/>
  <c r="H83"/>
  <c r="F83"/>
  <c r="D83"/>
  <c r="R82"/>
  <c r="P82"/>
  <c r="N82"/>
  <c r="L82"/>
  <c r="J82"/>
  <c r="H82"/>
  <c r="F82"/>
  <c r="D82"/>
  <c r="R81"/>
  <c r="P81"/>
  <c r="N81"/>
  <c r="L81"/>
  <c r="J81"/>
  <c r="H81"/>
  <c r="F81"/>
  <c r="D81"/>
  <c r="V79"/>
  <c r="T79"/>
  <c r="R79"/>
  <c r="P79"/>
  <c r="N79"/>
  <c r="L79"/>
  <c r="J79"/>
  <c r="H79"/>
  <c r="F79"/>
  <c r="D79"/>
  <c r="T78"/>
  <c r="R78"/>
  <c r="P78"/>
  <c r="N78"/>
  <c r="L78"/>
  <c r="J78"/>
  <c r="H78"/>
  <c r="F78"/>
  <c r="D78"/>
  <c r="V77"/>
  <c r="T77"/>
  <c r="R77"/>
  <c r="P77"/>
  <c r="N77"/>
  <c r="L77"/>
  <c r="J77"/>
  <c r="H77"/>
  <c r="F77"/>
  <c r="D77"/>
  <c r="T76"/>
  <c r="R76"/>
  <c r="P76"/>
  <c r="N76"/>
  <c r="L76"/>
  <c r="J76"/>
  <c r="H76"/>
  <c r="F76"/>
  <c r="D76"/>
  <c r="R75"/>
  <c r="P75"/>
  <c r="N75"/>
  <c r="L75"/>
  <c r="J75"/>
  <c r="H75"/>
  <c r="F75"/>
  <c r="D75"/>
  <c r="R73"/>
  <c r="P73"/>
  <c r="N73"/>
  <c r="L73"/>
  <c r="J73"/>
  <c r="H73"/>
  <c r="F73"/>
  <c r="D73"/>
  <c r="T72"/>
  <c r="R72"/>
  <c r="P72"/>
  <c r="N72"/>
  <c r="L72"/>
  <c r="J72"/>
  <c r="H72"/>
  <c r="F72"/>
  <c r="D72"/>
  <c r="T71"/>
  <c r="R71"/>
  <c r="P71"/>
  <c r="N71"/>
  <c r="L71"/>
  <c r="J71"/>
  <c r="H71"/>
  <c r="F71"/>
  <c r="D71"/>
  <c r="R70"/>
  <c r="P70"/>
  <c r="N70"/>
  <c r="L70"/>
  <c r="J70"/>
  <c r="H70"/>
  <c r="F70"/>
  <c r="D70"/>
  <c r="V69"/>
  <c r="T69"/>
  <c r="R69"/>
  <c r="P69"/>
  <c r="N69"/>
  <c r="L69"/>
  <c r="J69"/>
  <c r="H69"/>
  <c r="F69"/>
  <c r="D69"/>
  <c r="V68"/>
  <c r="T68"/>
  <c r="R68"/>
  <c r="P68"/>
  <c r="N68"/>
  <c r="L68"/>
  <c r="J68"/>
  <c r="H68"/>
  <c r="F68"/>
  <c r="D68"/>
  <c r="T67"/>
  <c r="R67"/>
  <c r="P67"/>
  <c r="N67"/>
  <c r="L67"/>
  <c r="J67"/>
  <c r="H67"/>
  <c r="F67"/>
  <c r="D67"/>
  <c r="T66"/>
  <c r="R66"/>
  <c r="P66"/>
  <c r="N66"/>
  <c r="L66"/>
  <c r="J66"/>
  <c r="H66"/>
  <c r="F66"/>
  <c r="D66"/>
  <c r="T65"/>
  <c r="R65"/>
  <c r="P65"/>
  <c r="N65"/>
  <c r="L65"/>
  <c r="J65"/>
  <c r="H65"/>
  <c r="F65"/>
  <c r="D65"/>
  <c r="V64"/>
  <c r="R64"/>
  <c r="P64"/>
  <c r="N64"/>
  <c r="L64"/>
  <c r="J64"/>
  <c r="H64"/>
  <c r="F64"/>
  <c r="D64"/>
  <c r="T63"/>
  <c r="R63"/>
  <c r="P63"/>
  <c r="N63"/>
  <c r="L63"/>
  <c r="J63"/>
  <c r="H63"/>
  <c r="F63"/>
  <c r="D63"/>
  <c r="T62"/>
  <c r="R62"/>
  <c r="P62"/>
  <c r="N62"/>
  <c r="L62"/>
  <c r="J62"/>
  <c r="H62"/>
  <c r="F62"/>
  <c r="D62"/>
  <c r="L61"/>
  <c r="J61"/>
  <c r="H61"/>
  <c r="F61"/>
  <c r="D61"/>
  <c r="T56"/>
  <c r="R56"/>
  <c r="P56"/>
  <c r="N56"/>
  <c r="L56"/>
  <c r="J56"/>
  <c r="H56"/>
  <c r="F56"/>
  <c r="D56"/>
  <c r="R55"/>
  <c r="P55"/>
  <c r="N55"/>
  <c r="L55"/>
  <c r="J55"/>
  <c r="H55"/>
  <c r="F55"/>
  <c r="D55"/>
  <c r="V54"/>
  <c r="T54"/>
  <c r="R54"/>
  <c r="P54"/>
  <c r="N54"/>
  <c r="L54"/>
  <c r="J54"/>
  <c r="H54"/>
  <c r="F54"/>
  <c r="D54"/>
  <c r="R53"/>
  <c r="P53"/>
  <c r="N53"/>
  <c r="L53"/>
  <c r="J53"/>
  <c r="H53"/>
  <c r="F53"/>
  <c r="D53"/>
  <c r="R52"/>
  <c r="P52"/>
  <c r="N52"/>
  <c r="L52"/>
  <c r="J52"/>
  <c r="H52"/>
  <c r="F52"/>
  <c r="D52"/>
  <c r="L51"/>
  <c r="R50"/>
  <c r="P50"/>
  <c r="N50"/>
  <c r="L50"/>
  <c r="J50"/>
  <c r="H50"/>
  <c r="F50"/>
  <c r="D50"/>
  <c r="V49"/>
  <c r="T49"/>
  <c r="R49"/>
  <c r="P49"/>
  <c r="N49"/>
  <c r="L49"/>
  <c r="J49"/>
  <c r="H49"/>
  <c r="F49"/>
  <c r="D49"/>
  <c r="T48"/>
  <c r="R48"/>
  <c r="P48"/>
  <c r="N48"/>
  <c r="L48"/>
  <c r="J48"/>
  <c r="H48"/>
  <c r="F48"/>
  <c r="D48"/>
  <c r="T47"/>
  <c r="R47"/>
  <c r="P47"/>
  <c r="N47"/>
  <c r="L47"/>
  <c r="J47"/>
  <c r="H47"/>
  <c r="F47"/>
  <c r="D47"/>
  <c r="T46"/>
  <c r="R46"/>
  <c r="P46"/>
  <c r="N46"/>
  <c r="L46"/>
  <c r="J46"/>
  <c r="H46"/>
  <c r="F46"/>
  <c r="D46"/>
  <c r="V45"/>
  <c r="T45"/>
  <c r="R45"/>
  <c r="P45"/>
  <c r="N45"/>
  <c r="L45"/>
  <c r="J45"/>
  <c r="H45"/>
  <c r="F45"/>
  <c r="D45"/>
  <c r="T44"/>
  <c r="R44"/>
  <c r="P44"/>
  <c r="N44"/>
  <c r="L44"/>
  <c r="J44"/>
  <c r="H44"/>
  <c r="F44"/>
  <c r="D44"/>
  <c r="R43"/>
  <c r="P43"/>
  <c r="N43"/>
  <c r="L43"/>
  <c r="J43"/>
  <c r="H43"/>
  <c r="F43"/>
  <c r="D43"/>
  <c r="T42"/>
  <c r="R42"/>
  <c r="P42"/>
  <c r="N42"/>
  <c r="L42"/>
  <c r="J42"/>
  <c r="H42"/>
  <c r="F42"/>
  <c r="D42"/>
  <c r="L41"/>
  <c r="T40"/>
  <c r="R40"/>
  <c r="P40"/>
  <c r="N40"/>
  <c r="L40"/>
  <c r="J40"/>
  <c r="H40"/>
  <c r="F40"/>
  <c r="D40"/>
  <c r="T39"/>
  <c r="R39"/>
  <c r="P39"/>
  <c r="N39"/>
  <c r="L39"/>
  <c r="J39"/>
  <c r="H39"/>
  <c r="F39"/>
  <c r="D39"/>
  <c r="R38"/>
  <c r="P38"/>
  <c r="N38"/>
  <c r="L38"/>
  <c r="J38"/>
  <c r="H38"/>
  <c r="F38"/>
  <c r="D38"/>
  <c r="R37"/>
  <c r="P37"/>
  <c r="N37"/>
  <c r="L37"/>
  <c r="J37"/>
  <c r="H37"/>
  <c r="F37"/>
  <c r="D37"/>
  <c r="R36"/>
  <c r="P36"/>
  <c r="N36"/>
  <c r="L36"/>
  <c r="J36"/>
  <c r="H36"/>
  <c r="F36"/>
  <c r="D36"/>
  <c r="L35"/>
  <c r="V34"/>
  <c r="T34"/>
  <c r="R34"/>
  <c r="P34"/>
  <c r="N34"/>
  <c r="L34"/>
  <c r="J34"/>
  <c r="H34"/>
  <c r="F34"/>
  <c r="D34"/>
  <c r="T33"/>
  <c r="R33"/>
  <c r="P33"/>
  <c r="N33"/>
  <c r="L33"/>
  <c r="J33"/>
  <c r="H33"/>
  <c r="F33"/>
  <c r="D33"/>
  <c r="V32"/>
  <c r="T32"/>
  <c r="R32"/>
  <c r="P32"/>
  <c r="N32"/>
  <c r="L32"/>
  <c r="J32"/>
  <c r="H32"/>
  <c r="F32"/>
  <c r="D32"/>
  <c r="T31"/>
  <c r="R31"/>
  <c r="P31"/>
  <c r="N31"/>
  <c r="L31"/>
  <c r="J31"/>
  <c r="H31"/>
  <c r="F31"/>
  <c r="D31"/>
  <c r="V29"/>
  <c r="T29"/>
  <c r="R29"/>
  <c r="P29"/>
  <c r="N29"/>
  <c r="L29"/>
  <c r="J29"/>
  <c r="H29"/>
  <c r="F29"/>
  <c r="D29"/>
  <c r="V28"/>
  <c r="T28"/>
  <c r="R28"/>
  <c r="P28"/>
  <c r="N28"/>
  <c r="L28"/>
  <c r="J28"/>
  <c r="H28"/>
  <c r="F28"/>
  <c r="D28"/>
  <c r="T27"/>
  <c r="R27"/>
  <c r="P27"/>
  <c r="N27"/>
  <c r="L27"/>
  <c r="J27"/>
  <c r="H27"/>
  <c r="F27"/>
  <c r="D27"/>
  <c r="R26"/>
  <c r="P26"/>
  <c r="N26"/>
  <c r="L26"/>
  <c r="J26"/>
  <c r="H26"/>
  <c r="F26"/>
  <c r="D26"/>
  <c r="V25"/>
  <c r="T25"/>
  <c r="R25"/>
  <c r="P25"/>
  <c r="N25"/>
  <c r="L25"/>
  <c r="J25"/>
  <c r="H25"/>
  <c r="F25"/>
  <c r="D25"/>
  <c r="T24"/>
  <c r="R24"/>
  <c r="P24"/>
  <c r="N24"/>
  <c r="L24"/>
  <c r="J24"/>
  <c r="H24"/>
  <c r="F24"/>
  <c r="D24"/>
  <c r="T23"/>
  <c r="R23"/>
  <c r="P23"/>
  <c r="N23"/>
  <c r="L23"/>
  <c r="J23"/>
  <c r="H23"/>
  <c r="F23"/>
  <c r="D23"/>
  <c r="T22"/>
  <c r="R22"/>
  <c r="P22"/>
  <c r="N22"/>
  <c r="L22"/>
  <c r="J22"/>
  <c r="H22"/>
  <c r="F22"/>
  <c r="D22"/>
  <c r="U97" i="19"/>
  <c r="S97"/>
  <c r="O97"/>
  <c r="M97"/>
  <c r="K97"/>
  <c r="I97"/>
  <c r="G97"/>
  <c r="E97"/>
  <c r="W96"/>
  <c r="U96"/>
  <c r="S96"/>
  <c r="O96"/>
  <c r="M96"/>
  <c r="K96"/>
  <c r="I96"/>
  <c r="G96"/>
  <c r="E96"/>
  <c r="O95"/>
  <c r="M95"/>
  <c r="K95"/>
  <c r="I95"/>
  <c r="G95"/>
  <c r="E95"/>
  <c r="W94"/>
  <c r="U94"/>
  <c r="S94"/>
  <c r="O94"/>
  <c r="M94"/>
  <c r="K94"/>
  <c r="I94"/>
  <c r="G94"/>
  <c r="E94"/>
  <c r="W84"/>
  <c r="U84"/>
  <c r="S84"/>
  <c r="Q84"/>
  <c r="O84"/>
  <c r="M84"/>
  <c r="K84"/>
  <c r="I84"/>
  <c r="G84"/>
  <c r="E84"/>
  <c r="W91"/>
  <c r="U91"/>
  <c r="S91"/>
  <c r="Q91"/>
  <c r="O91"/>
  <c r="M91"/>
  <c r="K91"/>
  <c r="I91"/>
  <c r="G91"/>
  <c r="E91"/>
  <c r="V90"/>
  <c r="U90"/>
  <c r="S90"/>
  <c r="Q90"/>
  <c r="O90"/>
  <c r="M90"/>
  <c r="K90"/>
  <c r="I90"/>
  <c r="G90"/>
  <c r="E90"/>
  <c r="U89"/>
  <c r="S89"/>
  <c r="O89"/>
  <c r="M89"/>
  <c r="K89"/>
  <c r="I89"/>
  <c r="G89"/>
  <c r="E89"/>
  <c r="U88"/>
  <c r="S88"/>
  <c r="Q88"/>
  <c r="O88"/>
  <c r="M88"/>
  <c r="K88"/>
  <c r="I88"/>
  <c r="G88"/>
  <c r="E88"/>
  <c r="U83"/>
  <c r="S83"/>
  <c r="Q83"/>
  <c r="O83"/>
  <c r="M83"/>
  <c r="K83"/>
  <c r="I83"/>
  <c r="G83"/>
  <c r="S82"/>
  <c r="Q82"/>
  <c r="O82"/>
  <c r="M82"/>
  <c r="K82"/>
  <c r="I82"/>
  <c r="G82"/>
  <c r="U81"/>
  <c r="T81"/>
  <c r="S81"/>
  <c r="Q81"/>
  <c r="O81"/>
  <c r="M81"/>
  <c r="K81"/>
  <c r="I81"/>
  <c r="G81"/>
  <c r="W80"/>
  <c r="U80"/>
  <c r="S80"/>
  <c r="Q80"/>
  <c r="O80"/>
  <c r="M80"/>
  <c r="K80"/>
  <c r="I80"/>
  <c r="G80"/>
  <c r="W79"/>
  <c r="U79"/>
  <c r="S79"/>
  <c r="Q79"/>
  <c r="O79"/>
  <c r="M79"/>
  <c r="K79"/>
  <c r="I79"/>
  <c r="G79"/>
  <c r="W78"/>
  <c r="U78"/>
  <c r="S78"/>
  <c r="Q78"/>
  <c r="O78"/>
  <c r="M78"/>
  <c r="K78"/>
  <c r="I78"/>
  <c r="G78"/>
  <c r="W77"/>
  <c r="U77"/>
  <c r="S77"/>
  <c r="Q77"/>
  <c r="O77"/>
  <c r="M77"/>
  <c r="K77"/>
  <c r="I77"/>
  <c r="G77"/>
  <c r="S76"/>
  <c r="Q76"/>
  <c r="O76"/>
  <c r="M76"/>
  <c r="K76"/>
  <c r="I76"/>
  <c r="G76"/>
  <c r="W74"/>
  <c r="U74"/>
  <c r="S74"/>
  <c r="Q74"/>
  <c r="O74"/>
  <c r="M74"/>
  <c r="K74"/>
  <c r="I74"/>
  <c r="G74"/>
  <c r="W73"/>
  <c r="U73"/>
  <c r="S73"/>
  <c r="Q73"/>
  <c r="O73"/>
  <c r="M73"/>
  <c r="K73"/>
  <c r="I73"/>
  <c r="G73"/>
  <c r="W72"/>
  <c r="U72"/>
  <c r="S72"/>
  <c r="Q72"/>
  <c r="O72"/>
  <c r="M72"/>
  <c r="K72"/>
  <c r="I72"/>
  <c r="G72"/>
  <c r="W71"/>
  <c r="U71"/>
  <c r="S71"/>
  <c r="Q71"/>
  <c r="O71"/>
  <c r="M71"/>
  <c r="K71"/>
  <c r="I71"/>
  <c r="G71"/>
  <c r="S70"/>
  <c r="Q70"/>
  <c r="O70"/>
  <c r="M70"/>
  <c r="K70"/>
  <c r="I70"/>
  <c r="G70"/>
  <c r="S68"/>
  <c r="Q68"/>
  <c r="O68"/>
  <c r="M68"/>
  <c r="K68"/>
  <c r="I68"/>
  <c r="G68"/>
  <c r="W67"/>
  <c r="V67"/>
  <c r="U67"/>
  <c r="S67"/>
  <c r="R67"/>
  <c r="Q67"/>
  <c r="O67"/>
  <c r="M67"/>
  <c r="K67"/>
  <c r="I67"/>
  <c r="G67"/>
  <c r="S66"/>
  <c r="Q66"/>
  <c r="O66"/>
  <c r="M66"/>
  <c r="K66"/>
  <c r="I66"/>
  <c r="G66"/>
  <c r="W65"/>
  <c r="U65"/>
  <c r="S65"/>
  <c r="Q65"/>
  <c r="O65"/>
  <c r="M65"/>
  <c r="K65"/>
  <c r="I65"/>
  <c r="G65"/>
  <c r="W64"/>
  <c r="U64"/>
  <c r="S64"/>
  <c r="Q64"/>
  <c r="O64"/>
  <c r="M64"/>
  <c r="K64"/>
  <c r="I64"/>
  <c r="G64"/>
  <c r="W63"/>
  <c r="U63"/>
  <c r="S63"/>
  <c r="Q63"/>
  <c r="O63"/>
  <c r="M63"/>
  <c r="K63"/>
  <c r="I63"/>
  <c r="G63"/>
  <c r="U62"/>
  <c r="S62"/>
  <c r="Q62"/>
  <c r="O62"/>
  <c r="M62"/>
  <c r="K62"/>
  <c r="I62"/>
  <c r="G62"/>
  <c r="S61"/>
  <c r="Q61"/>
  <c r="O61"/>
  <c r="M61"/>
  <c r="K61"/>
  <c r="I61"/>
  <c r="G61"/>
  <c r="W60"/>
  <c r="U60"/>
  <c r="S60"/>
  <c r="Q60"/>
  <c r="O60"/>
  <c r="M60"/>
  <c r="K60"/>
  <c r="I60"/>
  <c r="G60"/>
  <c r="W59"/>
  <c r="U59"/>
  <c r="S59"/>
  <c r="Q59"/>
  <c r="O59"/>
  <c r="M59"/>
  <c r="K59"/>
  <c r="I59"/>
  <c r="G59"/>
  <c r="W58"/>
  <c r="U58"/>
  <c r="S58"/>
  <c r="Q58"/>
  <c r="O58"/>
  <c r="M58"/>
  <c r="K58"/>
  <c r="I58"/>
  <c r="G58"/>
  <c r="W57"/>
  <c r="U57"/>
  <c r="T57"/>
  <c r="S57"/>
  <c r="Q57"/>
  <c r="O57"/>
  <c r="M57"/>
  <c r="K57"/>
  <c r="I57"/>
  <c r="G57"/>
  <c r="W56"/>
  <c r="U56"/>
  <c r="S56"/>
  <c r="Q56"/>
  <c r="O56"/>
  <c r="M56"/>
  <c r="K56"/>
  <c r="I56"/>
  <c r="G56"/>
  <c r="E83"/>
  <c r="E82"/>
  <c r="E81"/>
  <c r="E80"/>
  <c r="E79"/>
  <c r="E78"/>
  <c r="E77"/>
  <c r="E76"/>
  <c r="E74"/>
  <c r="E73"/>
  <c r="E72"/>
  <c r="E71"/>
  <c r="E70"/>
  <c r="E68"/>
  <c r="E67"/>
  <c r="E66"/>
  <c r="E65"/>
  <c r="E64"/>
  <c r="E63"/>
  <c r="E62"/>
  <c r="E61"/>
  <c r="E60"/>
  <c r="E59"/>
  <c r="E58"/>
  <c r="E57"/>
  <c r="E56"/>
  <c r="S51"/>
  <c r="Q51"/>
  <c r="O51"/>
  <c r="M51"/>
  <c r="K51"/>
  <c r="I51"/>
  <c r="G51"/>
  <c r="E51"/>
  <c r="S50"/>
  <c r="Q50"/>
  <c r="O50"/>
  <c r="M50"/>
  <c r="K50"/>
  <c r="I50"/>
  <c r="G50"/>
  <c r="E50"/>
  <c r="U49"/>
  <c r="S49"/>
  <c r="Q49"/>
  <c r="O49"/>
  <c r="M49"/>
  <c r="K49"/>
  <c r="I49"/>
  <c r="G49"/>
  <c r="E49"/>
  <c r="S48"/>
  <c r="Q48"/>
  <c r="O48"/>
  <c r="M48"/>
  <c r="K48"/>
  <c r="I48"/>
  <c r="G48"/>
  <c r="E48"/>
  <c r="U47"/>
  <c r="S47"/>
  <c r="Q47"/>
  <c r="O47"/>
  <c r="M47"/>
  <c r="K47"/>
  <c r="I47"/>
  <c r="G47"/>
  <c r="E47"/>
  <c r="S45"/>
  <c r="Q45"/>
  <c r="O45"/>
  <c r="M45"/>
  <c r="K45"/>
  <c r="I45"/>
  <c r="G45"/>
  <c r="E45"/>
  <c r="S44"/>
  <c r="Q44"/>
  <c r="O44"/>
  <c r="M44"/>
  <c r="K44"/>
  <c r="I44"/>
  <c r="G44"/>
  <c r="E44"/>
  <c r="S43"/>
  <c r="Q43"/>
  <c r="O43"/>
  <c r="M43"/>
  <c r="K43"/>
  <c r="I43"/>
  <c r="G43"/>
  <c r="E43"/>
  <c r="S42"/>
  <c r="Q42"/>
  <c r="O42"/>
  <c r="M42"/>
  <c r="K42"/>
  <c r="I42"/>
  <c r="G42"/>
  <c r="E42"/>
  <c r="S41"/>
  <c r="Q41"/>
  <c r="O41"/>
  <c r="M41"/>
  <c r="K41"/>
  <c r="I41"/>
  <c r="G41"/>
  <c r="E41"/>
  <c r="S40"/>
  <c r="Q40"/>
  <c r="O40"/>
  <c r="M40"/>
  <c r="K40"/>
  <c r="I40"/>
  <c r="G40"/>
  <c r="E40"/>
  <c r="U38"/>
  <c r="S38"/>
  <c r="Q38"/>
  <c r="O38"/>
  <c r="M38"/>
  <c r="K38"/>
  <c r="I38"/>
  <c r="G38"/>
  <c r="E38"/>
  <c r="S37"/>
  <c r="Q37"/>
  <c r="O37"/>
  <c r="M37"/>
  <c r="K37"/>
  <c r="I37"/>
  <c r="G37"/>
  <c r="E37"/>
  <c r="S36"/>
  <c r="Q36"/>
  <c r="O36"/>
  <c r="M36"/>
  <c r="K36"/>
  <c r="I36"/>
  <c r="G36"/>
  <c r="E36"/>
  <c r="S35"/>
  <c r="Q35"/>
  <c r="O35"/>
  <c r="M35"/>
  <c r="K35"/>
  <c r="I35"/>
  <c r="G35"/>
  <c r="E35"/>
  <c r="S33"/>
  <c r="Q33"/>
  <c r="O33"/>
  <c r="M33"/>
  <c r="K33"/>
  <c r="I33"/>
  <c r="G33"/>
  <c r="E33"/>
  <c r="S32"/>
  <c r="Q32"/>
  <c r="O32"/>
  <c r="M32"/>
  <c r="K32"/>
  <c r="I32"/>
  <c r="G32"/>
  <c r="E32"/>
  <c r="S31"/>
  <c r="Q31"/>
  <c r="O31"/>
  <c r="M31"/>
  <c r="K31"/>
  <c r="I31"/>
  <c r="G31"/>
  <c r="E31"/>
  <c r="S30"/>
  <c r="Q30"/>
  <c r="O30"/>
  <c r="M30"/>
  <c r="K30"/>
  <c r="I30"/>
  <c r="G30"/>
  <c r="E30"/>
  <c r="U28"/>
  <c r="S28"/>
  <c r="Q28"/>
  <c r="O28"/>
  <c r="M28"/>
  <c r="K28"/>
  <c r="I28"/>
  <c r="G28"/>
  <c r="E28"/>
  <c r="S27"/>
  <c r="Q27"/>
  <c r="O27"/>
  <c r="M27"/>
  <c r="K27"/>
  <c r="I27"/>
  <c r="G27"/>
  <c r="E27"/>
  <c r="S26"/>
  <c r="Q26"/>
  <c r="O26"/>
  <c r="M26"/>
  <c r="K26"/>
  <c r="I26"/>
  <c r="G26"/>
  <c r="E26"/>
  <c r="U25"/>
  <c r="S25"/>
  <c r="Q25"/>
  <c r="O25"/>
  <c r="M25"/>
  <c r="K25"/>
  <c r="I25"/>
  <c r="G25"/>
  <c r="E25"/>
  <c r="U24"/>
  <c r="S24"/>
  <c r="Q24"/>
  <c r="O24"/>
  <c r="M24"/>
  <c r="K24"/>
  <c r="I24"/>
  <c r="G24"/>
  <c r="E24"/>
  <c r="S23"/>
  <c r="Q23"/>
  <c r="O23"/>
  <c r="M23"/>
  <c r="K23"/>
  <c r="I23"/>
  <c r="G23"/>
  <c r="E23"/>
  <c r="S22"/>
  <c r="Q22"/>
  <c r="O22"/>
  <c r="M22"/>
  <c r="K22"/>
  <c r="I22"/>
  <c r="G22"/>
  <c r="E22"/>
  <c r="W15"/>
  <c r="X98"/>
  <c r="U15"/>
  <c r="V98"/>
  <c r="S15"/>
  <c r="T98"/>
  <c r="Q15"/>
  <c r="O15"/>
  <c r="M15"/>
  <c r="K15"/>
  <c r="I15"/>
  <c r="G15"/>
  <c r="E15"/>
  <c r="T37"/>
  <c r="T65"/>
  <c r="X65" i="10"/>
  <c r="X65" i="19"/>
  <c r="T67"/>
  <c r="T70"/>
  <c r="T72"/>
  <c r="X77" i="10"/>
  <c r="X77" i="19"/>
  <c r="T84"/>
  <c r="X85" i="10"/>
  <c r="X84" i="19"/>
  <c r="T94"/>
  <c r="T97"/>
  <c r="T24"/>
  <c r="T28"/>
  <c r="T33"/>
  <c r="T38"/>
  <c r="T43"/>
  <c r="T48"/>
  <c r="T56"/>
  <c r="X56" i="10"/>
  <c r="X56" i="19"/>
  <c r="T66"/>
  <c r="T82"/>
  <c r="T91"/>
  <c r="R90" i="10"/>
  <c r="R89" i="19"/>
  <c r="Q89"/>
  <c r="O50" i="23"/>
  <c r="N50"/>
  <c r="M50"/>
  <c r="L50"/>
  <c r="K50"/>
  <c r="J50"/>
  <c r="I50"/>
  <c r="H50"/>
  <c r="G50"/>
  <c r="F50"/>
  <c r="E50"/>
  <c r="O49"/>
  <c r="N49"/>
  <c r="M49"/>
  <c r="L49"/>
  <c r="K49"/>
  <c r="J49"/>
  <c r="I49"/>
  <c r="H49"/>
  <c r="G49"/>
  <c r="F49"/>
  <c r="E49"/>
  <c r="O48"/>
  <c r="N48"/>
  <c r="M48"/>
  <c r="L48"/>
  <c r="K48"/>
  <c r="J48"/>
  <c r="I48"/>
  <c r="H48"/>
  <c r="G48"/>
  <c r="F48"/>
  <c r="E48"/>
  <c r="O47"/>
  <c r="N47"/>
  <c r="M47"/>
  <c r="L47"/>
  <c r="K47"/>
  <c r="J47"/>
  <c r="I47"/>
  <c r="H47"/>
  <c r="G47"/>
  <c r="F47"/>
  <c r="E47"/>
  <c r="O46"/>
  <c r="N46"/>
  <c r="M46"/>
  <c r="L46"/>
  <c r="K46"/>
  <c r="J46"/>
  <c r="I46"/>
  <c r="H46"/>
  <c r="G46"/>
  <c r="F46"/>
  <c r="E46"/>
  <c r="O44"/>
  <c r="N44"/>
  <c r="M44"/>
  <c r="L44"/>
  <c r="K44"/>
  <c r="J44"/>
  <c r="I44"/>
  <c r="H44"/>
  <c r="G44"/>
  <c r="F44"/>
  <c r="E44"/>
  <c r="O43"/>
  <c r="N43"/>
  <c r="M43"/>
  <c r="L43"/>
  <c r="K43"/>
  <c r="J43"/>
  <c r="I43"/>
  <c r="H43"/>
  <c r="G43"/>
  <c r="F43"/>
  <c r="E43"/>
  <c r="O42"/>
  <c r="N42"/>
  <c r="M42"/>
  <c r="L42"/>
  <c r="K42"/>
  <c r="J42"/>
  <c r="I42"/>
  <c r="H42"/>
  <c r="G42"/>
  <c r="F42"/>
  <c r="E42"/>
  <c r="O41"/>
  <c r="N41"/>
  <c r="M41"/>
  <c r="L41"/>
  <c r="K41"/>
  <c r="J41"/>
  <c r="I41"/>
  <c r="H41"/>
  <c r="G41"/>
  <c r="F41"/>
  <c r="E41"/>
  <c r="O40"/>
  <c r="N40"/>
  <c r="M40"/>
  <c r="L40"/>
  <c r="K40"/>
  <c r="J40"/>
  <c r="I40"/>
  <c r="H40"/>
  <c r="G40"/>
  <c r="F40"/>
  <c r="E40"/>
  <c r="O39"/>
  <c r="N39"/>
  <c r="M39"/>
  <c r="L39"/>
  <c r="K39"/>
  <c r="J39"/>
  <c r="I39"/>
  <c r="H39"/>
  <c r="G39"/>
  <c r="F39"/>
  <c r="E39"/>
  <c r="O37"/>
  <c r="N37"/>
  <c r="M37"/>
  <c r="L37"/>
  <c r="K37"/>
  <c r="J37"/>
  <c r="I37"/>
  <c r="H37"/>
  <c r="G37"/>
  <c r="F37"/>
  <c r="E37"/>
  <c r="O36"/>
  <c r="N36"/>
  <c r="M36"/>
  <c r="L36"/>
  <c r="K36"/>
  <c r="J36"/>
  <c r="I36"/>
  <c r="H36"/>
  <c r="G36"/>
  <c r="F36"/>
  <c r="E36"/>
  <c r="O35"/>
  <c r="N35"/>
  <c r="M35"/>
  <c r="L35"/>
  <c r="K35"/>
  <c r="J35"/>
  <c r="I35"/>
  <c r="H35"/>
  <c r="G35"/>
  <c r="F35"/>
  <c r="E35"/>
  <c r="O34"/>
  <c r="N34"/>
  <c r="M34"/>
  <c r="L34"/>
  <c r="K34"/>
  <c r="J34"/>
  <c r="I34"/>
  <c r="H34"/>
  <c r="G34"/>
  <c r="F34"/>
  <c r="E34"/>
  <c r="O32"/>
  <c r="N32"/>
  <c r="M32"/>
  <c r="L32"/>
  <c r="K32"/>
  <c r="J32"/>
  <c r="I32"/>
  <c r="H32"/>
  <c r="G32"/>
  <c r="F32"/>
  <c r="E32"/>
  <c r="O31"/>
  <c r="N31"/>
  <c r="M31"/>
  <c r="L31"/>
  <c r="K31"/>
  <c r="J31"/>
  <c r="I31"/>
  <c r="H31"/>
  <c r="G31"/>
  <c r="F31"/>
  <c r="E31"/>
  <c r="O30"/>
  <c r="N30"/>
  <c r="M30"/>
  <c r="L30"/>
  <c r="K30"/>
  <c r="J30"/>
  <c r="I30"/>
  <c r="H30"/>
  <c r="G30"/>
  <c r="F30"/>
  <c r="E30"/>
  <c r="O29"/>
  <c r="N29"/>
  <c r="M29"/>
  <c r="L29"/>
  <c r="K29"/>
  <c r="J29"/>
  <c r="I29"/>
  <c r="H29"/>
  <c r="G29"/>
  <c r="F29"/>
  <c r="E29"/>
  <c r="O27"/>
  <c r="N27"/>
  <c r="M27"/>
  <c r="L27"/>
  <c r="K27"/>
  <c r="J27"/>
  <c r="I27"/>
  <c r="H27"/>
  <c r="G27"/>
  <c r="F27"/>
  <c r="E27"/>
  <c r="O26"/>
  <c r="N26"/>
  <c r="M26"/>
  <c r="L26"/>
  <c r="K26"/>
  <c r="J26"/>
  <c r="I26"/>
  <c r="H26"/>
  <c r="G26"/>
  <c r="F26"/>
  <c r="E26"/>
  <c r="O25"/>
  <c r="N25"/>
  <c r="M25"/>
  <c r="L25"/>
  <c r="K25"/>
  <c r="J25"/>
  <c r="I25"/>
  <c r="H25"/>
  <c r="G25"/>
  <c r="F25"/>
  <c r="E25"/>
  <c r="O24"/>
  <c r="N24"/>
  <c r="M24"/>
  <c r="L24"/>
  <c r="K24"/>
  <c r="J24"/>
  <c r="I24"/>
  <c r="H24"/>
  <c r="G24"/>
  <c r="F24"/>
  <c r="E24"/>
  <c r="O23"/>
  <c r="N23"/>
  <c r="M23"/>
  <c r="L23"/>
  <c r="K23"/>
  <c r="J23"/>
  <c r="I23"/>
  <c r="H23"/>
  <c r="G23"/>
  <c r="F23"/>
  <c r="E23"/>
  <c r="O22"/>
  <c r="N22"/>
  <c r="M22"/>
  <c r="L22"/>
  <c r="K22"/>
  <c r="J22"/>
  <c r="I22"/>
  <c r="H22"/>
  <c r="G22"/>
  <c r="F22"/>
  <c r="E22"/>
  <c r="O21"/>
  <c r="N21"/>
  <c r="M21"/>
  <c r="L21"/>
  <c r="K21"/>
  <c r="J21"/>
  <c r="I21"/>
  <c r="H21"/>
  <c r="G21"/>
  <c r="F21"/>
  <c r="O92"/>
  <c r="O93"/>
  <c r="O94"/>
  <c r="O91"/>
  <c r="N43" i="16"/>
  <c r="Q43"/>
  <c r="N55"/>
  <c r="Q55"/>
  <c r="N63"/>
  <c r="Q63"/>
  <c r="N71"/>
  <c r="Q71"/>
  <c r="N80"/>
  <c r="N100"/>
  <c r="Q100"/>
  <c r="N34"/>
  <c r="Q34"/>
  <c r="N42"/>
  <c r="Q42"/>
  <c r="Q46"/>
  <c r="N54"/>
  <c r="Q54"/>
  <c r="N62"/>
  <c r="Q62"/>
  <c r="N70"/>
  <c r="Q70"/>
  <c r="N79"/>
  <c r="Q79"/>
  <c r="N87"/>
  <c r="Q87"/>
  <c r="N95"/>
  <c r="Q95"/>
  <c r="N99"/>
  <c r="Q99"/>
  <c r="Q29"/>
  <c r="Q33"/>
  <c r="N37"/>
  <c r="Q37"/>
  <c r="Q41"/>
  <c r="N49"/>
  <c r="Q49"/>
  <c r="Q53"/>
  <c r="Q57"/>
  <c r="N65"/>
  <c r="Q65"/>
  <c r="N69"/>
  <c r="Q69"/>
  <c r="N73"/>
  <c r="Q73"/>
  <c r="N78"/>
  <c r="Q78"/>
  <c r="N82"/>
  <c r="Q82"/>
  <c r="N86"/>
  <c r="Q86"/>
  <c r="N90"/>
  <c r="N94"/>
  <c r="Q94"/>
  <c r="N102"/>
  <c r="Q31"/>
  <c r="N31"/>
  <c r="N39"/>
  <c r="Q39"/>
  <c r="Q47"/>
  <c r="N47"/>
  <c r="N51"/>
  <c r="Q51"/>
  <c r="N67"/>
  <c r="Q67"/>
  <c r="N76"/>
  <c r="Q76"/>
  <c r="N84"/>
  <c r="Q84"/>
  <c r="N88"/>
  <c r="Q88"/>
  <c r="N96"/>
  <c r="Q30"/>
  <c r="N30"/>
  <c r="N38"/>
  <c r="Q38"/>
  <c r="N50"/>
  <c r="Q50"/>
  <c r="N66"/>
  <c r="Q66"/>
  <c r="N83"/>
  <c r="Q83"/>
  <c r="Q28"/>
  <c r="N28"/>
  <c r="Q32"/>
  <c r="N32"/>
  <c r="Q36"/>
  <c r="Q44"/>
  <c r="N44"/>
  <c r="Q48"/>
  <c r="Q56"/>
  <c r="N56"/>
  <c r="Q64"/>
  <c r="N64"/>
  <c r="Q68"/>
  <c r="N68"/>
  <c r="Q72"/>
  <c r="N72"/>
  <c r="Q77"/>
  <c r="N77"/>
  <c r="Q85"/>
  <c r="N85"/>
  <c r="Q89"/>
  <c r="N89"/>
  <c r="Q101"/>
  <c r="N101"/>
  <c r="O88" i="23"/>
  <c r="O87"/>
  <c r="O86"/>
  <c r="O85"/>
  <c r="N73"/>
  <c r="N67"/>
  <c r="P67"/>
  <c r="N54"/>
  <c r="N53"/>
  <c r="O81"/>
  <c r="O80"/>
  <c r="O79"/>
  <c r="O78"/>
  <c r="O77"/>
  <c r="O76"/>
  <c r="O75"/>
  <c r="O74"/>
  <c r="O72"/>
  <c r="O71"/>
  <c r="O70"/>
  <c r="O69"/>
  <c r="O68"/>
  <c r="O66"/>
  <c r="O65"/>
  <c r="O64"/>
  <c r="O63"/>
  <c r="O62"/>
  <c r="O61"/>
  <c r="O60"/>
  <c r="O59"/>
  <c r="O58"/>
  <c r="O57"/>
  <c r="O56"/>
  <c r="O55"/>
  <c r="F92" i="15"/>
  <c r="G92"/>
  <c r="H92"/>
  <c r="J92"/>
  <c r="N92"/>
  <c r="O92"/>
  <c r="N80"/>
  <c r="O80"/>
  <c r="N74"/>
  <c r="O74"/>
  <c r="F51"/>
  <c r="G51"/>
  <c r="I51"/>
  <c r="J51"/>
  <c r="F44"/>
  <c r="G44"/>
  <c r="I44"/>
  <c r="J44"/>
  <c r="F39"/>
  <c r="G39"/>
  <c r="I39"/>
  <c r="J39"/>
  <c r="F34"/>
  <c r="G34"/>
  <c r="I34"/>
  <c r="F26"/>
  <c r="G26"/>
  <c r="H26"/>
  <c r="I26"/>
  <c r="J26"/>
  <c r="J25"/>
  <c r="E21" i="23"/>
  <c r="N94"/>
  <c r="N93"/>
  <c r="N92"/>
  <c r="N91"/>
  <c r="N88"/>
  <c r="N84"/>
  <c r="M94"/>
  <c r="L94"/>
  <c r="K94"/>
  <c r="J94"/>
  <c r="I94"/>
  <c r="H94"/>
  <c r="G94"/>
  <c r="F94"/>
  <c r="E94"/>
  <c r="M93"/>
  <c r="L93"/>
  <c r="K93"/>
  <c r="J93"/>
  <c r="I93"/>
  <c r="H93"/>
  <c r="G93"/>
  <c r="F93"/>
  <c r="E93"/>
  <c r="M92"/>
  <c r="L92"/>
  <c r="K92"/>
  <c r="J92"/>
  <c r="I92"/>
  <c r="H92"/>
  <c r="G92"/>
  <c r="F92"/>
  <c r="E92"/>
  <c r="M91"/>
  <c r="L91"/>
  <c r="K91"/>
  <c r="J91"/>
  <c r="I91"/>
  <c r="H91"/>
  <c r="G91"/>
  <c r="F91"/>
  <c r="E91"/>
  <c r="M88"/>
  <c r="L88"/>
  <c r="K88"/>
  <c r="J88"/>
  <c r="I88"/>
  <c r="H88"/>
  <c r="G88"/>
  <c r="F88"/>
  <c r="E88"/>
  <c r="M87"/>
  <c r="L87"/>
  <c r="K87"/>
  <c r="J87"/>
  <c r="I87"/>
  <c r="H87"/>
  <c r="G87"/>
  <c r="F87"/>
  <c r="E87"/>
  <c r="M86"/>
  <c r="L86"/>
  <c r="K86"/>
  <c r="J86"/>
  <c r="I86"/>
  <c r="H86"/>
  <c r="G86"/>
  <c r="F86"/>
  <c r="E86"/>
  <c r="M85"/>
  <c r="L85"/>
  <c r="K85"/>
  <c r="J85"/>
  <c r="I85"/>
  <c r="H85"/>
  <c r="G85"/>
  <c r="F85"/>
  <c r="E85"/>
  <c r="M81"/>
  <c r="L81"/>
  <c r="K81"/>
  <c r="J81"/>
  <c r="I81"/>
  <c r="H81"/>
  <c r="G81"/>
  <c r="F81"/>
  <c r="E81"/>
  <c r="M80"/>
  <c r="L80"/>
  <c r="K80"/>
  <c r="J80"/>
  <c r="I80"/>
  <c r="H80"/>
  <c r="G80"/>
  <c r="F80"/>
  <c r="E80"/>
  <c r="M79"/>
  <c r="L79"/>
  <c r="K79"/>
  <c r="J79"/>
  <c r="I79"/>
  <c r="H79"/>
  <c r="G79"/>
  <c r="F79"/>
  <c r="E79"/>
  <c r="M78"/>
  <c r="L78"/>
  <c r="K78"/>
  <c r="J78"/>
  <c r="I78"/>
  <c r="H78"/>
  <c r="G78"/>
  <c r="F78"/>
  <c r="E78"/>
  <c r="M77"/>
  <c r="L77"/>
  <c r="K77"/>
  <c r="J77"/>
  <c r="I77"/>
  <c r="H77"/>
  <c r="G77"/>
  <c r="F77"/>
  <c r="E77"/>
  <c r="M76"/>
  <c r="L76"/>
  <c r="K76"/>
  <c r="J76"/>
  <c r="I76"/>
  <c r="H76"/>
  <c r="G76"/>
  <c r="F76"/>
  <c r="E76"/>
  <c r="M75"/>
  <c r="L75"/>
  <c r="K75"/>
  <c r="J75"/>
  <c r="I75"/>
  <c r="H75"/>
  <c r="G75"/>
  <c r="F75"/>
  <c r="E75"/>
  <c r="M74"/>
  <c r="L74"/>
  <c r="K74"/>
  <c r="J74"/>
  <c r="I74"/>
  <c r="H74"/>
  <c r="G74"/>
  <c r="F74"/>
  <c r="E74"/>
  <c r="M72"/>
  <c r="L72"/>
  <c r="K72"/>
  <c r="J72"/>
  <c r="I72"/>
  <c r="H72"/>
  <c r="G72"/>
  <c r="F72"/>
  <c r="E72"/>
  <c r="M71"/>
  <c r="L71"/>
  <c r="K71"/>
  <c r="J71"/>
  <c r="I71"/>
  <c r="H71"/>
  <c r="G71"/>
  <c r="F71"/>
  <c r="E71"/>
  <c r="M70"/>
  <c r="L70"/>
  <c r="K70"/>
  <c r="J70"/>
  <c r="I70"/>
  <c r="H70"/>
  <c r="G70"/>
  <c r="F70"/>
  <c r="E70"/>
  <c r="M69"/>
  <c r="L69"/>
  <c r="K69"/>
  <c r="J69"/>
  <c r="I69"/>
  <c r="H69"/>
  <c r="G69"/>
  <c r="F69"/>
  <c r="E69"/>
  <c r="M68"/>
  <c r="L68"/>
  <c r="K68"/>
  <c r="J68"/>
  <c r="I68"/>
  <c r="H68"/>
  <c r="G68"/>
  <c r="F68"/>
  <c r="E68"/>
  <c r="M66"/>
  <c r="L66"/>
  <c r="K66"/>
  <c r="J66"/>
  <c r="I66"/>
  <c r="H66"/>
  <c r="G66"/>
  <c r="F66"/>
  <c r="E66"/>
  <c r="M65"/>
  <c r="L65"/>
  <c r="K65"/>
  <c r="J65"/>
  <c r="I65"/>
  <c r="H65"/>
  <c r="G65"/>
  <c r="F65"/>
  <c r="E65"/>
  <c r="M64"/>
  <c r="L64"/>
  <c r="K64"/>
  <c r="J64"/>
  <c r="I64"/>
  <c r="H64"/>
  <c r="G64"/>
  <c r="F64"/>
  <c r="E64"/>
  <c r="M63"/>
  <c r="L63"/>
  <c r="K63"/>
  <c r="J63"/>
  <c r="I63"/>
  <c r="H63"/>
  <c r="G63"/>
  <c r="F63"/>
  <c r="E63"/>
  <c r="M62"/>
  <c r="L62"/>
  <c r="K62"/>
  <c r="J62"/>
  <c r="I62"/>
  <c r="H62"/>
  <c r="G62"/>
  <c r="F62"/>
  <c r="E62"/>
  <c r="M61"/>
  <c r="L61"/>
  <c r="K61"/>
  <c r="J61"/>
  <c r="I61"/>
  <c r="H61"/>
  <c r="G61"/>
  <c r="F61"/>
  <c r="E61"/>
  <c r="M60"/>
  <c r="L60"/>
  <c r="K60"/>
  <c r="J60"/>
  <c r="I60"/>
  <c r="H60"/>
  <c r="G60"/>
  <c r="F60"/>
  <c r="E60"/>
  <c r="M59"/>
  <c r="L59"/>
  <c r="K59"/>
  <c r="J59"/>
  <c r="I59"/>
  <c r="H59"/>
  <c r="G59"/>
  <c r="F59"/>
  <c r="E59"/>
  <c r="M58"/>
  <c r="L58"/>
  <c r="K58"/>
  <c r="J58"/>
  <c r="I58"/>
  <c r="H58"/>
  <c r="G58"/>
  <c r="F58"/>
  <c r="E58"/>
  <c r="M57"/>
  <c r="L57"/>
  <c r="K57"/>
  <c r="J57"/>
  <c r="I57"/>
  <c r="H57"/>
  <c r="G57"/>
  <c r="F57"/>
  <c r="E57"/>
  <c r="M56"/>
  <c r="L56"/>
  <c r="K56"/>
  <c r="J56"/>
  <c r="I56"/>
  <c r="H56"/>
  <c r="G56"/>
  <c r="F56"/>
  <c r="E56"/>
  <c r="M55"/>
  <c r="L55"/>
  <c r="K55"/>
  <c r="J55"/>
  <c r="I55"/>
  <c r="H55"/>
  <c r="G55"/>
  <c r="F55"/>
  <c r="E55"/>
  <c r="Q18"/>
  <c r="E51" i="15"/>
  <c r="E44"/>
  <c r="E39"/>
  <c r="E34"/>
  <c r="E26"/>
  <c r="H25" i="16"/>
  <c r="U42" i="18"/>
  <c r="S42"/>
  <c r="T41"/>
  <c r="S41"/>
  <c r="T8" i="17"/>
  <c r="U8"/>
  <c r="V8"/>
  <c r="W8"/>
  <c r="T9"/>
  <c r="U9"/>
  <c r="V9"/>
  <c r="W9"/>
  <c r="T10"/>
  <c r="U10"/>
  <c r="V10"/>
  <c r="W10"/>
  <c r="T11"/>
  <c r="U11"/>
  <c r="V11"/>
  <c r="W11"/>
  <c r="T12"/>
  <c r="U12"/>
  <c r="V12"/>
  <c r="W12"/>
  <c r="T13"/>
  <c r="U13"/>
  <c r="V13"/>
  <c r="W13"/>
  <c r="T14"/>
  <c r="U14"/>
  <c r="V14"/>
  <c r="W14"/>
  <c r="T15"/>
  <c r="U15"/>
  <c r="V15"/>
  <c r="W15"/>
  <c r="T16"/>
  <c r="U16"/>
  <c r="V16"/>
  <c r="W16"/>
  <c r="T17"/>
  <c r="U17"/>
  <c r="V17"/>
  <c r="W17"/>
  <c r="T18"/>
  <c r="U18"/>
  <c r="V18"/>
  <c r="W18"/>
  <c r="T19"/>
  <c r="U19"/>
  <c r="V19"/>
  <c r="W19"/>
  <c r="T20"/>
  <c r="U20"/>
  <c r="V20"/>
  <c r="W20"/>
  <c r="T21"/>
  <c r="U21"/>
  <c r="V21"/>
  <c r="W21"/>
  <c r="T22"/>
  <c r="U22"/>
  <c r="V22"/>
  <c r="W22"/>
  <c r="T23"/>
  <c r="U23"/>
  <c r="V23"/>
  <c r="W23"/>
  <c r="T24"/>
  <c r="U24"/>
  <c r="V24"/>
  <c r="W24"/>
  <c r="T25"/>
  <c r="U25"/>
  <c r="V25"/>
  <c r="W25"/>
  <c r="T26"/>
  <c r="U26"/>
  <c r="V26"/>
  <c r="W26"/>
  <c r="T27"/>
  <c r="U27"/>
  <c r="V27"/>
  <c r="W27"/>
  <c r="T28"/>
  <c r="U28"/>
  <c r="V28"/>
  <c r="W28"/>
  <c r="T29"/>
  <c r="U29"/>
  <c r="V29"/>
  <c r="W29"/>
  <c r="T30"/>
  <c r="U30"/>
  <c r="V30"/>
  <c r="W30"/>
  <c r="T31"/>
  <c r="U31"/>
  <c r="V31"/>
  <c r="W31"/>
  <c r="T32"/>
  <c r="U32"/>
  <c r="V32"/>
  <c r="W32"/>
  <c r="T33"/>
  <c r="U33"/>
  <c r="V33"/>
  <c r="W33"/>
  <c r="T34"/>
  <c r="U34"/>
  <c r="V34"/>
  <c r="W34"/>
  <c r="T35"/>
  <c r="U35"/>
  <c r="V35"/>
  <c r="W35"/>
  <c r="T36"/>
  <c r="U36"/>
  <c r="V36"/>
  <c r="W36"/>
  <c r="T37"/>
  <c r="U37"/>
  <c r="V37"/>
  <c r="W37"/>
  <c r="T38"/>
  <c r="U38"/>
  <c r="V38"/>
  <c r="W38"/>
  <c r="T40"/>
  <c r="U40"/>
  <c r="V40"/>
  <c r="W40"/>
  <c r="T41"/>
  <c r="U41"/>
  <c r="V41"/>
  <c r="W41"/>
  <c r="T42"/>
  <c r="U42"/>
  <c r="V42"/>
  <c r="W42"/>
  <c r="T43"/>
  <c r="U43"/>
  <c r="V43"/>
  <c r="W43"/>
  <c r="T44"/>
  <c r="U44"/>
  <c r="V44"/>
  <c r="W44"/>
  <c r="T45"/>
  <c r="U45"/>
  <c r="V45"/>
  <c r="W45"/>
  <c r="T46"/>
  <c r="U46"/>
  <c r="V46"/>
  <c r="W46"/>
  <c r="T47"/>
  <c r="U47"/>
  <c r="V47"/>
  <c r="W47"/>
  <c r="T48"/>
  <c r="U48"/>
  <c r="V48"/>
  <c r="W48"/>
  <c r="T49"/>
  <c r="U49"/>
  <c r="V49"/>
  <c r="W49"/>
  <c r="T50"/>
  <c r="U50"/>
  <c r="V50"/>
  <c r="W50"/>
  <c r="T51"/>
  <c r="U51"/>
  <c r="V51"/>
  <c r="W51"/>
  <c r="T52"/>
  <c r="U52"/>
  <c r="V52"/>
  <c r="W52"/>
  <c r="T53"/>
  <c r="U53"/>
  <c r="V53"/>
  <c r="W53"/>
  <c r="T54"/>
  <c r="U54"/>
  <c r="V54"/>
  <c r="W54"/>
  <c r="T55"/>
  <c r="U55"/>
  <c r="V55"/>
  <c r="W55"/>
  <c r="T56"/>
  <c r="U56"/>
  <c r="V56"/>
  <c r="W56"/>
  <c r="T57"/>
  <c r="U57"/>
  <c r="V57"/>
  <c r="W57"/>
  <c r="T58"/>
  <c r="U58"/>
  <c r="V58"/>
  <c r="W58"/>
  <c r="T59"/>
  <c r="U59"/>
  <c r="V59"/>
  <c r="W59"/>
  <c r="T60"/>
  <c r="U60"/>
  <c r="V60"/>
  <c r="W60"/>
  <c r="T61"/>
  <c r="U61"/>
  <c r="V61"/>
  <c r="W61"/>
  <c r="T62"/>
  <c r="U62"/>
  <c r="V62"/>
  <c r="W62"/>
  <c r="T63"/>
  <c r="U63"/>
  <c r="V63"/>
  <c r="W63"/>
  <c r="T64"/>
  <c r="U64"/>
  <c r="V64"/>
  <c r="W64"/>
  <c r="T65"/>
  <c r="U65"/>
  <c r="V65"/>
  <c r="W65"/>
  <c r="T66"/>
  <c r="U66"/>
  <c r="V66"/>
  <c r="W66"/>
  <c r="T67"/>
  <c r="U67"/>
  <c r="V67"/>
  <c r="W67"/>
  <c r="T68"/>
  <c r="U68"/>
  <c r="V68"/>
  <c r="W68"/>
  <c r="T69"/>
  <c r="U69"/>
  <c r="V69"/>
  <c r="W69"/>
  <c r="T71"/>
  <c r="U71"/>
  <c r="V71"/>
  <c r="W71"/>
  <c r="T75"/>
  <c r="U75"/>
  <c r="V75"/>
  <c r="W75"/>
  <c r="T76"/>
  <c r="U76"/>
  <c r="V76"/>
  <c r="W76"/>
  <c r="T77"/>
  <c r="U77"/>
  <c r="V77"/>
  <c r="W77"/>
  <c r="T80"/>
  <c r="U80"/>
  <c r="V80"/>
  <c r="W80"/>
  <c r="T81"/>
  <c r="U81"/>
  <c r="V81"/>
  <c r="W81"/>
  <c r="T82"/>
  <c r="U82"/>
  <c r="V82"/>
  <c r="W82"/>
  <c r="T83"/>
  <c r="U83"/>
  <c r="V83"/>
  <c r="W83"/>
  <c r="W7"/>
  <c r="V7"/>
  <c r="U7"/>
  <c r="T7"/>
  <c r="P84" i="23"/>
  <c r="P84" i="22"/>
  <c r="O84"/>
  <c r="N84"/>
  <c r="M84"/>
  <c r="L84"/>
  <c r="K84"/>
  <c r="J84"/>
  <c r="I84"/>
  <c r="H84"/>
  <c r="G84"/>
  <c r="F84"/>
  <c r="E84"/>
  <c r="D96" i="23"/>
  <c r="D95"/>
  <c r="D94"/>
  <c r="D93"/>
  <c r="D92"/>
  <c r="D91"/>
  <c r="D90"/>
  <c r="D89"/>
  <c r="D87"/>
  <c r="D86"/>
  <c r="D85"/>
  <c r="D84"/>
  <c r="D83"/>
  <c r="D82"/>
  <c r="D88"/>
  <c r="D81"/>
  <c r="D80"/>
  <c r="D79"/>
  <c r="D78"/>
  <c r="D77"/>
  <c r="D76"/>
  <c r="D75"/>
  <c r="D74"/>
  <c r="P73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P54"/>
  <c r="P53"/>
  <c r="P51"/>
  <c r="P52"/>
  <c r="D54"/>
  <c r="D53"/>
  <c r="D52"/>
  <c r="D51"/>
  <c r="D50"/>
  <c r="D49"/>
  <c r="D48"/>
  <c r="D47"/>
  <c r="D46"/>
  <c r="P45"/>
  <c r="D45"/>
  <c r="D44"/>
  <c r="D43"/>
  <c r="D42"/>
  <c r="D41"/>
  <c r="D40"/>
  <c r="D39"/>
  <c r="P38"/>
  <c r="D38"/>
  <c r="D37"/>
  <c r="D36"/>
  <c r="D35"/>
  <c r="D34"/>
  <c r="P33"/>
  <c r="D33"/>
  <c r="D32"/>
  <c r="D31"/>
  <c r="D30"/>
  <c r="D29"/>
  <c r="P28"/>
  <c r="D28"/>
  <c r="D27"/>
  <c r="D26"/>
  <c r="D25"/>
  <c r="D24"/>
  <c r="D23"/>
  <c r="D22"/>
  <c r="D21"/>
  <c r="P20"/>
  <c r="D20"/>
  <c r="D19"/>
  <c r="P18"/>
  <c r="O18"/>
  <c r="N18"/>
  <c r="M18"/>
  <c r="L18"/>
  <c r="K18"/>
  <c r="J18"/>
  <c r="I18"/>
  <c r="H18"/>
  <c r="G18"/>
  <c r="F18"/>
  <c r="E18"/>
  <c r="D17"/>
  <c r="D14"/>
  <c r="E9"/>
  <c r="E8"/>
  <c r="D96" i="22"/>
  <c r="D95"/>
  <c r="Q94"/>
  <c r="D94"/>
  <c r="Q93"/>
  <c r="D93"/>
  <c r="Q92"/>
  <c r="D92"/>
  <c r="Q91"/>
  <c r="D91"/>
  <c r="D90"/>
  <c r="D89"/>
  <c r="Q87"/>
  <c r="D87"/>
  <c r="Q86"/>
  <c r="D86"/>
  <c r="Q85"/>
  <c r="D85"/>
  <c r="D84"/>
  <c r="D83"/>
  <c r="D82"/>
  <c r="Q88"/>
  <c r="D88"/>
  <c r="Q81"/>
  <c r="D81"/>
  <c r="Q80"/>
  <c r="D80"/>
  <c r="Q79"/>
  <c r="D79"/>
  <c r="Q78"/>
  <c r="D78"/>
  <c r="Q77"/>
  <c r="D77"/>
  <c r="Q76"/>
  <c r="D76"/>
  <c r="Q75"/>
  <c r="D75"/>
  <c r="Q74"/>
  <c r="D74"/>
  <c r="P73"/>
  <c r="O73"/>
  <c r="N73"/>
  <c r="M73"/>
  <c r="L73"/>
  <c r="K73"/>
  <c r="J73"/>
  <c r="I73"/>
  <c r="H73"/>
  <c r="G73"/>
  <c r="F73"/>
  <c r="E73"/>
  <c r="D73"/>
  <c r="Q72"/>
  <c r="D72"/>
  <c r="Q71"/>
  <c r="D71"/>
  <c r="Q70"/>
  <c r="D70"/>
  <c r="Q69"/>
  <c r="D69"/>
  <c r="Q68"/>
  <c r="D68"/>
  <c r="P67"/>
  <c r="O67"/>
  <c r="N67"/>
  <c r="M67"/>
  <c r="L67"/>
  <c r="K67"/>
  <c r="J67"/>
  <c r="I67"/>
  <c r="H67"/>
  <c r="G67"/>
  <c r="F67"/>
  <c r="E67"/>
  <c r="D67"/>
  <c r="Q66"/>
  <c r="D66"/>
  <c r="Q65"/>
  <c r="D65"/>
  <c r="Q64"/>
  <c r="D64"/>
  <c r="Q63"/>
  <c r="D63"/>
  <c r="Q62"/>
  <c r="D62"/>
  <c r="Q61"/>
  <c r="D61"/>
  <c r="Q60"/>
  <c r="D60"/>
  <c r="Q59"/>
  <c r="D59"/>
  <c r="Q58"/>
  <c r="D58"/>
  <c r="Q57"/>
  <c r="D57"/>
  <c r="Q56"/>
  <c r="D56"/>
  <c r="Q55"/>
  <c r="D55"/>
  <c r="Q54"/>
  <c r="D54"/>
  <c r="P53"/>
  <c r="O53"/>
  <c r="N53"/>
  <c r="N51"/>
  <c r="N52"/>
  <c r="M53"/>
  <c r="L53"/>
  <c r="K53"/>
  <c r="J53"/>
  <c r="J51"/>
  <c r="J52"/>
  <c r="I53"/>
  <c r="H53"/>
  <c r="G53"/>
  <c r="G51"/>
  <c r="G52"/>
  <c r="F53"/>
  <c r="E53"/>
  <c r="D53"/>
  <c r="D52"/>
  <c r="D51"/>
  <c r="Q50"/>
  <c r="D50"/>
  <c r="Q49"/>
  <c r="D49"/>
  <c r="Q48"/>
  <c r="D48"/>
  <c r="Q47"/>
  <c r="D47"/>
  <c r="Q46"/>
  <c r="D46"/>
  <c r="P45"/>
  <c r="O45"/>
  <c r="N45"/>
  <c r="M45"/>
  <c r="L45"/>
  <c r="K45"/>
  <c r="J45"/>
  <c r="I45"/>
  <c r="H45"/>
  <c r="G45"/>
  <c r="F45"/>
  <c r="E45"/>
  <c r="D45"/>
  <c r="Q44"/>
  <c r="D44"/>
  <c r="Q43"/>
  <c r="D43"/>
  <c r="Q42"/>
  <c r="D42"/>
  <c r="Q41"/>
  <c r="D41"/>
  <c r="Q40"/>
  <c r="D40"/>
  <c r="Q39"/>
  <c r="D39"/>
  <c r="P38"/>
  <c r="O38"/>
  <c r="N38"/>
  <c r="M38"/>
  <c r="L38"/>
  <c r="K38"/>
  <c r="J38"/>
  <c r="I38"/>
  <c r="H38"/>
  <c r="G38"/>
  <c r="F38"/>
  <c r="E38"/>
  <c r="D38"/>
  <c r="Q37"/>
  <c r="D37"/>
  <c r="Q36"/>
  <c r="D36"/>
  <c r="Q35"/>
  <c r="D35"/>
  <c r="Q34"/>
  <c r="D34"/>
  <c r="P33"/>
  <c r="O33"/>
  <c r="N33"/>
  <c r="M33"/>
  <c r="L33"/>
  <c r="K33"/>
  <c r="J33"/>
  <c r="I33"/>
  <c r="H33"/>
  <c r="G33"/>
  <c r="F33"/>
  <c r="E33"/>
  <c r="D33"/>
  <c r="Q32"/>
  <c r="D32"/>
  <c r="Q31"/>
  <c r="D31"/>
  <c r="Q30"/>
  <c r="D30"/>
  <c r="Q29"/>
  <c r="D29"/>
  <c r="P28"/>
  <c r="O28"/>
  <c r="N28"/>
  <c r="M28"/>
  <c r="L28"/>
  <c r="K28"/>
  <c r="J28"/>
  <c r="I28"/>
  <c r="H28"/>
  <c r="G28"/>
  <c r="F28"/>
  <c r="E28"/>
  <c r="D28"/>
  <c r="Q27"/>
  <c r="D27"/>
  <c r="Q26"/>
  <c r="D26"/>
  <c r="Q25"/>
  <c r="D25"/>
  <c r="Q24"/>
  <c r="D24"/>
  <c r="Q23"/>
  <c r="D23"/>
  <c r="Q22"/>
  <c r="D22"/>
  <c r="Q21"/>
  <c r="D21"/>
  <c r="P20"/>
  <c r="O20"/>
  <c r="N20"/>
  <c r="M20"/>
  <c r="L20"/>
  <c r="K20"/>
  <c r="J20"/>
  <c r="I20"/>
  <c r="H20"/>
  <c r="G20"/>
  <c r="F20"/>
  <c r="E20"/>
  <c r="D20"/>
  <c r="D19"/>
  <c r="P18"/>
  <c r="O18"/>
  <c r="N18"/>
  <c r="M18"/>
  <c r="L18"/>
  <c r="K18"/>
  <c r="J18"/>
  <c r="I18"/>
  <c r="H18"/>
  <c r="G18"/>
  <c r="F18"/>
  <c r="E18"/>
  <c r="D14"/>
  <c r="G9"/>
  <c r="H8"/>
  <c r="D89" i="21"/>
  <c r="D88"/>
  <c r="U87"/>
  <c r="S87"/>
  <c r="O87"/>
  <c r="M87"/>
  <c r="K87"/>
  <c r="I87"/>
  <c r="G87"/>
  <c r="E87"/>
  <c r="D87"/>
  <c r="U86"/>
  <c r="S86"/>
  <c r="O86"/>
  <c r="M86"/>
  <c r="K86"/>
  <c r="I86"/>
  <c r="G86"/>
  <c r="E86"/>
  <c r="D86"/>
  <c r="O85"/>
  <c r="M85"/>
  <c r="K85"/>
  <c r="I85"/>
  <c r="G85"/>
  <c r="E85"/>
  <c r="D85"/>
  <c r="W84"/>
  <c r="U84"/>
  <c r="S84"/>
  <c r="O84"/>
  <c r="M84"/>
  <c r="K84"/>
  <c r="I84"/>
  <c r="G84"/>
  <c r="E84"/>
  <c r="D84"/>
  <c r="D83"/>
  <c r="D82"/>
  <c r="U80"/>
  <c r="S80"/>
  <c r="O80"/>
  <c r="M80"/>
  <c r="K80"/>
  <c r="I80"/>
  <c r="G80"/>
  <c r="E80"/>
  <c r="D80"/>
  <c r="U79"/>
  <c r="S79"/>
  <c r="Q79"/>
  <c r="O79"/>
  <c r="M79"/>
  <c r="K79"/>
  <c r="I79"/>
  <c r="G79"/>
  <c r="E79"/>
  <c r="D79"/>
  <c r="U78"/>
  <c r="S78"/>
  <c r="Q78"/>
  <c r="O78"/>
  <c r="M78"/>
  <c r="K78"/>
  <c r="I78"/>
  <c r="G78"/>
  <c r="E78"/>
  <c r="D78"/>
  <c r="D77"/>
  <c r="D76"/>
  <c r="D75"/>
  <c r="W74"/>
  <c r="U74"/>
  <c r="S74"/>
  <c r="Q74"/>
  <c r="O74"/>
  <c r="M74"/>
  <c r="K74"/>
  <c r="I74"/>
  <c r="G74"/>
  <c r="E74"/>
  <c r="D74"/>
  <c r="U81"/>
  <c r="S81"/>
  <c r="Q81"/>
  <c r="O81"/>
  <c r="M81"/>
  <c r="K81"/>
  <c r="I81"/>
  <c r="G81"/>
  <c r="E81"/>
  <c r="D81"/>
  <c r="U73"/>
  <c r="S73"/>
  <c r="Q73"/>
  <c r="O73"/>
  <c r="M73"/>
  <c r="K73"/>
  <c r="I73"/>
  <c r="G73"/>
  <c r="E73"/>
  <c r="D73"/>
  <c r="D72"/>
  <c r="D71"/>
  <c r="S70"/>
  <c r="Q70"/>
  <c r="O70"/>
  <c r="M70"/>
  <c r="K70"/>
  <c r="I70"/>
  <c r="G70"/>
  <c r="E70"/>
  <c r="D70"/>
  <c r="U69"/>
  <c r="S69"/>
  <c r="Q69"/>
  <c r="O69"/>
  <c r="M69"/>
  <c r="K69"/>
  <c r="I69"/>
  <c r="G69"/>
  <c r="E69"/>
  <c r="E67"/>
  <c r="D69"/>
  <c r="U68"/>
  <c r="S68"/>
  <c r="O68"/>
  <c r="M68"/>
  <c r="K68"/>
  <c r="I68"/>
  <c r="G68"/>
  <c r="D68"/>
  <c r="D67"/>
  <c r="S66"/>
  <c r="Q66"/>
  <c r="O66"/>
  <c r="M66"/>
  <c r="K66"/>
  <c r="I66"/>
  <c r="G66"/>
  <c r="E66"/>
  <c r="D66"/>
  <c r="U65"/>
  <c r="S65"/>
  <c r="Q65"/>
  <c r="O65"/>
  <c r="M65"/>
  <c r="K65"/>
  <c r="I65"/>
  <c r="G65"/>
  <c r="E65"/>
  <c r="D65"/>
  <c r="S64"/>
  <c r="Q64"/>
  <c r="O64"/>
  <c r="M64"/>
  <c r="K64"/>
  <c r="I64"/>
  <c r="G64"/>
  <c r="E64"/>
  <c r="D64"/>
  <c r="S63"/>
  <c r="Q63"/>
  <c r="O63"/>
  <c r="M63"/>
  <c r="K63"/>
  <c r="I63"/>
  <c r="G63"/>
  <c r="E63"/>
  <c r="D63"/>
  <c r="D62"/>
  <c r="W61"/>
  <c r="U61"/>
  <c r="S61"/>
  <c r="Q61"/>
  <c r="O61"/>
  <c r="M61"/>
  <c r="K61"/>
  <c r="I61"/>
  <c r="G61"/>
  <c r="E61"/>
  <c r="D61"/>
  <c r="U60"/>
  <c r="S60"/>
  <c r="Q60"/>
  <c r="O60"/>
  <c r="M60"/>
  <c r="K60"/>
  <c r="I60"/>
  <c r="G60"/>
  <c r="E60"/>
  <c r="D60"/>
  <c r="W59"/>
  <c r="S59"/>
  <c r="Q59"/>
  <c r="O59"/>
  <c r="M59"/>
  <c r="K59"/>
  <c r="I59"/>
  <c r="G59"/>
  <c r="E59"/>
  <c r="D59"/>
  <c r="W58"/>
  <c r="U58"/>
  <c r="S58"/>
  <c r="Q58"/>
  <c r="O58"/>
  <c r="M58"/>
  <c r="K58"/>
  <c r="I58"/>
  <c r="G58"/>
  <c r="E58"/>
  <c r="D58"/>
  <c r="S57"/>
  <c r="Q57"/>
  <c r="O57"/>
  <c r="M57"/>
  <c r="K57"/>
  <c r="I57"/>
  <c r="G57"/>
  <c r="E57"/>
  <c r="D57"/>
  <c r="D56"/>
  <c r="S55"/>
  <c r="Q55"/>
  <c r="O55"/>
  <c r="M55"/>
  <c r="K55"/>
  <c r="I55"/>
  <c r="G55"/>
  <c r="E55"/>
  <c r="D55"/>
  <c r="S54"/>
  <c r="Q54"/>
  <c r="O54"/>
  <c r="M54"/>
  <c r="K54"/>
  <c r="I54"/>
  <c r="G54"/>
  <c r="E54"/>
  <c r="D54"/>
  <c r="S53"/>
  <c r="Q53"/>
  <c r="O53"/>
  <c r="M53"/>
  <c r="K53"/>
  <c r="I53"/>
  <c r="G53"/>
  <c r="E53"/>
  <c r="D53"/>
  <c r="U52"/>
  <c r="S52"/>
  <c r="Q52"/>
  <c r="O52"/>
  <c r="M52"/>
  <c r="K52"/>
  <c r="I52"/>
  <c r="G52"/>
  <c r="E52"/>
  <c r="D52"/>
  <c r="Q51"/>
  <c r="O51"/>
  <c r="M51"/>
  <c r="K51"/>
  <c r="I51"/>
  <c r="G51"/>
  <c r="E51"/>
  <c r="D51"/>
  <c r="W50"/>
  <c r="U50"/>
  <c r="S50"/>
  <c r="Q50"/>
  <c r="O50"/>
  <c r="M50"/>
  <c r="K50"/>
  <c r="I50"/>
  <c r="G50"/>
  <c r="E50"/>
  <c r="D50"/>
  <c r="S49"/>
  <c r="Q49"/>
  <c r="O49"/>
  <c r="M49"/>
  <c r="K49"/>
  <c r="I49"/>
  <c r="G49"/>
  <c r="E49"/>
  <c r="D49"/>
  <c r="S48"/>
  <c r="Q48"/>
  <c r="O48"/>
  <c r="M48"/>
  <c r="K48"/>
  <c r="I48"/>
  <c r="G48"/>
  <c r="E48"/>
  <c r="D48"/>
  <c r="S47"/>
  <c r="Q47"/>
  <c r="O47"/>
  <c r="M47"/>
  <c r="K47"/>
  <c r="I47"/>
  <c r="G47"/>
  <c r="E47"/>
  <c r="D47"/>
  <c r="S46"/>
  <c r="Q46"/>
  <c r="O46"/>
  <c r="M46"/>
  <c r="K46"/>
  <c r="I46"/>
  <c r="G46"/>
  <c r="E46"/>
  <c r="D46"/>
  <c r="U45"/>
  <c r="S45"/>
  <c r="Q45"/>
  <c r="O45"/>
  <c r="M45"/>
  <c r="K45"/>
  <c r="I45"/>
  <c r="G45"/>
  <c r="E45"/>
  <c r="D45"/>
  <c r="U44"/>
  <c r="S44"/>
  <c r="Q44"/>
  <c r="O44"/>
  <c r="M44"/>
  <c r="K44"/>
  <c r="I44"/>
  <c r="G44"/>
  <c r="E44"/>
  <c r="D44"/>
  <c r="S43"/>
  <c r="Q43"/>
  <c r="O43"/>
  <c r="M43"/>
  <c r="K43"/>
  <c r="I43"/>
  <c r="G43"/>
  <c r="E43"/>
  <c r="D43"/>
  <c r="D42"/>
  <c r="D41"/>
  <c r="D40"/>
  <c r="D39"/>
  <c r="Q38"/>
  <c r="O38"/>
  <c r="M38"/>
  <c r="K38"/>
  <c r="I38"/>
  <c r="G38"/>
  <c r="E38"/>
  <c r="D38"/>
  <c r="D37"/>
  <c r="D36"/>
  <c r="D35"/>
  <c r="Q34"/>
  <c r="O34"/>
  <c r="M34"/>
  <c r="K34"/>
  <c r="I34"/>
  <c r="G34"/>
  <c r="E34"/>
  <c r="D34"/>
  <c r="Q33"/>
  <c r="O33"/>
  <c r="M33"/>
  <c r="K33"/>
  <c r="I33"/>
  <c r="G33"/>
  <c r="E33"/>
  <c r="D33"/>
  <c r="Q32"/>
  <c r="O32"/>
  <c r="M32"/>
  <c r="K32"/>
  <c r="I32"/>
  <c r="G32"/>
  <c r="E32"/>
  <c r="D32"/>
  <c r="Q31"/>
  <c r="Q30"/>
  <c r="O31"/>
  <c r="O30"/>
  <c r="M31"/>
  <c r="M30"/>
  <c r="K31"/>
  <c r="I31"/>
  <c r="I30"/>
  <c r="G31"/>
  <c r="G30"/>
  <c r="E31"/>
  <c r="D31"/>
  <c r="D30"/>
  <c r="Q29"/>
  <c r="O29"/>
  <c r="M29"/>
  <c r="K29"/>
  <c r="I29"/>
  <c r="G29"/>
  <c r="E29"/>
  <c r="D29"/>
  <c r="S28"/>
  <c r="Q28"/>
  <c r="O28"/>
  <c r="M28"/>
  <c r="K28"/>
  <c r="I28"/>
  <c r="G28"/>
  <c r="E28"/>
  <c r="D28"/>
  <c r="Q27"/>
  <c r="O27"/>
  <c r="M27"/>
  <c r="K27"/>
  <c r="I27"/>
  <c r="G27"/>
  <c r="E27"/>
  <c r="D27"/>
  <c r="Q26"/>
  <c r="O26"/>
  <c r="M26"/>
  <c r="K26"/>
  <c r="I26"/>
  <c r="G26"/>
  <c r="E26"/>
  <c r="D26"/>
  <c r="Q25"/>
  <c r="O25"/>
  <c r="M25"/>
  <c r="K25"/>
  <c r="I25"/>
  <c r="G25"/>
  <c r="E25"/>
  <c r="D25"/>
  <c r="Q24"/>
  <c r="O24"/>
  <c r="M24"/>
  <c r="K24"/>
  <c r="I24"/>
  <c r="G24"/>
  <c r="E24"/>
  <c r="D24"/>
  <c r="Q23"/>
  <c r="O23"/>
  <c r="M23"/>
  <c r="K23"/>
  <c r="I23"/>
  <c r="G23"/>
  <c r="E23"/>
  <c r="D23"/>
  <c r="Q22"/>
  <c r="O22"/>
  <c r="M22"/>
  <c r="K22"/>
  <c r="I22"/>
  <c r="G22"/>
  <c r="E22"/>
  <c r="D22"/>
  <c r="D21"/>
  <c r="D20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8"/>
  <c r="Q17"/>
  <c r="X15"/>
  <c r="W15"/>
  <c r="V15"/>
  <c r="U15"/>
  <c r="T15"/>
  <c r="S15"/>
  <c r="R15"/>
  <c r="Q15"/>
  <c r="P15"/>
  <c r="O15"/>
  <c r="P71"/>
  <c r="N15"/>
  <c r="M15"/>
  <c r="N29"/>
  <c r="L15"/>
  <c r="K15"/>
  <c r="J15"/>
  <c r="I15"/>
  <c r="H15"/>
  <c r="G15"/>
  <c r="F15"/>
  <c r="E15"/>
  <c r="F48"/>
  <c r="I8"/>
  <c r="J7"/>
  <c r="C105" i="20"/>
  <c r="C104"/>
  <c r="C103"/>
  <c r="C102"/>
  <c r="C101"/>
  <c r="C100"/>
  <c r="C99"/>
  <c r="C98"/>
  <c r="C97"/>
  <c r="C95"/>
  <c r="C94"/>
  <c r="C93"/>
  <c r="C92"/>
  <c r="C91"/>
  <c r="C90"/>
  <c r="C89"/>
  <c r="C96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8"/>
  <c r="P17"/>
  <c r="V15"/>
  <c r="W89"/>
  <c r="T15"/>
  <c r="R15"/>
  <c r="P15"/>
  <c r="N15"/>
  <c r="O89"/>
  <c r="L15"/>
  <c r="J15"/>
  <c r="H15"/>
  <c r="F15"/>
  <c r="G57"/>
  <c r="D15"/>
  <c r="E57"/>
  <c r="H9"/>
  <c r="I8"/>
  <c r="D99" i="19"/>
  <c r="R98"/>
  <c r="D98"/>
  <c r="D97"/>
  <c r="D96"/>
  <c r="D95"/>
  <c r="D94"/>
  <c r="D93"/>
  <c r="D92"/>
  <c r="D90"/>
  <c r="D89"/>
  <c r="D88"/>
  <c r="D87"/>
  <c r="D86"/>
  <c r="D85"/>
  <c r="D84"/>
  <c r="D91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D18"/>
  <c r="Q17"/>
  <c r="D15"/>
  <c r="I8"/>
  <c r="J7"/>
  <c r="R41" i="18"/>
  <c r="Q41"/>
  <c r="P19" i="23"/>
  <c r="P82"/>
  <c r="X81" i="17"/>
  <c r="X58"/>
  <c r="X44"/>
  <c r="X24"/>
  <c r="X12"/>
  <c r="X55"/>
  <c r="X53"/>
  <c r="X23"/>
  <c r="X21"/>
  <c r="O57" i="20"/>
  <c r="H28" i="21"/>
  <c r="P44"/>
  <c r="R49"/>
  <c r="P23"/>
  <c r="F85"/>
  <c r="P26"/>
  <c r="P28"/>
  <c r="P78"/>
  <c r="P31"/>
  <c r="N27"/>
  <c r="X86"/>
  <c r="G21"/>
  <c r="H21"/>
  <c r="W57" i="20"/>
  <c r="P46" i="21"/>
  <c r="P50"/>
  <c r="P58"/>
  <c r="J64"/>
  <c r="P22"/>
  <c r="P24"/>
  <c r="P25"/>
  <c r="P27"/>
  <c r="J60"/>
  <c r="F84"/>
  <c r="P72"/>
  <c r="T72"/>
  <c r="T84"/>
  <c r="T71"/>
  <c r="X72"/>
  <c r="T52"/>
  <c r="P81"/>
  <c r="P86"/>
  <c r="X71"/>
  <c r="T73"/>
  <c r="T87"/>
  <c r="N61" i="11"/>
  <c r="M41" i="18"/>
  <c r="O96" i="16"/>
  <c r="O95"/>
  <c r="O83"/>
  <c r="O73"/>
  <c r="O69"/>
  <c r="O54"/>
  <c r="O50"/>
  <c r="O49"/>
  <c r="O46"/>
  <c r="O42"/>
  <c r="O41"/>
  <c r="O37"/>
  <c r="O34"/>
  <c r="O33"/>
  <c r="O30"/>
  <c r="O29"/>
  <c r="O85"/>
  <c r="O76"/>
  <c r="O72"/>
  <c r="O67"/>
  <c r="O63"/>
  <c r="O56"/>
  <c r="O51"/>
  <c r="O47"/>
  <c r="O44"/>
  <c r="O43"/>
  <c r="O39"/>
  <c r="O36"/>
  <c r="O32"/>
  <c r="O31"/>
  <c r="O28"/>
  <c r="O89"/>
  <c r="O88"/>
  <c r="O84"/>
  <c r="O80"/>
  <c r="O77"/>
  <c r="O71"/>
  <c r="O68"/>
  <c r="O64"/>
  <c r="P86" i="14"/>
  <c r="O86"/>
  <c r="N86"/>
  <c r="M86"/>
  <c r="L86"/>
  <c r="K86"/>
  <c r="J86"/>
  <c r="I86"/>
  <c r="H86"/>
  <c r="G86"/>
  <c r="F86"/>
  <c r="G74"/>
  <c r="F74"/>
  <c r="G68"/>
  <c r="F68"/>
  <c r="O87" i="16"/>
  <c r="O82"/>
  <c r="O79"/>
  <c r="O78"/>
  <c r="O70"/>
  <c r="O66"/>
  <c r="O62"/>
  <c r="O65"/>
  <c r="P68" i="14"/>
  <c r="P74"/>
  <c r="P51"/>
  <c r="P52"/>
  <c r="O68"/>
  <c r="O74"/>
  <c r="N68"/>
  <c r="N74"/>
  <c r="N51"/>
  <c r="N52"/>
  <c r="M68"/>
  <c r="M74"/>
  <c r="L68"/>
  <c r="L74"/>
  <c r="K68"/>
  <c r="K74"/>
  <c r="J68"/>
  <c r="J74"/>
  <c r="I68"/>
  <c r="I74"/>
  <c r="H68"/>
  <c r="H74"/>
  <c r="P20"/>
  <c r="P28"/>
  <c r="P33"/>
  <c r="P38"/>
  <c r="P45"/>
  <c r="O20"/>
  <c r="O28"/>
  <c r="O33"/>
  <c r="O38"/>
  <c r="O45"/>
  <c r="N20"/>
  <c r="N28"/>
  <c r="N33"/>
  <c r="N38"/>
  <c r="N45"/>
  <c r="M20"/>
  <c r="M28"/>
  <c r="M33"/>
  <c r="M38"/>
  <c r="M45"/>
  <c r="L20"/>
  <c r="L28"/>
  <c r="L33"/>
  <c r="L38"/>
  <c r="L45"/>
  <c r="K20"/>
  <c r="K28"/>
  <c r="K33"/>
  <c r="K38"/>
  <c r="K45"/>
  <c r="J20"/>
  <c r="J28"/>
  <c r="J33"/>
  <c r="J38"/>
  <c r="J45"/>
  <c r="I20"/>
  <c r="I28"/>
  <c r="I33"/>
  <c r="I38"/>
  <c r="I45"/>
  <c r="H20"/>
  <c r="H28"/>
  <c r="H33"/>
  <c r="H38"/>
  <c r="H45"/>
  <c r="G20"/>
  <c r="G28"/>
  <c r="G33"/>
  <c r="G38"/>
  <c r="G45"/>
  <c r="F20"/>
  <c r="F28"/>
  <c r="F33"/>
  <c r="F38"/>
  <c r="F45"/>
  <c r="K51"/>
  <c r="H18"/>
  <c r="K40" i="18"/>
  <c r="K42"/>
  <c r="L41"/>
  <c r="K41"/>
  <c r="Q95" i="14"/>
  <c r="Q94"/>
  <c r="Q93"/>
  <c r="Q92"/>
  <c r="Q83"/>
  <c r="Q89"/>
  <c r="Q88"/>
  <c r="Q87"/>
  <c r="Q82"/>
  <c r="Q81"/>
  <c r="Q80"/>
  <c r="Q79"/>
  <c r="Q78"/>
  <c r="Q77"/>
  <c r="Q76"/>
  <c r="Q75"/>
  <c r="Q73"/>
  <c r="Q72"/>
  <c r="Q71"/>
  <c r="Q70"/>
  <c r="Q69"/>
  <c r="Q66"/>
  <c r="Q65"/>
  <c r="Q64"/>
  <c r="Q63"/>
  <c r="Q62"/>
  <c r="Q61"/>
  <c r="Q60"/>
  <c r="Q59"/>
  <c r="Q58"/>
  <c r="Q57"/>
  <c r="Q56"/>
  <c r="Q55"/>
  <c r="Q50"/>
  <c r="Q49"/>
  <c r="Q48"/>
  <c r="Q47"/>
  <c r="Q46"/>
  <c r="Q44"/>
  <c r="Q43"/>
  <c r="Q42"/>
  <c r="Q41"/>
  <c r="Q40"/>
  <c r="Q39"/>
  <c r="Q37"/>
  <c r="Q36"/>
  <c r="Q35"/>
  <c r="Q34"/>
  <c r="Q32"/>
  <c r="Q31"/>
  <c r="Q30"/>
  <c r="Q29"/>
  <c r="Q27"/>
  <c r="Q26"/>
  <c r="Q25"/>
  <c r="Q24"/>
  <c r="Q23"/>
  <c r="Q22"/>
  <c r="Q21"/>
  <c r="P39" i="17"/>
  <c r="O73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P65"/>
  <c r="P66"/>
  <c r="P67"/>
  <c r="P68"/>
  <c r="P69"/>
  <c r="P75"/>
  <c r="P76"/>
  <c r="P77"/>
  <c r="P71"/>
  <c r="P80"/>
  <c r="P81"/>
  <c r="P82"/>
  <c r="P83"/>
  <c r="P7"/>
  <c r="O87" i="7"/>
  <c r="O86"/>
  <c r="M87"/>
  <c r="M86"/>
  <c r="K87"/>
  <c r="K86"/>
  <c r="I87"/>
  <c r="I86"/>
  <c r="G87"/>
  <c r="G86"/>
  <c r="E87"/>
  <c r="E86"/>
  <c r="Q99" i="15"/>
  <c r="P92"/>
  <c r="P74"/>
  <c r="Q85" i="7"/>
  <c r="R95" i="10"/>
  <c r="R95" i="19"/>
  <c r="Q75" i="16"/>
  <c r="W45" i="21"/>
  <c r="X45"/>
  <c r="R60" i="11"/>
  <c r="P21"/>
  <c r="P41"/>
  <c r="P74"/>
  <c r="P80"/>
  <c r="P80" i="20"/>
  <c r="S88" i="10"/>
  <c r="T88"/>
  <c r="Q55"/>
  <c r="Q54"/>
  <c r="Q52"/>
  <c r="Q46"/>
  <c r="Q37" i="21"/>
  <c r="Q39" i="10"/>
  <c r="Q34"/>
  <c r="Q34" i="19"/>
  <c r="Q29" i="10"/>
  <c r="R29"/>
  <c r="R29" i="19"/>
  <c r="Q21" i="10"/>
  <c r="Q69" i="19"/>
  <c r="P30" i="20"/>
  <c r="R74"/>
  <c r="R80"/>
  <c r="S38" i="21"/>
  <c r="T38"/>
  <c r="S27"/>
  <c r="T27"/>
  <c r="S26"/>
  <c r="T26"/>
  <c r="S31"/>
  <c r="T31"/>
  <c r="Q68"/>
  <c r="Q80"/>
  <c r="R80"/>
  <c r="S24"/>
  <c r="T24"/>
  <c r="S29"/>
  <c r="T29"/>
  <c r="S33"/>
  <c r="T33"/>
  <c r="S51"/>
  <c r="S23"/>
  <c r="T23"/>
  <c r="S22"/>
  <c r="S25"/>
  <c r="T25"/>
  <c r="S34"/>
  <c r="T34"/>
  <c r="S32"/>
  <c r="T32"/>
  <c r="Q88" i="10"/>
  <c r="R88"/>
  <c r="S21"/>
  <c r="S55"/>
  <c r="T55"/>
  <c r="T55" i="19"/>
  <c r="S29" i="10"/>
  <c r="S29" i="19"/>
  <c r="T34" i="10"/>
  <c r="T34" i="19"/>
  <c r="S39"/>
  <c r="T51" i="21"/>
  <c r="U25"/>
  <c r="W55" i="19"/>
  <c r="T95" i="10"/>
  <c r="X95"/>
  <c r="X95" i="19"/>
  <c r="Q95"/>
  <c r="Q85" i="21"/>
  <c r="S95" i="19"/>
  <c r="S85" i="21"/>
  <c r="T85"/>
  <c r="U95" i="19"/>
  <c r="U85" i="21"/>
  <c r="I42" i="18"/>
  <c r="W95" i="19"/>
  <c r="W85" i="21"/>
  <c r="X85"/>
  <c r="D80" i="15"/>
  <c r="J41" i="18"/>
  <c r="I41"/>
  <c r="Q56" i="15"/>
  <c r="H41" i="18"/>
  <c r="G41"/>
  <c r="D44"/>
  <c r="D33"/>
  <c r="D39"/>
  <c r="D45"/>
  <c r="D43"/>
  <c r="D42"/>
  <c r="F41"/>
  <c r="E41"/>
  <c r="D28"/>
  <c r="D34"/>
  <c r="D23"/>
  <c r="D32"/>
  <c r="D31"/>
  <c r="D22"/>
  <c r="D21"/>
  <c r="D20"/>
  <c r="D18"/>
  <c r="I8"/>
  <c r="J7"/>
  <c r="M25" i="16"/>
  <c r="F25"/>
  <c r="S16" i="7"/>
  <c r="R16" i="11"/>
  <c r="S16" i="10"/>
  <c r="O74" i="17"/>
  <c r="N74"/>
  <c r="M74"/>
  <c r="L74"/>
  <c r="K74"/>
  <c r="J74"/>
  <c r="I74"/>
  <c r="H74"/>
  <c r="G74"/>
  <c r="F74"/>
  <c r="E74"/>
  <c r="D74"/>
  <c r="T74"/>
  <c r="K72"/>
  <c r="K73"/>
  <c r="I72"/>
  <c r="M72"/>
  <c r="J72"/>
  <c r="R95" i="16"/>
  <c r="R88"/>
  <c r="R87"/>
  <c r="R84"/>
  <c r="R83"/>
  <c r="R82"/>
  <c r="R79"/>
  <c r="R78"/>
  <c r="R77"/>
  <c r="R76"/>
  <c r="R73"/>
  <c r="R72"/>
  <c r="R71"/>
  <c r="R70"/>
  <c r="R69"/>
  <c r="R68"/>
  <c r="R67"/>
  <c r="R66"/>
  <c r="R65"/>
  <c r="R64"/>
  <c r="R63"/>
  <c r="R62"/>
  <c r="R57"/>
  <c r="R56"/>
  <c r="R55"/>
  <c r="R54"/>
  <c r="R53"/>
  <c r="R51"/>
  <c r="R50"/>
  <c r="R49"/>
  <c r="R48"/>
  <c r="R47"/>
  <c r="R46"/>
  <c r="R44"/>
  <c r="R43"/>
  <c r="R42"/>
  <c r="R41"/>
  <c r="R39"/>
  <c r="R38"/>
  <c r="R37"/>
  <c r="R36"/>
  <c r="R34"/>
  <c r="R33"/>
  <c r="R32"/>
  <c r="R31"/>
  <c r="R30"/>
  <c r="R29"/>
  <c r="R28"/>
  <c r="D24"/>
  <c r="D15"/>
  <c r="D15" i="10"/>
  <c r="D104" i="16"/>
  <c r="D103"/>
  <c r="D102"/>
  <c r="D101"/>
  <c r="D100"/>
  <c r="D99"/>
  <c r="D98"/>
  <c r="D97"/>
  <c r="D90"/>
  <c r="D96"/>
  <c r="D95"/>
  <c r="D94"/>
  <c r="D93"/>
  <c r="D92"/>
  <c r="D91"/>
  <c r="D89"/>
  <c r="D88"/>
  <c r="D87"/>
  <c r="D86"/>
  <c r="D85"/>
  <c r="D84"/>
  <c r="D83"/>
  <c r="D82"/>
  <c r="D81"/>
  <c r="D80"/>
  <c r="D79"/>
  <c r="D78"/>
  <c r="D77"/>
  <c r="D76"/>
  <c r="D75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H9"/>
  <c r="I8"/>
  <c r="E46" i="19"/>
  <c r="E22" i="7"/>
  <c r="E23"/>
  <c r="E24"/>
  <c r="E25"/>
  <c r="E26"/>
  <c r="E27"/>
  <c r="E28"/>
  <c r="E29"/>
  <c r="E31"/>
  <c r="E32"/>
  <c r="E33"/>
  <c r="E34"/>
  <c r="D35" i="11"/>
  <c r="D41"/>
  <c r="D41" i="20"/>
  <c r="D51" i="11"/>
  <c r="E38" i="7"/>
  <c r="E43"/>
  <c r="E44"/>
  <c r="E45"/>
  <c r="E46"/>
  <c r="E47"/>
  <c r="E48"/>
  <c r="E49"/>
  <c r="E51"/>
  <c r="E52"/>
  <c r="E53"/>
  <c r="E54"/>
  <c r="E50"/>
  <c r="E55"/>
  <c r="E57"/>
  <c r="E58"/>
  <c r="E59"/>
  <c r="E60"/>
  <c r="E61"/>
  <c r="E63"/>
  <c r="E64"/>
  <c r="E65"/>
  <c r="E66"/>
  <c r="E69"/>
  <c r="E67"/>
  <c r="E70"/>
  <c r="E73"/>
  <c r="E75"/>
  <c r="E79"/>
  <c r="E80"/>
  <c r="E81"/>
  <c r="E74"/>
  <c r="Q15"/>
  <c r="D45" i="15"/>
  <c r="D23"/>
  <c r="E15"/>
  <c r="Q101"/>
  <c r="Q100"/>
  <c r="Q98"/>
  <c r="Q89"/>
  <c r="Q95"/>
  <c r="Q94"/>
  <c r="Q93"/>
  <c r="K94" i="16"/>
  <c r="Q88" i="15"/>
  <c r="J89" i="16"/>
  <c r="Q87" i="15"/>
  <c r="S87"/>
  <c r="U87"/>
  <c r="Q86"/>
  <c r="Q85"/>
  <c r="S85"/>
  <c r="Q84"/>
  <c r="S84"/>
  <c r="U84"/>
  <c r="Q83"/>
  <c r="Q82"/>
  <c r="Q81"/>
  <c r="Q79"/>
  <c r="Q78"/>
  <c r="Q77"/>
  <c r="S77"/>
  <c r="Q76"/>
  <c r="Q75"/>
  <c r="Q55"/>
  <c r="J56" i="16"/>
  <c r="Q54" i="15"/>
  <c r="Q53"/>
  <c r="K54" i="16"/>
  <c r="Q52" i="15"/>
  <c r="Q50"/>
  <c r="Q49"/>
  <c r="J50" i="16"/>
  <c r="Q48" i="15"/>
  <c r="Q47"/>
  <c r="K48" i="16"/>
  <c r="Q46" i="15"/>
  <c r="Q45"/>
  <c r="G46" i="16"/>
  <c r="Q43" i="15"/>
  <c r="Q42"/>
  <c r="Q41"/>
  <c r="Q40"/>
  <c r="Q38"/>
  <c r="Q37"/>
  <c r="Q36"/>
  <c r="Q35"/>
  <c r="Q33"/>
  <c r="Q32"/>
  <c r="Q31"/>
  <c r="Q30"/>
  <c r="Q29"/>
  <c r="Q28"/>
  <c r="Q27"/>
  <c r="D103"/>
  <c r="D102"/>
  <c r="D101"/>
  <c r="D100"/>
  <c r="D99"/>
  <c r="D98"/>
  <c r="D97"/>
  <c r="D96"/>
  <c r="D89"/>
  <c r="D95"/>
  <c r="D94"/>
  <c r="D93"/>
  <c r="D92"/>
  <c r="D91"/>
  <c r="D90"/>
  <c r="D88"/>
  <c r="D87"/>
  <c r="D86"/>
  <c r="D85"/>
  <c r="D84"/>
  <c r="D83"/>
  <c r="D82"/>
  <c r="D81"/>
  <c r="D79"/>
  <c r="D78"/>
  <c r="D77"/>
  <c r="D76"/>
  <c r="D75"/>
  <c r="D74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P24"/>
  <c r="O24"/>
  <c r="N24"/>
  <c r="M24"/>
  <c r="L24"/>
  <c r="K24"/>
  <c r="J24"/>
  <c r="I24"/>
  <c r="H24"/>
  <c r="G24"/>
  <c r="F24"/>
  <c r="E24"/>
  <c r="D20"/>
  <c r="E14"/>
  <c r="D14" i="14"/>
  <c r="C99" i="11"/>
  <c r="C90"/>
  <c r="C97"/>
  <c r="D89" i="7"/>
  <c r="D97" i="14"/>
  <c r="D96"/>
  <c r="D95"/>
  <c r="D94"/>
  <c r="D93"/>
  <c r="D92"/>
  <c r="D91"/>
  <c r="D90"/>
  <c r="D83"/>
  <c r="D89"/>
  <c r="D88"/>
  <c r="D87"/>
  <c r="D86"/>
  <c r="D85"/>
  <c r="D84"/>
  <c r="D82"/>
  <c r="D81"/>
  <c r="D80"/>
  <c r="D79"/>
  <c r="D78"/>
  <c r="D77"/>
  <c r="D76"/>
  <c r="D75"/>
  <c r="D74"/>
  <c r="D73"/>
  <c r="D72"/>
  <c r="D71"/>
  <c r="D70"/>
  <c r="D69"/>
  <c r="D68"/>
  <c r="D66"/>
  <c r="D65"/>
  <c r="D64"/>
  <c r="D63"/>
  <c r="D62"/>
  <c r="D61"/>
  <c r="D60"/>
  <c r="D59"/>
  <c r="D58"/>
  <c r="D57"/>
  <c r="D56"/>
  <c r="D55"/>
  <c r="D54"/>
  <c r="D53"/>
  <c r="D52"/>
  <c r="D51"/>
  <c r="G9"/>
  <c r="H8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7"/>
  <c r="Q18"/>
  <c r="P18"/>
  <c r="AA40" i="18"/>
  <c r="O18" i="14"/>
  <c r="Y40" i="18"/>
  <c r="N18" i="14"/>
  <c r="W40" i="18"/>
  <c r="M18" i="14"/>
  <c r="U40" i="18"/>
  <c r="L18" i="14"/>
  <c r="S40" i="18"/>
  <c r="K18" i="14"/>
  <c r="Q40" i="18"/>
  <c r="J18" i="14"/>
  <c r="O40" i="18"/>
  <c r="I18" i="14"/>
  <c r="M40" i="18"/>
  <c r="G18" i="14"/>
  <c r="I40" i="18"/>
  <c r="F18" i="14"/>
  <c r="G40" i="18"/>
  <c r="E18" i="14"/>
  <c r="E40" i="18"/>
  <c r="D88" i="7"/>
  <c r="D87"/>
  <c r="D86"/>
  <c r="D85"/>
  <c r="D84"/>
  <c r="D83"/>
  <c r="D82"/>
  <c r="D74"/>
  <c r="D81"/>
  <c r="D80"/>
  <c r="D79"/>
  <c r="D78"/>
  <c r="D77"/>
  <c r="D76"/>
  <c r="D75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8"/>
  <c r="T19"/>
  <c r="S19"/>
  <c r="R19"/>
  <c r="Q19"/>
  <c r="P19"/>
  <c r="O19"/>
  <c r="N19"/>
  <c r="M19"/>
  <c r="L19"/>
  <c r="K19"/>
  <c r="J19"/>
  <c r="I19"/>
  <c r="H19"/>
  <c r="G19"/>
  <c r="F19"/>
  <c r="E19"/>
  <c r="E15"/>
  <c r="F15"/>
  <c r="G15"/>
  <c r="H15"/>
  <c r="I15"/>
  <c r="J15"/>
  <c r="K15"/>
  <c r="L15"/>
  <c r="M15"/>
  <c r="N15"/>
  <c r="O15"/>
  <c r="P15"/>
  <c r="R15"/>
  <c r="T15"/>
  <c r="I8"/>
  <c r="J7"/>
  <c r="I8" i="11"/>
  <c r="H30"/>
  <c r="H30" i="20"/>
  <c r="F35" i="11"/>
  <c r="G35" i="7"/>
  <c r="H35"/>
  <c r="H35" i="11"/>
  <c r="H35" i="20"/>
  <c r="S19" i="11"/>
  <c r="R19"/>
  <c r="Q19"/>
  <c r="P19"/>
  <c r="O19"/>
  <c r="N19"/>
  <c r="M19"/>
  <c r="L19"/>
  <c r="K19"/>
  <c r="J19"/>
  <c r="I19"/>
  <c r="H19"/>
  <c r="G19"/>
  <c r="F19"/>
  <c r="E19"/>
  <c r="D19"/>
  <c r="C106"/>
  <c r="J80"/>
  <c r="J80" i="20"/>
  <c r="T19" i="10"/>
  <c r="S19"/>
  <c r="R19"/>
  <c r="Q19"/>
  <c r="C105" i="11"/>
  <c r="C104"/>
  <c r="C103"/>
  <c r="C102"/>
  <c r="C98"/>
  <c r="C96"/>
  <c r="C95"/>
  <c r="C94"/>
  <c r="C93"/>
  <c r="C92"/>
  <c r="C91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8"/>
  <c r="D15"/>
  <c r="F15"/>
  <c r="G54"/>
  <c r="G54" i="20"/>
  <c r="H15" i="11"/>
  <c r="J15"/>
  <c r="K100"/>
  <c r="K99" i="20"/>
  <c r="L15" i="11"/>
  <c r="N15"/>
  <c r="O28"/>
  <c r="O28" i="20"/>
  <c r="P15" i="11"/>
  <c r="O34" i="19"/>
  <c r="K29"/>
  <c r="K21"/>
  <c r="I55"/>
  <c r="G34"/>
  <c r="P97"/>
  <c r="P95"/>
  <c r="P90"/>
  <c r="P88"/>
  <c r="P84"/>
  <c r="P83"/>
  <c r="P81"/>
  <c r="P79"/>
  <c r="P77"/>
  <c r="P74"/>
  <c r="P72"/>
  <c r="P71"/>
  <c r="P70"/>
  <c r="P68"/>
  <c r="P66"/>
  <c r="P64"/>
  <c r="P62"/>
  <c r="P60"/>
  <c r="P59"/>
  <c r="P58"/>
  <c r="P56"/>
  <c r="P51"/>
  <c r="P50"/>
  <c r="P49"/>
  <c r="P47"/>
  <c r="P45"/>
  <c r="P43"/>
  <c r="P42"/>
  <c r="P41"/>
  <c r="P37"/>
  <c r="P36"/>
  <c r="P35"/>
  <c r="P32"/>
  <c r="P31"/>
  <c r="P30"/>
  <c r="P27"/>
  <c r="P25"/>
  <c r="P23"/>
  <c r="N96"/>
  <c r="N95"/>
  <c r="N94"/>
  <c r="N91"/>
  <c r="N89"/>
  <c r="N88"/>
  <c r="N82"/>
  <c r="N80"/>
  <c r="N78"/>
  <c r="N77"/>
  <c r="N76"/>
  <c r="N73"/>
  <c r="N72"/>
  <c r="N71"/>
  <c r="N68"/>
  <c r="N66"/>
  <c r="N64"/>
  <c r="N62"/>
  <c r="N60"/>
  <c r="N58"/>
  <c r="N56"/>
  <c r="N51"/>
  <c r="N49"/>
  <c r="N47"/>
  <c r="N44"/>
  <c r="N43"/>
  <c r="N42"/>
  <c r="N40"/>
  <c r="N38"/>
  <c r="N37"/>
  <c r="N36"/>
  <c r="N33"/>
  <c r="N32"/>
  <c r="N31"/>
  <c r="N28"/>
  <c r="N27"/>
  <c r="N25"/>
  <c r="N24"/>
  <c r="N23"/>
  <c r="L96"/>
  <c r="L95"/>
  <c r="L94"/>
  <c r="L89"/>
  <c r="L82"/>
  <c r="L80"/>
  <c r="L78"/>
  <c r="L77"/>
  <c r="L76"/>
  <c r="L73"/>
  <c r="L71"/>
  <c r="L68"/>
  <c r="L67"/>
  <c r="L65"/>
  <c r="L64"/>
  <c r="L63"/>
  <c r="L61"/>
  <c r="L59"/>
  <c r="L57"/>
  <c r="L51"/>
  <c r="L50"/>
  <c r="L48"/>
  <c r="L47"/>
  <c r="L44"/>
  <c r="L43"/>
  <c r="L42"/>
  <c r="L40"/>
  <c r="L37"/>
  <c r="L33"/>
  <c r="L32"/>
  <c r="L31"/>
  <c r="L28"/>
  <c r="L26"/>
  <c r="L24"/>
  <c r="L22"/>
  <c r="J97"/>
  <c r="J95"/>
  <c r="J94"/>
  <c r="J90"/>
  <c r="J88"/>
  <c r="J84"/>
  <c r="J83"/>
  <c r="J81"/>
  <c r="J79"/>
  <c r="J77"/>
  <c r="J74"/>
  <c r="J73"/>
  <c r="J72"/>
  <c r="J70"/>
  <c r="J68"/>
  <c r="J67"/>
  <c r="J65"/>
  <c r="J63"/>
  <c r="J61"/>
  <c r="J59"/>
  <c r="J57"/>
  <c r="J50"/>
  <c r="J48"/>
  <c r="J47"/>
  <c r="J45"/>
  <c r="J43"/>
  <c r="J42"/>
  <c r="J41"/>
  <c r="J38"/>
  <c r="J37"/>
  <c r="J35"/>
  <c r="J33"/>
  <c r="J32"/>
  <c r="J30"/>
  <c r="J28"/>
  <c r="J27"/>
  <c r="J26"/>
  <c r="J24"/>
  <c r="J23"/>
  <c r="J22"/>
  <c r="H97"/>
  <c r="H95"/>
  <c r="H90"/>
  <c r="H88"/>
  <c r="H84"/>
  <c r="H83"/>
  <c r="H81"/>
  <c r="H79"/>
  <c r="H77"/>
  <c r="H74"/>
  <c r="H73"/>
  <c r="H72"/>
  <c r="H70"/>
  <c r="H68"/>
  <c r="H66"/>
  <c r="H65"/>
  <c r="H64"/>
  <c r="H62"/>
  <c r="H61"/>
  <c r="H60"/>
  <c r="H58"/>
  <c r="H56"/>
  <c r="H51"/>
  <c r="H49"/>
  <c r="H48"/>
  <c r="H47"/>
  <c r="H45"/>
  <c r="H44"/>
  <c r="H43"/>
  <c r="H41"/>
  <c r="H40"/>
  <c r="H38"/>
  <c r="H37"/>
  <c r="H35"/>
  <c r="H33"/>
  <c r="H32"/>
  <c r="H30"/>
  <c r="H28"/>
  <c r="H27"/>
  <c r="H25"/>
  <c r="H23"/>
  <c r="F97"/>
  <c r="F96"/>
  <c r="F94"/>
  <c r="F91"/>
  <c r="F90"/>
  <c r="F89"/>
  <c r="F83"/>
  <c r="F82"/>
  <c r="F80"/>
  <c r="F78"/>
  <c r="F76"/>
  <c r="F73"/>
  <c r="F71"/>
  <c r="F70"/>
  <c r="F68"/>
  <c r="F66"/>
  <c r="F65"/>
  <c r="F64"/>
  <c r="F62"/>
  <c r="F60"/>
  <c r="F58"/>
  <c r="F56"/>
  <c r="F51"/>
  <c r="F50"/>
  <c r="F49"/>
  <c r="F47"/>
  <c r="F45"/>
  <c r="F44"/>
  <c r="F42"/>
  <c r="F41"/>
  <c r="F40"/>
  <c r="F38"/>
  <c r="F36"/>
  <c r="F35"/>
  <c r="F33"/>
  <c r="F31"/>
  <c r="F30"/>
  <c r="F27"/>
  <c r="F26"/>
  <c r="F25"/>
  <c r="F23"/>
  <c r="F22"/>
  <c r="D75" i="10"/>
  <c r="D99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73" i="15"/>
  <c r="D69" i="10"/>
  <c r="D70"/>
  <c r="D71"/>
  <c r="D72"/>
  <c r="D73"/>
  <c r="D74"/>
  <c r="D76"/>
  <c r="D77"/>
  <c r="D78"/>
  <c r="D79"/>
  <c r="D80"/>
  <c r="D81"/>
  <c r="D82"/>
  <c r="D83"/>
  <c r="D85"/>
  <c r="D86"/>
  <c r="D87"/>
  <c r="D88"/>
  <c r="D89"/>
  <c r="D90"/>
  <c r="D91"/>
  <c r="D84"/>
  <c r="D92"/>
  <c r="D93"/>
  <c r="D94"/>
  <c r="D95"/>
  <c r="D96"/>
  <c r="D97"/>
  <c r="D98"/>
  <c r="D20"/>
  <c r="D18"/>
  <c r="D19"/>
  <c r="V9"/>
  <c r="W8"/>
  <c r="H94" i="11"/>
  <c r="H9"/>
  <c r="Q81" i="7"/>
  <c r="Q80"/>
  <c r="Q79"/>
  <c r="Q75"/>
  <c r="K43"/>
  <c r="F80" i="11"/>
  <c r="F80" i="20"/>
  <c r="L105" i="11"/>
  <c r="L104" i="20"/>
  <c r="J105" i="11"/>
  <c r="K105"/>
  <c r="K104" i="20"/>
  <c r="H105" i="11"/>
  <c r="H104" i="20"/>
  <c r="F105" i="11"/>
  <c r="D105"/>
  <c r="F94"/>
  <c r="D94"/>
  <c r="D80"/>
  <c r="D21"/>
  <c r="I80" i="7"/>
  <c r="H80" i="11"/>
  <c r="H80" i="20"/>
  <c r="H74" i="11"/>
  <c r="H74" i="20"/>
  <c r="H51" i="11"/>
  <c r="H41"/>
  <c r="H41" i="20"/>
  <c r="L80" i="11"/>
  <c r="L74"/>
  <c r="L74" i="20"/>
  <c r="J74" i="11"/>
  <c r="K74"/>
  <c r="K74" i="20"/>
  <c r="J51" i="11"/>
  <c r="J41"/>
  <c r="J41" i="20"/>
  <c r="J35" i="11"/>
  <c r="F74"/>
  <c r="F74" i="20"/>
  <c r="F51" i="11"/>
  <c r="G51"/>
  <c r="G51" i="20"/>
  <c r="F41" i="11"/>
  <c r="F41" i="20"/>
  <c r="D74" i="11"/>
  <c r="D74" i="20"/>
  <c r="O68" i="7"/>
  <c r="M68"/>
  <c r="K68"/>
  <c r="I68"/>
  <c r="G68"/>
  <c r="G55"/>
  <c r="O85"/>
  <c r="O84"/>
  <c r="M85"/>
  <c r="M84"/>
  <c r="K85"/>
  <c r="K84"/>
  <c r="I85"/>
  <c r="I84"/>
  <c r="G85"/>
  <c r="G84"/>
  <c r="E85"/>
  <c r="E84"/>
  <c r="O74"/>
  <c r="O81"/>
  <c r="O80"/>
  <c r="O79"/>
  <c r="M74"/>
  <c r="M81"/>
  <c r="M80"/>
  <c r="M79"/>
  <c r="K74"/>
  <c r="K81"/>
  <c r="K80"/>
  <c r="K79"/>
  <c r="I74"/>
  <c r="I81"/>
  <c r="I79"/>
  <c r="G74"/>
  <c r="G81"/>
  <c r="G80"/>
  <c r="G79"/>
  <c r="O75"/>
  <c r="O73"/>
  <c r="M75"/>
  <c r="M73"/>
  <c r="K75"/>
  <c r="K73"/>
  <c r="I75"/>
  <c r="I73"/>
  <c r="G75"/>
  <c r="G73"/>
  <c r="O70"/>
  <c r="M70"/>
  <c r="K70"/>
  <c r="I70"/>
  <c r="G70"/>
  <c r="O69"/>
  <c r="M69"/>
  <c r="K69"/>
  <c r="I69"/>
  <c r="G69"/>
  <c r="G67"/>
  <c r="O66"/>
  <c r="O65"/>
  <c r="O64"/>
  <c r="O63"/>
  <c r="M66"/>
  <c r="M65"/>
  <c r="M64"/>
  <c r="M63"/>
  <c r="K66"/>
  <c r="K65"/>
  <c r="K64"/>
  <c r="K63"/>
  <c r="I66"/>
  <c r="I65"/>
  <c r="I64"/>
  <c r="I63"/>
  <c r="G66"/>
  <c r="G65"/>
  <c r="G64"/>
  <c r="G63"/>
  <c r="O61"/>
  <c r="O60"/>
  <c r="O59"/>
  <c r="O58"/>
  <c r="O57"/>
  <c r="M61"/>
  <c r="M60"/>
  <c r="M59"/>
  <c r="M58"/>
  <c r="M57"/>
  <c r="K61"/>
  <c r="K60"/>
  <c r="K59"/>
  <c r="K58"/>
  <c r="K57"/>
  <c r="I61"/>
  <c r="I60"/>
  <c r="I59"/>
  <c r="I58"/>
  <c r="I57"/>
  <c r="G61"/>
  <c r="G60"/>
  <c r="G59"/>
  <c r="G58"/>
  <c r="G57"/>
  <c r="O55"/>
  <c r="M55"/>
  <c r="K55"/>
  <c r="I55"/>
  <c r="O54"/>
  <c r="O53"/>
  <c r="O52"/>
  <c r="O51"/>
  <c r="O50"/>
  <c r="O49"/>
  <c r="O48"/>
  <c r="O47"/>
  <c r="O46"/>
  <c r="O45"/>
  <c r="O44"/>
  <c r="O43"/>
  <c r="M54"/>
  <c r="M53"/>
  <c r="M52"/>
  <c r="M51"/>
  <c r="M50"/>
  <c r="M49"/>
  <c r="M48"/>
  <c r="M47"/>
  <c r="M46"/>
  <c r="M45"/>
  <c r="M44"/>
  <c r="M43"/>
  <c r="K54"/>
  <c r="K53"/>
  <c r="K52"/>
  <c r="K51"/>
  <c r="K50"/>
  <c r="K49"/>
  <c r="K48"/>
  <c r="K47"/>
  <c r="K46"/>
  <c r="K45"/>
  <c r="K44"/>
  <c r="I54"/>
  <c r="I53"/>
  <c r="I52"/>
  <c r="I51"/>
  <c r="I50"/>
  <c r="I49"/>
  <c r="I48"/>
  <c r="I47"/>
  <c r="I46"/>
  <c r="I45"/>
  <c r="I44"/>
  <c r="I43"/>
  <c r="G54"/>
  <c r="G53"/>
  <c r="G52"/>
  <c r="G51"/>
  <c r="G50"/>
  <c r="G49"/>
  <c r="G48"/>
  <c r="G47"/>
  <c r="G46"/>
  <c r="G45"/>
  <c r="G44"/>
  <c r="G43"/>
  <c r="O38"/>
  <c r="M38"/>
  <c r="K38"/>
  <c r="I38"/>
  <c r="G38"/>
  <c r="O29"/>
  <c r="M29"/>
  <c r="K29"/>
  <c r="I29"/>
  <c r="G29"/>
  <c r="O28"/>
  <c r="M28"/>
  <c r="K28"/>
  <c r="I28"/>
  <c r="G28"/>
  <c r="O24"/>
  <c r="M24"/>
  <c r="K24"/>
  <c r="I24"/>
  <c r="G24"/>
  <c r="O27"/>
  <c r="O26"/>
  <c r="O25"/>
  <c r="M27"/>
  <c r="M26"/>
  <c r="M25"/>
  <c r="K27"/>
  <c r="K26"/>
  <c r="K25"/>
  <c r="I27"/>
  <c r="I26"/>
  <c r="I25"/>
  <c r="G27"/>
  <c r="G26"/>
  <c r="G25"/>
  <c r="O23"/>
  <c r="M23"/>
  <c r="K23"/>
  <c r="I23"/>
  <c r="G23"/>
  <c r="O22"/>
  <c r="M22"/>
  <c r="K22"/>
  <c r="I22"/>
  <c r="G22"/>
  <c r="O34"/>
  <c r="O33"/>
  <c r="O32"/>
  <c r="O31"/>
  <c r="M34"/>
  <c r="M33"/>
  <c r="M32"/>
  <c r="M31"/>
  <c r="K34"/>
  <c r="K33"/>
  <c r="K32"/>
  <c r="K31"/>
  <c r="I34"/>
  <c r="I33"/>
  <c r="I32"/>
  <c r="I31"/>
  <c r="G34"/>
  <c r="G33"/>
  <c r="G32"/>
  <c r="G31"/>
  <c r="D60" i="11"/>
  <c r="D30"/>
  <c r="F60"/>
  <c r="F30"/>
  <c r="F30" i="20"/>
  <c r="F21" i="11"/>
  <c r="F21" i="20"/>
  <c r="H60" i="11"/>
  <c r="H60" i="20"/>
  <c r="H21" i="11"/>
  <c r="H20"/>
  <c r="J94"/>
  <c r="K94"/>
  <c r="J60"/>
  <c r="J60" i="20"/>
  <c r="J30" i="11"/>
  <c r="J21"/>
  <c r="L94"/>
  <c r="N74"/>
  <c r="N74" i="20"/>
  <c r="L60" i="11"/>
  <c r="N35"/>
  <c r="N30"/>
  <c r="L30"/>
  <c r="N21"/>
  <c r="N21" i="20"/>
  <c r="L21" i="11"/>
  <c r="Q86" i="7"/>
  <c r="R96" i="10"/>
  <c r="R96" i="19"/>
  <c r="Q96"/>
  <c r="Q86" i="21"/>
  <c r="K84" i="11"/>
  <c r="K84" i="20"/>
  <c r="K24" i="11"/>
  <c r="K24" i="20"/>
  <c r="K77" i="11"/>
  <c r="K77" i="20"/>
  <c r="K23" i="11"/>
  <c r="K23" i="20"/>
  <c r="K48" i="11"/>
  <c r="K48" i="20"/>
  <c r="K66" i="11"/>
  <c r="K66" i="20"/>
  <c r="K43" i="11"/>
  <c r="K43" i="20"/>
  <c r="K83" i="11"/>
  <c r="K83" i="20"/>
  <c r="K29" i="11"/>
  <c r="K29" i="20"/>
  <c r="K62" i="11"/>
  <c r="K62" i="20"/>
  <c r="K79" i="11"/>
  <c r="K79" i="20"/>
  <c r="K42" i="11"/>
  <c r="K42" i="20"/>
  <c r="K36" i="11"/>
  <c r="K36" i="20"/>
  <c r="K39" i="11"/>
  <c r="K39" i="20"/>
  <c r="O55" i="19"/>
  <c r="E21"/>
  <c r="E75"/>
  <c r="M75"/>
  <c r="Q82" i="11"/>
  <c r="Q82" i="20"/>
  <c r="Q76" i="11"/>
  <c r="Q76" i="20"/>
  <c r="K95" i="11"/>
  <c r="K93" i="20"/>
  <c r="K55" i="11"/>
  <c r="K55" i="20"/>
  <c r="K37" i="11"/>
  <c r="K37" i="20"/>
  <c r="K71" i="11"/>
  <c r="K71" i="20"/>
  <c r="K33" i="11"/>
  <c r="K33" i="20"/>
  <c r="K65" i="11"/>
  <c r="K65" i="20"/>
  <c r="K90" i="11"/>
  <c r="K96" i="20"/>
  <c r="K22" i="11"/>
  <c r="K22" i="20"/>
  <c r="S66" i="11"/>
  <c r="S66" i="20"/>
  <c r="S61" i="11"/>
  <c r="S61" i="20"/>
  <c r="K70" i="11"/>
  <c r="K70" i="20"/>
  <c r="K32" i="11"/>
  <c r="K32" i="20"/>
  <c r="K67" i="11"/>
  <c r="K67" i="20"/>
  <c r="K28" i="11"/>
  <c r="K28" i="20"/>
  <c r="K54" i="11"/>
  <c r="K54" i="20"/>
  <c r="K97" i="11"/>
  <c r="K95" i="20"/>
  <c r="K102" i="11"/>
  <c r="K101" i="20"/>
  <c r="K53" i="11"/>
  <c r="K53" i="20"/>
  <c r="V72" i="17"/>
  <c r="I55" i="11"/>
  <c r="I55" i="20"/>
  <c r="R71" i="7"/>
  <c r="R74"/>
  <c r="G73" i="16"/>
  <c r="H64"/>
  <c r="G72" i="17"/>
  <c r="G73"/>
  <c r="N72"/>
  <c r="N73"/>
  <c r="F72"/>
  <c r="F78"/>
  <c r="F84"/>
  <c r="F79"/>
  <c r="J54" i="16"/>
  <c r="G84"/>
  <c r="G68"/>
  <c r="T45" i="7"/>
  <c r="I80" i="11"/>
  <c r="I80" i="20"/>
  <c r="O34" i="11"/>
  <c r="O34" i="20"/>
  <c r="I103" i="11"/>
  <c r="I102" i="20"/>
  <c r="O45" i="11"/>
  <c r="O45" i="20"/>
  <c r="I27" i="11"/>
  <c r="I27" i="20"/>
  <c r="O79" i="11"/>
  <c r="O79" i="20"/>
  <c r="I44" i="11"/>
  <c r="I44" i="20"/>
  <c r="E82" i="11"/>
  <c r="E82" i="20"/>
  <c r="G37" i="11"/>
  <c r="G37" i="20"/>
  <c r="O75" i="11"/>
  <c r="O75" i="20"/>
  <c r="E46" i="11"/>
  <c r="E46" i="20"/>
  <c r="O94" i="11"/>
  <c r="E90"/>
  <c r="E96" i="20"/>
  <c r="O54" i="11"/>
  <c r="O54" i="20"/>
  <c r="O86" i="11"/>
  <c r="O86" i="20"/>
  <c r="O66" i="11"/>
  <c r="O66" i="20"/>
  <c r="O89" i="11"/>
  <c r="O88" i="20"/>
  <c r="O53" i="11"/>
  <c r="O53" i="20"/>
  <c r="E76" i="11"/>
  <c r="E76" i="20"/>
  <c r="E69" i="11"/>
  <c r="E69" i="20"/>
  <c r="E38" i="11"/>
  <c r="E38" i="20"/>
  <c r="E29" i="11"/>
  <c r="E29" i="20"/>
  <c r="M61" i="11"/>
  <c r="M61" i="20"/>
  <c r="F44" i="7"/>
  <c r="N63"/>
  <c r="G72" i="11"/>
  <c r="G72" i="20"/>
  <c r="K57" i="11"/>
  <c r="K86"/>
  <c r="K86" i="20"/>
  <c r="K89" i="11"/>
  <c r="K88" i="20"/>
  <c r="N38" i="7"/>
  <c r="G46" i="11"/>
  <c r="G46" i="20"/>
  <c r="G75" i="11"/>
  <c r="G75" i="20"/>
  <c r="G68" i="11"/>
  <c r="G68" i="20"/>
  <c r="F48" i="7"/>
  <c r="F86"/>
  <c r="G79" i="11"/>
  <c r="G79" i="20"/>
  <c r="G89" i="11"/>
  <c r="G88" i="20"/>
  <c r="F65" i="7"/>
  <c r="F24"/>
  <c r="H34" i="19"/>
  <c r="O67" i="7"/>
  <c r="M36"/>
  <c r="N32"/>
  <c r="I67"/>
  <c r="C15" i="11"/>
  <c r="D15" i="18"/>
  <c r="E72" i="17"/>
  <c r="E73"/>
  <c r="D15" i="7"/>
  <c r="Q87"/>
  <c r="Q97" i="19"/>
  <c r="R97" i="10"/>
  <c r="R97" i="19"/>
  <c r="Q87" i="21"/>
  <c r="Q84" i="7"/>
  <c r="R94" i="10"/>
  <c r="R94" i="19"/>
  <c r="Q94"/>
  <c r="Q84" i="21"/>
  <c r="I54" i="19"/>
  <c r="H68" i="16"/>
  <c r="G78" i="17"/>
  <c r="D72"/>
  <c r="T72"/>
  <c r="R75" i="16"/>
  <c r="E78" i="17"/>
  <c r="E84"/>
  <c r="E79"/>
  <c r="R93" i="16"/>
  <c r="AD66" i="10"/>
  <c r="AD77"/>
  <c r="L30" i="20"/>
  <c r="L80"/>
  <c r="I34" i="19"/>
  <c r="N46"/>
  <c r="Q95" i="11"/>
  <c r="Q93" i="20"/>
  <c r="Q24" i="11"/>
  <c r="Q24" i="20"/>
  <c r="Q34" i="11"/>
  <c r="Q34" i="20"/>
  <c r="G80" i="11"/>
  <c r="G80" i="20"/>
  <c r="G41" i="11"/>
  <c r="G41" i="20"/>
  <c r="G44" i="11"/>
  <c r="G44" i="20"/>
  <c r="G102" i="11"/>
  <c r="G101" i="20"/>
  <c r="G96" i="11"/>
  <c r="G94" i="20"/>
  <c r="G34" i="11"/>
  <c r="G34" i="20"/>
  <c r="G36" i="11"/>
  <c r="G36" i="20"/>
  <c r="K69" i="19"/>
  <c r="O68" i="11"/>
  <c r="O68" i="20"/>
  <c r="O83" i="11"/>
  <c r="O83" i="20"/>
  <c r="O105" i="11"/>
  <c r="O104" i="20"/>
  <c r="O26" i="11"/>
  <c r="O26" i="20"/>
  <c r="O23" i="11"/>
  <c r="O23" i="20"/>
  <c r="O38" i="11"/>
  <c r="O38" i="20"/>
  <c r="O81" i="11"/>
  <c r="O81" i="20"/>
  <c r="O25" i="11"/>
  <c r="O25" i="20"/>
  <c r="O73" i="11"/>
  <c r="O73" i="20"/>
  <c r="O36" i="11"/>
  <c r="O36" i="20"/>
  <c r="O48" i="11"/>
  <c r="O48" i="20"/>
  <c r="O84" i="11"/>
  <c r="O84" i="20"/>
  <c r="O78" i="11"/>
  <c r="O78" i="20"/>
  <c r="O61" i="11"/>
  <c r="O61" i="20"/>
  <c r="O71" i="11"/>
  <c r="O71" i="20"/>
  <c r="O33" i="11"/>
  <c r="O33" i="20"/>
  <c r="O70" i="11"/>
  <c r="O70" i="20"/>
  <c r="O50" i="11"/>
  <c r="O50" i="20"/>
  <c r="O56" i="11"/>
  <c r="O56" i="20"/>
  <c r="O64" i="11"/>
  <c r="O64" i="20"/>
  <c r="I84" i="11"/>
  <c r="I84" i="20"/>
  <c r="I60" i="11"/>
  <c r="I60" i="20"/>
  <c r="I97" i="11"/>
  <c r="I95" i="20"/>
  <c r="L72" i="7"/>
  <c r="J72"/>
  <c r="K85" i="16"/>
  <c r="M37" i="7"/>
  <c r="N37"/>
  <c r="G27" i="11"/>
  <c r="G27" i="20"/>
  <c r="G84" i="11"/>
  <c r="G84" i="20"/>
  <c r="G39" i="11"/>
  <c r="G39" i="20"/>
  <c r="G21" i="11"/>
  <c r="G21" i="20"/>
  <c r="G48" i="11"/>
  <c r="G48" i="20"/>
  <c r="I105" i="11"/>
  <c r="I104" i="20"/>
  <c r="I35" i="21"/>
  <c r="J35"/>
  <c r="Q26" i="11"/>
  <c r="Q26" i="20"/>
  <c r="Q33" i="11"/>
  <c r="Q33" i="20"/>
  <c r="Q36" i="11"/>
  <c r="Q36" i="20"/>
  <c r="Q27" i="11"/>
  <c r="Q27" i="20"/>
  <c r="Q46" i="11"/>
  <c r="Q46" i="20"/>
  <c r="E37" i="21"/>
  <c r="AD55" i="10"/>
  <c r="AD61"/>
  <c r="AD71"/>
  <c r="AD81"/>
  <c r="U23" i="11"/>
  <c r="U25"/>
  <c r="S28"/>
  <c r="U30"/>
  <c r="U30" i="20"/>
  <c r="S32" i="11"/>
  <c r="S32" i="20"/>
  <c r="S34" i="11"/>
  <c r="S34" i="20"/>
  <c r="S37" i="11"/>
  <c r="S37" i="20"/>
  <c r="S39" i="11"/>
  <c r="S39" i="20"/>
  <c r="U42" i="11"/>
  <c r="U42" i="20"/>
  <c r="U44" i="11"/>
  <c r="U44" i="20"/>
  <c r="U46" i="11"/>
  <c r="U46" i="20"/>
  <c r="U49" i="11"/>
  <c r="U49" i="20"/>
  <c r="S53" i="11"/>
  <c r="S53" i="20"/>
  <c r="S55" i="11"/>
  <c r="S55" i="20"/>
  <c r="S57" i="11"/>
  <c r="V63"/>
  <c r="W44" i="21"/>
  <c r="X44"/>
  <c r="S68" i="11"/>
  <c r="S68" i="20"/>
  <c r="V70" i="11"/>
  <c r="V72"/>
  <c r="V72" i="20"/>
  <c r="V73" i="11"/>
  <c r="U73"/>
  <c r="U73" i="20"/>
  <c r="U77" i="11"/>
  <c r="U77" i="20"/>
  <c r="S78" i="11"/>
  <c r="U79"/>
  <c r="U79" i="20"/>
  <c r="S80" i="11"/>
  <c r="S80" i="20"/>
  <c r="S81" i="11"/>
  <c r="S83"/>
  <c r="S83" i="20"/>
  <c r="U84" i="11"/>
  <c r="U84" i="20"/>
  <c r="V85" i="11"/>
  <c r="W65" i="21"/>
  <c r="X65"/>
  <c r="S86" i="11"/>
  <c r="S86" i="20"/>
  <c r="S88" i="11"/>
  <c r="S90"/>
  <c r="S91"/>
  <c r="S95"/>
  <c r="S93" i="20"/>
  <c r="U96" i="11"/>
  <c r="U94" i="20"/>
  <c r="S97" i="11"/>
  <c r="S95" i="20"/>
  <c r="U100" i="11"/>
  <c r="U99" i="20"/>
  <c r="S101" i="11"/>
  <c r="S100" i="20"/>
  <c r="U102" i="11"/>
  <c r="U101" i="20"/>
  <c r="W61" i="7"/>
  <c r="AD63" i="10"/>
  <c r="AD68"/>
  <c r="AD74"/>
  <c r="AD79"/>
  <c r="AA49"/>
  <c r="AB49"/>
  <c r="O29" i="19"/>
  <c r="I53" i="26"/>
  <c r="U69" i="10"/>
  <c r="AC65" i="11"/>
  <c r="U69"/>
  <c r="AC49" i="7"/>
  <c r="AD49"/>
  <c r="AC52"/>
  <c r="AD52"/>
  <c r="AC57"/>
  <c r="AC63"/>
  <c r="AC65"/>
  <c r="AD65"/>
  <c r="T61" i="11"/>
  <c r="U61"/>
  <c r="V72" i="7"/>
  <c r="U75" i="10"/>
  <c r="U75" i="19"/>
  <c r="Y72" i="10"/>
  <c r="AA72"/>
  <c r="AB72"/>
  <c r="Y32"/>
  <c r="AD67"/>
  <c r="AD70"/>
  <c r="AD73"/>
  <c r="AC75"/>
  <c r="AD75"/>
  <c r="AD82"/>
  <c r="U66" i="11"/>
  <c r="V82"/>
  <c r="V82" i="20"/>
  <c r="U82" i="11"/>
  <c r="U82" i="20"/>
  <c r="V83" i="11"/>
  <c r="V83" i="20"/>
  <c r="U83" i="11"/>
  <c r="W83"/>
  <c r="W83" i="20"/>
  <c r="V84" i="11"/>
  <c r="V84" i="20"/>
  <c r="S81"/>
  <c r="V70"/>
  <c r="W51" i="21"/>
  <c r="X51"/>
  <c r="U25" i="20"/>
  <c r="U23"/>
  <c r="V85"/>
  <c r="S78"/>
  <c r="V73"/>
  <c r="W54" i="21"/>
  <c r="X54"/>
  <c r="G102" i="16"/>
  <c r="K102"/>
  <c r="U83" i="20"/>
  <c r="T60" i="11"/>
  <c r="Z32" i="10"/>
  <c r="U69" i="20"/>
  <c r="J94" i="16"/>
  <c r="W72" i="17"/>
  <c r="I51" i="14"/>
  <c r="I52"/>
  <c r="O51"/>
  <c r="O52"/>
  <c r="J30" i="21"/>
  <c r="J32"/>
  <c r="T43"/>
  <c r="T49"/>
  <c r="J50"/>
  <c r="T53"/>
  <c r="T57"/>
  <c r="P59"/>
  <c r="T60"/>
  <c r="H61"/>
  <c r="X61"/>
  <c r="N68"/>
  <c r="P69"/>
  <c r="P70"/>
  <c r="J79"/>
  <c r="J80"/>
  <c r="T80"/>
  <c r="T86"/>
  <c r="P87"/>
  <c r="Q73" i="26"/>
  <c r="X94" i="10"/>
  <c r="X94" i="19"/>
  <c r="AC41" i="11"/>
  <c r="I35" i="7"/>
  <c r="L53" i="14"/>
  <c r="L53" i="26"/>
  <c r="L25" i="7"/>
  <c r="J29"/>
  <c r="H85"/>
  <c r="I19" i="14"/>
  <c r="O19"/>
  <c r="O84"/>
  <c r="P45" i="21"/>
  <c r="T45"/>
  <c r="P48"/>
  <c r="I51" i="22"/>
  <c r="I52"/>
  <c r="M51"/>
  <c r="M52"/>
  <c r="O41" i="11"/>
  <c r="O41" i="20"/>
  <c r="O78" i="17"/>
  <c r="O84"/>
  <c r="G19" i="26"/>
  <c r="X47" i="10"/>
  <c r="X47" i="19"/>
  <c r="T36" i="21"/>
  <c r="T75" i="7"/>
  <c r="T80" i="11"/>
  <c r="U70" i="7"/>
  <c r="V70"/>
  <c r="T35" i="11"/>
  <c r="Q68"/>
  <c r="Q68" i="20"/>
  <c r="Q39" i="11"/>
  <c r="Q39" i="20"/>
  <c r="Q44" i="11"/>
  <c r="Q44" i="20"/>
  <c r="Q45" i="11"/>
  <c r="Q45" i="20"/>
  <c r="Q42" i="11"/>
  <c r="Q42" i="20"/>
  <c r="Q101" i="11"/>
  <c r="Q100" i="20"/>
  <c r="Q54" i="11"/>
  <c r="Q54" i="20"/>
  <c r="Q78" i="11"/>
  <c r="Q78" i="20"/>
  <c r="Q40" i="11"/>
  <c r="Q40" i="20"/>
  <c r="Q83" i="11"/>
  <c r="Q83" i="20"/>
  <c r="Q84" i="11"/>
  <c r="Q84" i="20"/>
  <c r="Q103" i="11"/>
  <c r="Q102" i="20"/>
  <c r="Q69" i="11"/>
  <c r="Q69" i="20"/>
  <c r="Q64" i="11"/>
  <c r="Q64" i="20"/>
  <c r="Q25" i="11"/>
  <c r="Q25" i="20"/>
  <c r="Q49" i="11"/>
  <c r="Q49" i="20"/>
  <c r="Q52" i="11"/>
  <c r="Q52" i="20"/>
  <c r="Q89" i="11"/>
  <c r="Q88" i="20"/>
  <c r="Q47" i="11"/>
  <c r="Q47" i="20"/>
  <c r="Q81" i="11"/>
  <c r="Q81" i="20"/>
  <c r="Q37" i="11"/>
  <c r="Q37" i="20"/>
  <c r="M48" i="11"/>
  <c r="M48" i="20"/>
  <c r="M54" i="11"/>
  <c r="M54" i="20"/>
  <c r="M57" i="11"/>
  <c r="M71"/>
  <c r="M71" i="20"/>
  <c r="M29" i="11"/>
  <c r="M29" i="20"/>
  <c r="M64" i="11"/>
  <c r="M64" i="20"/>
  <c r="M72" i="11"/>
  <c r="M72" i="20"/>
  <c r="I87" i="11"/>
  <c r="I87" i="20"/>
  <c r="I34" i="11"/>
  <c r="I34" i="20"/>
  <c r="I86" i="11"/>
  <c r="I86" i="20"/>
  <c r="I65" i="11"/>
  <c r="I65" i="20"/>
  <c r="I47" i="11"/>
  <c r="I47" i="20"/>
  <c r="I91" i="11"/>
  <c r="I45"/>
  <c r="I45" i="20"/>
  <c r="I37" i="11"/>
  <c r="I37" i="20"/>
  <c r="I46" i="11"/>
  <c r="I46" i="20"/>
  <c r="I53" i="11"/>
  <c r="I53" i="20"/>
  <c r="I61" i="11"/>
  <c r="I61" i="20"/>
  <c r="I52" i="11"/>
  <c r="I52" i="20"/>
  <c r="I50" i="11"/>
  <c r="I50" i="20"/>
  <c r="E39" i="11"/>
  <c r="E39" i="20"/>
  <c r="E68" i="11"/>
  <c r="E68" i="20"/>
  <c r="E44" i="11"/>
  <c r="E44" i="20"/>
  <c r="E83" i="11"/>
  <c r="E83" i="20"/>
  <c r="E40" i="11"/>
  <c r="E40" i="20"/>
  <c r="E48" i="11"/>
  <c r="E48" i="20"/>
  <c r="E88" i="11"/>
  <c r="E75"/>
  <c r="E75" i="20"/>
  <c r="E55" i="11"/>
  <c r="E55" i="20"/>
  <c r="E43" i="11"/>
  <c r="E43" i="20"/>
  <c r="E31" i="11"/>
  <c r="E31" i="20"/>
  <c r="E102" i="11"/>
  <c r="E101" i="20"/>
  <c r="E103" i="11"/>
  <c r="E102" i="20"/>
  <c r="E96" i="11"/>
  <c r="E94" i="20"/>
  <c r="E100" i="11"/>
  <c r="E99" i="20"/>
  <c r="F72" i="7"/>
  <c r="F57"/>
  <c r="F61"/>
  <c r="F71"/>
  <c r="F68"/>
  <c r="F66"/>
  <c r="F74"/>
  <c r="F29"/>
  <c r="L75" i="10"/>
  <c r="L75" i="19"/>
  <c r="K75"/>
  <c r="G54" i="10"/>
  <c r="G54" i="19"/>
  <c r="H55" i="10"/>
  <c r="H55" i="19"/>
  <c r="G55"/>
  <c r="O35" i="21"/>
  <c r="P35"/>
  <c r="N35" i="20"/>
  <c r="F60"/>
  <c r="G60" i="11"/>
  <c r="G60" i="20"/>
  <c r="R57" i="7"/>
  <c r="R23"/>
  <c r="P61" i="20"/>
  <c r="P60" i="11"/>
  <c r="P104" i="20"/>
  <c r="Q105" i="11"/>
  <c r="Q104" i="20"/>
  <c r="E20" i="15"/>
  <c r="E14" i="22"/>
  <c r="E14" i="23"/>
  <c r="AA95" i="11"/>
  <c r="AA84"/>
  <c r="AA52"/>
  <c r="AA72"/>
  <c r="AA42"/>
  <c r="AA32"/>
  <c r="AA64"/>
  <c r="R21" i="20"/>
  <c r="S21" i="11"/>
  <c r="S21" i="20"/>
  <c r="S79" i="11"/>
  <c r="S79" i="20"/>
  <c r="S71" i="11"/>
  <c r="S71" i="20"/>
  <c r="S22" i="11"/>
  <c r="S22" i="20"/>
  <c r="S63" i="11"/>
  <c r="S62"/>
  <c r="S103"/>
  <c r="S102" i="20"/>
  <c r="U24" i="11"/>
  <c r="U24" i="20"/>
  <c r="U27" i="11"/>
  <c r="U27" i="20"/>
  <c r="U29" i="11"/>
  <c r="U29" i="20"/>
  <c r="U31" i="11"/>
  <c r="U31" i="20"/>
  <c r="U33" i="11"/>
  <c r="U33" i="20"/>
  <c r="S36" i="11"/>
  <c r="S36" i="20"/>
  <c r="S38" i="11"/>
  <c r="S38" i="20"/>
  <c r="S40" i="11"/>
  <c r="S40" i="20"/>
  <c r="S43" i="11"/>
  <c r="S43" i="20"/>
  <c r="U45" i="11"/>
  <c r="U45" i="20"/>
  <c r="U47" i="11"/>
  <c r="U47" i="20"/>
  <c r="S50" i="11"/>
  <c r="S50" i="20"/>
  <c r="U54" i="11"/>
  <c r="S56"/>
  <c r="S56" i="20"/>
  <c r="S69" i="11"/>
  <c r="S69" i="20"/>
  <c r="U71" i="11"/>
  <c r="U71" i="20"/>
  <c r="S76" i="11"/>
  <c r="S76" i="20"/>
  <c r="V50" i="11"/>
  <c r="V50" i="20"/>
  <c r="T50"/>
  <c r="V70" i="19"/>
  <c r="X70" i="10"/>
  <c r="X70" i="19"/>
  <c r="W61" i="10"/>
  <c r="U48" i="21"/>
  <c r="V48"/>
  <c r="Y45" i="10"/>
  <c r="V45"/>
  <c r="V45" i="19"/>
  <c r="U45"/>
  <c r="Y25" i="10"/>
  <c r="V25"/>
  <c r="V25" i="19"/>
  <c r="W25" i="10"/>
  <c r="P39"/>
  <c r="P39" i="19"/>
  <c r="O39"/>
  <c r="M46"/>
  <c r="M37" i="21"/>
  <c r="N37"/>
  <c r="N21" i="10"/>
  <c r="N21" i="19"/>
  <c r="M21"/>
  <c r="J21" i="10"/>
  <c r="J21" i="19"/>
  <c r="I21"/>
  <c r="H39" i="10"/>
  <c r="H39" i="19"/>
  <c r="G39"/>
  <c r="Y56" i="15"/>
  <c r="Y99"/>
  <c r="J87" i="7"/>
  <c r="W69" i="11"/>
  <c r="W69" i="20"/>
  <c r="Q87" i="11"/>
  <c r="Q87" i="20"/>
  <c r="Q65" i="11"/>
  <c r="Q65" i="20"/>
  <c r="Q70" i="11"/>
  <c r="Q70" i="20"/>
  <c r="Q79" i="11"/>
  <c r="Q79" i="20"/>
  <c r="Q91" i="11"/>
  <c r="Q23"/>
  <c r="Q23" i="20"/>
  <c r="J86" i="7"/>
  <c r="J71"/>
  <c r="I54" i="11"/>
  <c r="I54" i="20"/>
  <c r="I62" i="11"/>
  <c r="I62" i="20"/>
  <c r="I31" i="11"/>
  <c r="I31" i="20"/>
  <c r="Q31" i="11"/>
  <c r="Q31" i="20"/>
  <c r="Q57" i="11"/>
  <c r="Q56"/>
  <c r="Q56" i="20"/>
  <c r="Q97" i="11"/>
  <c r="Q95" i="20"/>
  <c r="I69" i="19"/>
  <c r="J67" i="7"/>
  <c r="F23"/>
  <c r="F33"/>
  <c r="M86" i="11"/>
  <c r="M86" i="20"/>
  <c r="M44" i="11"/>
  <c r="M44" i="20"/>
  <c r="M55" i="11"/>
  <c r="M55" i="20"/>
  <c r="J34" i="7"/>
  <c r="M41" i="11"/>
  <c r="M41" i="20"/>
  <c r="M56" i="11"/>
  <c r="M56" i="20"/>
  <c r="F53" i="7"/>
  <c r="M34" i="11"/>
  <c r="M34" i="20"/>
  <c r="M47" i="11"/>
  <c r="M47" i="20"/>
  <c r="F75" i="7"/>
  <c r="E25" i="11"/>
  <c r="E25" i="20"/>
  <c r="M26" i="11"/>
  <c r="M26" i="20"/>
  <c r="E71" i="11"/>
  <c r="E71" i="20"/>
  <c r="L73" i="7"/>
  <c r="E84" i="11"/>
  <c r="E84" i="20"/>
  <c r="E62" i="11"/>
  <c r="E62" i="20"/>
  <c r="M43" i="11"/>
  <c r="M43" i="20"/>
  <c r="I85" i="11"/>
  <c r="I85" i="20"/>
  <c r="I42" i="11"/>
  <c r="I42" i="20"/>
  <c r="Q90" i="11"/>
  <c r="Q96" i="20"/>
  <c r="Q73" i="11"/>
  <c r="Q73" i="20"/>
  <c r="G75" i="19"/>
  <c r="M69"/>
  <c r="M52"/>
  <c r="N52"/>
  <c r="I20" i="11"/>
  <c r="I20" i="20"/>
  <c r="N34" i="7"/>
  <c r="J22"/>
  <c r="J25"/>
  <c r="J27"/>
  <c r="N25"/>
  <c r="N27"/>
  <c r="P26"/>
  <c r="J28"/>
  <c r="N28"/>
  <c r="J38"/>
  <c r="H45"/>
  <c r="J43"/>
  <c r="J45"/>
  <c r="J47"/>
  <c r="J49"/>
  <c r="J53"/>
  <c r="L50"/>
  <c r="N46"/>
  <c r="N48"/>
  <c r="N54"/>
  <c r="P46"/>
  <c r="J57"/>
  <c r="J59"/>
  <c r="J61"/>
  <c r="L58"/>
  <c r="N59"/>
  <c r="N61"/>
  <c r="J63"/>
  <c r="J65"/>
  <c r="L65"/>
  <c r="N65"/>
  <c r="P65"/>
  <c r="J70"/>
  <c r="J73"/>
  <c r="N73"/>
  <c r="P73"/>
  <c r="J79"/>
  <c r="N74"/>
  <c r="F85"/>
  <c r="J85"/>
  <c r="P68"/>
  <c r="E21" i="11"/>
  <c r="E21" i="20"/>
  <c r="E94" i="11"/>
  <c r="Y29" i="15"/>
  <c r="Y31"/>
  <c r="Y36"/>
  <c r="Y38"/>
  <c r="Y41"/>
  <c r="Y43"/>
  <c r="Y46"/>
  <c r="Y48"/>
  <c r="Y81"/>
  <c r="Y85"/>
  <c r="Y101"/>
  <c r="F81" i="7"/>
  <c r="F73"/>
  <c r="F60"/>
  <c r="F55"/>
  <c r="F52"/>
  <c r="F47"/>
  <c r="F43"/>
  <c r="F28"/>
  <c r="Q74" i="11"/>
  <c r="Q74" i="20"/>
  <c r="R66" i="7"/>
  <c r="Q94" i="11"/>
  <c r="Q30"/>
  <c r="Q30" i="20"/>
  <c r="AB49" i="7"/>
  <c r="AB65"/>
  <c r="AC67"/>
  <c r="AD67"/>
  <c r="AB81"/>
  <c r="AB87"/>
  <c r="U80" i="11"/>
  <c r="U22"/>
  <c r="U22" i="20"/>
  <c r="AA105" i="11"/>
  <c r="P55" i="10"/>
  <c r="P55" i="19"/>
  <c r="I37" i="21"/>
  <c r="J35" i="7"/>
  <c r="J102" i="16"/>
  <c r="H102"/>
  <c r="P42" i="18"/>
  <c r="P31"/>
  <c r="R43"/>
  <c r="N36" i="7"/>
  <c r="R86"/>
  <c r="J31"/>
  <c r="N33"/>
  <c r="N23"/>
  <c r="J26"/>
  <c r="J24"/>
  <c r="N24"/>
  <c r="N29"/>
  <c r="P38"/>
  <c r="H54"/>
  <c r="J48"/>
  <c r="J52"/>
  <c r="N43"/>
  <c r="N45"/>
  <c r="N49"/>
  <c r="N53"/>
  <c r="N55"/>
  <c r="N58"/>
  <c r="J66"/>
  <c r="L66"/>
  <c r="N69"/>
  <c r="J75"/>
  <c r="L75"/>
  <c r="N75"/>
  <c r="N81"/>
  <c r="F84"/>
  <c r="J84"/>
  <c r="N84"/>
  <c r="J68"/>
  <c r="J80"/>
  <c r="Y30" i="15"/>
  <c r="Y32"/>
  <c r="Y35"/>
  <c r="Y42"/>
  <c r="Y54"/>
  <c r="Y79"/>
  <c r="Y94"/>
  <c r="Y89"/>
  <c r="Y100"/>
  <c r="E30" i="7"/>
  <c r="F30"/>
  <c r="F25"/>
  <c r="L86"/>
  <c r="P86"/>
  <c r="J54" i="21"/>
  <c r="R78"/>
  <c r="K21"/>
  <c r="H30"/>
  <c r="P30"/>
  <c r="H32"/>
  <c r="P32"/>
  <c r="P33"/>
  <c r="P34"/>
  <c r="F44"/>
  <c r="F46"/>
  <c r="T47"/>
  <c r="N49"/>
  <c r="P54"/>
  <c r="G56"/>
  <c r="X58"/>
  <c r="J59"/>
  <c r="X59"/>
  <c r="P74"/>
  <c r="X74"/>
  <c r="T78"/>
  <c r="H79"/>
  <c r="P79"/>
  <c r="X84"/>
  <c r="J85"/>
  <c r="Q84" i="22"/>
  <c r="F84" i="23"/>
  <c r="E87" i="19"/>
  <c r="F87"/>
  <c r="AB46" i="7"/>
  <c r="S51" i="11"/>
  <c r="S51" i="20"/>
  <c r="AB57" i="7"/>
  <c r="AB58"/>
  <c r="Z60"/>
  <c r="AB69"/>
  <c r="AB75"/>
  <c r="AD81"/>
  <c r="W85"/>
  <c r="E36"/>
  <c r="F36"/>
  <c r="S86" i="15"/>
  <c r="U86"/>
  <c r="J87" i="16"/>
  <c r="K90" i="15"/>
  <c r="H25"/>
  <c r="H90"/>
  <c r="Q44"/>
  <c r="Y44"/>
  <c r="Y52"/>
  <c r="G32" i="16"/>
  <c r="H37"/>
  <c r="K101"/>
  <c r="Y47" i="15"/>
  <c r="Q51"/>
  <c r="Y51"/>
  <c r="H43" i="16"/>
  <c r="J39"/>
  <c r="Y33" i="15"/>
  <c r="G30" i="16"/>
  <c r="Y93" i="15"/>
  <c r="Y87"/>
  <c r="K88" i="16"/>
  <c r="G71"/>
  <c r="K96"/>
  <c r="J96"/>
  <c r="K95"/>
  <c r="S88" i="15"/>
  <c r="U88"/>
  <c r="J90" i="16"/>
  <c r="S89" i="15"/>
  <c r="G82" i="16"/>
  <c r="G70"/>
  <c r="Y65" i="15"/>
  <c r="J33" i="16"/>
  <c r="G36"/>
  <c r="J55"/>
  <c r="K57"/>
  <c r="T35" i="20"/>
  <c r="U35" i="11"/>
  <c r="U35" i="20"/>
  <c r="W29" i="10"/>
  <c r="W29" i="19"/>
  <c r="U29"/>
  <c r="J29" i="21"/>
  <c r="R43"/>
  <c r="J45"/>
  <c r="F55"/>
  <c r="R57"/>
  <c r="J73"/>
  <c r="V81"/>
  <c r="J74"/>
  <c r="F37"/>
  <c r="K36"/>
  <c r="L36"/>
  <c r="G38" i="11"/>
  <c r="G38" i="20"/>
  <c r="G91" i="11"/>
  <c r="G25"/>
  <c r="G25" i="20"/>
  <c r="G76" i="11"/>
  <c r="G76" i="20"/>
  <c r="I62" i="7"/>
  <c r="J62"/>
  <c r="G45" i="11"/>
  <c r="G45" i="20"/>
  <c r="G101" i="11"/>
  <c r="G100" i="20"/>
  <c r="G90" i="11"/>
  <c r="G96" i="20"/>
  <c r="O69" i="19"/>
  <c r="M49" i="11"/>
  <c r="M49" i="20"/>
  <c r="M27" i="11"/>
  <c r="M27" i="20"/>
  <c r="M39" i="11"/>
  <c r="M39" i="20"/>
  <c r="M78" i="11"/>
  <c r="M78" i="20"/>
  <c r="M40" i="11"/>
  <c r="M40" i="20"/>
  <c r="M70" i="11"/>
  <c r="M70" i="20"/>
  <c r="M68" i="11"/>
  <c r="M68" i="20"/>
  <c r="M52" i="11"/>
  <c r="M52" i="20"/>
  <c r="G22" i="11"/>
  <c r="G22" i="20"/>
  <c r="M82" i="11"/>
  <c r="M82" i="20"/>
  <c r="M79" i="11"/>
  <c r="M79" i="20"/>
  <c r="R68" i="21"/>
  <c r="P74" i="20"/>
  <c r="F72" i="21"/>
  <c r="F61"/>
  <c r="J33"/>
  <c r="F58"/>
  <c r="N61"/>
  <c r="Q60" i="23"/>
  <c r="E84"/>
  <c r="K87" i="19"/>
  <c r="L87"/>
  <c r="G48" i="16"/>
  <c r="W66" i="11"/>
  <c r="W66" i="20"/>
  <c r="Y40" i="10"/>
  <c r="Z40"/>
  <c r="AD63" i="7"/>
  <c r="U24"/>
  <c r="T29" i="10"/>
  <c r="T29" i="19"/>
  <c r="K37" i="21"/>
  <c r="L37"/>
  <c r="G67" i="11"/>
  <c r="G67" i="20"/>
  <c r="G83" i="11"/>
  <c r="G83" i="20"/>
  <c r="G62" i="11"/>
  <c r="G62" i="20"/>
  <c r="G23" i="11"/>
  <c r="G23" i="20"/>
  <c r="G88" i="11"/>
  <c r="G53"/>
  <c r="G53" i="20"/>
  <c r="I24" i="11"/>
  <c r="I24" i="20"/>
  <c r="I88" i="11"/>
  <c r="I38"/>
  <c r="I38" i="20"/>
  <c r="I49" i="11"/>
  <c r="I49" i="20"/>
  <c r="I39" i="11"/>
  <c r="I39" i="20"/>
  <c r="I72" i="11"/>
  <c r="I72" i="20"/>
  <c r="I70" i="11"/>
  <c r="I70" i="20"/>
  <c r="O96" i="11"/>
  <c r="O94" i="20"/>
  <c r="O57" i="11"/>
  <c r="O22"/>
  <c r="O22" i="20"/>
  <c r="O90" i="11"/>
  <c r="O96" i="20"/>
  <c r="O24" i="11"/>
  <c r="O24" i="20"/>
  <c r="O67" i="11"/>
  <c r="O67" i="20"/>
  <c r="O31" i="11"/>
  <c r="O31" i="20"/>
  <c r="O100" i="11"/>
  <c r="O99" i="20"/>
  <c r="O74" i="11"/>
  <c r="O74" i="20"/>
  <c r="O82" i="11"/>
  <c r="O82" i="20"/>
  <c r="G28" i="11"/>
  <c r="G28" i="20"/>
  <c r="G70" i="11"/>
  <c r="G70" i="20"/>
  <c r="G24" i="11"/>
  <c r="G24" i="20"/>
  <c r="G26" i="11"/>
  <c r="G26" i="20"/>
  <c r="G95" i="11"/>
  <c r="G93" i="20"/>
  <c r="G97" i="11"/>
  <c r="G95" i="20"/>
  <c r="G64" i="11"/>
  <c r="G64" i="20"/>
  <c r="M30" i="11"/>
  <c r="M30" i="20"/>
  <c r="O36" i="7"/>
  <c r="P36"/>
  <c r="I35" i="11"/>
  <c r="I35" i="20"/>
  <c r="P67" i="7"/>
  <c r="F34"/>
  <c r="M50" i="11"/>
  <c r="M50" i="20"/>
  <c r="M46" i="11"/>
  <c r="M46" i="20"/>
  <c r="G52" i="11"/>
  <c r="G52" i="20"/>
  <c r="M63" i="11"/>
  <c r="M63" i="20"/>
  <c r="G56" i="11"/>
  <c r="G56" i="20"/>
  <c r="M75" i="11"/>
  <c r="M75" i="20"/>
  <c r="M102" i="11"/>
  <c r="M101" i="20"/>
  <c r="M77" i="11"/>
  <c r="M77" i="20"/>
  <c r="G71" i="11"/>
  <c r="G71" i="20"/>
  <c r="M76" i="11"/>
  <c r="M76" i="20"/>
  <c r="M35" i="11"/>
  <c r="M35" i="20"/>
  <c r="M69" i="11"/>
  <c r="M69" i="20"/>
  <c r="M65" i="11"/>
  <c r="M65" i="20"/>
  <c r="G65" i="11"/>
  <c r="G65" i="20"/>
  <c r="M88" i="11"/>
  <c r="M66"/>
  <c r="M66" i="20"/>
  <c r="M67" i="11"/>
  <c r="M67" i="20"/>
  <c r="O85" i="11"/>
  <c r="O85" i="20"/>
  <c r="O63" i="11"/>
  <c r="O63" i="20"/>
  <c r="O91" i="11"/>
  <c r="G78"/>
  <c r="G78" i="20"/>
  <c r="O72" i="11"/>
  <c r="O72" i="20"/>
  <c r="O69" i="11"/>
  <c r="O69" i="20"/>
  <c r="O62" i="11"/>
  <c r="O62" i="20"/>
  <c r="O21" i="11"/>
  <c r="O21" i="20"/>
  <c r="I101" i="11"/>
  <c r="I100" i="20"/>
  <c r="I64" i="11"/>
  <c r="I64" i="20"/>
  <c r="I69" i="11"/>
  <c r="I69" i="20"/>
  <c r="O49" i="11"/>
  <c r="O49" i="20"/>
  <c r="I95" i="11"/>
  <c r="I93" i="20"/>
  <c r="I26" i="11"/>
  <c r="I26" i="20"/>
  <c r="I40" i="11"/>
  <c r="I40" i="20"/>
  <c r="O76" i="11"/>
  <c r="O76" i="20"/>
  <c r="I73" i="11"/>
  <c r="I73" i="20"/>
  <c r="G36" i="21"/>
  <c r="H36"/>
  <c r="M36"/>
  <c r="N36"/>
  <c r="R86"/>
  <c r="I21" i="11"/>
  <c r="I21" i="20"/>
  <c r="I30" i="7"/>
  <c r="J30"/>
  <c r="L32"/>
  <c r="P32"/>
  <c r="H23"/>
  <c r="P23"/>
  <c r="L26"/>
  <c r="H24"/>
  <c r="P24"/>
  <c r="L29"/>
  <c r="H43"/>
  <c r="H47"/>
  <c r="H51"/>
  <c r="L44"/>
  <c r="L48"/>
  <c r="L52"/>
  <c r="P44"/>
  <c r="P48"/>
  <c r="L55"/>
  <c r="L60"/>
  <c r="H63"/>
  <c r="P69"/>
  <c r="L80"/>
  <c r="M78"/>
  <c r="N78"/>
  <c r="P80"/>
  <c r="M105" i="11"/>
  <c r="M104" i="20"/>
  <c r="K46" i="19"/>
  <c r="U29" i="21"/>
  <c r="T46" i="10"/>
  <c r="T46" i="19"/>
  <c r="Q67" i="21"/>
  <c r="R67"/>
  <c r="R75" i="10"/>
  <c r="R75" i="19"/>
  <c r="L87" i="7"/>
  <c r="F22" i="21"/>
  <c r="F53"/>
  <c r="N23"/>
  <c r="N80"/>
  <c r="E89" i="20"/>
  <c r="N50" i="21"/>
  <c r="F23"/>
  <c r="F24"/>
  <c r="N25"/>
  <c r="N26"/>
  <c r="F27"/>
  <c r="F28"/>
  <c r="F50"/>
  <c r="P51"/>
  <c r="P52"/>
  <c r="P55"/>
  <c r="F65"/>
  <c r="J66"/>
  <c r="F67"/>
  <c r="J70"/>
  <c r="T74"/>
  <c r="W78"/>
  <c r="X78"/>
  <c r="F80"/>
  <c r="E28" i="23"/>
  <c r="U40" i="19"/>
  <c r="U93"/>
  <c r="V93"/>
  <c r="AC54" i="11"/>
  <c r="AC24"/>
  <c r="AC57"/>
  <c r="V28" i="10"/>
  <c r="AD50" i="7"/>
  <c r="AD64"/>
  <c r="AC105" i="11"/>
  <c r="AD68" i="7"/>
  <c r="AD70"/>
  <c r="AD73"/>
  <c r="W87" i="19"/>
  <c r="X87"/>
  <c r="Y80" i="11"/>
  <c r="AB48" i="7"/>
  <c r="AB64"/>
  <c r="T44"/>
  <c r="Z73"/>
  <c r="V75"/>
  <c r="AD79"/>
  <c r="AB80"/>
  <c r="AD85"/>
  <c r="AB86"/>
  <c r="U48" i="11"/>
  <c r="U48" i="20"/>
  <c r="AA80" i="11"/>
  <c r="AA35"/>
  <c r="AA54" i="10"/>
  <c r="AB54"/>
  <c r="J75"/>
  <c r="J75" i="19"/>
  <c r="N55" i="10"/>
  <c r="N55" i="19"/>
  <c r="O37" i="21"/>
  <c r="P37"/>
  <c r="J38"/>
  <c r="R38"/>
  <c r="J43"/>
  <c r="N46"/>
  <c r="F81"/>
  <c r="N81"/>
  <c r="V86"/>
  <c r="N35"/>
  <c r="J37"/>
  <c r="U33" i="7"/>
  <c r="W33"/>
  <c r="G63" i="11"/>
  <c r="G63" i="20"/>
  <c r="G81" i="11"/>
  <c r="G81" i="20"/>
  <c r="G49" i="11"/>
  <c r="G49" i="20"/>
  <c r="G82" i="11"/>
  <c r="G82" i="20"/>
  <c r="I46" i="19"/>
  <c r="R84" i="21"/>
  <c r="M37" i="11"/>
  <c r="M37" i="20"/>
  <c r="G85" i="11"/>
  <c r="G85" i="20"/>
  <c r="M101" i="11"/>
  <c r="M100" i="20"/>
  <c r="G50" i="11"/>
  <c r="G50" i="20"/>
  <c r="M28" i="11"/>
  <c r="M28" i="20"/>
  <c r="M73" i="11"/>
  <c r="M73" i="20"/>
  <c r="G73" i="11"/>
  <c r="G73" i="20"/>
  <c r="M89" i="11"/>
  <c r="M88" i="20"/>
  <c r="G55" i="11"/>
  <c r="G55" i="20"/>
  <c r="M31" i="11"/>
  <c r="M31" i="20"/>
  <c r="M32" i="11"/>
  <c r="M32" i="20"/>
  <c r="M25" i="11"/>
  <c r="M25" i="20"/>
  <c r="M62" i="11"/>
  <c r="M62" i="20"/>
  <c r="M90" i="11"/>
  <c r="M96" i="20"/>
  <c r="M85" i="11"/>
  <c r="M85" i="20"/>
  <c r="P74" i="7"/>
  <c r="H34"/>
  <c r="V85" i="21"/>
  <c r="W73"/>
  <c r="X73"/>
  <c r="F25"/>
  <c r="J47"/>
  <c r="N24"/>
  <c r="R32"/>
  <c r="J34"/>
  <c r="R60"/>
  <c r="S87" i="19"/>
  <c r="T87"/>
  <c r="U63" i="15"/>
  <c r="Q30" i="7"/>
  <c r="R30"/>
  <c r="T61" i="20"/>
  <c r="U59" i="7"/>
  <c r="W59"/>
  <c r="AD57"/>
  <c r="G57" i="11"/>
  <c r="G43"/>
  <c r="G43" i="20"/>
  <c r="G69" i="11"/>
  <c r="G69" i="20"/>
  <c r="G86" i="11"/>
  <c r="G86" i="20"/>
  <c r="G77" i="11"/>
  <c r="G77" i="20"/>
  <c r="K80" i="11"/>
  <c r="K80" i="20"/>
  <c r="K37" i="7"/>
  <c r="L37"/>
  <c r="I75" i="11"/>
  <c r="I75" i="20"/>
  <c r="I57" i="11"/>
  <c r="I76"/>
  <c r="I76" i="20"/>
  <c r="I63" i="11"/>
  <c r="I63" i="20"/>
  <c r="I81" i="11"/>
  <c r="I81" i="20"/>
  <c r="I90" i="11"/>
  <c r="I96" i="20"/>
  <c r="O29" i="11"/>
  <c r="O29" i="20"/>
  <c r="O32" i="11"/>
  <c r="O32" i="20"/>
  <c r="O97" i="11"/>
  <c r="O95" i="20"/>
  <c r="O40" i="11"/>
  <c r="O40" i="20"/>
  <c r="O46" i="11"/>
  <c r="O46" i="20"/>
  <c r="O101" i="11"/>
  <c r="O100" i="20"/>
  <c r="O37" i="11"/>
  <c r="O37" i="20"/>
  <c r="O44" i="11"/>
  <c r="O44" i="20"/>
  <c r="O52" i="11"/>
  <c r="O52" i="20"/>
  <c r="O88" i="11"/>
  <c r="O103"/>
  <c r="O102" i="20"/>
  <c r="G31" i="11"/>
  <c r="G31" i="20"/>
  <c r="G40" i="11"/>
  <c r="G40" i="20"/>
  <c r="G61" i="11"/>
  <c r="G61" i="20"/>
  <c r="G66" i="11"/>
  <c r="G66" i="20"/>
  <c r="G42" i="11"/>
  <c r="G42" i="20"/>
  <c r="G87" i="11"/>
  <c r="G87" i="20"/>
  <c r="G29" i="11"/>
  <c r="G29" i="20"/>
  <c r="G36" i="7"/>
  <c r="I41" i="11"/>
  <c r="I41" i="20"/>
  <c r="I30" i="11"/>
  <c r="I30" i="20"/>
  <c r="M87" i="11"/>
  <c r="M87" i="20"/>
  <c r="M83" i="11"/>
  <c r="M83" i="20"/>
  <c r="G103" i="11"/>
  <c r="G102" i="20"/>
  <c r="M81" i="11"/>
  <c r="M81" i="20"/>
  <c r="M22" i="11"/>
  <c r="M22" i="20"/>
  <c r="M95" i="11"/>
  <c r="M93" i="20"/>
  <c r="M42" i="11"/>
  <c r="M42" i="20"/>
  <c r="M38" i="11"/>
  <c r="M38" i="20"/>
  <c r="M23" i="11"/>
  <c r="M23" i="20"/>
  <c r="M96" i="11"/>
  <c r="M94" i="20"/>
  <c r="M51" i="11"/>
  <c r="M51" i="20"/>
  <c r="G100" i="11"/>
  <c r="G99" i="20"/>
  <c r="M53" i="11"/>
  <c r="M53" i="20"/>
  <c r="M33" i="11"/>
  <c r="M33" i="20"/>
  <c r="M103" i="11"/>
  <c r="M102" i="20"/>
  <c r="M36" i="11"/>
  <c r="M36" i="20"/>
  <c r="G47" i="11"/>
  <c r="G47" i="20"/>
  <c r="M84" i="11"/>
  <c r="M84" i="20"/>
  <c r="M97" i="11"/>
  <c r="M95" i="20"/>
  <c r="M24" i="11"/>
  <c r="M24" i="20"/>
  <c r="M45" i="11"/>
  <c r="M45" i="20"/>
  <c r="M91" i="11"/>
  <c r="O77"/>
  <c r="O77" i="20"/>
  <c r="I23" i="11"/>
  <c r="I23" i="20"/>
  <c r="I102" i="11"/>
  <c r="I101" i="20"/>
  <c r="I29" i="11"/>
  <c r="I29" i="20"/>
  <c r="G32" i="11"/>
  <c r="G32" i="20"/>
  <c r="I32" i="11"/>
  <c r="I32" i="20"/>
  <c r="I68" i="11"/>
  <c r="I68" i="20"/>
  <c r="I78" i="11"/>
  <c r="I78" i="20"/>
  <c r="G33" i="11"/>
  <c r="G33" i="20"/>
  <c r="I36" i="21"/>
  <c r="J36"/>
  <c r="I29" i="19"/>
  <c r="M55"/>
  <c r="M60" i="11"/>
  <c r="L33" i="7"/>
  <c r="L27"/>
  <c r="P25"/>
  <c r="P28"/>
  <c r="L38"/>
  <c r="H44"/>
  <c r="L45"/>
  <c r="L53"/>
  <c r="P45"/>
  <c r="P49"/>
  <c r="P53"/>
  <c r="L57"/>
  <c r="L61"/>
  <c r="P59"/>
  <c r="P70"/>
  <c r="L81"/>
  <c r="P81"/>
  <c r="L84"/>
  <c r="P84"/>
  <c r="W29" i="21"/>
  <c r="X29"/>
  <c r="U24"/>
  <c r="J84"/>
  <c r="J49"/>
  <c r="F26"/>
  <c r="J55"/>
  <c r="N48"/>
  <c r="X50"/>
  <c r="J51"/>
  <c r="J52"/>
  <c r="N53"/>
  <c r="U59"/>
  <c r="V59"/>
  <c r="T61"/>
  <c r="T63"/>
  <c r="T70"/>
  <c r="U82" i="19"/>
  <c r="J92" i="20"/>
  <c r="K92"/>
  <c r="R92"/>
  <c r="W24" i="10"/>
  <c r="W24" i="19"/>
  <c r="AC71" i="11"/>
  <c r="AC34"/>
  <c r="AC77"/>
  <c r="V38" i="10"/>
  <c r="V38" i="19"/>
  <c r="AD54" i="7"/>
  <c r="AD60"/>
  <c r="AD61"/>
  <c r="AC30" i="11"/>
  <c r="W25" i="7"/>
  <c r="Z64"/>
  <c r="Z58"/>
  <c r="V61"/>
  <c r="Z63"/>
  <c r="Z67"/>
  <c r="Z69"/>
  <c r="W28" i="21"/>
  <c r="X28"/>
  <c r="V26" i="20"/>
  <c r="K53" i="26"/>
  <c r="Q61" i="16"/>
  <c r="V38" i="11"/>
  <c r="V38" i="20"/>
  <c r="T38"/>
  <c r="T74" i="11"/>
  <c r="T74" i="20"/>
  <c r="T75"/>
  <c r="U57" i="21"/>
  <c r="V62" i="10"/>
  <c r="U49" i="21"/>
  <c r="V49"/>
  <c r="W62" i="10"/>
  <c r="Y47"/>
  <c r="W47"/>
  <c r="W47" i="19"/>
  <c r="Y36" i="10"/>
  <c r="W36"/>
  <c r="W36" i="19"/>
  <c r="U36"/>
  <c r="Y31" i="10"/>
  <c r="Z31"/>
  <c r="V31"/>
  <c r="V31" i="19"/>
  <c r="U31"/>
  <c r="U32" i="21"/>
  <c r="Y22" i="10"/>
  <c r="V22"/>
  <c r="V22" i="19"/>
  <c r="U22"/>
  <c r="T74" i="15"/>
  <c r="Q68" i="14"/>
  <c r="E62" i="21"/>
  <c r="F62"/>
  <c r="F63"/>
  <c r="X71" i="10"/>
  <c r="X71" i="19"/>
  <c r="T71"/>
  <c r="X80" i="10"/>
  <c r="X80" i="19"/>
  <c r="T80"/>
  <c r="N41" i="20"/>
  <c r="O36" i="21"/>
  <c r="P36"/>
  <c r="S69" i="19"/>
  <c r="T69" i="10"/>
  <c r="T69" i="19"/>
  <c r="AB66" i="11"/>
  <c r="AA47" i="7"/>
  <c r="AB47"/>
  <c r="U66" i="19"/>
  <c r="W66" i="10"/>
  <c r="AC64"/>
  <c r="AD64"/>
  <c r="AA51" i="7"/>
  <c r="AB51"/>
  <c r="P34" i="27"/>
  <c r="X43" i="10"/>
  <c r="X43" i="19"/>
  <c r="V43"/>
  <c r="U33" i="21"/>
  <c r="V32" i="10"/>
  <c r="Q38" i="14"/>
  <c r="H69" i="10"/>
  <c r="H69" i="19"/>
  <c r="G69"/>
  <c r="E54" i="10"/>
  <c r="E54" i="19"/>
  <c r="F55" i="10"/>
  <c r="F55" i="19"/>
  <c r="M100" i="11"/>
  <c r="M99" i="20"/>
  <c r="M94" i="11"/>
  <c r="G77" i="16"/>
  <c r="S76" i="15"/>
  <c r="U76"/>
  <c r="R60" i="20"/>
  <c r="R58"/>
  <c r="R59"/>
  <c r="S59"/>
  <c r="S60" i="11"/>
  <c r="S60" i="20"/>
  <c r="M89"/>
  <c r="M57"/>
  <c r="U57"/>
  <c r="U89"/>
  <c r="F68" i="21"/>
  <c r="F29"/>
  <c r="F79"/>
  <c r="F64"/>
  <c r="F66"/>
  <c r="F59"/>
  <c r="F71"/>
  <c r="F57"/>
  <c r="J71"/>
  <c r="J72"/>
  <c r="J87"/>
  <c r="J31"/>
  <c r="J48"/>
  <c r="N52"/>
  <c r="N43"/>
  <c r="N38"/>
  <c r="R45"/>
  <c r="R58"/>
  <c r="R50"/>
  <c r="O93" i="16"/>
  <c r="N93"/>
  <c r="X83" i="10"/>
  <c r="X83" i="19"/>
  <c r="T83"/>
  <c r="AB38" i="10"/>
  <c r="AC38"/>
  <c r="AD38"/>
  <c r="V66" i="11"/>
  <c r="U47" i="21"/>
  <c r="V47"/>
  <c r="U51" i="7"/>
  <c r="W51"/>
  <c r="U51" i="21"/>
  <c r="V51"/>
  <c r="U64" i="7"/>
  <c r="W64"/>
  <c r="T82" i="20"/>
  <c r="U64" i="21"/>
  <c r="V64"/>
  <c r="W69"/>
  <c r="X69"/>
  <c r="V86" i="20"/>
  <c r="P75" i="10"/>
  <c r="P75" i="19"/>
  <c r="O75"/>
  <c r="O52"/>
  <c r="O53"/>
  <c r="P53"/>
  <c r="F69" i="10"/>
  <c r="F69" i="19"/>
  <c r="E69"/>
  <c r="M77" i="21"/>
  <c r="N77"/>
  <c r="V69" i="7"/>
  <c r="T79"/>
  <c r="W71" i="11"/>
  <c r="W71" i="20"/>
  <c r="V71" i="7"/>
  <c r="U28"/>
  <c r="K35"/>
  <c r="L35"/>
  <c r="K34" i="19"/>
  <c r="G21"/>
  <c r="I39"/>
  <c r="W93"/>
  <c r="Q33" i="14"/>
  <c r="M19" i="22"/>
  <c r="M82"/>
  <c r="N19"/>
  <c r="N82"/>
  <c r="Q33"/>
  <c r="L19"/>
  <c r="O51"/>
  <c r="O52"/>
  <c r="H51"/>
  <c r="H52"/>
  <c r="P51"/>
  <c r="P52"/>
  <c r="T26" i="20"/>
  <c r="V47" i="19"/>
  <c r="T46" i="7"/>
  <c r="L78" i="17"/>
  <c r="L84"/>
  <c r="L79"/>
  <c r="U75" i="11"/>
  <c r="U75" i="20"/>
  <c r="V48" i="11"/>
  <c r="V48" i="20"/>
  <c r="W76" i="10"/>
  <c r="W76" i="19"/>
  <c r="V81" i="7"/>
  <c r="W75" i="10"/>
  <c r="W75" i="19"/>
  <c r="W66" i="21"/>
  <c r="X66"/>
  <c r="V61" i="11"/>
  <c r="V61" i="20"/>
  <c r="U66"/>
  <c r="T67" i="7"/>
  <c r="G89" i="16"/>
  <c r="V63" i="20"/>
  <c r="AC66" i="7"/>
  <c r="AD66"/>
  <c r="Y28"/>
  <c r="Z28"/>
  <c r="W69" i="10"/>
  <c r="W69" i="19"/>
  <c r="I51" i="26"/>
  <c r="AD83" i="10"/>
  <c r="W79" i="11"/>
  <c r="W79" i="20"/>
  <c r="T41" i="11"/>
  <c r="V41"/>
  <c r="V41" i="20"/>
  <c r="M73" i="17"/>
  <c r="W73"/>
  <c r="G74" i="11"/>
  <c r="G74" i="20"/>
  <c r="O37" i="7"/>
  <c r="P37"/>
  <c r="J32"/>
  <c r="K35" i="21"/>
  <c r="L35"/>
  <c r="O46" i="19"/>
  <c r="O35" i="11"/>
  <c r="O35" i="20"/>
  <c r="H72" i="17"/>
  <c r="T47" i="7"/>
  <c r="J74" i="20"/>
  <c r="J58"/>
  <c r="V39" i="17"/>
  <c r="G89" i="20"/>
  <c r="F32" i="21"/>
  <c r="X7" i="17"/>
  <c r="X80"/>
  <c r="X75"/>
  <c r="X69"/>
  <c r="X68"/>
  <c r="X66"/>
  <c r="X63"/>
  <c r="X61"/>
  <c r="X60"/>
  <c r="X52"/>
  <c r="X50"/>
  <c r="X47"/>
  <c r="X45"/>
  <c r="X42"/>
  <c r="X38"/>
  <c r="X37"/>
  <c r="X34"/>
  <c r="X32"/>
  <c r="X31"/>
  <c r="X29"/>
  <c r="X26"/>
  <c r="X19"/>
  <c r="X17"/>
  <c r="X13"/>
  <c r="X11"/>
  <c r="X8"/>
  <c r="V42" i="18"/>
  <c r="T58" i="19"/>
  <c r="V94"/>
  <c r="X97" i="10"/>
  <c r="X97" i="19"/>
  <c r="M19" i="26"/>
  <c r="W32" i="10"/>
  <c r="U67" i="11"/>
  <c r="U67" i="20"/>
  <c r="Y97" i="11"/>
  <c r="AA28"/>
  <c r="AA47"/>
  <c r="AA89"/>
  <c r="Z68" i="7"/>
  <c r="Z64" i="10"/>
  <c r="AA44" i="7"/>
  <c r="AB44"/>
  <c r="V75" i="11"/>
  <c r="V75" i="20"/>
  <c r="U32" i="7"/>
  <c r="V32"/>
  <c r="T50"/>
  <c r="P46" i="10"/>
  <c r="P46" i="19"/>
  <c r="N29" i="10"/>
  <c r="N29" i="19"/>
  <c r="I73" i="17"/>
  <c r="I78"/>
  <c r="I84"/>
  <c r="I79"/>
  <c r="P41" i="20"/>
  <c r="Q36" i="7"/>
  <c r="R36"/>
  <c r="Q41" i="11"/>
  <c r="Q41" i="20"/>
  <c r="K52" i="14"/>
  <c r="F78" i="21"/>
  <c r="E77"/>
  <c r="F77"/>
  <c r="X89" i="10"/>
  <c r="X88" i="19"/>
  <c r="V88"/>
  <c r="T61" i="7"/>
  <c r="X61"/>
  <c r="T73"/>
  <c r="T71"/>
  <c r="T68"/>
  <c r="T87"/>
  <c r="H46" i="10"/>
  <c r="H46" i="19"/>
  <c r="G46"/>
  <c r="G37" i="21"/>
  <c r="H37"/>
  <c r="F29" i="10"/>
  <c r="F29" i="19"/>
  <c r="E29"/>
  <c r="C15" i="20"/>
  <c r="D15" i="21"/>
  <c r="V40" i="19"/>
  <c r="X40" i="10"/>
  <c r="X40" i="19"/>
  <c r="U70" i="21"/>
  <c r="W82" i="10"/>
  <c r="W82" i="19"/>
  <c r="J35" i="20"/>
  <c r="K35" i="11"/>
  <c r="K35" i="20"/>
  <c r="O42" i="11"/>
  <c r="O42" i="20"/>
  <c r="O87" i="11"/>
  <c r="O87" i="20"/>
  <c r="I96" i="11"/>
  <c r="I94" i="20"/>
  <c r="I77" i="11"/>
  <c r="I77" i="20"/>
  <c r="I43" i="11"/>
  <c r="I43" i="20"/>
  <c r="I66" i="11"/>
  <c r="I66" i="20"/>
  <c r="L23" i="7"/>
  <c r="L71"/>
  <c r="R21" i="10"/>
  <c r="R21" i="19"/>
  <c r="Q21"/>
  <c r="AA101" i="11"/>
  <c r="AA86"/>
  <c r="AA54"/>
  <c r="AA78"/>
  <c r="AA56"/>
  <c r="AA43"/>
  <c r="AA33"/>
  <c r="AA23"/>
  <c r="AA91"/>
  <c r="AA71"/>
  <c r="AA87"/>
  <c r="AA70"/>
  <c r="AA46"/>
  <c r="AA37"/>
  <c r="AA27"/>
  <c r="AA65"/>
  <c r="AB64"/>
  <c r="AC64"/>
  <c r="AA45" i="7"/>
  <c r="AB45"/>
  <c r="V78" i="20"/>
  <c r="W60" i="21"/>
  <c r="S70" i="11"/>
  <c r="S70" i="20"/>
  <c r="S65" i="11"/>
  <c r="S65" i="20"/>
  <c r="S64" i="11"/>
  <c r="S64" i="20"/>
  <c r="S36" i="7"/>
  <c r="T36"/>
  <c r="S41" i="11"/>
  <c r="S41" i="20"/>
  <c r="R41"/>
  <c r="V75" i="10"/>
  <c r="V75" i="19"/>
  <c r="T21" i="11"/>
  <c r="T21" i="20"/>
  <c r="Y24" i="11"/>
  <c r="T43" i="7"/>
  <c r="Q36" i="21"/>
  <c r="R36"/>
  <c r="R42" i="18"/>
  <c r="U28" i="21"/>
  <c r="V28"/>
  <c r="W87"/>
  <c r="X87"/>
  <c r="I19" i="22"/>
  <c r="I82"/>
  <c r="J19"/>
  <c r="J82"/>
  <c r="H19"/>
  <c r="P19"/>
  <c r="P82"/>
  <c r="P89"/>
  <c r="P95"/>
  <c r="P90"/>
  <c r="O19"/>
  <c r="O82"/>
  <c r="X66" i="10"/>
  <c r="X66" i="19"/>
  <c r="X38" i="11"/>
  <c r="V36" i="10"/>
  <c r="V36" i="19"/>
  <c r="AB55" i="10"/>
  <c r="W64" i="21"/>
  <c r="X64"/>
  <c r="V33" i="7"/>
  <c r="U49"/>
  <c r="W49"/>
  <c r="T38"/>
  <c r="AB26" i="11"/>
  <c r="AA28" i="7"/>
  <c r="AB28"/>
  <c r="U57"/>
  <c r="U46" i="10"/>
  <c r="W60" i="7"/>
  <c r="U26" i="11"/>
  <c r="U26" i="20"/>
  <c r="M78" i="17"/>
  <c r="M84"/>
  <c r="M79"/>
  <c r="H21" i="20"/>
  <c r="K39" i="19"/>
  <c r="M35" i="7"/>
  <c r="N35"/>
  <c r="O35"/>
  <c r="P35"/>
  <c r="I56"/>
  <c r="J56"/>
  <c r="E55" i="19"/>
  <c r="W39" i="17"/>
  <c r="U53" i="21"/>
  <c r="W80"/>
  <c r="T42" i="18"/>
  <c r="X96" i="10"/>
  <c r="X96" i="19"/>
  <c r="U32"/>
  <c r="V76" i="10"/>
  <c r="AB64"/>
  <c r="W22"/>
  <c r="W22" i="19"/>
  <c r="W31" i="10"/>
  <c r="T81" i="7"/>
  <c r="T64"/>
  <c r="V82" i="10"/>
  <c r="U53" i="7"/>
  <c r="V25"/>
  <c r="T28"/>
  <c r="AA63"/>
  <c r="F34" i="10"/>
  <c r="F34" i="19"/>
  <c r="K19" i="26"/>
  <c r="R27" i="16"/>
  <c r="P31" i="7"/>
  <c r="P27"/>
  <c r="L28"/>
  <c r="L47"/>
  <c r="L51"/>
  <c r="P47"/>
  <c r="P51"/>
  <c r="P57"/>
  <c r="P61"/>
  <c r="P66"/>
  <c r="L70"/>
  <c r="P75"/>
  <c r="H74"/>
  <c r="L79"/>
  <c r="G37"/>
  <c r="H37"/>
  <c r="G94" i="11"/>
  <c r="N78" i="17"/>
  <c r="N84"/>
  <c r="N79"/>
  <c r="H42" i="18"/>
  <c r="L42"/>
  <c r="I21" i="21"/>
  <c r="J21"/>
  <c r="Q21"/>
  <c r="M42"/>
  <c r="N42"/>
  <c r="G62"/>
  <c r="H62"/>
  <c r="M67"/>
  <c r="N67"/>
  <c r="Q93" i="23"/>
  <c r="F25" i="15"/>
  <c r="I87" i="19"/>
  <c r="J87"/>
  <c r="U72" i="15"/>
  <c r="Q20" i="26"/>
  <c r="O19"/>
  <c r="F19"/>
  <c r="L19"/>
  <c r="X24" i="10"/>
  <c r="X24" i="19"/>
  <c r="T27" i="7"/>
  <c r="T52"/>
  <c r="T57"/>
  <c r="V58"/>
  <c r="T60"/>
  <c r="X60"/>
  <c r="T51" i="11"/>
  <c r="U51"/>
  <c r="L34" i="7"/>
  <c r="P34"/>
  <c r="L46"/>
  <c r="L54"/>
  <c r="P50"/>
  <c r="P54"/>
  <c r="P55"/>
  <c r="P60"/>
  <c r="L69"/>
  <c r="U77" i="15"/>
  <c r="W74" i="17"/>
  <c r="F42" i="18"/>
  <c r="J42"/>
  <c r="N31"/>
  <c r="R85" i="21"/>
  <c r="V24"/>
  <c r="Q67" i="22"/>
  <c r="N51" i="23"/>
  <c r="N52"/>
  <c r="X84" i="10"/>
  <c r="X91" i="19"/>
  <c r="X42" i="18"/>
  <c r="O25" i="15"/>
  <c r="O51" i="26"/>
  <c r="O52"/>
  <c r="V44" i="7"/>
  <c r="T26"/>
  <c r="W29"/>
  <c r="T33"/>
  <c r="T49"/>
  <c r="T58"/>
  <c r="T59"/>
  <c r="H96" i="16"/>
  <c r="G96"/>
  <c r="Q26" i="15"/>
  <c r="Y26"/>
  <c r="G67" i="23"/>
  <c r="K67"/>
  <c r="Q69"/>
  <c r="F73"/>
  <c r="J73"/>
  <c r="O73"/>
  <c r="O20"/>
  <c r="H20"/>
  <c r="L20"/>
  <c r="F28"/>
  <c r="J28"/>
  <c r="N28"/>
  <c r="G28"/>
  <c r="O28"/>
  <c r="F33"/>
  <c r="J33"/>
  <c r="N33"/>
  <c r="F38"/>
  <c r="J38"/>
  <c r="N38"/>
  <c r="G38"/>
  <c r="O38"/>
  <c r="Q43"/>
  <c r="H45"/>
  <c r="L45"/>
  <c r="I45"/>
  <c r="M45"/>
  <c r="U69" i="15"/>
  <c r="U67"/>
  <c r="U61"/>
  <c r="S79"/>
  <c r="U79"/>
  <c r="S75"/>
  <c r="U75"/>
  <c r="J67" i="23"/>
  <c r="O57" i="15"/>
  <c r="O58"/>
  <c r="K58"/>
  <c r="N57"/>
  <c r="N58"/>
  <c r="P57"/>
  <c r="P58"/>
  <c r="O33" i="23"/>
  <c r="Y55" i="15"/>
  <c r="H89" i="16"/>
  <c r="G85"/>
  <c r="K64"/>
  <c r="G54" i="23"/>
  <c r="G53"/>
  <c r="K54"/>
  <c r="K53"/>
  <c r="Q57"/>
  <c r="Q61"/>
  <c r="Q64"/>
  <c r="Q65"/>
  <c r="AC51" i="7"/>
  <c r="F58" i="20"/>
  <c r="F59"/>
  <c r="G59"/>
  <c r="Q67" i="7"/>
  <c r="X75"/>
  <c r="F20" i="18"/>
  <c r="W81" i="7"/>
  <c r="AA28" i="10"/>
  <c r="AC28"/>
  <c r="Y29" i="7"/>
  <c r="Z29"/>
  <c r="Z28" i="10"/>
  <c r="I52" i="19"/>
  <c r="I53"/>
  <c r="J53"/>
  <c r="H58" i="20"/>
  <c r="H59"/>
  <c r="I59"/>
  <c r="F31" i="7"/>
  <c r="F26"/>
  <c r="F22"/>
  <c r="T28" i="21"/>
  <c r="P38"/>
  <c r="J69"/>
  <c r="F70"/>
  <c r="F73"/>
  <c r="N73"/>
  <c r="J81"/>
  <c r="F74"/>
  <c r="P80"/>
  <c r="P84"/>
  <c r="F86"/>
  <c r="O84" i="23"/>
  <c r="I20"/>
  <c r="M20"/>
  <c r="F20"/>
  <c r="J20"/>
  <c r="Q25"/>
  <c r="H28"/>
  <c r="L28"/>
  <c r="M28"/>
  <c r="H33"/>
  <c r="L33"/>
  <c r="I33"/>
  <c r="M33"/>
  <c r="L38"/>
  <c r="F45"/>
  <c r="J45"/>
  <c r="N45"/>
  <c r="Q49"/>
  <c r="O45"/>
  <c r="Q87" i="19"/>
  <c r="R87"/>
  <c r="G87"/>
  <c r="H87"/>
  <c r="O87"/>
  <c r="M87"/>
  <c r="N87"/>
  <c r="U87"/>
  <c r="V87"/>
  <c r="S92" i="20"/>
  <c r="F92"/>
  <c r="G92"/>
  <c r="N92"/>
  <c r="O92"/>
  <c r="D92"/>
  <c r="E92"/>
  <c r="L92"/>
  <c r="M92"/>
  <c r="T92"/>
  <c r="U92"/>
  <c r="H92"/>
  <c r="I92"/>
  <c r="P92"/>
  <c r="O80" i="11"/>
  <c r="O80" i="20"/>
  <c r="Q93" i="16"/>
  <c r="Y62" i="7"/>
  <c r="Z62"/>
  <c r="AD75"/>
  <c r="Z81"/>
  <c r="AB85"/>
  <c r="Z86"/>
  <c r="V87"/>
  <c r="AA74" i="11"/>
  <c r="AA30"/>
  <c r="AB44" i="18"/>
  <c r="P44"/>
  <c r="P33"/>
  <c r="P43"/>
  <c r="P32"/>
  <c r="M30" i="7"/>
  <c r="N30"/>
  <c r="G62"/>
  <c r="H62"/>
  <c r="F51" i="20"/>
  <c r="F80" i="7"/>
  <c r="F70"/>
  <c r="F64"/>
  <c r="F59"/>
  <c r="F50"/>
  <c r="F51"/>
  <c r="F46"/>
  <c r="F38"/>
  <c r="F87"/>
  <c r="R21" i="21"/>
  <c r="J23"/>
  <c r="J24"/>
  <c r="J25"/>
  <c r="R25"/>
  <c r="J26"/>
  <c r="J27"/>
  <c r="J28"/>
  <c r="E21"/>
  <c r="F21"/>
  <c r="M21"/>
  <c r="N21"/>
  <c r="F38"/>
  <c r="Q42"/>
  <c r="Q41"/>
  <c r="R41"/>
  <c r="F45"/>
  <c r="N45"/>
  <c r="J46"/>
  <c r="P47"/>
  <c r="T48"/>
  <c r="P49"/>
  <c r="T50"/>
  <c r="F51"/>
  <c r="N51"/>
  <c r="F52"/>
  <c r="J53"/>
  <c r="F54"/>
  <c r="N54"/>
  <c r="T55"/>
  <c r="N59"/>
  <c r="P60"/>
  <c r="X60"/>
  <c r="J61"/>
  <c r="J63"/>
  <c r="P64"/>
  <c r="T65"/>
  <c r="P66"/>
  <c r="Q58" i="23"/>
  <c r="L54"/>
  <c r="L53"/>
  <c r="Q62"/>
  <c r="Q66"/>
  <c r="I67"/>
  <c r="Q71"/>
  <c r="I73"/>
  <c r="L73"/>
  <c r="Q77"/>
  <c r="Q79"/>
  <c r="Q85"/>
  <c r="J84"/>
  <c r="Q86"/>
  <c r="K84"/>
  <c r="Q91"/>
  <c r="Q92"/>
  <c r="Q62" i="7"/>
  <c r="R62"/>
  <c r="S30"/>
  <c r="T30"/>
  <c r="W48"/>
  <c r="AB50"/>
  <c r="AD51"/>
  <c r="Q34" i="27"/>
  <c r="Z54" i="7"/>
  <c r="AB55"/>
  <c r="AB60"/>
  <c r="AB61"/>
  <c r="U54" i="10"/>
  <c r="V54"/>
  <c r="X58" i="11"/>
  <c r="X59"/>
  <c r="Y59"/>
  <c r="H76" i="16"/>
  <c r="J76"/>
  <c r="K76"/>
  <c r="G76"/>
  <c r="J65"/>
  <c r="H65"/>
  <c r="J67"/>
  <c r="G67"/>
  <c r="H67"/>
  <c r="K67"/>
  <c r="H77"/>
  <c r="K73"/>
  <c r="Y76" i="15"/>
  <c r="S66"/>
  <c r="U66"/>
  <c r="S64"/>
  <c r="U64"/>
  <c r="U85"/>
  <c r="J85" i="16"/>
  <c r="Y75" i="15"/>
  <c r="Y64"/>
  <c r="K62" i="16"/>
  <c r="Y66" i="15"/>
  <c r="S81"/>
  <c r="U81"/>
  <c r="H85" i="16"/>
  <c r="G80"/>
  <c r="J51"/>
  <c r="K51"/>
  <c r="G51"/>
  <c r="K28"/>
  <c r="J28"/>
  <c r="H53"/>
  <c r="J53"/>
  <c r="Y27" i="15"/>
  <c r="G31" i="16"/>
  <c r="H42"/>
  <c r="Y40" i="15"/>
  <c r="Y50"/>
  <c r="J49" i="16"/>
  <c r="Y53" i="15"/>
  <c r="K20" i="23"/>
  <c r="Q27"/>
  <c r="K28"/>
  <c r="Q32"/>
  <c r="K33"/>
  <c r="Q37"/>
  <c r="K38"/>
  <c r="Q42"/>
  <c r="Q47"/>
  <c r="W61" i="11"/>
  <c r="W61" i="20"/>
  <c r="U61"/>
  <c r="J21"/>
  <c r="K21" i="11"/>
  <c r="K21" i="20"/>
  <c r="K56" i="7"/>
  <c r="L56"/>
  <c r="L59"/>
  <c r="O75" i="16"/>
  <c r="N75"/>
  <c r="G20" i="23"/>
  <c r="Q21"/>
  <c r="E20"/>
  <c r="Q23"/>
  <c r="H38"/>
  <c r="Q41"/>
  <c r="X82" i="10"/>
  <c r="X82" i="19"/>
  <c r="V82"/>
  <c r="Y61" i="11"/>
  <c r="Y87"/>
  <c r="Y72"/>
  <c r="Y53"/>
  <c r="Y33"/>
  <c r="Y101"/>
  <c r="Y86"/>
  <c r="Y68"/>
  <c r="Y105"/>
  <c r="Y76"/>
  <c r="Y56"/>
  <c r="Y42"/>
  <c r="Y103"/>
  <c r="Y90"/>
  <c r="Y71"/>
  <c r="Y49"/>
  <c r="Y94"/>
  <c r="Y78"/>
  <c r="Y63"/>
  <c r="Y45"/>
  <c r="Y28"/>
  <c r="Y95"/>
  <c r="Y81"/>
  <c r="Y54"/>
  <c r="Y26"/>
  <c r="R35" i="20"/>
  <c r="S35" i="21"/>
  <c r="T35"/>
  <c r="S37" i="7"/>
  <c r="T37"/>
  <c r="R51" i="20"/>
  <c r="S37" i="21"/>
  <c r="T37"/>
  <c r="X43" i="11"/>
  <c r="V43"/>
  <c r="V43" i="20"/>
  <c r="T43"/>
  <c r="U23" i="21"/>
  <c r="V23"/>
  <c r="Y23" i="10"/>
  <c r="Z23"/>
  <c r="V23"/>
  <c r="W23"/>
  <c r="E20"/>
  <c r="F39"/>
  <c r="F39" i="19"/>
  <c r="E36" i="21"/>
  <c r="F36"/>
  <c r="L68" i="7"/>
  <c r="K67"/>
  <c r="L67"/>
  <c r="I51" i="11"/>
  <c r="I51" i="20"/>
  <c r="H51"/>
  <c r="D35"/>
  <c r="E35" i="7"/>
  <c r="F35"/>
  <c r="R54" i="10"/>
  <c r="R54" i="19"/>
  <c r="Q54"/>
  <c r="T75" i="10"/>
  <c r="S75" i="19"/>
  <c r="S102" i="11"/>
  <c r="S101" i="20"/>
  <c r="S100" i="11"/>
  <c r="S99" i="20"/>
  <c r="S96" i="11"/>
  <c r="S94" i="20"/>
  <c r="U90" i="11"/>
  <c r="U96" i="20"/>
  <c r="U88" i="11"/>
  <c r="W88"/>
  <c r="S82"/>
  <c r="U68"/>
  <c r="U68" i="20"/>
  <c r="S54" i="11"/>
  <c r="S54" i="20"/>
  <c r="U50" i="11"/>
  <c r="S48"/>
  <c r="S46"/>
  <c r="S44"/>
  <c r="S33"/>
  <c r="S31"/>
  <c r="S29"/>
  <c r="S27"/>
  <c r="S27" i="20"/>
  <c r="S25" i="11"/>
  <c r="S25" i="20"/>
  <c r="S23" i="11"/>
  <c r="S85"/>
  <c r="U89"/>
  <c r="U88" i="20"/>
  <c r="U86" i="11"/>
  <c r="U86" i="20"/>
  <c r="S84" i="11"/>
  <c r="S84" i="20"/>
  <c r="U78" i="11"/>
  <c r="U76"/>
  <c r="S73"/>
  <c r="S73" i="20"/>
  <c r="U57" i="11"/>
  <c r="S49"/>
  <c r="S49" i="20"/>
  <c r="S42" i="11"/>
  <c r="U40"/>
  <c r="S72"/>
  <c r="U85"/>
  <c r="U85" i="20"/>
  <c r="S87" i="11"/>
  <c r="S87" i="20"/>
  <c r="U103" i="11"/>
  <c r="U101"/>
  <c r="U100" i="20"/>
  <c r="U97" i="11"/>
  <c r="U95"/>
  <c r="U91"/>
  <c r="W91"/>
  <c r="S52"/>
  <c r="S52" i="20"/>
  <c r="S47" i="11"/>
  <c r="S47" i="20"/>
  <c r="S45" i="11"/>
  <c r="S45" i="20"/>
  <c r="U38" i="11"/>
  <c r="U34"/>
  <c r="U32"/>
  <c r="U28"/>
  <c r="U28" i="20"/>
  <c r="S26" i="11"/>
  <c r="S24"/>
  <c r="S24" i="20"/>
  <c r="U63" i="11"/>
  <c r="U63" i="20"/>
  <c r="S67" i="11"/>
  <c r="U72"/>
  <c r="U72" i="20"/>
  <c r="S75" i="11"/>
  <c r="U87"/>
  <c r="U105"/>
  <c r="U104" i="20"/>
  <c r="U22" i="7"/>
  <c r="V22"/>
  <c r="V22" i="11"/>
  <c r="U22" i="21"/>
  <c r="V22"/>
  <c r="X22" i="11"/>
  <c r="Y22"/>
  <c r="Y43" i="10"/>
  <c r="Z43"/>
  <c r="W43"/>
  <c r="W43" i="19"/>
  <c r="U43"/>
  <c r="Y37" i="10"/>
  <c r="Z37"/>
  <c r="V37"/>
  <c r="X37"/>
  <c r="X37" i="19"/>
  <c r="W37" i="10"/>
  <c r="W37" i="19"/>
  <c r="AA40" i="10"/>
  <c r="U37" i="21"/>
  <c r="V37"/>
  <c r="H28" i="16"/>
  <c r="J46"/>
  <c r="K53"/>
  <c r="W73" i="11"/>
  <c r="W73" i="20"/>
  <c r="V29" i="10"/>
  <c r="W100" i="11"/>
  <c r="W99" i="20"/>
  <c r="S56" i="7"/>
  <c r="T56"/>
  <c r="W101" i="11"/>
  <c r="W100" i="20"/>
  <c r="E39" i="19"/>
  <c r="K36" i="7"/>
  <c r="L36"/>
  <c r="F58" i="11"/>
  <c r="F59"/>
  <c r="G59"/>
  <c r="G30"/>
  <c r="G30" i="20"/>
  <c r="K69" i="16"/>
  <c r="K65"/>
  <c r="G65"/>
  <c r="M42" i="7"/>
  <c r="I83" i="11"/>
  <c r="I83" i="20"/>
  <c r="R34" i="7"/>
  <c r="R70"/>
  <c r="I25" i="11"/>
  <c r="I25" i="20"/>
  <c r="R31" i="7"/>
  <c r="I36" i="11"/>
  <c r="I36" i="20"/>
  <c r="P79" i="7"/>
  <c r="L85"/>
  <c r="P85"/>
  <c r="N80" i="20"/>
  <c r="D21"/>
  <c r="R81" i="7"/>
  <c r="H54" i="23"/>
  <c r="H53"/>
  <c r="Y83" i="11"/>
  <c r="Y67"/>
  <c r="R33" i="7"/>
  <c r="R54"/>
  <c r="R32"/>
  <c r="R58"/>
  <c r="P20" i="11"/>
  <c r="P21" i="20"/>
  <c r="Q37" i="7"/>
  <c r="R37"/>
  <c r="Q46" i="19"/>
  <c r="R46" i="10"/>
  <c r="R46" i="19"/>
  <c r="K89" i="20"/>
  <c r="K57"/>
  <c r="S57"/>
  <c r="S89"/>
  <c r="F43" i="21"/>
  <c r="E42"/>
  <c r="I42"/>
  <c r="J44"/>
  <c r="T79"/>
  <c r="S77"/>
  <c r="T77"/>
  <c r="O81" i="16"/>
  <c r="N81"/>
  <c r="W33" i="10"/>
  <c r="U34" i="21"/>
  <c r="V69" i="10"/>
  <c r="H50" i="16"/>
  <c r="R84" i="7"/>
  <c r="R87"/>
  <c r="R45"/>
  <c r="R85"/>
  <c r="R38"/>
  <c r="R43"/>
  <c r="R28"/>
  <c r="K41" i="11"/>
  <c r="K41" i="20"/>
  <c r="R80" i="7"/>
  <c r="W68" i="21"/>
  <c r="X68"/>
  <c r="L67" i="23"/>
  <c r="X38" i="10"/>
  <c r="X38" i="19"/>
  <c r="Y64" i="11"/>
  <c r="Y47"/>
  <c r="U43"/>
  <c r="J64" i="16"/>
  <c r="G64"/>
  <c r="O55" i="11"/>
  <c r="O55" i="20"/>
  <c r="O95" i="11"/>
  <c r="O93" i="20"/>
  <c r="O39" i="11"/>
  <c r="O39" i="20"/>
  <c r="O43" i="11"/>
  <c r="O43" i="20"/>
  <c r="O65" i="11"/>
  <c r="O65" i="20"/>
  <c r="O102" i="11"/>
  <c r="O101" i="20"/>
  <c r="O27" i="11"/>
  <c r="O27" i="20"/>
  <c r="O47" i="11"/>
  <c r="O47" i="20"/>
  <c r="O51" i="11"/>
  <c r="O51" i="20"/>
  <c r="I33" i="11"/>
  <c r="I33" i="20"/>
  <c r="I56" i="11"/>
  <c r="I56" i="20"/>
  <c r="I89" i="11"/>
  <c r="I88" i="20"/>
  <c r="I79" i="11"/>
  <c r="I79" i="20"/>
  <c r="I71" i="11"/>
  <c r="I71" i="20"/>
  <c r="I48" i="11"/>
  <c r="I48" i="20"/>
  <c r="I28" i="11"/>
  <c r="I28" i="20"/>
  <c r="I67" i="11"/>
  <c r="I67" i="20"/>
  <c r="I82" i="11"/>
  <c r="I82" i="20"/>
  <c r="I22" i="11"/>
  <c r="I22" i="20"/>
  <c r="I100" i="11"/>
  <c r="I99" i="20"/>
  <c r="P71" i="7"/>
  <c r="P72"/>
  <c r="P52"/>
  <c r="P87"/>
  <c r="P63"/>
  <c r="L74"/>
  <c r="L24"/>
  <c r="L63"/>
  <c r="H72"/>
  <c r="H49"/>
  <c r="H68"/>
  <c r="Q56" i="23"/>
  <c r="F54"/>
  <c r="F53"/>
  <c r="Q70"/>
  <c r="E67"/>
  <c r="Q75"/>
  <c r="E73"/>
  <c r="Q87"/>
  <c r="H84"/>
  <c r="U78" i="7"/>
  <c r="V78"/>
  <c r="W79"/>
  <c r="U31" i="21"/>
  <c r="V31"/>
  <c r="Y30" i="10"/>
  <c r="AA30"/>
  <c r="U31" i="7"/>
  <c r="W31"/>
  <c r="U26" i="21"/>
  <c r="V26" i="10"/>
  <c r="V26" i="19"/>
  <c r="K54" i="10"/>
  <c r="K54" i="19"/>
  <c r="K52"/>
  <c r="L55" i="10"/>
  <c r="L55" i="19"/>
  <c r="K55"/>
  <c r="M20" i="10"/>
  <c r="M34" i="19"/>
  <c r="J46" i="10"/>
  <c r="J46" i="19"/>
  <c r="I37" i="7"/>
  <c r="J37"/>
  <c r="H29" i="10"/>
  <c r="H29" i="19"/>
  <c r="G29"/>
  <c r="H46" i="16"/>
  <c r="W57" i="11"/>
  <c r="I78" i="7"/>
  <c r="J78"/>
  <c r="Q21" i="11"/>
  <c r="Q21" i="20"/>
  <c r="U69" i="19"/>
  <c r="V35" i="11"/>
  <c r="V35" i="20"/>
  <c r="Z72" i="10"/>
  <c r="U54" i="20"/>
  <c r="J48" i="16"/>
  <c r="G53"/>
  <c r="W84" i="11"/>
  <c r="W84" i="20"/>
  <c r="M74" i="11"/>
  <c r="M74" i="20"/>
  <c r="I36" i="7"/>
  <c r="J36"/>
  <c r="R63"/>
  <c r="R59"/>
  <c r="R51"/>
  <c r="H34" i="27"/>
  <c r="R61" i="7"/>
  <c r="G56"/>
  <c r="H56"/>
  <c r="J22" i="21"/>
  <c r="P87" i="19"/>
  <c r="S89" i="11"/>
  <c r="Y31"/>
  <c r="Y74"/>
  <c r="U56"/>
  <c r="S77"/>
  <c r="S77" i="20"/>
  <c r="U94" i="11"/>
  <c r="P29" i="7"/>
  <c r="L49"/>
  <c r="N52"/>
  <c r="J60"/>
  <c r="N60"/>
  <c r="P58"/>
  <c r="M67"/>
  <c r="N67"/>
  <c r="J74"/>
  <c r="M80" i="11"/>
  <c r="M80" i="20"/>
  <c r="I94" i="11"/>
  <c r="F32" i="7"/>
  <c r="F27"/>
  <c r="S93" i="19"/>
  <c r="T93"/>
  <c r="S30" i="21"/>
  <c r="T30"/>
  <c r="R34" i="10"/>
  <c r="R34" i="19"/>
  <c r="R55" i="10"/>
  <c r="R55" i="19"/>
  <c r="N86" i="7"/>
  <c r="H33" i="21"/>
  <c r="L55"/>
  <c r="F47"/>
  <c r="F49"/>
  <c r="P53"/>
  <c r="T54"/>
  <c r="J58"/>
  <c r="Q56"/>
  <c r="R56"/>
  <c r="T59"/>
  <c r="P61"/>
  <c r="J65"/>
  <c r="R65"/>
  <c r="N66"/>
  <c r="G77"/>
  <c r="H77"/>
  <c r="O77"/>
  <c r="P77"/>
  <c r="X80"/>
  <c r="E51" i="22"/>
  <c r="E52"/>
  <c r="N20" i="23"/>
  <c r="Q29"/>
  <c r="I28"/>
  <c r="Q39"/>
  <c r="U71" i="15"/>
  <c r="Y25" i="11"/>
  <c r="S30"/>
  <c r="Z43" i="7"/>
  <c r="Z47"/>
  <c r="AD69"/>
  <c r="W74"/>
  <c r="U62" i="11"/>
  <c r="U62" i="20"/>
  <c r="V30" i="11"/>
  <c r="V30" i="20"/>
  <c r="Y80" i="15"/>
  <c r="H31" i="18"/>
  <c r="X93" i="19"/>
  <c r="Q55"/>
  <c r="Q29"/>
  <c r="H65" i="21"/>
  <c r="P65"/>
  <c r="L66"/>
  <c r="T66"/>
  <c r="F69"/>
  <c r="N69"/>
  <c r="P85"/>
  <c r="J86"/>
  <c r="F87"/>
  <c r="N87"/>
  <c r="Q28" i="22"/>
  <c r="Q45"/>
  <c r="Q53"/>
  <c r="Q55" i="23"/>
  <c r="M54"/>
  <c r="M53"/>
  <c r="Q59"/>
  <c r="H73"/>
  <c r="G73"/>
  <c r="G84"/>
  <c r="Q94"/>
  <c r="Q42" i="7"/>
  <c r="R42"/>
  <c r="AC51" i="11"/>
  <c r="S105"/>
  <c r="S104" i="20"/>
  <c r="Z46" i="7"/>
  <c r="Z51"/>
  <c r="K34" i="27"/>
  <c r="Z52" i="7"/>
  <c r="AB53"/>
  <c r="Z57"/>
  <c r="AB67"/>
  <c r="AB70"/>
  <c r="AB73"/>
  <c r="AB74"/>
  <c r="Z75"/>
  <c r="I20" i="10"/>
  <c r="J20" i="18"/>
  <c r="L33"/>
  <c r="F79" i="7"/>
  <c r="F67"/>
  <c r="F58"/>
  <c r="F54"/>
  <c r="F49"/>
  <c r="Q77" i="21"/>
  <c r="R77"/>
  <c r="P58" i="11"/>
  <c r="P59"/>
  <c r="Q59"/>
  <c r="V73" i="21"/>
  <c r="N31"/>
  <c r="N32"/>
  <c r="F33"/>
  <c r="N33"/>
  <c r="F34"/>
  <c r="N34"/>
  <c r="T46"/>
  <c r="T69"/>
  <c r="H70"/>
  <c r="H73"/>
  <c r="P73"/>
  <c r="L81"/>
  <c r="T81"/>
  <c r="O54" i="23"/>
  <c r="O53"/>
  <c r="O67"/>
  <c r="Q81"/>
  <c r="AB54" i="7"/>
  <c r="AB66"/>
  <c r="V73"/>
  <c r="Z74"/>
  <c r="L32" i="18"/>
  <c r="W80" i="11"/>
  <c r="W80" i="20"/>
  <c r="U80"/>
  <c r="M60"/>
  <c r="AA59" i="7"/>
  <c r="AC72" i="10"/>
  <c r="AA69"/>
  <c r="K34" i="16"/>
  <c r="J34"/>
  <c r="H34"/>
  <c r="G34"/>
  <c r="T80" i="20"/>
  <c r="V80" i="11"/>
  <c r="V80" i="20"/>
  <c r="V51" i="11"/>
  <c r="U37" i="7"/>
  <c r="O79" i="17"/>
  <c r="W79"/>
  <c r="V60" i="11"/>
  <c r="V60" i="20"/>
  <c r="U60" i="11"/>
  <c r="J83" i="16"/>
  <c r="H83"/>
  <c r="K83"/>
  <c r="G83"/>
  <c r="T60" i="20"/>
  <c r="D73" i="17"/>
  <c r="D78"/>
  <c r="L21" i="20"/>
  <c r="L20" i="11"/>
  <c r="N20"/>
  <c r="O30"/>
  <c r="O30" i="20"/>
  <c r="L31" i="7"/>
  <c r="K30"/>
  <c r="L30"/>
  <c r="L64"/>
  <c r="K62"/>
  <c r="L62"/>
  <c r="P64"/>
  <c r="O62"/>
  <c r="P62"/>
  <c r="F63"/>
  <c r="E62"/>
  <c r="F62"/>
  <c r="F45"/>
  <c r="E42"/>
  <c r="L64" i="21"/>
  <c r="K62"/>
  <c r="L62"/>
  <c r="V24" i="20"/>
  <c r="W24" i="21"/>
  <c r="X24"/>
  <c r="AD80" i="7"/>
  <c r="AC78"/>
  <c r="AD78"/>
  <c r="W84"/>
  <c r="V84"/>
  <c r="V55" i="10"/>
  <c r="U55" i="19"/>
  <c r="AB62" i="11"/>
  <c r="AA62"/>
  <c r="Z61"/>
  <c r="Y51" i="10"/>
  <c r="U38" i="7"/>
  <c r="V51" i="10"/>
  <c r="U51" i="19"/>
  <c r="U38" i="21"/>
  <c r="V38"/>
  <c r="J66" i="16"/>
  <c r="G66"/>
  <c r="K66"/>
  <c r="K51" i="11"/>
  <c r="K51" i="20"/>
  <c r="J51"/>
  <c r="D104"/>
  <c r="E105" i="11"/>
  <c r="E104" i="20"/>
  <c r="J41" i="16"/>
  <c r="G41"/>
  <c r="K41"/>
  <c r="V74" i="17"/>
  <c r="K78"/>
  <c r="K84"/>
  <c r="K79"/>
  <c r="J59" i="15"/>
  <c r="J57"/>
  <c r="J58"/>
  <c r="W44" i="10"/>
  <c r="W44" i="19"/>
  <c r="V44" i="10"/>
  <c r="U44" i="19"/>
  <c r="Y44" i="10"/>
  <c r="W35"/>
  <c r="W35" i="19"/>
  <c r="Y35" i="10"/>
  <c r="V35"/>
  <c r="U35" i="19"/>
  <c r="Y27" i="10"/>
  <c r="Z27"/>
  <c r="U27" i="7"/>
  <c r="U27" i="19"/>
  <c r="V27" i="10"/>
  <c r="W27"/>
  <c r="U27" i="21"/>
  <c r="V27"/>
  <c r="AA23" i="10"/>
  <c r="Q86" i="14"/>
  <c r="T60" i="15"/>
  <c r="Q28" i="14"/>
  <c r="J47" i="16"/>
  <c r="H47"/>
  <c r="K47"/>
  <c r="D30" i="20"/>
  <c r="E30" i="11"/>
  <c r="E30" i="20"/>
  <c r="H58" i="11"/>
  <c r="I74"/>
  <c r="S20" i="10"/>
  <c r="S21" i="19"/>
  <c r="V37"/>
  <c r="V64"/>
  <c r="X64" i="10"/>
  <c r="X64" i="19"/>
  <c r="T55" i="20"/>
  <c r="U55" i="11"/>
  <c r="V55"/>
  <c r="V55" i="20"/>
  <c r="U66" i="7"/>
  <c r="U66" i="21"/>
  <c r="V66"/>
  <c r="W65" i="7"/>
  <c r="V65"/>
  <c r="T23"/>
  <c r="S21"/>
  <c r="Q93" i="19"/>
  <c r="R93"/>
  <c r="Y69" i="10"/>
  <c r="Z69"/>
  <c r="U56" i="7"/>
  <c r="K78"/>
  <c r="L78"/>
  <c r="S82" i="15"/>
  <c r="U82"/>
  <c r="K42" i="7"/>
  <c r="P25" i="15"/>
  <c r="W70" i="7"/>
  <c r="Y59"/>
  <c r="U21" i="11"/>
  <c r="AC49" i="10"/>
  <c r="AD49"/>
  <c r="W77" i="11"/>
  <c r="W77" i="20"/>
  <c r="W78" i="17"/>
  <c r="G94" i="16"/>
  <c r="H20" i="20"/>
  <c r="G28" i="16"/>
  <c r="K46"/>
  <c r="H48"/>
  <c r="G50"/>
  <c r="S96" i="20"/>
  <c r="T95" i="19"/>
  <c r="I21" i="7"/>
  <c r="P72" i="17"/>
  <c r="Y82" i="15"/>
  <c r="G35" i="11"/>
  <c r="G35" i="20"/>
  <c r="H66" i="16"/>
  <c r="S62" i="20"/>
  <c r="H36" i="7"/>
  <c r="E78"/>
  <c r="F78"/>
  <c r="F69"/>
  <c r="M21" i="11"/>
  <c r="M21" i="20"/>
  <c r="N31" i="7"/>
  <c r="H87"/>
  <c r="G35" i="21"/>
  <c r="S63" i="20"/>
  <c r="Y86" i="15"/>
  <c r="H33" i="7"/>
  <c r="G21"/>
  <c r="H50"/>
  <c r="J104" i="20"/>
  <c r="L43" i="7"/>
  <c r="Q78"/>
  <c r="R78"/>
  <c r="F35" i="20"/>
  <c r="Q54" i="14"/>
  <c r="I84"/>
  <c r="I90"/>
  <c r="I96"/>
  <c r="H56" i="21"/>
  <c r="J37" i="16"/>
  <c r="L58" i="11"/>
  <c r="L59"/>
  <c r="M59"/>
  <c r="L60" i="20"/>
  <c r="L58"/>
  <c r="N64" i="7"/>
  <c r="M62"/>
  <c r="N62"/>
  <c r="Y98" i="15"/>
  <c r="E51" i="11"/>
  <c r="E51" i="20"/>
  <c r="E37" i="7"/>
  <c r="F37"/>
  <c r="J73" i="17"/>
  <c r="J78"/>
  <c r="T22" i="21"/>
  <c r="S21"/>
  <c r="S62"/>
  <c r="T62"/>
  <c r="T64"/>
  <c r="O83" i="22"/>
  <c r="O89"/>
  <c r="O95"/>
  <c r="O90"/>
  <c r="T80" i="7"/>
  <c r="S78"/>
  <c r="U81" i="11"/>
  <c r="T81" i="20"/>
  <c r="V81" i="11"/>
  <c r="U63" i="21"/>
  <c r="T52" i="20"/>
  <c r="V52" i="11"/>
  <c r="V52" i="20"/>
  <c r="U55" i="7"/>
  <c r="W68" i="10"/>
  <c r="V68"/>
  <c r="U55" i="21"/>
  <c r="V55"/>
  <c r="U68" i="19"/>
  <c r="Y54" i="10"/>
  <c r="Z55"/>
  <c r="AA47"/>
  <c r="AC47"/>
  <c r="Z47"/>
  <c r="G84" i="17"/>
  <c r="D60" i="20"/>
  <c r="E60" i="11"/>
  <c r="E60" i="20"/>
  <c r="D58" i="11"/>
  <c r="D59"/>
  <c r="E59"/>
  <c r="D80" i="20"/>
  <c r="E80" i="11"/>
  <c r="E80" i="20"/>
  <c r="H71" i="7"/>
  <c r="H31"/>
  <c r="H60"/>
  <c r="H75"/>
  <c r="H38"/>
  <c r="H28"/>
  <c r="H22"/>
  <c r="H81"/>
  <c r="H80"/>
  <c r="H27"/>
  <c r="H55"/>
  <c r="H84"/>
  <c r="H59"/>
  <c r="T80" i="15"/>
  <c r="Q74" i="14"/>
  <c r="P89" i="23"/>
  <c r="P95"/>
  <c r="P90"/>
  <c r="P83"/>
  <c r="H68" i="21"/>
  <c r="G67"/>
  <c r="H67"/>
  <c r="P68"/>
  <c r="O67"/>
  <c r="P67"/>
  <c r="K67"/>
  <c r="L67"/>
  <c r="L69"/>
  <c r="J84" i="16"/>
  <c r="K84"/>
  <c r="H84"/>
  <c r="J73"/>
  <c r="H73"/>
  <c r="J32"/>
  <c r="J30" i="20"/>
  <c r="K30" i="11"/>
  <c r="K30" i="20"/>
  <c r="G30" i="7"/>
  <c r="H30"/>
  <c r="H32"/>
  <c r="P22"/>
  <c r="O21"/>
  <c r="G78"/>
  <c r="H78"/>
  <c r="H79"/>
  <c r="H56" i="16"/>
  <c r="K56"/>
  <c r="G56"/>
  <c r="S78" i="15"/>
  <c r="U78"/>
  <c r="S83"/>
  <c r="U83"/>
  <c r="Y83"/>
  <c r="S54" i="10"/>
  <c r="S55" i="19"/>
  <c r="N30" i="21"/>
  <c r="M20"/>
  <c r="I89" i="20"/>
  <c r="I57"/>
  <c r="Q89"/>
  <c r="Q57"/>
  <c r="H86" i="21"/>
  <c r="H26"/>
  <c r="H27"/>
  <c r="H22"/>
  <c r="H24"/>
  <c r="H59"/>
  <c r="H34"/>
  <c r="H69"/>
  <c r="H80"/>
  <c r="H25"/>
  <c r="H74"/>
  <c r="H48"/>
  <c r="H51"/>
  <c r="H31"/>
  <c r="H50"/>
  <c r="H23"/>
  <c r="H64"/>
  <c r="H54"/>
  <c r="H84"/>
  <c r="H44"/>
  <c r="H66"/>
  <c r="H47"/>
  <c r="H58"/>
  <c r="H78"/>
  <c r="H52"/>
  <c r="H81"/>
  <c r="H72"/>
  <c r="H46"/>
  <c r="H71"/>
  <c r="L47"/>
  <c r="L49"/>
  <c r="L61"/>
  <c r="L68"/>
  <c r="L29"/>
  <c r="L43"/>
  <c r="L45"/>
  <c r="L87"/>
  <c r="L38"/>
  <c r="L63"/>
  <c r="L65"/>
  <c r="L70"/>
  <c r="L85"/>
  <c r="L34"/>
  <c r="L71"/>
  <c r="L48"/>
  <c r="L60"/>
  <c r="L72"/>
  <c r="L51"/>
  <c r="L57"/>
  <c r="L58"/>
  <c r="L28"/>
  <c r="L54"/>
  <c r="L73"/>
  <c r="L84"/>
  <c r="L22"/>
  <c r="L50"/>
  <c r="L53"/>
  <c r="L32"/>
  <c r="L78"/>
  <c r="U37" i="11"/>
  <c r="T37" i="20"/>
  <c r="V37" i="11"/>
  <c r="V37" i="20"/>
  <c r="X37" i="11"/>
  <c r="Y37"/>
  <c r="V47" i="7"/>
  <c r="W47"/>
  <c r="W28"/>
  <c r="AA32" i="10"/>
  <c r="AC62" i="7"/>
  <c r="AD62"/>
  <c r="H94" i="16"/>
  <c r="AA43" i="7"/>
  <c r="D20" i="11"/>
  <c r="N30" i="20"/>
  <c r="L73" i="17"/>
  <c r="U74"/>
  <c r="V28" i="7"/>
  <c r="Y33"/>
  <c r="Z33"/>
  <c r="S28" i="20"/>
  <c r="K50" i="16"/>
  <c r="U39" i="10"/>
  <c r="U63" i="7"/>
  <c r="U52" i="11"/>
  <c r="D51" i="20"/>
  <c r="J20" i="11"/>
  <c r="F73" i="17"/>
  <c r="F20" i="11"/>
  <c r="E56" i="7"/>
  <c r="F56"/>
  <c r="G42"/>
  <c r="H69"/>
  <c r="H73"/>
  <c r="H65"/>
  <c r="H86"/>
  <c r="H61"/>
  <c r="J58" i="11"/>
  <c r="J59"/>
  <c r="K59"/>
  <c r="H26" i="7"/>
  <c r="H66"/>
  <c r="U21" i="21"/>
  <c r="W51" i="10"/>
  <c r="J69" i="16"/>
  <c r="H69"/>
  <c r="J70"/>
  <c r="P33" i="7"/>
  <c r="O30"/>
  <c r="P30"/>
  <c r="L22"/>
  <c r="K21"/>
  <c r="P43"/>
  <c r="O42"/>
  <c r="Q29" i="11"/>
  <c r="Q29" i="20"/>
  <c r="Q85" i="11"/>
  <c r="Q85" i="20"/>
  <c r="Q75" i="11"/>
  <c r="Q75" i="20"/>
  <c r="Q38" i="11"/>
  <c r="Q38" i="20"/>
  <c r="Q86" i="11"/>
  <c r="Q86" i="20"/>
  <c r="Q66" i="11"/>
  <c r="Q66" i="20"/>
  <c r="Q48" i="11"/>
  <c r="Q48" i="20"/>
  <c r="Q32" i="11"/>
  <c r="Q32" i="20"/>
  <c r="Q96" i="11"/>
  <c r="Q94" i="20"/>
  <c r="Q71" i="11"/>
  <c r="Q71" i="20"/>
  <c r="Q72" i="11"/>
  <c r="Q72" i="20"/>
  <c r="Q77" i="11"/>
  <c r="Q77" i="20"/>
  <c r="Q51" i="11"/>
  <c r="Q51" i="20"/>
  <c r="Q63" i="11"/>
  <c r="Q63" i="20"/>
  <c r="Q22" i="11"/>
  <c r="Q22" i="20"/>
  <c r="Q55" i="11"/>
  <c r="Q55" i="20"/>
  <c r="Q100" i="11"/>
  <c r="Q99" i="20"/>
  <c r="Q62" i="11"/>
  <c r="Q62" i="20"/>
  <c r="Q28" i="11"/>
  <c r="Q28" i="20"/>
  <c r="Q67" i="11"/>
  <c r="Q67" i="20"/>
  <c r="Q102" i="11"/>
  <c r="Q101" i="20"/>
  <c r="Q43" i="11"/>
  <c r="Q43" i="20"/>
  <c r="Q53" i="11"/>
  <c r="Q53" i="20"/>
  <c r="Q88" i="11"/>
  <c r="Q50"/>
  <c r="Q50" i="20"/>
  <c r="Q61" i="11"/>
  <c r="Q61" i="20"/>
  <c r="Q35" i="11"/>
  <c r="Q35" i="20"/>
  <c r="K45" i="11"/>
  <c r="K45" i="20"/>
  <c r="K49" i="11"/>
  <c r="K49" i="20"/>
  <c r="K38" i="11"/>
  <c r="K38" i="20"/>
  <c r="K27" i="11"/>
  <c r="K27" i="20"/>
  <c r="K82" i="11"/>
  <c r="K82" i="20"/>
  <c r="K76" i="11"/>
  <c r="K76" i="20"/>
  <c r="K96" i="11"/>
  <c r="K94" i="20"/>
  <c r="K78" i="11"/>
  <c r="K78" i="20"/>
  <c r="K75" i="11"/>
  <c r="K75" i="20"/>
  <c r="K52" i="11"/>
  <c r="K52" i="20"/>
  <c r="K103" i="11"/>
  <c r="K102" i="20"/>
  <c r="K26" i="11"/>
  <c r="K26" i="20"/>
  <c r="K68" i="11"/>
  <c r="K68" i="20"/>
  <c r="K31" i="11"/>
  <c r="K31" i="20"/>
  <c r="K25" i="11"/>
  <c r="K25" i="20"/>
  <c r="K87" i="11"/>
  <c r="K87" i="20"/>
  <c r="K34" i="11"/>
  <c r="K34" i="20"/>
  <c r="K40" i="11"/>
  <c r="K40" i="20"/>
  <c r="K101" i="11"/>
  <c r="K100" i="20"/>
  <c r="K46" i="11"/>
  <c r="K46" i="20"/>
  <c r="K63" i="11"/>
  <c r="K63" i="20"/>
  <c r="K69" i="11"/>
  <c r="K69" i="20"/>
  <c r="K81" i="11"/>
  <c r="K81" i="20"/>
  <c r="K61" i="11"/>
  <c r="K61" i="20"/>
  <c r="K73" i="11"/>
  <c r="K73" i="20"/>
  <c r="K56" i="11"/>
  <c r="K56" i="20"/>
  <c r="K88" i="11"/>
  <c r="K44"/>
  <c r="K44" i="20"/>
  <c r="K64" i="11"/>
  <c r="K64" i="20"/>
  <c r="K50" i="11"/>
  <c r="K50" i="20"/>
  <c r="K85" i="11"/>
  <c r="K85" i="20"/>
  <c r="K47" i="11"/>
  <c r="K47" i="20"/>
  <c r="K91" i="11"/>
  <c r="K72"/>
  <c r="K72" i="20"/>
  <c r="K60" i="11"/>
  <c r="N71" i="7"/>
  <c r="N72"/>
  <c r="N70"/>
  <c r="N85"/>
  <c r="N66"/>
  <c r="N26"/>
  <c r="N50"/>
  <c r="N22"/>
  <c r="N44"/>
  <c r="N80"/>
  <c r="J50"/>
  <c r="J51"/>
  <c r="J81"/>
  <c r="Y28" i="15"/>
  <c r="R72" i="7"/>
  <c r="R44"/>
  <c r="R73"/>
  <c r="R22"/>
  <c r="R46"/>
  <c r="R64"/>
  <c r="R25"/>
  <c r="R49"/>
  <c r="R68"/>
  <c r="R52"/>
  <c r="R24"/>
  <c r="R27"/>
  <c r="R65"/>
  <c r="R26"/>
  <c r="R50"/>
  <c r="R69"/>
  <c r="R60"/>
  <c r="R29"/>
  <c r="R53"/>
  <c r="R75"/>
  <c r="R67"/>
  <c r="E35" i="21"/>
  <c r="F35"/>
  <c r="E35" i="11"/>
  <c r="E35" i="20"/>
  <c r="Q39" i="19"/>
  <c r="R39" i="10"/>
  <c r="R39" i="19"/>
  <c r="J19" i="14"/>
  <c r="O35" i="16"/>
  <c r="N61" i="20"/>
  <c r="N60" i="11"/>
  <c r="T73" i="20"/>
  <c r="U54" i="7"/>
  <c r="U54" i="21"/>
  <c r="V54"/>
  <c r="V48" i="10"/>
  <c r="Y48"/>
  <c r="U48" i="19"/>
  <c r="W48" i="10"/>
  <c r="W48" i="19"/>
  <c r="Y41" i="10"/>
  <c r="U41" i="19"/>
  <c r="W41" i="10"/>
  <c r="W41" i="19"/>
  <c r="O56" i="7"/>
  <c r="P56"/>
  <c r="E32" i="11"/>
  <c r="E32" i="20"/>
  <c r="E79" i="11"/>
  <c r="E79" i="20"/>
  <c r="E78" i="11"/>
  <c r="E78" i="20"/>
  <c r="E49" i="11"/>
  <c r="E49" i="20"/>
  <c r="E77" i="11"/>
  <c r="E77" i="20"/>
  <c r="E91" i="11"/>
  <c r="E70"/>
  <c r="E70" i="20"/>
  <c r="E89" i="11"/>
  <c r="E88" i="20"/>
  <c r="E67" i="11"/>
  <c r="E67" i="20"/>
  <c r="H46" i="7"/>
  <c r="H53"/>
  <c r="H67"/>
  <c r="E74" i="11"/>
  <c r="E74" i="20"/>
  <c r="E21" i="7"/>
  <c r="V25" i="21"/>
  <c r="V32"/>
  <c r="V26"/>
  <c r="Q35"/>
  <c r="R37"/>
  <c r="R58" i="11"/>
  <c r="R59"/>
  <c r="S59"/>
  <c r="Q80"/>
  <c r="N87" i="7"/>
  <c r="M19" i="14"/>
  <c r="M84"/>
  <c r="M90"/>
  <c r="M96"/>
  <c r="M91"/>
  <c r="N19"/>
  <c r="N84"/>
  <c r="I62" i="21"/>
  <c r="J62"/>
  <c r="R23"/>
  <c r="Q73" i="22"/>
  <c r="F51"/>
  <c r="Q31" i="23"/>
  <c r="E45"/>
  <c r="R47" i="7"/>
  <c r="R55"/>
  <c r="V64"/>
  <c r="J44"/>
  <c r="I42"/>
  <c r="M56"/>
  <c r="N56"/>
  <c r="N57"/>
  <c r="F104" i="20"/>
  <c r="G105" i="11"/>
  <c r="G104" i="20"/>
  <c r="E87" i="11"/>
  <c r="E87" i="20"/>
  <c r="E45" i="11"/>
  <c r="E45" i="20"/>
  <c r="E23" i="11"/>
  <c r="E23" i="20"/>
  <c r="E50" i="11"/>
  <c r="E50" i="20"/>
  <c r="E47" i="11"/>
  <c r="E47" i="20"/>
  <c r="E56" i="11"/>
  <c r="E56" i="20"/>
  <c r="E33" i="11"/>
  <c r="E33" i="20"/>
  <c r="E66" i="11"/>
  <c r="E66" i="20"/>
  <c r="E81" i="11"/>
  <c r="E81" i="20"/>
  <c r="E61" i="11"/>
  <c r="E61" i="20"/>
  <c r="E97" i="11"/>
  <c r="E95" i="20"/>
  <c r="E54" i="11"/>
  <c r="E54" i="20"/>
  <c r="E101" i="11"/>
  <c r="E100" i="20"/>
  <c r="E63" i="11"/>
  <c r="E63" i="20"/>
  <c r="E64" i="11"/>
  <c r="E64" i="20"/>
  <c r="E65" i="11"/>
  <c r="E65" i="20"/>
  <c r="E95" i="11"/>
  <c r="E93" i="20"/>
  <c r="E28" i="11"/>
  <c r="E28" i="20"/>
  <c r="E52" i="11"/>
  <c r="E52" i="20"/>
  <c r="E36" i="11"/>
  <c r="E36" i="20"/>
  <c r="E42" i="11"/>
  <c r="E42" i="20"/>
  <c r="E73" i="11"/>
  <c r="E73" i="20"/>
  <c r="E37" i="11"/>
  <c r="E37" i="20"/>
  <c r="E72" i="11"/>
  <c r="E72" i="20"/>
  <c r="E53" i="11"/>
  <c r="E53" i="20"/>
  <c r="E22" i="11"/>
  <c r="E22" i="20"/>
  <c r="E86" i="11"/>
  <c r="E86" i="20"/>
  <c r="E57" i="11"/>
  <c r="E34"/>
  <c r="E34" i="20"/>
  <c r="E27" i="11"/>
  <c r="E27" i="20"/>
  <c r="E24" i="11"/>
  <c r="E24" i="20"/>
  <c r="E26" i="11"/>
  <c r="E26" i="20"/>
  <c r="E85" i="11"/>
  <c r="E85" i="20"/>
  <c r="E41" i="11"/>
  <c r="E41" i="20"/>
  <c r="Y37" i="15"/>
  <c r="H54" i="16"/>
  <c r="G54"/>
  <c r="Q53" i="10"/>
  <c r="R53"/>
  <c r="R52"/>
  <c r="Q35" i="7"/>
  <c r="R35"/>
  <c r="Q20" i="10"/>
  <c r="H19" i="14"/>
  <c r="Q20"/>
  <c r="R59" i="21"/>
  <c r="R33"/>
  <c r="R74"/>
  <c r="R64"/>
  <c r="R54"/>
  <c r="R69"/>
  <c r="R72"/>
  <c r="R29"/>
  <c r="R71"/>
  <c r="R22"/>
  <c r="R26"/>
  <c r="R66"/>
  <c r="R52"/>
  <c r="R47"/>
  <c r="R70"/>
  <c r="R34"/>
  <c r="R51"/>
  <c r="R73"/>
  <c r="R31"/>
  <c r="R46"/>
  <c r="R42"/>
  <c r="V72"/>
  <c r="V50"/>
  <c r="V68"/>
  <c r="V53"/>
  <c r="V58"/>
  <c r="V44"/>
  <c r="V87"/>
  <c r="V57"/>
  <c r="V61"/>
  <c r="V78"/>
  <c r="V65"/>
  <c r="V79"/>
  <c r="V71"/>
  <c r="V45"/>
  <c r="V43"/>
  <c r="V70"/>
  <c r="P29"/>
  <c r="O21"/>
  <c r="F31"/>
  <c r="E30"/>
  <c r="G42"/>
  <c r="H43"/>
  <c r="P43"/>
  <c r="O42"/>
  <c r="K42"/>
  <c r="L44"/>
  <c r="S42"/>
  <c r="T44"/>
  <c r="P57"/>
  <c r="O56"/>
  <c r="P56"/>
  <c r="F60"/>
  <c r="E56"/>
  <c r="N60"/>
  <c r="M56"/>
  <c r="N56"/>
  <c r="O62"/>
  <c r="P62"/>
  <c r="P63"/>
  <c r="N64"/>
  <c r="M62"/>
  <c r="N62"/>
  <c r="J68"/>
  <c r="I67"/>
  <c r="J67"/>
  <c r="T68"/>
  <c r="S67"/>
  <c r="T67"/>
  <c r="V69"/>
  <c r="U67"/>
  <c r="V67"/>
  <c r="V80"/>
  <c r="U77"/>
  <c r="V77"/>
  <c r="E19" i="22"/>
  <c r="Q20"/>
  <c r="M83"/>
  <c r="M89"/>
  <c r="M95"/>
  <c r="M90"/>
  <c r="Q34" i="15"/>
  <c r="I25"/>
  <c r="I90"/>
  <c r="Q39"/>
  <c r="Q81" i="16"/>
  <c r="R81"/>
  <c r="G33" i="23"/>
  <c r="Q35"/>
  <c r="S62" i="15"/>
  <c r="U62"/>
  <c r="X49" i="10"/>
  <c r="X49" i="19"/>
  <c r="V49"/>
  <c r="V41"/>
  <c r="X41" i="10"/>
  <c r="X41" i="19"/>
  <c r="T31" i="7"/>
  <c r="M21"/>
  <c r="H29"/>
  <c r="H58"/>
  <c r="P74" i="17"/>
  <c r="X88" i="10"/>
  <c r="L19" i="14"/>
  <c r="P19"/>
  <c r="P84"/>
  <c r="P85"/>
  <c r="L21" i="21"/>
  <c r="L23"/>
  <c r="L24"/>
  <c r="L25"/>
  <c r="L26"/>
  <c r="L27"/>
  <c r="H29"/>
  <c r="H38"/>
  <c r="H45"/>
  <c r="L46"/>
  <c r="H57"/>
  <c r="L59"/>
  <c r="V60"/>
  <c r="H63"/>
  <c r="L80"/>
  <c r="V84"/>
  <c r="H85"/>
  <c r="J57"/>
  <c r="I56"/>
  <c r="J56"/>
  <c r="T58"/>
  <c r="S56"/>
  <c r="T56"/>
  <c r="U56"/>
  <c r="V56"/>
  <c r="R63"/>
  <c r="Q62"/>
  <c r="R62"/>
  <c r="Q68" i="23"/>
  <c r="F67"/>
  <c r="T25" i="19"/>
  <c r="X25" i="10"/>
  <c r="X25" i="19"/>
  <c r="X63" i="10"/>
  <c r="X63" i="19"/>
  <c r="T63"/>
  <c r="T89"/>
  <c r="X90" i="10"/>
  <c r="X89" i="19"/>
  <c r="Y68" i="15"/>
  <c r="S68"/>
  <c r="U68"/>
  <c r="V65" i="11"/>
  <c r="U65"/>
  <c r="U46" i="7"/>
  <c r="U46" i="21"/>
  <c r="V46"/>
  <c r="T70" i="20"/>
  <c r="U70" i="11"/>
  <c r="S62" i="7"/>
  <c r="T62"/>
  <c r="T63"/>
  <c r="Y78"/>
  <c r="Z78"/>
  <c r="Z79"/>
  <c r="W80"/>
  <c r="V80"/>
  <c r="R87" i="21"/>
  <c r="J33" i="7"/>
  <c r="J23"/>
  <c r="H48"/>
  <c r="J46"/>
  <c r="N47"/>
  <c r="J55"/>
  <c r="J58"/>
  <c r="H64"/>
  <c r="J69"/>
  <c r="N79"/>
  <c r="O78"/>
  <c r="P78"/>
  <c r="N68"/>
  <c r="V33" i="21"/>
  <c r="V29"/>
  <c r="Q45" i="14"/>
  <c r="F19"/>
  <c r="G19"/>
  <c r="N47" i="21"/>
  <c r="L52"/>
  <c r="H53"/>
  <c r="H55"/>
  <c r="K56"/>
  <c r="L56"/>
  <c r="H60"/>
  <c r="R61"/>
  <c r="L74"/>
  <c r="R79"/>
  <c r="N84"/>
  <c r="L86"/>
  <c r="H87"/>
  <c r="F19" i="22"/>
  <c r="G19"/>
  <c r="G82"/>
  <c r="K19"/>
  <c r="Q38"/>
  <c r="K51"/>
  <c r="K52"/>
  <c r="L51"/>
  <c r="L52"/>
  <c r="Q92" i="20"/>
  <c r="X83" i="17"/>
  <c r="X82"/>
  <c r="X77"/>
  <c r="X76"/>
  <c r="X71"/>
  <c r="X67"/>
  <c r="X65"/>
  <c r="X64"/>
  <c r="X62"/>
  <c r="X59"/>
  <c r="X57"/>
  <c r="X56"/>
  <c r="X54"/>
  <c r="X51"/>
  <c r="X49"/>
  <c r="X48"/>
  <c r="X46"/>
  <c r="X43"/>
  <c r="X41"/>
  <c r="X40"/>
  <c r="X36"/>
  <c r="X35"/>
  <c r="X33"/>
  <c r="X30"/>
  <c r="X28"/>
  <c r="X27"/>
  <c r="X25"/>
  <c r="X22"/>
  <c r="X20"/>
  <c r="X18"/>
  <c r="X16"/>
  <c r="X15"/>
  <c r="X14"/>
  <c r="X10"/>
  <c r="X9"/>
  <c r="E54" i="23"/>
  <c r="J54"/>
  <c r="J53"/>
  <c r="I54"/>
  <c r="I53"/>
  <c r="Q63"/>
  <c r="M67"/>
  <c r="H67"/>
  <c r="Q72"/>
  <c r="Q74"/>
  <c r="M73"/>
  <c r="Q76"/>
  <c r="K73"/>
  <c r="Q78"/>
  <c r="Q80"/>
  <c r="I84"/>
  <c r="M84"/>
  <c r="L84"/>
  <c r="Q88"/>
  <c r="T22" i="19"/>
  <c r="Y72" i="15"/>
  <c r="Y42" i="7"/>
  <c r="W68"/>
  <c r="N72" i="21"/>
  <c r="N57"/>
  <c r="N86"/>
  <c r="N22"/>
  <c r="N55"/>
  <c r="N71"/>
  <c r="N85"/>
  <c r="N63"/>
  <c r="N58"/>
  <c r="N65"/>
  <c r="N28"/>
  <c r="N44"/>
  <c r="N79"/>
  <c r="N78"/>
  <c r="K30"/>
  <c r="L31"/>
  <c r="M41"/>
  <c r="J42"/>
  <c r="I41"/>
  <c r="I77"/>
  <c r="J77"/>
  <c r="J78"/>
  <c r="L79"/>
  <c r="K77"/>
  <c r="L77"/>
  <c r="E33" i="23"/>
  <c r="Q34"/>
  <c r="G45"/>
  <c r="Q46"/>
  <c r="X78" i="10"/>
  <c r="X78" i="19"/>
  <c r="T78"/>
  <c r="T90"/>
  <c r="X91" i="10"/>
  <c r="X90" i="19"/>
  <c r="S42" i="7"/>
  <c r="W44"/>
  <c r="Q67" i="26"/>
  <c r="Y73" i="15"/>
  <c r="AC63" i="11"/>
  <c r="AC44" i="7"/>
  <c r="AD44"/>
  <c r="V74" i="19"/>
  <c r="X74" i="10"/>
  <c r="X74" i="19"/>
  <c r="V79"/>
  <c r="X79" i="10"/>
  <c r="X79" i="19"/>
  <c r="V96" i="20"/>
  <c r="W81" i="21"/>
  <c r="X81"/>
  <c r="V94" i="20"/>
  <c r="W79" i="21"/>
  <c r="V105" i="11"/>
  <c r="V104" i="20"/>
  <c r="R104"/>
  <c r="R20" i="11"/>
  <c r="S35" i="7"/>
  <c r="T35"/>
  <c r="S35" i="11"/>
  <c r="U67" i="7"/>
  <c r="V68"/>
  <c r="X68"/>
  <c r="W69"/>
  <c r="T69"/>
  <c r="H25"/>
  <c r="H52"/>
  <c r="J54"/>
  <c r="N51"/>
  <c r="H57"/>
  <c r="J64"/>
  <c r="H70"/>
  <c r="R79"/>
  <c r="Q52" i="19"/>
  <c r="R52"/>
  <c r="K19" i="14"/>
  <c r="R24" i="21"/>
  <c r="R27"/>
  <c r="R28"/>
  <c r="L33"/>
  <c r="R44"/>
  <c r="H49"/>
  <c r="V52"/>
  <c r="R53"/>
  <c r="R55"/>
  <c r="N70"/>
  <c r="R81"/>
  <c r="N74"/>
  <c r="V74"/>
  <c r="G25" i="15"/>
  <c r="Q22" i="23"/>
  <c r="Q24"/>
  <c r="Q26"/>
  <c r="Q30"/>
  <c r="Q36"/>
  <c r="E38"/>
  <c r="I38"/>
  <c r="M38"/>
  <c r="Q40"/>
  <c r="Q44"/>
  <c r="K45"/>
  <c r="Q48"/>
  <c r="Q50"/>
  <c r="X73" i="10"/>
  <c r="X73" i="19"/>
  <c r="J53" i="14"/>
  <c r="J19" i="26"/>
  <c r="Q33"/>
  <c r="J51"/>
  <c r="Q54"/>
  <c r="X26" i="10"/>
  <c r="X26" i="19"/>
  <c r="V59"/>
  <c r="X59" i="10"/>
  <c r="X59" i="19"/>
  <c r="X60" i="10"/>
  <c r="X60" i="19"/>
  <c r="V60"/>
  <c r="AA102" i="11"/>
  <c r="AA96"/>
  <c r="AA88"/>
  <c r="AA82"/>
  <c r="AA68"/>
  <c r="AA48"/>
  <c r="AA79"/>
  <c r="AA75"/>
  <c r="AA57"/>
  <c r="AA50"/>
  <c r="AA44"/>
  <c r="AA39"/>
  <c r="AA34"/>
  <c r="AA29"/>
  <c r="AA24"/>
  <c r="AA66"/>
  <c r="AA103"/>
  <c r="AA97"/>
  <c r="AA90"/>
  <c r="AA83"/>
  <c r="AA69"/>
  <c r="AA49"/>
  <c r="AA85"/>
  <c r="AA76"/>
  <c r="AA67"/>
  <c r="AA53"/>
  <c r="AA45"/>
  <c r="AA40"/>
  <c r="AA36"/>
  <c r="AA31"/>
  <c r="AA25"/>
  <c r="AA41"/>
  <c r="AA81"/>
  <c r="U53"/>
  <c r="T53" i="20"/>
  <c r="AC45" i="7"/>
  <c r="AD45"/>
  <c r="S74" i="11"/>
  <c r="S58"/>
  <c r="W22" i="7"/>
  <c r="T22"/>
  <c r="AB63"/>
  <c r="AA62"/>
  <c r="AB62"/>
  <c r="AB79"/>
  <c r="AA78"/>
  <c r="AB78"/>
  <c r="X36" i="11"/>
  <c r="Y36"/>
  <c r="U36"/>
  <c r="V36"/>
  <c r="V36" i="20"/>
  <c r="T36"/>
  <c r="Y50" i="10"/>
  <c r="W50"/>
  <c r="W50" i="19"/>
  <c r="U50"/>
  <c r="Y33" i="10"/>
  <c r="Z33"/>
  <c r="V33"/>
  <c r="U33" i="19"/>
  <c r="U34" i="7"/>
  <c r="W30" i="10"/>
  <c r="V30"/>
  <c r="U30" i="19"/>
  <c r="Y26" i="10"/>
  <c r="U26" i="7"/>
  <c r="W26" i="10"/>
  <c r="U23" i="7"/>
  <c r="U23" i="19"/>
  <c r="U21" i="10"/>
  <c r="W21"/>
  <c r="W21" i="19"/>
  <c r="N25" i="15"/>
  <c r="U65"/>
  <c r="Q56" i="7"/>
  <c r="R56"/>
  <c r="Q28" i="26"/>
  <c r="N19"/>
  <c r="X72" i="10"/>
  <c r="X72" i="19"/>
  <c r="X45" i="10"/>
  <c r="X45" i="19"/>
  <c r="Z21" i="11"/>
  <c r="Z20"/>
  <c r="AC91"/>
  <c r="AC32"/>
  <c r="V85" i="7"/>
  <c r="X85"/>
  <c r="V79"/>
  <c r="Z80"/>
  <c r="AD55"/>
  <c r="AA63" i="11"/>
  <c r="T25" i="7"/>
  <c r="X25"/>
  <c r="T29"/>
  <c r="T65"/>
  <c r="Z66"/>
  <c r="AA94" i="11"/>
  <c r="AA51"/>
  <c r="Q38" i="26"/>
  <c r="AC87" i="11"/>
  <c r="AC81"/>
  <c r="AC70"/>
  <c r="AC46"/>
  <c r="AC37"/>
  <c r="AC27"/>
  <c r="AC100"/>
  <c r="AC84"/>
  <c r="AC83"/>
  <c r="AC75"/>
  <c r="AC50"/>
  <c r="AC39"/>
  <c r="AC29"/>
  <c r="AC102"/>
  <c r="AC88"/>
  <c r="AC49"/>
  <c r="X23"/>
  <c r="V23"/>
  <c r="V23" i="20"/>
  <c r="U39" i="11"/>
  <c r="X39"/>
  <c r="Y39"/>
  <c r="U64"/>
  <c r="U64" i="20"/>
  <c r="U45" i="7"/>
  <c r="T64" i="20"/>
  <c r="U52" i="7"/>
  <c r="W52"/>
  <c r="V71" i="11"/>
  <c r="V94"/>
  <c r="S94"/>
  <c r="AD71" i="7"/>
  <c r="AD74"/>
  <c r="AD86"/>
  <c r="Z70"/>
  <c r="Z87"/>
  <c r="Z71"/>
  <c r="Z45"/>
  <c r="Z49"/>
  <c r="Z55"/>
  <c r="Z61"/>
  <c r="Z44"/>
  <c r="Z48"/>
  <c r="T70"/>
  <c r="X70"/>
  <c r="T74"/>
  <c r="T86"/>
  <c r="T72"/>
  <c r="X72"/>
  <c r="V74"/>
  <c r="V87" i="11"/>
  <c r="T87" i="20"/>
  <c r="U43" i="7"/>
  <c r="V62" i="11"/>
  <c r="U70" i="19"/>
  <c r="W70" i="10"/>
  <c r="V61"/>
  <c r="U61" i="19"/>
  <c r="Y42" i="10"/>
  <c r="V42"/>
  <c r="R30" i="21"/>
  <c r="X50" i="10"/>
  <c r="X50" i="19"/>
  <c r="Z53" i="7"/>
  <c r="Z65"/>
  <c r="T84"/>
  <c r="AD84"/>
  <c r="Z85"/>
  <c r="V86"/>
  <c r="W87"/>
  <c r="Q21"/>
  <c r="R21"/>
  <c r="Q45" i="26"/>
  <c r="F51"/>
  <c r="F52"/>
  <c r="N51"/>
  <c r="J80" i="16"/>
  <c r="T32" i="7"/>
  <c r="T51"/>
  <c r="I34" i="27"/>
  <c r="T53" i="7"/>
  <c r="W58"/>
  <c r="W75"/>
  <c r="O20" i="10"/>
  <c r="O20" i="19"/>
  <c r="H19" i="26"/>
  <c r="H84"/>
  <c r="M51"/>
  <c r="M52"/>
  <c r="AD58" i="7"/>
  <c r="T24"/>
  <c r="V29"/>
  <c r="T34"/>
  <c r="T48"/>
  <c r="X48"/>
  <c r="T54"/>
  <c r="U34" i="10"/>
  <c r="K20"/>
  <c r="K20" i="19"/>
  <c r="P21" i="10"/>
  <c r="P21" i="19"/>
  <c r="G20" i="10"/>
  <c r="G20" i="19"/>
  <c r="H20" i="18"/>
  <c r="K31"/>
  <c r="L31"/>
  <c r="N42"/>
  <c r="J55" i="10"/>
  <c r="J55" i="19"/>
  <c r="N34" i="10"/>
  <c r="N34" i="19"/>
  <c r="Y30" i="11"/>
  <c r="Y89"/>
  <c r="Y85"/>
  <c r="Y79"/>
  <c r="Y77"/>
  <c r="Y75"/>
  <c r="Y70"/>
  <c r="Y65"/>
  <c r="Y57"/>
  <c r="Y55"/>
  <c r="Y50"/>
  <c r="Y46"/>
  <c r="Y44"/>
  <c r="Y34"/>
  <c r="Y32"/>
  <c r="Y29"/>
  <c r="Y27"/>
  <c r="Y102"/>
  <c r="Y100"/>
  <c r="Y96"/>
  <c r="Y91"/>
  <c r="Y88"/>
  <c r="Y84"/>
  <c r="Y82"/>
  <c r="Y73"/>
  <c r="Y69"/>
  <c r="Y66"/>
  <c r="Y62"/>
  <c r="Y52"/>
  <c r="Y48"/>
  <c r="Y51"/>
  <c r="Y60"/>
  <c r="Y38"/>
  <c r="Y40"/>
  <c r="AC68"/>
  <c r="AC74"/>
  <c r="AC85"/>
  <c r="AC89"/>
  <c r="AC94"/>
  <c r="AC82"/>
  <c r="AC80"/>
  <c r="AC78"/>
  <c r="AC76"/>
  <c r="AC72"/>
  <c r="AC67"/>
  <c r="AC56"/>
  <c r="AC53"/>
  <c r="AC47"/>
  <c r="AC45"/>
  <c r="AC43"/>
  <c r="AC40"/>
  <c r="AC38"/>
  <c r="AC36"/>
  <c r="AC33"/>
  <c r="AC31"/>
  <c r="AC28"/>
  <c r="AC25"/>
  <c r="AC23"/>
  <c r="AC103"/>
  <c r="AC101"/>
  <c r="AC97"/>
  <c r="AC95"/>
  <c r="AC90"/>
  <c r="AC86"/>
  <c r="AC73"/>
  <c r="AC69"/>
  <c r="AC52"/>
  <c r="AC48"/>
  <c r="AC35"/>
  <c r="V50" i="7"/>
  <c r="W50"/>
  <c r="AB47" i="10"/>
  <c r="AA24"/>
  <c r="Z24"/>
  <c r="O52"/>
  <c r="O86"/>
  <c r="P54"/>
  <c r="P54" i="19"/>
  <c r="L54" i="10"/>
  <c r="L54" i="19"/>
  <c r="H54" i="10"/>
  <c r="H54" i="19"/>
  <c r="P20" i="10"/>
  <c r="P20" i="19"/>
  <c r="T21" i="10"/>
  <c r="W88"/>
  <c r="AA43"/>
  <c r="AA29" i="7"/>
  <c r="AB29"/>
  <c r="M52" i="10"/>
  <c r="N54"/>
  <c r="N54" i="19"/>
  <c r="I52" i="10"/>
  <c r="J54"/>
  <c r="J54" i="19"/>
  <c r="R48" i="21"/>
  <c r="Y61" i="15"/>
  <c r="Y62"/>
  <c r="Y69"/>
  <c r="Y70"/>
  <c r="R48" i="7"/>
  <c r="H41" i="16"/>
  <c r="F22" i="18"/>
  <c r="H22"/>
  <c r="J21"/>
  <c r="L22"/>
  <c r="N20"/>
  <c r="N21"/>
  <c r="J32"/>
  <c r="H32"/>
  <c r="F32"/>
  <c r="F44"/>
  <c r="H43"/>
  <c r="J44"/>
  <c r="N33"/>
  <c r="L43"/>
  <c r="N44"/>
  <c r="R44"/>
  <c r="T43"/>
  <c r="V44"/>
  <c r="X43"/>
  <c r="Z44"/>
  <c r="AB42"/>
  <c r="AB43"/>
  <c r="G37" i="16"/>
  <c r="G47"/>
  <c r="H51"/>
  <c r="F21" i="18"/>
  <c r="H21"/>
  <c r="L20"/>
  <c r="F31"/>
  <c r="J31"/>
  <c r="J33"/>
  <c r="H33"/>
  <c r="F43"/>
  <c r="H44"/>
  <c r="J43"/>
  <c r="N32"/>
  <c r="L44"/>
  <c r="N43"/>
  <c r="T44"/>
  <c r="V43"/>
  <c r="X44"/>
  <c r="Z42"/>
  <c r="Z43"/>
  <c r="O90" i="14"/>
  <c r="O96"/>
  <c r="O91"/>
  <c r="O85"/>
  <c r="P90"/>
  <c r="P96"/>
  <c r="P91"/>
  <c r="O45" i="16"/>
  <c r="N45"/>
  <c r="N52"/>
  <c r="O52"/>
  <c r="O40"/>
  <c r="N40"/>
  <c r="N27"/>
  <c r="O27"/>
  <c r="N90" i="14"/>
  <c r="N96"/>
  <c r="N91"/>
  <c r="N85"/>
  <c r="I85"/>
  <c r="O48" i="16"/>
  <c r="O53"/>
  <c r="O57"/>
  <c r="Q86" i="26"/>
  <c r="O84"/>
  <c r="O85"/>
  <c r="N52"/>
  <c r="M84"/>
  <c r="K51"/>
  <c r="I52"/>
  <c r="G84"/>
  <c r="G52"/>
  <c r="Q40" i="16"/>
  <c r="R40"/>
  <c r="Q52"/>
  <c r="R52"/>
  <c r="H52" i="26"/>
  <c r="Q80" i="16"/>
  <c r="R80"/>
  <c r="Q45"/>
  <c r="R45"/>
  <c r="I19" i="26"/>
  <c r="E19"/>
  <c r="Q41" i="7"/>
  <c r="AA51" i="10"/>
  <c r="Y38" i="7"/>
  <c r="Z51" i="10"/>
  <c r="X58" i="7"/>
  <c r="X39" i="17"/>
  <c r="E52" i="19"/>
  <c r="G52"/>
  <c r="L51" i="26"/>
  <c r="O19" i="23"/>
  <c r="L51" i="14"/>
  <c r="L84"/>
  <c r="W25" i="19"/>
  <c r="W25" i="21"/>
  <c r="X25"/>
  <c r="Y25" i="7"/>
  <c r="Z25"/>
  <c r="AA25" i="10"/>
  <c r="Z25"/>
  <c r="P60" i="20"/>
  <c r="P58"/>
  <c r="Q60" i="11"/>
  <c r="Q60" i="20"/>
  <c r="K100" i="16"/>
  <c r="H100"/>
  <c r="AA45" i="10"/>
  <c r="Z45"/>
  <c r="W61" i="19"/>
  <c r="W48" i="21"/>
  <c r="X48"/>
  <c r="Y78" i="15"/>
  <c r="Y63"/>
  <c r="Y71"/>
  <c r="Y45"/>
  <c r="Y77"/>
  <c r="Y67"/>
  <c r="Y84"/>
  <c r="Y88"/>
  <c r="Y95"/>
  <c r="Y49"/>
  <c r="G52" i="10"/>
  <c r="AA31"/>
  <c r="AA32" i="7"/>
  <c r="W102" i="11"/>
  <c r="W101" i="20"/>
  <c r="W94" i="11"/>
  <c r="X79" i="7"/>
  <c r="Q19" i="14"/>
  <c r="W86" i="11"/>
  <c r="W86" i="20"/>
  <c r="V21" i="11"/>
  <c r="V21" i="20"/>
  <c r="H80" i="16"/>
  <c r="Y31" i="7"/>
  <c r="Z31"/>
  <c r="T51" i="20"/>
  <c r="W24" i="11"/>
  <c r="W24" i="20"/>
  <c r="W22" i="11"/>
  <c r="W22" i="20"/>
  <c r="K82" i="16"/>
  <c r="W25" i="11"/>
  <c r="W25" i="20"/>
  <c r="U52" i="10"/>
  <c r="J57" i="16"/>
  <c r="F19" i="23"/>
  <c r="X81" i="7"/>
  <c r="J82" i="16"/>
  <c r="J51" i="23"/>
  <c r="J52"/>
  <c r="H82" i="16"/>
  <c r="K96" i="15"/>
  <c r="K91"/>
  <c r="J45" i="16"/>
  <c r="K39"/>
  <c r="H19" i="23"/>
  <c r="K32" i="16"/>
  <c r="J36"/>
  <c r="H32"/>
  <c r="K43"/>
  <c r="K37"/>
  <c r="J101"/>
  <c r="G101"/>
  <c r="G55"/>
  <c r="H57"/>
  <c r="G57"/>
  <c r="H55"/>
  <c r="G52"/>
  <c r="K55"/>
  <c r="K49"/>
  <c r="G43"/>
  <c r="J43"/>
  <c r="G39"/>
  <c r="H39"/>
  <c r="J27"/>
  <c r="K31"/>
  <c r="J30"/>
  <c r="K30"/>
  <c r="H30"/>
  <c r="H95"/>
  <c r="G88"/>
  <c r="J88"/>
  <c r="H88"/>
  <c r="J71"/>
  <c r="H71"/>
  <c r="K71"/>
  <c r="J95"/>
  <c r="G95"/>
  <c r="G90"/>
  <c r="K70"/>
  <c r="H70"/>
  <c r="L51" i="23"/>
  <c r="L52"/>
  <c r="O90" i="15"/>
  <c r="O91"/>
  <c r="F51" i="23"/>
  <c r="F52"/>
  <c r="G33" i="16"/>
  <c r="H36"/>
  <c r="H33"/>
  <c r="Q20" i="23"/>
  <c r="K36" i="16"/>
  <c r="H49"/>
  <c r="K33"/>
  <c r="V24" i="7"/>
  <c r="X24"/>
  <c r="W24"/>
  <c r="V28" i="19"/>
  <c r="X28" i="10"/>
  <c r="X28" i="19"/>
  <c r="X33" i="7"/>
  <c r="V52"/>
  <c r="X52"/>
  <c r="V74" i="11"/>
  <c r="V74" i="20"/>
  <c r="X69" i="7"/>
  <c r="H90" i="20"/>
  <c r="M58" i="11"/>
  <c r="Q28" i="23"/>
  <c r="U74" i="11"/>
  <c r="U74" i="20"/>
  <c r="X44" i="7"/>
  <c r="G45" i="16"/>
  <c r="R61"/>
  <c r="Q27"/>
  <c r="E52" i="10"/>
  <c r="E53"/>
  <c r="F53"/>
  <c r="U21" i="7"/>
  <c r="W21"/>
  <c r="M19" i="23"/>
  <c r="X36" i="10"/>
  <c r="X36" i="19"/>
  <c r="X80" i="7"/>
  <c r="X31" i="10"/>
  <c r="X31" i="19"/>
  <c r="W32" i="7"/>
  <c r="V51"/>
  <c r="J34" i="27"/>
  <c r="J100" i="16"/>
  <c r="X73" i="7"/>
  <c r="V49"/>
  <c r="G42" i="16"/>
  <c r="AB28" i="10"/>
  <c r="Y34" i="7"/>
  <c r="Z34"/>
  <c r="K85" i="19"/>
  <c r="W49" i="11"/>
  <c r="W49" i="20"/>
  <c r="Y23" i="7"/>
  <c r="Z23"/>
  <c r="Z30" i="10"/>
  <c r="G87" i="16"/>
  <c r="W63" i="11"/>
  <c r="W63" i="20"/>
  <c r="W47" i="11"/>
  <c r="W47" i="20"/>
  <c r="K45" i="16"/>
  <c r="K52" i="10"/>
  <c r="K86"/>
  <c r="L86"/>
  <c r="X50" i="7"/>
  <c r="G85" i="19"/>
  <c r="G86"/>
  <c r="H86"/>
  <c r="AA37" i="10"/>
  <c r="AB37"/>
  <c r="Q73" i="23"/>
  <c r="I51"/>
  <c r="I52"/>
  <c r="I58" i="20"/>
  <c r="M53" i="19"/>
  <c r="N53"/>
  <c r="N19" i="23"/>
  <c r="N82"/>
  <c r="N89"/>
  <c r="N95"/>
  <c r="N90"/>
  <c r="T20" i="11"/>
  <c r="W27"/>
  <c r="W27" i="20"/>
  <c r="J77" i="16"/>
  <c r="J19" i="23"/>
  <c r="X22" i="10"/>
  <c r="X22" i="19"/>
  <c r="V59" i="7"/>
  <c r="X59"/>
  <c r="V53"/>
  <c r="W53"/>
  <c r="W32" i="21"/>
  <c r="X32"/>
  <c r="W31" i="19"/>
  <c r="J89" i="22"/>
  <c r="J95"/>
  <c r="J90"/>
  <c r="J83"/>
  <c r="N89"/>
  <c r="N95"/>
  <c r="N90"/>
  <c r="N83"/>
  <c r="AC47" i="7"/>
  <c r="AD47"/>
  <c r="AC66" i="11"/>
  <c r="Z22" i="10"/>
  <c r="AA22"/>
  <c r="X62"/>
  <c r="X62" i="19"/>
  <c r="V62"/>
  <c r="X76" i="10"/>
  <c r="X76" i="19"/>
  <c r="V76"/>
  <c r="V46" i="10"/>
  <c r="W46"/>
  <c r="W46" i="19"/>
  <c r="U46"/>
  <c r="AC28" i="7"/>
  <c r="AD28"/>
  <c r="AC26" i="11"/>
  <c r="AB21"/>
  <c r="H93" i="16"/>
  <c r="Y92" i="15"/>
  <c r="V32" i="19"/>
  <c r="X32" i="10"/>
  <c r="X32" i="19"/>
  <c r="AA36" i="10"/>
  <c r="Z36"/>
  <c r="X53" i="7"/>
  <c r="H31" i="16"/>
  <c r="Y27" i="7"/>
  <c r="Y32"/>
  <c r="Z32"/>
  <c r="X22"/>
  <c r="I19" i="23"/>
  <c r="X64" i="7"/>
  <c r="J31" i="16"/>
  <c r="P83" i="22"/>
  <c r="G58" i="20"/>
  <c r="J52" i="19"/>
  <c r="I20" i="21"/>
  <c r="J20"/>
  <c r="X47" i="7"/>
  <c r="P52" i="19"/>
  <c r="P90" i="15"/>
  <c r="P91"/>
  <c r="W67" i="21"/>
  <c r="X67"/>
  <c r="S58" i="20"/>
  <c r="G51" i="23"/>
  <c r="G52"/>
  <c r="X49" i="7"/>
  <c r="W68" i="11"/>
  <c r="W68" i="20"/>
  <c r="Y22" i="7"/>
  <c r="Z22"/>
  <c r="U54" i="19"/>
  <c r="K77" i="16"/>
  <c r="G58" i="11"/>
  <c r="H82" i="22"/>
  <c r="K84" i="26"/>
  <c r="K84" i="14"/>
  <c r="H73" i="17"/>
  <c r="U73"/>
  <c r="H78"/>
  <c r="P78"/>
  <c r="T41" i="20"/>
  <c r="U41" i="11"/>
  <c r="W62" i="19"/>
  <c r="W49" i="21"/>
  <c r="X49"/>
  <c r="V57" i="7"/>
  <c r="X57"/>
  <c r="W57"/>
  <c r="I83" i="22"/>
  <c r="I89"/>
  <c r="I95"/>
  <c r="I90"/>
  <c r="W32" i="19"/>
  <c r="W33" i="21"/>
  <c r="X33"/>
  <c r="V66" i="20"/>
  <c r="W47" i="21"/>
  <c r="X47"/>
  <c r="W66" i="19"/>
  <c r="W53" i="21"/>
  <c r="X53"/>
  <c r="V92" i="20"/>
  <c r="W92"/>
  <c r="K82" i="22"/>
  <c r="K83"/>
  <c r="X71" i="7"/>
  <c r="F54" i="10"/>
  <c r="F54" i="19"/>
  <c r="O85"/>
  <c r="O86"/>
  <c r="P86"/>
  <c r="N84" i="26"/>
  <c r="N85"/>
  <c r="N90" i="15"/>
  <c r="N96"/>
  <c r="N102"/>
  <c r="N97"/>
  <c r="U42" i="21"/>
  <c r="X28" i="7"/>
  <c r="W96" i="11"/>
  <c r="W94" i="20"/>
  <c r="G100" i="16"/>
  <c r="W84" i="17"/>
  <c r="U52" i="19"/>
  <c r="V52"/>
  <c r="X87" i="7"/>
  <c r="AC54" i="10"/>
  <c r="AD54"/>
  <c r="U72" i="17"/>
  <c r="X72"/>
  <c r="T58" i="11"/>
  <c r="V58"/>
  <c r="O51" i="23"/>
  <c r="O52"/>
  <c r="G62" i="16"/>
  <c r="J81"/>
  <c r="G19" i="23"/>
  <c r="S80" i="15"/>
  <c r="U80"/>
  <c r="L19" i="23"/>
  <c r="Q84"/>
  <c r="E58" i="11"/>
  <c r="Q39" i="21"/>
  <c r="R39"/>
  <c r="U30"/>
  <c r="V30"/>
  <c r="K72" i="16"/>
  <c r="J72"/>
  <c r="G72"/>
  <c r="H72"/>
  <c r="K87"/>
  <c r="H87"/>
  <c r="J62"/>
  <c r="H62"/>
  <c r="J86"/>
  <c r="G86"/>
  <c r="H44"/>
  <c r="K44"/>
  <c r="G44"/>
  <c r="J42"/>
  <c r="K42"/>
  <c r="J44"/>
  <c r="K19" i="23"/>
  <c r="G49" i="16"/>
  <c r="G53" i="19"/>
  <c r="H53"/>
  <c r="H52"/>
  <c r="F42" i="21"/>
  <c r="E41"/>
  <c r="F41"/>
  <c r="S67" i="20"/>
  <c r="W67" i="11"/>
  <c r="W67" i="20"/>
  <c r="U93"/>
  <c r="W95" i="11"/>
  <c r="W93" i="20"/>
  <c r="W42" i="11"/>
  <c r="W42" i="20"/>
  <c r="S42"/>
  <c r="W76" i="11"/>
  <c r="W76" i="20"/>
  <c r="U76"/>
  <c r="S44"/>
  <c r="W44" i="11"/>
  <c r="W44" i="20"/>
  <c r="X23" i="10"/>
  <c r="X23" i="19"/>
  <c r="V23"/>
  <c r="J20" i="10"/>
  <c r="J20" i="19"/>
  <c r="I20"/>
  <c r="I85"/>
  <c r="J85"/>
  <c r="W30" i="11"/>
  <c r="W30" i="20"/>
  <c r="S30"/>
  <c r="U56"/>
  <c r="W56" i="11"/>
  <c r="W56" i="20"/>
  <c r="X29" i="10"/>
  <c r="X29" i="19"/>
  <c r="V29"/>
  <c r="AB40" i="10"/>
  <c r="AC40"/>
  <c r="AD40"/>
  <c r="S26" i="20"/>
  <c r="W26" i="11"/>
  <c r="W26" i="20"/>
  <c r="W38" i="11"/>
  <c r="W38" i="20"/>
  <c r="U38"/>
  <c r="W103" i="11"/>
  <c r="W102" i="20"/>
  <c r="U102"/>
  <c r="U40"/>
  <c r="W40" i="11"/>
  <c r="W40" i="20"/>
  <c r="S33"/>
  <c r="W33" i="11"/>
  <c r="W33" i="20"/>
  <c r="W50" i="11"/>
  <c r="W50" i="20"/>
  <c r="U50"/>
  <c r="W23" i="19"/>
  <c r="W23" i="21"/>
  <c r="X23"/>
  <c r="K51" i="23"/>
  <c r="K52"/>
  <c r="H20" i="10"/>
  <c r="H20" i="19"/>
  <c r="Y58" i="11"/>
  <c r="AA21"/>
  <c r="V31" i="7"/>
  <c r="X31"/>
  <c r="Q33" i="23"/>
  <c r="N35" i="16"/>
  <c r="W105" i="11"/>
  <c r="W104" i="20"/>
  <c r="W45" i="11"/>
  <c r="W45" i="20"/>
  <c r="W54" i="11"/>
  <c r="W54" i="20"/>
  <c r="W89" i="11"/>
  <c r="W88" i="20"/>
  <c r="S88"/>
  <c r="N20" i="10"/>
  <c r="N20" i="19"/>
  <c r="M20"/>
  <c r="M85"/>
  <c r="N42" i="7"/>
  <c r="M41"/>
  <c r="N41"/>
  <c r="V22" i="20"/>
  <c r="W22" i="21"/>
  <c r="X22"/>
  <c r="W75" i="11"/>
  <c r="W75" i="20"/>
  <c r="S75"/>
  <c r="U34"/>
  <c r="W34" i="11"/>
  <c r="W34" i="20"/>
  <c r="W72" i="11"/>
  <c r="W72" i="20"/>
  <c r="S72"/>
  <c r="W23" i="11"/>
  <c r="W23" i="20"/>
  <c r="S23"/>
  <c r="S31"/>
  <c r="W31" i="11"/>
  <c r="W31" i="20"/>
  <c r="W48" i="11"/>
  <c r="W48" i="20"/>
  <c r="S48"/>
  <c r="W82" i="11"/>
  <c r="W82" i="20"/>
  <c r="S82"/>
  <c r="F20" i="10"/>
  <c r="F20" i="19"/>
  <c r="E20"/>
  <c r="E85"/>
  <c r="E92"/>
  <c r="AC37" i="10"/>
  <c r="AD37"/>
  <c r="X21" i="11"/>
  <c r="Y21"/>
  <c r="Q38" i="23"/>
  <c r="M51"/>
  <c r="M52"/>
  <c r="V34" i="21"/>
  <c r="W28" i="11"/>
  <c r="W28" i="20"/>
  <c r="K53" i="19"/>
  <c r="L53"/>
  <c r="L52"/>
  <c r="W43" i="11"/>
  <c r="W43" i="20"/>
  <c r="U43"/>
  <c r="V69" i="19"/>
  <c r="X69" i="10"/>
  <c r="X69" i="19"/>
  <c r="W33"/>
  <c r="W34" i="21"/>
  <c r="X34"/>
  <c r="Q20" i="11"/>
  <c r="Q20" i="20"/>
  <c r="P20"/>
  <c r="P90"/>
  <c r="P92" i="11"/>
  <c r="U87" i="20"/>
  <c r="W87" i="11"/>
  <c r="W87" i="20"/>
  <c r="U32"/>
  <c r="W32" i="11"/>
  <c r="W32" i="20"/>
  <c r="W97" i="11"/>
  <c r="W95" i="20"/>
  <c r="U95"/>
  <c r="W78" i="11"/>
  <c r="W78" i="20"/>
  <c r="U78"/>
  <c r="W85" i="11"/>
  <c r="W85" i="20"/>
  <c r="S85"/>
  <c r="W29" i="11"/>
  <c r="W29" i="20"/>
  <c r="S29"/>
  <c r="W46" i="11"/>
  <c r="W46" i="20"/>
  <c r="S46"/>
  <c r="T75" i="19"/>
  <c r="X75" i="10"/>
  <c r="X75" i="19"/>
  <c r="Y43" i="11"/>
  <c r="X41"/>
  <c r="Y41"/>
  <c r="K80" i="16"/>
  <c r="X29" i="7"/>
  <c r="H51" i="23"/>
  <c r="H52"/>
  <c r="X84" i="7"/>
  <c r="W62" i="11"/>
  <c r="W62" i="20"/>
  <c r="W90" i="11"/>
  <c r="W96" i="20"/>
  <c r="M58"/>
  <c r="L59"/>
  <c r="M59"/>
  <c r="W26" i="7"/>
  <c r="V26"/>
  <c r="X26"/>
  <c r="W30" i="19"/>
  <c r="W31" i="21"/>
  <c r="V67" i="7"/>
  <c r="X67"/>
  <c r="W67"/>
  <c r="W65" i="11"/>
  <c r="W65" i="20"/>
  <c r="U65"/>
  <c r="Y39" i="15"/>
  <c r="P42" i="21"/>
  <c r="O41"/>
  <c r="E19" i="23"/>
  <c r="Q45"/>
  <c r="J29" i="16"/>
  <c r="G29"/>
  <c r="K29"/>
  <c r="F85" i="19"/>
  <c r="J79" i="16"/>
  <c r="G79"/>
  <c r="H79"/>
  <c r="K79"/>
  <c r="Z54" i="10"/>
  <c r="Y52"/>
  <c r="V63" i="21"/>
  <c r="U62"/>
  <c r="V62"/>
  <c r="J59" i="20"/>
  <c r="K59"/>
  <c r="K58"/>
  <c r="Q53" i="14"/>
  <c r="T59" i="15"/>
  <c r="V54" i="19"/>
  <c r="S20"/>
  <c r="T20" i="10"/>
  <c r="T20" i="19"/>
  <c r="S74" i="15"/>
  <c r="U74"/>
  <c r="Y74"/>
  <c r="AA44" i="10"/>
  <c r="Z44"/>
  <c r="T78" i="17"/>
  <c r="D84"/>
  <c r="V34" i="10"/>
  <c r="U34" i="19"/>
  <c r="U35" i="21"/>
  <c r="V35"/>
  <c r="U35" i="7"/>
  <c r="W34" i="10"/>
  <c r="V42" i="19"/>
  <c r="X42" i="10"/>
  <c r="X42" i="19"/>
  <c r="V45" i="7"/>
  <c r="X45"/>
  <c r="W45"/>
  <c r="V30" i="19"/>
  <c r="X30" i="10"/>
  <c r="X30" i="19"/>
  <c r="V33"/>
  <c r="X33" i="10"/>
  <c r="X33" i="19"/>
  <c r="S20" i="11"/>
  <c r="S20" i="20"/>
  <c r="R92" i="11"/>
  <c r="R20" i="20"/>
  <c r="R90"/>
  <c r="L30" i="21"/>
  <c r="K20"/>
  <c r="V46" i="7"/>
  <c r="X46"/>
  <c r="W46"/>
  <c r="L42" i="21"/>
  <c r="K41"/>
  <c r="Q20" i="19"/>
  <c r="Q85"/>
  <c r="Q92"/>
  <c r="R92"/>
  <c r="R20" i="10"/>
  <c r="R20" i="19"/>
  <c r="F52" i="22"/>
  <c r="Q52"/>
  <c r="Q51"/>
  <c r="F21" i="7"/>
  <c r="E20"/>
  <c r="AA41" i="10"/>
  <c r="Z41"/>
  <c r="Y39"/>
  <c r="V48" i="19"/>
  <c r="X48" i="10"/>
  <c r="X48" i="19"/>
  <c r="L21" i="7"/>
  <c r="K20"/>
  <c r="W39" i="10"/>
  <c r="U36" i="7"/>
  <c r="U36" i="21"/>
  <c r="V36"/>
  <c r="V39" i="10"/>
  <c r="U39" i="19"/>
  <c r="W37" i="11"/>
  <c r="W37" i="20"/>
  <c r="U37"/>
  <c r="P21" i="7"/>
  <c r="O20"/>
  <c r="U81" i="20"/>
  <c r="W81" i="11"/>
  <c r="W81" i="20"/>
  <c r="W66" i="7"/>
  <c r="V66"/>
  <c r="X66"/>
  <c r="AB30" i="10"/>
  <c r="AC30"/>
  <c r="AA31" i="7"/>
  <c r="AB31"/>
  <c r="X55" i="10"/>
  <c r="X55" i="19"/>
  <c r="V55"/>
  <c r="V62" i="20"/>
  <c r="W43" i="21"/>
  <c r="Y26" i="7"/>
  <c r="Z26"/>
  <c r="Z26" i="10"/>
  <c r="AA26"/>
  <c r="Y21"/>
  <c r="V34" i="7"/>
  <c r="X34"/>
  <c r="W34"/>
  <c r="U30"/>
  <c r="Z50" i="10"/>
  <c r="AA50"/>
  <c r="S74" i="20"/>
  <c r="U53"/>
  <c r="W53" i="11"/>
  <c r="W53" i="20"/>
  <c r="J51" i="14"/>
  <c r="J84"/>
  <c r="S35" i="20"/>
  <c r="W35" i="11"/>
  <c r="W35" i="20"/>
  <c r="S41" i="7"/>
  <c r="T42"/>
  <c r="G89" i="22"/>
  <c r="G95"/>
  <c r="G90"/>
  <c r="G83"/>
  <c r="V65" i="20"/>
  <c r="W46" i="21"/>
  <c r="X46"/>
  <c r="Q58" i="20"/>
  <c r="P59"/>
  <c r="Q59"/>
  <c r="M20" i="7"/>
  <c r="N21"/>
  <c r="I91" i="15"/>
  <c r="I96"/>
  <c r="I102"/>
  <c r="Q19" i="22"/>
  <c r="E82"/>
  <c r="S41" i="21"/>
  <c r="T42"/>
  <c r="W54" i="7"/>
  <c r="V54"/>
  <c r="X54"/>
  <c r="P42"/>
  <c r="O41"/>
  <c r="W51" i="19"/>
  <c r="W38" i="21"/>
  <c r="X38"/>
  <c r="G41" i="7"/>
  <c r="H42"/>
  <c r="X51"/>
  <c r="S52" i="10"/>
  <c r="S86"/>
  <c r="S54" i="19"/>
  <c r="S52"/>
  <c r="T54" i="10"/>
  <c r="T54" i="19"/>
  <c r="W55" i="7"/>
  <c r="V55"/>
  <c r="X55"/>
  <c r="V81" i="20"/>
  <c r="W63" i="21"/>
  <c r="K99" i="16"/>
  <c r="G99"/>
  <c r="J99"/>
  <c r="I91" i="14"/>
  <c r="H35" i="21"/>
  <c r="G20"/>
  <c r="W21" i="11"/>
  <c r="W21" i="20"/>
  <c r="U21"/>
  <c r="L42" i="7"/>
  <c r="K41"/>
  <c r="U55" i="20"/>
  <c r="W55" i="11"/>
  <c r="W55" i="20"/>
  <c r="X27" i="10"/>
  <c r="X27" i="19"/>
  <c r="V27"/>
  <c r="X35" i="10"/>
  <c r="X35" i="19"/>
  <c r="V35"/>
  <c r="N61" i="16"/>
  <c r="O61"/>
  <c r="W38" i="7"/>
  <c r="V38"/>
  <c r="X38"/>
  <c r="AC62" i="11"/>
  <c r="AB61"/>
  <c r="AC43" i="7"/>
  <c r="N20" i="20"/>
  <c r="O20" i="11"/>
  <c r="O20" i="20"/>
  <c r="P73" i="17"/>
  <c r="T73"/>
  <c r="V51" i="20"/>
  <c r="AC59" i="7"/>
  <c r="AC69" i="10"/>
  <c r="AD72"/>
  <c r="Q67" i="23"/>
  <c r="X65" i="7"/>
  <c r="H29" i="16"/>
  <c r="W64" i="11"/>
  <c r="W64" i="20"/>
  <c r="O90" i="26"/>
  <c r="O96"/>
  <c r="O91"/>
  <c r="M85" i="14"/>
  <c r="Q20" i="7"/>
  <c r="R20"/>
  <c r="H30" i="27"/>
  <c r="Q53" i="19"/>
  <c r="R53"/>
  <c r="F84" i="26"/>
  <c r="F85"/>
  <c r="J84"/>
  <c r="AA27" i="10"/>
  <c r="AB27"/>
  <c r="G86"/>
  <c r="H86"/>
  <c r="X74" i="7"/>
  <c r="X35" i="11"/>
  <c r="Y35"/>
  <c r="L82" i="22"/>
  <c r="X74" i="17"/>
  <c r="X32" i="7"/>
  <c r="V73" i="17"/>
  <c r="V20" i="11"/>
  <c r="V20" i="20"/>
  <c r="K92" i="19"/>
  <c r="L85"/>
  <c r="K86"/>
  <c r="L86"/>
  <c r="AA42" i="10"/>
  <c r="AA39"/>
  <c r="Z42"/>
  <c r="V87" i="20"/>
  <c r="V58"/>
  <c r="W70" i="21"/>
  <c r="X70"/>
  <c r="V71" i="20"/>
  <c r="W52" i="21"/>
  <c r="X52"/>
  <c r="V21" i="10"/>
  <c r="V21" i="19"/>
  <c r="U20" i="10"/>
  <c r="U21" i="19"/>
  <c r="U36" i="20"/>
  <c r="W36" i="11"/>
  <c r="W36" i="20"/>
  <c r="J52" i="26"/>
  <c r="G74" i="16"/>
  <c r="H74"/>
  <c r="M39" i="21"/>
  <c r="N41"/>
  <c r="Y41" i="7"/>
  <c r="Z42"/>
  <c r="E53" i="23"/>
  <c r="Q54"/>
  <c r="K89" i="22"/>
  <c r="K95"/>
  <c r="K90"/>
  <c r="U70" i="20"/>
  <c r="W70" i="11"/>
  <c r="W70" i="20"/>
  <c r="F56" i="21"/>
  <c r="F30"/>
  <c r="E20"/>
  <c r="V21"/>
  <c r="J20" i="20"/>
  <c r="J90"/>
  <c r="J92" i="11"/>
  <c r="K20"/>
  <c r="K20" i="20"/>
  <c r="D92" i="11"/>
  <c r="D20" i="20"/>
  <c r="E20" i="11"/>
  <c r="E20" i="20"/>
  <c r="AB32" i="10"/>
  <c r="AC32"/>
  <c r="AA33" i="7"/>
  <c r="AB33"/>
  <c r="G79" i="17"/>
  <c r="W68" i="19"/>
  <c r="W55" i="21"/>
  <c r="X55"/>
  <c r="T78" i="7"/>
  <c r="X78"/>
  <c r="W78"/>
  <c r="J84" i="17"/>
  <c r="V78"/>
  <c r="H21" i="7"/>
  <c r="G20"/>
  <c r="S20"/>
  <c r="T21"/>
  <c r="W27" i="19"/>
  <c r="W27" i="21"/>
  <c r="X27"/>
  <c r="V51" i="19"/>
  <c r="X51" i="10"/>
  <c r="X51" i="19"/>
  <c r="W51" i="11"/>
  <c r="W51" i="20"/>
  <c r="U51"/>
  <c r="AB69" i="10"/>
  <c r="AA52"/>
  <c r="W70" i="19"/>
  <c r="W57" i="21"/>
  <c r="W26" i="19"/>
  <c r="W26" i="21"/>
  <c r="X26"/>
  <c r="Q35" i="16"/>
  <c r="R35"/>
  <c r="G41" i="21"/>
  <c r="H42"/>
  <c r="H96" i="15"/>
  <c r="H102"/>
  <c r="H91"/>
  <c r="N58" i="11"/>
  <c r="N59"/>
  <c r="O59"/>
  <c r="O60"/>
  <c r="N60" i="20"/>
  <c r="N58"/>
  <c r="K60"/>
  <c r="K58" i="11"/>
  <c r="F20" i="20"/>
  <c r="F90"/>
  <c r="G20" i="11"/>
  <c r="G20" i="20"/>
  <c r="F92" i="11"/>
  <c r="W52"/>
  <c r="W52" i="20"/>
  <c r="U52"/>
  <c r="AA42" i="7"/>
  <c r="AB43"/>
  <c r="X68" i="10"/>
  <c r="X68" i="19"/>
  <c r="V68"/>
  <c r="I20" i="7"/>
  <c r="J21"/>
  <c r="Y56"/>
  <c r="Z56"/>
  <c r="Z59"/>
  <c r="H59" i="11"/>
  <c r="I59"/>
  <c r="H92"/>
  <c r="W27" i="7"/>
  <c r="V27"/>
  <c r="X27"/>
  <c r="AA61" i="11"/>
  <c r="Z60"/>
  <c r="U60" i="20"/>
  <c r="W60" i="11"/>
  <c r="W60" i="20"/>
  <c r="W37" i="7"/>
  <c r="V37"/>
  <c r="X37"/>
  <c r="H85" i="19"/>
  <c r="V61"/>
  <c r="X61" i="10"/>
  <c r="X61" i="19"/>
  <c r="V43" i="7"/>
  <c r="X43"/>
  <c r="W43"/>
  <c r="U42"/>
  <c r="U39" i="20"/>
  <c r="W39" i="11"/>
  <c r="W39" i="20"/>
  <c r="W23" i="7"/>
  <c r="V23"/>
  <c r="X23"/>
  <c r="V42" i="21"/>
  <c r="U41"/>
  <c r="X79"/>
  <c r="W77"/>
  <c r="X77"/>
  <c r="J41"/>
  <c r="I39"/>
  <c r="S60" i="15"/>
  <c r="U60"/>
  <c r="Y60"/>
  <c r="J63" i="16"/>
  <c r="G63"/>
  <c r="K63"/>
  <c r="H63"/>
  <c r="Y34" i="15"/>
  <c r="P21" i="21"/>
  <c r="O20"/>
  <c r="J38" i="16"/>
  <c r="G38"/>
  <c r="H38"/>
  <c r="K38"/>
  <c r="J42" i="7"/>
  <c r="I41"/>
  <c r="Q80" i="20"/>
  <c r="Q58" i="11"/>
  <c r="R35" i="21"/>
  <c r="Q20"/>
  <c r="AA48" i="10"/>
  <c r="Z48"/>
  <c r="Y46"/>
  <c r="U62" i="7"/>
  <c r="V63"/>
  <c r="X63"/>
  <c r="W63"/>
  <c r="J78" i="16"/>
  <c r="G78"/>
  <c r="K78"/>
  <c r="H78"/>
  <c r="N20" i="21"/>
  <c r="S20"/>
  <c r="T21"/>
  <c r="V56" i="7"/>
  <c r="X56"/>
  <c r="W56"/>
  <c r="I58" i="11"/>
  <c r="I74" i="20"/>
  <c r="AC23" i="10"/>
  <c r="AB23"/>
  <c r="AA23" i="7"/>
  <c r="AB23"/>
  <c r="Y34" i="10"/>
  <c r="Z35"/>
  <c r="AA35"/>
  <c r="V44" i="19"/>
  <c r="X44" i="10"/>
  <c r="X44" i="19"/>
  <c r="F42" i="7"/>
  <c r="E41"/>
  <c r="M20" i="11"/>
  <c r="M20" i="20"/>
  <c r="L20"/>
  <c r="L90"/>
  <c r="L92" i="11"/>
  <c r="AB59" i="7"/>
  <c r="AA56"/>
  <c r="AB56"/>
  <c r="AA33" i="10"/>
  <c r="AA29"/>
  <c r="AB29"/>
  <c r="Y23" i="11"/>
  <c r="Q86" i="10"/>
  <c r="T58" i="20"/>
  <c r="L20" i="10"/>
  <c r="L20" i="19"/>
  <c r="X86" i="7"/>
  <c r="F82" i="22"/>
  <c r="Q25" i="15"/>
  <c r="Y29" i="10"/>
  <c r="Z29"/>
  <c r="D58" i="20"/>
  <c r="W54" i="10"/>
  <c r="W54" i="19"/>
  <c r="W52"/>
  <c r="F52" i="10"/>
  <c r="I53"/>
  <c r="J53"/>
  <c r="I86"/>
  <c r="J52"/>
  <c r="M53"/>
  <c r="N53"/>
  <c r="M86"/>
  <c r="N52"/>
  <c r="AD28"/>
  <c r="AC29" i="7"/>
  <c r="AD29"/>
  <c r="O87" i="10"/>
  <c r="P87"/>
  <c r="O92"/>
  <c r="P86"/>
  <c r="G53"/>
  <c r="H53"/>
  <c r="H52"/>
  <c r="L52"/>
  <c r="O53"/>
  <c r="P53"/>
  <c r="P52"/>
  <c r="AC24"/>
  <c r="AA24" i="7"/>
  <c r="AB24" i="10"/>
  <c r="AB31"/>
  <c r="AC31"/>
  <c r="AA20" i="11"/>
  <c r="Z27" i="7"/>
  <c r="AC43" i="10"/>
  <c r="AB43"/>
  <c r="T21" i="19"/>
  <c r="Y30" i="7"/>
  <c r="Z30"/>
  <c r="AD47" i="10"/>
  <c r="J85" i="26"/>
  <c r="N90"/>
  <c r="N96"/>
  <c r="N91"/>
  <c r="M90"/>
  <c r="M96"/>
  <c r="M91"/>
  <c r="M85"/>
  <c r="K90"/>
  <c r="K85"/>
  <c r="K52"/>
  <c r="G85"/>
  <c r="G90"/>
  <c r="G96"/>
  <c r="G91"/>
  <c r="Q19"/>
  <c r="H90"/>
  <c r="H96"/>
  <c r="H91"/>
  <c r="H85"/>
  <c r="I84"/>
  <c r="Q39" i="7"/>
  <c r="R41"/>
  <c r="AC51" i="10"/>
  <c r="AB51"/>
  <c r="AA38" i="7"/>
  <c r="Z38"/>
  <c r="AJ20"/>
  <c r="K81" i="16"/>
  <c r="N91" i="15"/>
  <c r="G82" i="23"/>
  <c r="G89"/>
  <c r="O96" i="15"/>
  <c r="O102"/>
  <c r="O97"/>
  <c r="F82" i="23"/>
  <c r="F89"/>
  <c r="L85" i="14"/>
  <c r="L90"/>
  <c r="L52"/>
  <c r="L52" i="26"/>
  <c r="L84"/>
  <c r="E53" i="19"/>
  <c r="F53"/>
  <c r="F52"/>
  <c r="V52" i="10"/>
  <c r="U53"/>
  <c r="V53"/>
  <c r="AC45"/>
  <c r="AD45"/>
  <c r="AB45"/>
  <c r="AA25" i="7"/>
  <c r="AB25"/>
  <c r="AC25" i="10"/>
  <c r="AB25"/>
  <c r="AI20" i="7"/>
  <c r="X21" i="10"/>
  <c r="X21" i="19"/>
  <c r="K53" i="10"/>
  <c r="L53"/>
  <c r="AC27"/>
  <c r="AC27" i="7"/>
  <c r="AD27"/>
  <c r="AA46" i="10"/>
  <c r="I75" i="21"/>
  <c r="I76"/>
  <c r="J76"/>
  <c r="G92" i="19"/>
  <c r="U58" i="11"/>
  <c r="W58"/>
  <c r="W74"/>
  <c r="W74" i="20"/>
  <c r="O92" i="19"/>
  <c r="O98"/>
  <c r="U53"/>
  <c r="V53"/>
  <c r="V21" i="7"/>
  <c r="X21"/>
  <c r="H45" i="16"/>
  <c r="R25" i="15"/>
  <c r="F26" i="16"/>
  <c r="J26"/>
  <c r="L82" i="23"/>
  <c r="L83"/>
  <c r="J82"/>
  <c r="J89"/>
  <c r="J93" i="16"/>
  <c r="G27"/>
  <c r="K52"/>
  <c r="J52"/>
  <c r="H52"/>
  <c r="H27"/>
  <c r="K27"/>
  <c r="G81"/>
  <c r="I90" i="20"/>
  <c r="H97"/>
  <c r="T20"/>
  <c r="T90"/>
  <c r="U20" i="11"/>
  <c r="U20" i="20"/>
  <c r="AC33" i="10"/>
  <c r="AC29"/>
  <c r="AD29"/>
  <c r="G92"/>
  <c r="G98"/>
  <c r="E86"/>
  <c r="E92"/>
  <c r="W37" i="21"/>
  <c r="X37"/>
  <c r="I82" i="23"/>
  <c r="I89"/>
  <c r="N83"/>
  <c r="H91" i="20"/>
  <c r="I91"/>
  <c r="I92" i="19"/>
  <c r="Y21" i="7"/>
  <c r="Z21"/>
  <c r="G87" i="10"/>
  <c r="H87"/>
  <c r="K96" i="26"/>
  <c r="K90" i="14"/>
  <c r="AC21" i="11"/>
  <c r="AB20"/>
  <c r="AC20"/>
  <c r="U41" i="20"/>
  <c r="W41" i="11"/>
  <c r="W41" i="20"/>
  <c r="H89" i="22"/>
  <c r="H95"/>
  <c r="H90"/>
  <c r="H83"/>
  <c r="AC36" i="10"/>
  <c r="AD36"/>
  <c r="AB36"/>
  <c r="G93" i="16"/>
  <c r="K93"/>
  <c r="Q76" i="7"/>
  <c r="R76"/>
  <c r="H32" i="27"/>
  <c r="F90" i="26"/>
  <c r="F96"/>
  <c r="F91"/>
  <c r="I86" i="19"/>
  <c r="J86"/>
  <c r="P96" i="15"/>
  <c r="P102"/>
  <c r="P97"/>
  <c r="M39" i="7"/>
  <c r="M40"/>
  <c r="N40"/>
  <c r="P85" i="19"/>
  <c r="T59" i="11"/>
  <c r="T92"/>
  <c r="H84" i="17"/>
  <c r="U78"/>
  <c r="X78"/>
  <c r="V46" i="19"/>
  <c r="X46" i="10"/>
  <c r="X46" i="19"/>
  <c r="AA22" i="7"/>
  <c r="AB22"/>
  <c r="AC22" i="10"/>
  <c r="AB22"/>
  <c r="V92" i="11"/>
  <c r="AB33" i="10"/>
  <c r="K85" i="14"/>
  <c r="Q40" i="21"/>
  <c r="R40"/>
  <c r="O82" i="23"/>
  <c r="K92" i="10"/>
  <c r="L92"/>
  <c r="E86" i="19"/>
  <c r="F86"/>
  <c r="H81" i="16"/>
  <c r="K102" i="15"/>
  <c r="K97"/>
  <c r="K82" i="23"/>
  <c r="K89"/>
  <c r="M82"/>
  <c r="W21" i="21"/>
  <c r="E39"/>
  <c r="E75"/>
  <c r="L89" i="23"/>
  <c r="H82"/>
  <c r="H83"/>
  <c r="Q92" i="11"/>
  <c r="P93"/>
  <c r="Q93"/>
  <c r="P98"/>
  <c r="N85" i="19"/>
  <c r="M86"/>
  <c r="N86"/>
  <c r="M92"/>
  <c r="V90" i="20"/>
  <c r="V91"/>
  <c r="W91"/>
  <c r="J90" i="14"/>
  <c r="J85"/>
  <c r="AB46" i="10"/>
  <c r="AA37" i="7"/>
  <c r="AB37"/>
  <c r="J75" i="21"/>
  <c r="D90" i="20"/>
  <c r="E58"/>
  <c r="D59"/>
  <c r="E59"/>
  <c r="N26" i="16"/>
  <c r="O26"/>
  <c r="U39" i="21"/>
  <c r="V41"/>
  <c r="J98" i="11"/>
  <c r="J93"/>
  <c r="K93"/>
  <c r="K92"/>
  <c r="F20" i="21"/>
  <c r="AB42" i="10"/>
  <c r="AC42"/>
  <c r="AD42"/>
  <c r="N39" i="7"/>
  <c r="V59" i="20"/>
  <c r="W59"/>
  <c r="W58"/>
  <c r="K39" i="7"/>
  <c r="K76"/>
  <c r="L41"/>
  <c r="T52" i="19"/>
  <c r="S53"/>
  <c r="T53"/>
  <c r="T41" i="7"/>
  <c r="S39"/>
  <c r="S76"/>
  <c r="P92" i="19"/>
  <c r="AD30" i="10"/>
  <c r="AC31" i="7"/>
  <c r="AD31"/>
  <c r="L20" i="21"/>
  <c r="Q19" i="23"/>
  <c r="M90" i="20"/>
  <c r="L91"/>
  <c r="M91"/>
  <c r="L97"/>
  <c r="Z34" i="10"/>
  <c r="Y35" i="7"/>
  <c r="Z35"/>
  <c r="P20" i="21"/>
  <c r="F97" i="20"/>
  <c r="G90"/>
  <c r="F91"/>
  <c r="G91"/>
  <c r="O60"/>
  <c r="O58" i="11"/>
  <c r="H20" i="7"/>
  <c r="N39" i="21"/>
  <c r="M40"/>
  <c r="N40"/>
  <c r="Q84" i="14"/>
  <c r="AD59" i="7"/>
  <c r="AC56"/>
  <c r="AD56"/>
  <c r="AD43"/>
  <c r="AC42"/>
  <c r="AC26" i="10"/>
  <c r="AC21"/>
  <c r="AD21"/>
  <c r="AB26"/>
  <c r="AA26" i="7"/>
  <c r="AB26"/>
  <c r="L20"/>
  <c r="R98" i="11"/>
  <c r="S92"/>
  <c r="R93"/>
  <c r="S93"/>
  <c r="P84" i="17"/>
  <c r="T84"/>
  <c r="D79"/>
  <c r="T57" i="15"/>
  <c r="Q51" i="14"/>
  <c r="Y53" i="10"/>
  <c r="Z53"/>
  <c r="Z52"/>
  <c r="F92" i="19"/>
  <c r="E98"/>
  <c r="K40" i="16"/>
  <c r="G40"/>
  <c r="J40"/>
  <c r="H40"/>
  <c r="T59" i="20"/>
  <c r="U59"/>
  <c r="U58"/>
  <c r="L93" i="11"/>
  <c r="M93"/>
  <c r="M92"/>
  <c r="L98"/>
  <c r="AD23" i="10"/>
  <c r="AC23" i="7"/>
  <c r="AD23"/>
  <c r="Z46" i="10"/>
  <c r="Y37" i="7"/>
  <c r="Z37"/>
  <c r="U41"/>
  <c r="V42"/>
  <c r="X42"/>
  <c r="W42"/>
  <c r="J20"/>
  <c r="Y25" i="15"/>
  <c r="F41" i="7"/>
  <c r="E39"/>
  <c r="E76"/>
  <c r="AB35" i="10"/>
  <c r="AC35"/>
  <c r="AA34"/>
  <c r="R20" i="21"/>
  <c r="Q75"/>
  <c r="J41" i="7"/>
  <c r="I39"/>
  <c r="I76"/>
  <c r="Z58" i="11"/>
  <c r="AA60"/>
  <c r="AA58"/>
  <c r="H93"/>
  <c r="I93"/>
  <c r="I92"/>
  <c r="H98"/>
  <c r="F93"/>
  <c r="G93"/>
  <c r="F98"/>
  <c r="G92"/>
  <c r="W56" i="21"/>
  <c r="X56"/>
  <c r="X57"/>
  <c r="J90" i="15"/>
  <c r="K90" i="20"/>
  <c r="J97"/>
  <c r="J91"/>
  <c r="K91"/>
  <c r="F95" i="23"/>
  <c r="F90"/>
  <c r="Z41" i="7"/>
  <c r="Y39"/>
  <c r="W20" i="10"/>
  <c r="W20" i="19"/>
  <c r="W85"/>
  <c r="U20"/>
  <c r="U85"/>
  <c r="V20" i="10"/>
  <c r="U86"/>
  <c r="T52"/>
  <c r="X52"/>
  <c r="S53"/>
  <c r="W52"/>
  <c r="G39" i="7"/>
  <c r="H41"/>
  <c r="S39" i="21"/>
  <c r="T41"/>
  <c r="AB50" i="10"/>
  <c r="AC50"/>
  <c r="AD50"/>
  <c r="V36" i="7"/>
  <c r="X36"/>
  <c r="W36"/>
  <c r="AB41" i="10"/>
  <c r="AC41"/>
  <c r="AD41"/>
  <c r="O39" i="21"/>
  <c r="P41"/>
  <c r="U20"/>
  <c r="Q86" i="19"/>
  <c r="R86"/>
  <c r="AA34" i="7"/>
  <c r="AB34"/>
  <c r="R85" i="19"/>
  <c r="AA21" i="10"/>
  <c r="K87"/>
  <c r="L87"/>
  <c r="W20" i="11"/>
  <c r="W20" i="20"/>
  <c r="M75" i="21"/>
  <c r="N92" i="11"/>
  <c r="X54" i="10"/>
  <c r="X54" i="19"/>
  <c r="X21" i="21"/>
  <c r="T20"/>
  <c r="AC48" i="10"/>
  <c r="AB48"/>
  <c r="J39" i="21"/>
  <c r="I40"/>
  <c r="J40"/>
  <c r="G98" i="19"/>
  <c r="H92"/>
  <c r="H41" i="21"/>
  <c r="G39"/>
  <c r="G75"/>
  <c r="V97" i="20"/>
  <c r="W90"/>
  <c r="AC61" i="11"/>
  <c r="AB60"/>
  <c r="H20" i="21"/>
  <c r="P41" i="7"/>
  <c r="O39"/>
  <c r="O76"/>
  <c r="I97" i="15"/>
  <c r="I95" i="23"/>
  <c r="I90"/>
  <c r="P97" i="20"/>
  <c r="P91"/>
  <c r="Q91"/>
  <c r="Q90"/>
  <c r="K39" i="21"/>
  <c r="K75"/>
  <c r="L41"/>
  <c r="V35" i="7"/>
  <c r="X35"/>
  <c r="W35"/>
  <c r="Q92" i="10"/>
  <c r="Q87"/>
  <c r="R87"/>
  <c r="R86"/>
  <c r="V62" i="7"/>
  <c r="X62"/>
  <c r="W62"/>
  <c r="AB52" i="10"/>
  <c r="AA53"/>
  <c r="AB53"/>
  <c r="E51" i="23"/>
  <c r="Q53"/>
  <c r="L92" i="19"/>
  <c r="K98"/>
  <c r="X63" i="21"/>
  <c r="W62"/>
  <c r="X62"/>
  <c r="M76" i="7"/>
  <c r="N20"/>
  <c r="J52" i="14"/>
  <c r="V30" i="7"/>
  <c r="X30"/>
  <c r="W30"/>
  <c r="V39" i="19"/>
  <c r="X39" i="10"/>
  <c r="X39" i="19"/>
  <c r="Z39" i="10"/>
  <c r="Y36" i="7"/>
  <c r="Z36"/>
  <c r="W34" i="19"/>
  <c r="W35" i="21"/>
  <c r="X35"/>
  <c r="V34" i="19"/>
  <c r="X34" i="10"/>
  <c r="X34" i="19"/>
  <c r="J75" i="16"/>
  <c r="K75"/>
  <c r="G75"/>
  <c r="H75"/>
  <c r="S87" i="10"/>
  <c r="T87"/>
  <c r="T86"/>
  <c r="S92"/>
  <c r="X31" i="21"/>
  <c r="W30"/>
  <c r="X30"/>
  <c r="W53" i="19"/>
  <c r="X53"/>
  <c r="X52"/>
  <c r="F83" i="22"/>
  <c r="F89"/>
  <c r="F95"/>
  <c r="F90"/>
  <c r="G35" i="16"/>
  <c r="K35"/>
  <c r="H35"/>
  <c r="J35"/>
  <c r="G61"/>
  <c r="H61"/>
  <c r="K61"/>
  <c r="J61"/>
  <c r="AB42" i="7"/>
  <c r="AA41"/>
  <c r="O58" i="20"/>
  <c r="N59"/>
  <c r="O59"/>
  <c r="H95" i="23"/>
  <c r="H90"/>
  <c r="H97" i="15"/>
  <c r="O60" i="16"/>
  <c r="Q60"/>
  <c r="N60"/>
  <c r="R60"/>
  <c r="T20" i="7"/>
  <c r="I30" i="27"/>
  <c r="V84" i="17"/>
  <c r="J79"/>
  <c r="V79"/>
  <c r="AD32" i="10"/>
  <c r="AC33" i="7"/>
  <c r="AD33"/>
  <c r="D98" i="11"/>
  <c r="D93"/>
  <c r="E93"/>
  <c r="E92"/>
  <c r="E40" i="21"/>
  <c r="F40"/>
  <c r="L91" i="15"/>
  <c r="L96"/>
  <c r="L83" i="22"/>
  <c r="L89"/>
  <c r="L95"/>
  <c r="L90"/>
  <c r="J90" i="26"/>
  <c r="AC52" i="10"/>
  <c r="AD69"/>
  <c r="E89" i="22"/>
  <c r="E83"/>
  <c r="Q82"/>
  <c r="Z21" i="10"/>
  <c r="Y20"/>
  <c r="X43" i="21"/>
  <c r="W42"/>
  <c r="P20" i="7"/>
  <c r="W39" i="19"/>
  <c r="W36" i="21"/>
  <c r="X36"/>
  <c r="F20" i="7"/>
  <c r="S90" i="20"/>
  <c r="R91"/>
  <c r="S91"/>
  <c r="R97"/>
  <c r="AB44" i="10"/>
  <c r="AC44"/>
  <c r="AD44"/>
  <c r="S85" i="19"/>
  <c r="AA27" i="7"/>
  <c r="AB27"/>
  <c r="X20" i="11"/>
  <c r="X73" i="17"/>
  <c r="N90" i="20"/>
  <c r="U20" i="7"/>
  <c r="AC32"/>
  <c r="AD31" i="10"/>
  <c r="AC24" i="7"/>
  <c r="AD24" i="10"/>
  <c r="P92"/>
  <c r="O98"/>
  <c r="AD27"/>
  <c r="M87"/>
  <c r="N87"/>
  <c r="M92"/>
  <c r="N86"/>
  <c r="E87"/>
  <c r="F87"/>
  <c r="F86"/>
  <c r="Y59" i="15"/>
  <c r="S59"/>
  <c r="U59"/>
  <c r="AA36" i="7"/>
  <c r="AB36"/>
  <c r="AB39" i="10"/>
  <c r="AD43"/>
  <c r="AB32" i="7"/>
  <c r="AB24"/>
  <c r="H92" i="10"/>
  <c r="I87"/>
  <c r="J87"/>
  <c r="I92"/>
  <c r="J86"/>
  <c r="K98"/>
  <c r="I90" i="26"/>
  <c r="Q90" i="16"/>
  <c r="I85" i="26"/>
  <c r="Q26" i="16"/>
  <c r="R26"/>
  <c r="Q40" i="7"/>
  <c r="R40"/>
  <c r="R39"/>
  <c r="AC38"/>
  <c r="AD51" i="10"/>
  <c r="AB38" i="7"/>
  <c r="Q82"/>
  <c r="R82"/>
  <c r="J83" i="23"/>
  <c r="G83"/>
  <c r="F83"/>
  <c r="L96" i="14"/>
  <c r="L90" i="26"/>
  <c r="L85"/>
  <c r="AC25" i="7"/>
  <c r="AD25"/>
  <c r="AD25" i="10"/>
  <c r="Q77" i="7"/>
  <c r="R77"/>
  <c r="I82" i="21"/>
  <c r="J82"/>
  <c r="L102" i="15"/>
  <c r="M95" i="23"/>
  <c r="M90"/>
  <c r="I83"/>
  <c r="H103" i="20"/>
  <c r="I97"/>
  <c r="AC34" i="7"/>
  <c r="AD34"/>
  <c r="AD33" i="10"/>
  <c r="I98" i="19"/>
  <c r="J92"/>
  <c r="U59" i="11"/>
  <c r="W59"/>
  <c r="V59"/>
  <c r="K91" i="26"/>
  <c r="T98" i="11"/>
  <c r="V98"/>
  <c r="T93"/>
  <c r="U93"/>
  <c r="W93"/>
  <c r="U92"/>
  <c r="W92"/>
  <c r="O89" i="23"/>
  <c r="O95"/>
  <c r="O90"/>
  <c r="O83"/>
  <c r="H79" i="17"/>
  <c r="U79"/>
  <c r="U84"/>
  <c r="K96" i="14"/>
  <c r="F39" i="21"/>
  <c r="AA21" i="7"/>
  <c r="AB21"/>
  <c r="Q83" i="22"/>
  <c r="AC22" i="7"/>
  <c r="AD22"/>
  <c r="AD22" i="10"/>
  <c r="K95" i="23"/>
  <c r="K90"/>
  <c r="H89"/>
  <c r="K26" i="16"/>
  <c r="K83" i="23"/>
  <c r="N92" i="19"/>
  <c r="M98"/>
  <c r="M83" i="23"/>
  <c r="M89"/>
  <c r="Q98" i="11"/>
  <c r="P104"/>
  <c r="V93"/>
  <c r="S77" i="7"/>
  <c r="T77"/>
  <c r="S82"/>
  <c r="T82"/>
  <c r="T76"/>
  <c r="I32" i="27"/>
  <c r="Y20" i="11"/>
  <c r="X92"/>
  <c r="E95" i="22"/>
  <c r="Q89"/>
  <c r="E52" i="23"/>
  <c r="Q52"/>
  <c r="Q51"/>
  <c r="AB21" i="10"/>
  <c r="AA20"/>
  <c r="V20" i="19"/>
  <c r="X20" i="10"/>
  <c r="X20" i="19"/>
  <c r="K97" i="20"/>
  <c r="J103"/>
  <c r="R75" i="21"/>
  <c r="Q76"/>
  <c r="R76"/>
  <c r="Q82"/>
  <c r="R82"/>
  <c r="F98" i="19"/>
  <c r="E93"/>
  <c r="F93"/>
  <c r="Q52" i="14"/>
  <c r="T58" i="15"/>
  <c r="L103" i="20"/>
  <c r="M97"/>
  <c r="P98" i="19"/>
  <c r="O93"/>
  <c r="P93"/>
  <c r="E90" i="20"/>
  <c r="D91"/>
  <c r="E91"/>
  <c r="D97"/>
  <c r="K40" i="21"/>
  <c r="L40"/>
  <c r="L39"/>
  <c r="G82"/>
  <c r="H82"/>
  <c r="H75"/>
  <c r="G76"/>
  <c r="H76"/>
  <c r="P39"/>
  <c r="O40"/>
  <c r="P40"/>
  <c r="T39"/>
  <c r="S40"/>
  <c r="T40"/>
  <c r="T53" i="10"/>
  <c r="X53"/>
  <c r="W53"/>
  <c r="V86"/>
  <c r="X86"/>
  <c r="W86"/>
  <c r="U92"/>
  <c r="U87"/>
  <c r="Y40" i="7"/>
  <c r="Z40"/>
  <c r="Z39"/>
  <c r="K31" i="27"/>
  <c r="N59" i="16"/>
  <c r="O59"/>
  <c r="R59"/>
  <c r="Q59"/>
  <c r="G98" i="11"/>
  <c r="F104"/>
  <c r="G88" i="21"/>
  <c r="AD35" i="10"/>
  <c r="AC34"/>
  <c r="V41" i="7"/>
  <c r="X41"/>
  <c r="W41"/>
  <c r="U39"/>
  <c r="U76"/>
  <c r="AD42"/>
  <c r="AC41"/>
  <c r="Q90" i="14"/>
  <c r="F103" i="20"/>
  <c r="G97"/>
  <c r="G95" i="23"/>
  <c r="G90"/>
  <c r="V39" i="21"/>
  <c r="U40"/>
  <c r="V40"/>
  <c r="J96" i="14"/>
  <c r="N97" i="20"/>
  <c r="N91"/>
  <c r="O91"/>
  <c r="O90"/>
  <c r="S92" i="19"/>
  <c r="T92"/>
  <c r="S86"/>
  <c r="T86"/>
  <c r="T85"/>
  <c r="W41" i="21"/>
  <c r="X42"/>
  <c r="AD52" i="10"/>
  <c r="AC53"/>
  <c r="AD53"/>
  <c r="AB41" i="7"/>
  <c r="AA39"/>
  <c r="T92" i="10"/>
  <c r="S98"/>
  <c r="M82" i="7"/>
  <c r="N82"/>
  <c r="N76"/>
  <c r="M77"/>
  <c r="N77"/>
  <c r="P103" i="20"/>
  <c r="Q97"/>
  <c r="G40" i="21"/>
  <c r="H40"/>
  <c r="H39"/>
  <c r="V20"/>
  <c r="U75"/>
  <c r="X85" i="19"/>
  <c r="W92"/>
  <c r="X92"/>
  <c r="W86"/>
  <c r="X86"/>
  <c r="Q91" i="16"/>
  <c r="J96" i="15"/>
  <c r="J91"/>
  <c r="I40" i="7"/>
  <c r="J40"/>
  <c r="J39"/>
  <c r="AA35"/>
  <c r="AB35"/>
  <c r="AB34" i="10"/>
  <c r="G26" i="16"/>
  <c r="F22"/>
  <c r="H26"/>
  <c r="M98" i="11"/>
  <c r="L104"/>
  <c r="K82" i="7"/>
  <c r="L82"/>
  <c r="L76"/>
  <c r="K77"/>
  <c r="L77"/>
  <c r="AD26" i="10"/>
  <c r="AC26" i="7"/>
  <c r="AD26"/>
  <c r="Q85" i="14"/>
  <c r="L39" i="7"/>
  <c r="K40"/>
  <c r="L40"/>
  <c r="W20" i="21"/>
  <c r="AC39" i="10"/>
  <c r="AD39"/>
  <c r="S58" i="15"/>
  <c r="S75" i="21"/>
  <c r="Y20" i="7"/>
  <c r="E82"/>
  <c r="F82"/>
  <c r="E77"/>
  <c r="F77"/>
  <c r="F76"/>
  <c r="Y86" i="10"/>
  <c r="Z20"/>
  <c r="J96" i="26"/>
  <c r="N93" i="11"/>
  <c r="O93"/>
  <c r="O92"/>
  <c r="N98"/>
  <c r="N58" i="16"/>
  <c r="O58"/>
  <c r="R58"/>
  <c r="Q58"/>
  <c r="I82" i="7"/>
  <c r="J82"/>
  <c r="J76"/>
  <c r="I77"/>
  <c r="J77"/>
  <c r="T79" i="17"/>
  <c r="X79"/>
  <c r="P79"/>
  <c r="L75" i="21"/>
  <c r="K82"/>
  <c r="L82"/>
  <c r="K76"/>
  <c r="L76"/>
  <c r="L95" i="23"/>
  <c r="L90"/>
  <c r="L97" i="15"/>
  <c r="V20" i="7"/>
  <c r="W20"/>
  <c r="S97" i="20"/>
  <c r="R103"/>
  <c r="O82" i="7"/>
  <c r="P82"/>
  <c r="P76"/>
  <c r="O77"/>
  <c r="P77"/>
  <c r="E98" i="11"/>
  <c r="D104"/>
  <c r="L98" i="19"/>
  <c r="K93"/>
  <c r="L93"/>
  <c r="R92" i="10"/>
  <c r="Q98"/>
  <c r="P39" i="7"/>
  <c r="O40"/>
  <c r="P40"/>
  <c r="AC60" i="11"/>
  <c r="AB58"/>
  <c r="W97" i="20"/>
  <c r="V103"/>
  <c r="H98" i="19"/>
  <c r="G93"/>
  <c r="H93"/>
  <c r="AD48" i="10"/>
  <c r="AC46"/>
  <c r="M76" i="21"/>
  <c r="N76"/>
  <c r="N75"/>
  <c r="M82"/>
  <c r="N82"/>
  <c r="H39" i="7"/>
  <c r="G40"/>
  <c r="H40"/>
  <c r="U86" i="19"/>
  <c r="V86"/>
  <c r="V85"/>
  <c r="U92"/>
  <c r="V92"/>
  <c r="I98" i="11"/>
  <c r="H104"/>
  <c r="Z59"/>
  <c r="AA59"/>
  <c r="Z92"/>
  <c r="F39" i="7"/>
  <c r="E40"/>
  <c r="F40"/>
  <c r="T97" i="20"/>
  <c r="U90"/>
  <c r="T91"/>
  <c r="U91"/>
  <c r="R104" i="11"/>
  <c r="S98"/>
  <c r="T39" i="7"/>
  <c r="I31" i="27"/>
  <c r="S40" i="7"/>
  <c r="T40"/>
  <c r="F75" i="21"/>
  <c r="E82"/>
  <c r="F82"/>
  <c r="E76"/>
  <c r="F76"/>
  <c r="J104" i="11"/>
  <c r="K88" i="21"/>
  <c r="K98" i="11"/>
  <c r="AA30" i="7"/>
  <c r="AB30"/>
  <c r="X84" i="17"/>
  <c r="G76" i="7"/>
  <c r="O75" i="21"/>
  <c r="E82" i="23"/>
  <c r="I98" i="10"/>
  <c r="J92"/>
  <c r="G93"/>
  <c r="H93"/>
  <c r="H98"/>
  <c r="H60" i="16"/>
  <c r="G60"/>
  <c r="E98" i="10"/>
  <c r="F92"/>
  <c r="AC30" i="7"/>
  <c r="AD30"/>
  <c r="AD32"/>
  <c r="K93" i="10"/>
  <c r="L93"/>
  <c r="L98"/>
  <c r="M98"/>
  <c r="N92"/>
  <c r="O93"/>
  <c r="P93"/>
  <c r="P98"/>
  <c r="AD24" i="7"/>
  <c r="S57" i="15"/>
  <c r="U57"/>
  <c r="Y57"/>
  <c r="I96" i="26"/>
  <c r="H31" i="27"/>
  <c r="AD38" i="7"/>
  <c r="H35" i="27"/>
  <c r="H36"/>
  <c r="H33"/>
  <c r="L96" i="26"/>
  <c r="L91" i="14"/>
  <c r="G59" i="16"/>
  <c r="J98" i="19"/>
  <c r="I93"/>
  <c r="J93"/>
  <c r="I103" i="20"/>
  <c r="H98"/>
  <c r="I98"/>
  <c r="K88" i="7"/>
  <c r="AC36"/>
  <c r="AD36"/>
  <c r="U58" i="15"/>
  <c r="T104" i="11"/>
  <c r="V104"/>
  <c r="U98"/>
  <c r="W98"/>
  <c r="K91" i="14"/>
  <c r="Y58" i="15"/>
  <c r="G88" i="7"/>
  <c r="G83"/>
  <c r="H83"/>
  <c r="AC20" i="10"/>
  <c r="AD20"/>
  <c r="Q104" i="11"/>
  <c r="P99"/>
  <c r="Q99"/>
  <c r="N98" i="19"/>
  <c r="M93"/>
  <c r="N93"/>
  <c r="U82" i="7"/>
  <c r="V76"/>
  <c r="U77"/>
  <c r="W76"/>
  <c r="T103" i="20"/>
  <c r="U97"/>
  <c r="S76" i="21"/>
  <c r="T76"/>
  <c r="S82"/>
  <c r="T82"/>
  <c r="T75"/>
  <c r="U76"/>
  <c r="V76"/>
  <c r="U82"/>
  <c r="V82"/>
  <c r="V75"/>
  <c r="W39"/>
  <c r="W75"/>
  <c r="X41"/>
  <c r="J91" i="14"/>
  <c r="Q96"/>
  <c r="W87" i="10"/>
  <c r="V87"/>
  <c r="X87"/>
  <c r="E89" i="23"/>
  <c r="Q89"/>
  <c r="E83"/>
  <c r="Q83"/>
  <c r="Q82"/>
  <c r="AA92" i="11"/>
  <c r="Z98"/>
  <c r="Z93"/>
  <c r="AA93"/>
  <c r="AD46" i="10"/>
  <c r="AC37" i="7"/>
  <c r="AD37"/>
  <c r="W103" i="20"/>
  <c r="V98"/>
  <c r="W98"/>
  <c r="Y92" i="10"/>
  <c r="Y87"/>
  <c r="Z87"/>
  <c r="Z86"/>
  <c r="Z20" i="7"/>
  <c r="K30" i="27"/>
  <c r="Y76" i="7"/>
  <c r="X20" i="21"/>
  <c r="J102" i="15"/>
  <c r="AA40" i="7"/>
  <c r="AB40"/>
  <c r="AB39"/>
  <c r="P31" i="27"/>
  <c r="AC35" i="7"/>
  <c r="AD35"/>
  <c r="AD34" i="10"/>
  <c r="E97" i="20"/>
  <c r="D103"/>
  <c r="E90" i="22"/>
  <c r="Q90"/>
  <c r="Q95"/>
  <c r="K104" i="11"/>
  <c r="J99"/>
  <c r="K99"/>
  <c r="R98" i="20"/>
  <c r="S98"/>
  <c r="S103"/>
  <c r="R92" i="16"/>
  <c r="Q92"/>
  <c r="N92"/>
  <c r="N103" i="20"/>
  <c r="O97"/>
  <c r="F98"/>
  <c r="G98"/>
  <c r="G103"/>
  <c r="AC39" i="7"/>
  <c r="AD41"/>
  <c r="J98" i="20"/>
  <c r="K98"/>
  <c r="K103"/>
  <c r="AB20" i="10"/>
  <c r="AA86"/>
  <c r="I33" i="27"/>
  <c r="I35"/>
  <c r="I36"/>
  <c r="O82" i="21"/>
  <c r="P82"/>
  <c r="P75"/>
  <c r="O76"/>
  <c r="P76"/>
  <c r="N91" i="16"/>
  <c r="O91"/>
  <c r="U40" i="7"/>
  <c r="W39"/>
  <c r="V39"/>
  <c r="X98" i="11"/>
  <c r="Y92"/>
  <c r="X93"/>
  <c r="Y93"/>
  <c r="G77" i="7"/>
  <c r="H77"/>
  <c r="H76"/>
  <c r="G82"/>
  <c r="H82"/>
  <c r="R99" i="11"/>
  <c r="S99"/>
  <c r="S104"/>
  <c r="H99"/>
  <c r="I99"/>
  <c r="I104"/>
  <c r="AB59"/>
  <c r="AC59"/>
  <c r="AB92"/>
  <c r="AC58"/>
  <c r="Q88" i="7"/>
  <c r="R98" i="10"/>
  <c r="Q88" i="21"/>
  <c r="Q93" i="10"/>
  <c r="R93"/>
  <c r="D99" i="11"/>
  <c r="E99"/>
  <c r="E104"/>
  <c r="J30" i="27"/>
  <c r="X20" i="7"/>
  <c r="N104" i="11"/>
  <c r="O98"/>
  <c r="J91" i="26"/>
  <c r="L99" i="11"/>
  <c r="M99"/>
  <c r="M104"/>
  <c r="Q103" i="20"/>
  <c r="P98"/>
  <c r="Q98"/>
  <c r="T98" i="10"/>
  <c r="S88" i="21"/>
  <c r="S93" i="10"/>
  <c r="T93"/>
  <c r="S88" i="7"/>
  <c r="G104" i="11"/>
  <c r="F99"/>
  <c r="G99"/>
  <c r="W92" i="10"/>
  <c r="V92"/>
  <c r="X92"/>
  <c r="U98"/>
  <c r="M103" i="20"/>
  <c r="L98"/>
  <c r="M98"/>
  <c r="R91" i="16"/>
  <c r="AA20" i="7"/>
  <c r="AC21"/>
  <c r="H58" i="16"/>
  <c r="G58"/>
  <c r="N98" i="10"/>
  <c r="M93"/>
  <c r="N93"/>
  <c r="M88" i="7"/>
  <c r="M88" i="21"/>
  <c r="K83"/>
  <c r="L83"/>
  <c r="L88"/>
  <c r="Y90" i="15"/>
  <c r="F98" i="10"/>
  <c r="E93"/>
  <c r="F93"/>
  <c r="E88" i="21"/>
  <c r="E88" i="7"/>
  <c r="H88" i="21"/>
  <c r="G83"/>
  <c r="H83"/>
  <c r="J98" i="10"/>
  <c r="I93"/>
  <c r="J93"/>
  <c r="I88" i="7"/>
  <c r="I88" i="21"/>
  <c r="K83" i="7"/>
  <c r="L83"/>
  <c r="L88"/>
  <c r="I91" i="26"/>
  <c r="Q96" i="16"/>
  <c r="L91" i="26"/>
  <c r="H88" i="7"/>
  <c r="H59" i="16"/>
  <c r="Y91" i="15"/>
  <c r="U104" i="11"/>
  <c r="W104"/>
  <c r="T99"/>
  <c r="AC86" i="10"/>
  <c r="W82" i="21"/>
  <c r="X82"/>
  <c r="W76"/>
  <c r="X76"/>
  <c r="X75"/>
  <c r="AB20" i="7"/>
  <c r="P30" i="27"/>
  <c r="AA76" i="7"/>
  <c r="AB98" i="11"/>
  <c r="AC92"/>
  <c r="AB93"/>
  <c r="AC93"/>
  <c r="AD39" i="7"/>
  <c r="Q31" i="27"/>
  <c r="AC40" i="7"/>
  <c r="AD40"/>
  <c r="Q91" i="14"/>
  <c r="U103" i="20"/>
  <c r="T98"/>
  <c r="U98"/>
  <c r="AA87" i="10"/>
  <c r="AB87"/>
  <c r="AA92"/>
  <c r="AB86"/>
  <c r="E103" i="20"/>
  <c r="D98"/>
  <c r="E98"/>
  <c r="O104" i="11"/>
  <c r="N99"/>
  <c r="O99"/>
  <c r="O88" i="21"/>
  <c r="O88" i="7"/>
  <c r="R88"/>
  <c r="Q83"/>
  <c r="R83"/>
  <c r="V40"/>
  <c r="X40"/>
  <c r="W40"/>
  <c r="N97" i="16"/>
  <c r="O97"/>
  <c r="V77" i="7"/>
  <c r="X77"/>
  <c r="W77"/>
  <c r="U93" i="10"/>
  <c r="W98"/>
  <c r="W88" i="21"/>
  <c r="V98" i="10"/>
  <c r="X98"/>
  <c r="U88" i="7"/>
  <c r="U88" i="21"/>
  <c r="Q83"/>
  <c r="R83"/>
  <c r="R88"/>
  <c r="J31" i="27"/>
  <c r="X39" i="7"/>
  <c r="O103" i="20"/>
  <c r="N98"/>
  <c r="O98"/>
  <c r="W40" i="21"/>
  <c r="X40"/>
  <c r="X39"/>
  <c r="W82" i="7"/>
  <c r="V82"/>
  <c r="X82"/>
  <c r="AD21"/>
  <c r="AC20"/>
  <c r="S83"/>
  <c r="T83"/>
  <c r="T88"/>
  <c r="X104" i="11"/>
  <c r="Y98"/>
  <c r="AA98"/>
  <c r="Z104"/>
  <c r="X76" i="7"/>
  <c r="J32" i="27"/>
  <c r="T88" i="21"/>
  <c r="S83"/>
  <c r="T83"/>
  <c r="J97" i="15"/>
  <c r="J95" i="23"/>
  <c r="J90"/>
  <c r="Z76" i="7"/>
  <c r="K32" i="27"/>
  <c r="Y82" i="7"/>
  <c r="Z82"/>
  <c r="Y77"/>
  <c r="Z77"/>
  <c r="Z92" i="10"/>
  <c r="Y98"/>
  <c r="E95" i="23"/>
  <c r="J88" i="7"/>
  <c r="I83"/>
  <c r="J83"/>
  <c r="E83" i="21"/>
  <c r="F83"/>
  <c r="F88"/>
  <c r="G91" i="16"/>
  <c r="H91"/>
  <c r="M83" i="7"/>
  <c r="N83"/>
  <c r="N88"/>
  <c r="H92" i="16"/>
  <c r="G92"/>
  <c r="Y96" i="15"/>
  <c r="I83" i="21"/>
  <c r="J83"/>
  <c r="J88"/>
  <c r="E83" i="7"/>
  <c r="F83"/>
  <c r="F88"/>
  <c r="M83" i="21"/>
  <c r="N83"/>
  <c r="N88"/>
  <c r="Q102" i="16"/>
  <c r="R97"/>
  <c r="Q97"/>
  <c r="U99" i="11"/>
  <c r="W99"/>
  <c r="V99"/>
  <c r="Y97" i="15"/>
  <c r="AC92" i="10"/>
  <c r="AC87"/>
  <c r="AD87"/>
  <c r="AD86"/>
  <c r="J33" i="27"/>
  <c r="J35"/>
  <c r="J36"/>
  <c r="W83" i="21"/>
  <c r="X83"/>
  <c r="X88"/>
  <c r="AA77" i="7"/>
  <c r="AB77"/>
  <c r="AB76"/>
  <c r="P32" i="27"/>
  <c r="AA82" i="7"/>
  <c r="AB82"/>
  <c r="Z98" i="10"/>
  <c r="Y88" i="7"/>
  <c r="Y93" i="10"/>
  <c r="Z93"/>
  <c r="K35" i="27"/>
  <c r="K36"/>
  <c r="K33"/>
  <c r="AA104" i="11"/>
  <c r="Z99"/>
  <c r="AA99"/>
  <c r="P88" i="21"/>
  <c r="O83"/>
  <c r="P83"/>
  <c r="AC98" i="11"/>
  <c r="AB104"/>
  <c r="Q103" i="16"/>
  <c r="N103"/>
  <c r="Y104" i="11"/>
  <c r="X99"/>
  <c r="Y99"/>
  <c r="V88" i="7"/>
  <c r="X88"/>
  <c r="U83"/>
  <c r="W88"/>
  <c r="O83"/>
  <c r="P83"/>
  <c r="P88"/>
  <c r="Q98" i="16"/>
  <c r="R98"/>
  <c r="O98"/>
  <c r="N98"/>
  <c r="AC76" i="7"/>
  <c r="AD20"/>
  <c r="Q30" i="27"/>
  <c r="V88" i="21"/>
  <c r="U83"/>
  <c r="V83"/>
  <c r="W93" i="10"/>
  <c r="V93"/>
  <c r="X93"/>
  <c r="AB92"/>
  <c r="AA98"/>
  <c r="Y102" i="15"/>
  <c r="E90" i="23"/>
  <c r="Q90"/>
  <c r="Q95"/>
  <c r="H97" i="16"/>
  <c r="G97"/>
  <c r="G98"/>
  <c r="AC98" i="10"/>
  <c r="AD92"/>
  <c r="AC77" i="7"/>
  <c r="AD77"/>
  <c r="AD76"/>
  <c r="Q32" i="27"/>
  <c r="AC82" i="7"/>
  <c r="AD82"/>
  <c r="V83"/>
  <c r="X83"/>
  <c r="W83"/>
  <c r="Y83"/>
  <c r="Z83"/>
  <c r="Z88"/>
  <c r="AC104" i="11"/>
  <c r="AB99"/>
  <c r="AC99"/>
  <c r="P35" i="27"/>
  <c r="P36"/>
  <c r="P33"/>
  <c r="AB98" i="10"/>
  <c r="AA93"/>
  <c r="AB93"/>
  <c r="AA88" i="7"/>
  <c r="G103" i="16"/>
  <c r="H98"/>
  <c r="AC93" i="10"/>
  <c r="AD93"/>
  <c r="AC88" i="7"/>
  <c r="AD98" i="10"/>
  <c r="AA83" i="7"/>
  <c r="AB83"/>
  <c r="AB88"/>
  <c r="Q33" i="27"/>
  <c r="Q35"/>
  <c r="Q36"/>
  <c r="J68" i="16"/>
  <c r="E53" i="26"/>
  <c r="Q61"/>
  <c r="S61"/>
  <c r="T61"/>
  <c r="AC83" i="7"/>
  <c r="AD83"/>
  <c r="AD88"/>
  <c r="J60" i="16"/>
  <c r="K60"/>
  <c r="E51" i="26"/>
  <c r="K68" i="16"/>
  <c r="E52" i="26"/>
  <c r="E84"/>
  <c r="E90"/>
  <c r="E85"/>
  <c r="K58" i="16"/>
  <c r="J58"/>
  <c r="J59"/>
  <c r="K59"/>
  <c r="K91"/>
  <c r="J91"/>
  <c r="E96" i="26"/>
  <c r="K97" i="16"/>
  <c r="J97"/>
  <c r="J103"/>
  <c r="E91" i="26"/>
  <c r="K92" i="16"/>
  <c r="J92"/>
  <c r="J98"/>
  <c r="K98"/>
  <c r="Q62" i="26"/>
  <c r="P53"/>
  <c r="Q53"/>
  <c r="P51"/>
  <c r="P52"/>
  <c r="Q52"/>
  <c r="Q51"/>
  <c r="P84"/>
  <c r="Q84"/>
  <c r="P85"/>
  <c r="Q85"/>
  <c r="P90"/>
  <c r="Q90"/>
  <c r="P96"/>
  <c r="Q96"/>
  <c r="P91"/>
  <c r="Q91"/>
</calcChain>
</file>

<file path=xl/sharedStrings.xml><?xml version="1.0" encoding="utf-8"?>
<sst xmlns="http://schemas.openxmlformats.org/spreadsheetml/2006/main" count="1337" uniqueCount="438">
  <si>
    <t>Otplata duga</t>
  </si>
  <si>
    <t>Current revenues</t>
  </si>
  <si>
    <t>Porezi</t>
  </si>
  <si>
    <t>Porez na dohodak fizičkih lica</t>
  </si>
  <si>
    <t>Personal Income Tax</t>
  </si>
  <si>
    <t>Porez na dobit pravnih lica</t>
  </si>
  <si>
    <t>Tax on Profits of Legal Persons</t>
  </si>
  <si>
    <t>Porez na promet nepokretnosti</t>
  </si>
  <si>
    <t xml:space="preserve">Taxes on Property </t>
  </si>
  <si>
    <t>Porez na dodatu vrijednost</t>
  </si>
  <si>
    <t>Value Added Tax</t>
  </si>
  <si>
    <t>Lokalni porezi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</si>
  <si>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</si>
  <si>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</si>
  <si>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</si>
  <si>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</si>
  <si>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</si>
  <si>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Ostali republički prihodi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</si>
  <si>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</si>
  <si>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</si>
  <si>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</si>
  <si>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</si>
  <si>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</si>
  <si>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</si>
  <si>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</si>
  <si>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</si>
  <si>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Insurance from Unemployment</t>
  </si>
  <si>
    <t>Ostali doprinosi</t>
  </si>
  <si>
    <t>Other contributions</t>
  </si>
  <si>
    <t>Takse</t>
  </si>
  <si>
    <t>Duties</t>
  </si>
  <si>
    <t>Administrativne takse</t>
  </si>
  <si>
    <t>Sudske takse</t>
  </si>
  <si>
    <t>Court duties</t>
  </si>
  <si>
    <t>Boravišne takse</t>
  </si>
  <si>
    <t>Residential duty</t>
  </si>
  <si>
    <t>Lokalne komunalne takse</t>
  </si>
  <si>
    <t>Ostale takse</t>
  </si>
  <si>
    <t>Other duties</t>
  </si>
  <si>
    <t>Naknade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</si>
  <si>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</si>
  <si>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</si>
  <si>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</si>
  <si>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</si>
  <si>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Naknade za korišćenje građevinskog zemljišta</t>
  </si>
  <si>
    <t>Ekološke naknade</t>
  </si>
  <si>
    <t>Ecological fees</t>
  </si>
  <si>
    <t>Naknade za priređivanje igara na sreću</t>
  </si>
  <si>
    <t>Fee for organizing games of chance</t>
  </si>
  <si>
    <t>Naknade za lokalne puteve</t>
  </si>
  <si>
    <t>Naknada za puteve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</si>
  <si>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</si>
  <si>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</si>
  <si>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</si>
  <si>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</si>
  <si>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</si>
  <si>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</si>
  <si>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</si>
  <si>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</si>
  <si>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</si>
  <si>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own activities of government bodies</t>
  </si>
  <si>
    <t xml:space="preserve">Receipts from repayment of loans and funds carried over from previous year </t>
  </si>
  <si>
    <t>Izdaci</t>
  </si>
  <si>
    <t>Tekući izdaci</t>
  </si>
  <si>
    <t>Bruto zarade i doprinosi na teret poslodavca</t>
  </si>
  <si>
    <t>Gross salaries and contributions charged to employer</t>
  </si>
  <si>
    <t>Neto zarade</t>
  </si>
  <si>
    <t>Net salaries</t>
  </si>
  <si>
    <t>Porez na zarade</t>
  </si>
  <si>
    <t>Personal income tax</t>
  </si>
  <si>
    <t>Doprinosi na teret zaposlenog</t>
  </si>
  <si>
    <t>Contributions charged to employee</t>
  </si>
  <si>
    <t>Doprinosi na teret poslodavca</t>
  </si>
  <si>
    <t>Contributions charged to employer</t>
  </si>
  <si>
    <t>Prirez na porez</t>
  </si>
  <si>
    <t>Ostala lična primanja</t>
  </si>
  <si>
    <t>Other personal income</t>
  </si>
  <si>
    <t>Rashodi za materijal i usluge</t>
  </si>
  <si>
    <t>Expenditures for supplies and services</t>
  </si>
  <si>
    <t>Tekuće održavanje</t>
  </si>
  <si>
    <t>Kamate</t>
  </si>
  <si>
    <t>Interests</t>
  </si>
  <si>
    <t>Renta</t>
  </si>
  <si>
    <t>Rent</t>
  </si>
  <si>
    <t>Subvencije</t>
  </si>
  <si>
    <t>Subsidies</t>
  </si>
  <si>
    <t>Ostali izdaci</t>
  </si>
  <si>
    <t>Transferi za socijalnu zaštitu</t>
  </si>
  <si>
    <t>Social security transfers</t>
  </si>
  <si>
    <t>Prava iz oblasti socijalne zaštite</t>
  </si>
  <si>
    <t>Social security related rights</t>
  </si>
  <si>
    <t>Sredstva za tehnološke viškove</t>
  </si>
  <si>
    <t>Funds for redundant labor</t>
  </si>
  <si>
    <t>Prava iz oblasti penzijskog i invalidskog osiguranja</t>
  </si>
  <si>
    <t>Pension and disability insurance rights</t>
  </si>
  <si>
    <t>Ostala prava iz oblasti zdravstvene zaštite</t>
  </si>
  <si>
    <t>Other rights related to health care</t>
  </si>
  <si>
    <t>Ostala prava iz oblasti zdravstvenog osiguranja</t>
  </si>
  <si>
    <t>Other rights related to health care insurance</t>
  </si>
  <si>
    <t>Transferi inst. pojedinicima NVO i javnom sektoru</t>
  </si>
  <si>
    <t>Transferi institucijama pojedinicima nevladinom i javnom sektoru</t>
  </si>
  <si>
    <t xml:space="preserve">Transfers to institutions, individuals, NGO and public sector </t>
  </si>
  <si>
    <t>Transferi javnim institucijama</t>
  </si>
  <si>
    <t>Transfers to public institutions</t>
  </si>
  <si>
    <t>Transferi nevladinim organizacijama</t>
  </si>
  <si>
    <t>Transfers to NGOs</t>
  </si>
  <si>
    <t>Transferi pojedincima</t>
  </si>
  <si>
    <t>Transfers to individuals</t>
  </si>
  <si>
    <t>Transferi opštinama</t>
  </si>
  <si>
    <t>Transferi javnim preduzećima</t>
  </si>
  <si>
    <t>Kapitalni budžet CG</t>
  </si>
  <si>
    <t>Pozajmice i krediti</t>
  </si>
  <si>
    <t>Loans and credits</t>
  </si>
  <si>
    <t>Otplata garancija</t>
  </si>
  <si>
    <t>Repayment of guarantees</t>
  </si>
  <si>
    <t>Otplata neizmirenih obaveza iz prethodnog perioda</t>
  </si>
  <si>
    <t>Otplata obaveza iz prethodnog perioda</t>
  </si>
  <si>
    <t>Repayment of liabilities from previous years</t>
  </si>
  <si>
    <t>Rezerve</t>
  </si>
  <si>
    <t>Reserves</t>
  </si>
  <si>
    <t>Deficit</t>
  </si>
  <si>
    <t>Finansiranje</t>
  </si>
  <si>
    <t>Pozajmice i krediti iz inostranih izvora</t>
  </si>
  <si>
    <t>Donacije</t>
  </si>
  <si>
    <t>Prihodi od privatizacije i prodaje imovine</t>
  </si>
  <si>
    <t>Povećanje/smanjenje depozita</t>
  </si>
  <si>
    <t>Tekuća budžetska potrošnja</t>
  </si>
  <si>
    <t>Budžet Crne Gore</t>
  </si>
  <si>
    <t>Izvorni prihodi</t>
  </si>
  <si>
    <t>Prirez na porez na dohodak</t>
  </si>
  <si>
    <t>Kapitalni izdaci u tekućem budžetu</t>
  </si>
  <si>
    <t>Kapitalni budžet</t>
  </si>
  <si>
    <t>Suficit/ Deficit</t>
  </si>
  <si>
    <t>Primarni deficit</t>
  </si>
  <si>
    <t>Repayment of debt</t>
  </si>
  <si>
    <t>Otplata duga rezidentima</t>
  </si>
  <si>
    <t>Repayment of principal to residents</t>
  </si>
  <si>
    <t>Otplata duga nerezidentima</t>
  </si>
  <si>
    <t>Repayment of principal to nonresidents</t>
  </si>
  <si>
    <t>Repayment of Arrears</t>
  </si>
  <si>
    <t>Repayment of Garantees</t>
  </si>
  <si>
    <t>Nedostajuća sredstva</t>
  </si>
  <si>
    <t>Financing needs</t>
  </si>
  <si>
    <t xml:space="preserve">Financing </t>
  </si>
  <si>
    <t>Pozajmice i krediti iz domaćih izvora</t>
  </si>
  <si>
    <t>Borrowings and credits from domestic sources</t>
  </si>
  <si>
    <t>Borrowings and credits from foreign sources</t>
  </si>
  <si>
    <t>Grants</t>
  </si>
  <si>
    <t>Privatisation revenues</t>
  </si>
  <si>
    <t>Increase/Decrease of deposits</t>
  </si>
  <si>
    <t>% BDP</t>
  </si>
  <si>
    <t>Current maintenace</t>
  </si>
  <si>
    <t>Neto povećanje obaveza</t>
  </si>
  <si>
    <t xml:space="preserve"> mil €</t>
  </si>
  <si>
    <t xml:space="preserve"> % BDP</t>
  </si>
  <si>
    <t>Opštinski prirez</t>
  </si>
  <si>
    <t>Kapitalni izdaci Tekućeg budžeta i Državnih fondova</t>
  </si>
  <si>
    <t>Transferi instit. pojed. NVO i javnom sektoru</t>
  </si>
  <si>
    <t>Kapitalni budžet lokalne samouprave</t>
  </si>
  <si>
    <t>Otplata glavnice rezidentima</t>
  </si>
  <si>
    <t>Otplata glavnice nerezidentima</t>
  </si>
  <si>
    <t>Otplata  obaveza iz prethodnog perioda</t>
  </si>
  <si>
    <t>Korišćenje depozita države</t>
  </si>
  <si>
    <t>Naknade za komunalno opremanje građevinskog zemljišta</t>
  </si>
  <si>
    <t>Kapitalni budzet lokalne samouprave</t>
  </si>
  <si>
    <t>Korišćenje depozita lokalne samouprave</t>
  </si>
  <si>
    <t>Transferi iz budžeta CG</t>
  </si>
  <si>
    <t>% GDP</t>
  </si>
  <si>
    <t>Taxes</t>
  </si>
  <si>
    <t>Fees</t>
  </si>
  <si>
    <t xml:space="preserve">Road fees </t>
  </si>
  <si>
    <t>Current budget expenditures</t>
  </si>
  <si>
    <t>Crnogorski</t>
  </si>
  <si>
    <t>English</t>
  </si>
  <si>
    <t>Transfers to municipalities</t>
  </si>
  <si>
    <t>Transfers to public enterprises</t>
  </si>
  <si>
    <t>Administrative duties</t>
  </si>
  <si>
    <t>Capital budget of Montenegro</t>
  </si>
  <si>
    <t xml:space="preserve">Net increse of liabilities </t>
  </si>
  <si>
    <t>Primary deficit</t>
  </si>
  <si>
    <t>Surtax on PIT</t>
  </si>
  <si>
    <t>Capital outlows of current budget</t>
  </si>
  <si>
    <t>Macroeconomic indicators</t>
  </si>
  <si>
    <t>GDP nominal growth</t>
  </si>
  <si>
    <t>GDP real growth</t>
  </si>
  <si>
    <t>Inflation</t>
  </si>
  <si>
    <t>Import</t>
  </si>
  <si>
    <t>Export</t>
  </si>
  <si>
    <t>Other</t>
  </si>
  <si>
    <t>Current account deficit</t>
  </si>
  <si>
    <t>Domestic loans</t>
  </si>
  <si>
    <t>Fiscal indicators</t>
  </si>
  <si>
    <t>Current public revenues</t>
  </si>
  <si>
    <t>Public expenditure</t>
  </si>
  <si>
    <t>Interest</t>
  </si>
  <si>
    <t>Primary deficit/surplus</t>
  </si>
  <si>
    <t>Government debt</t>
  </si>
  <si>
    <t>Welcome tab</t>
  </si>
  <si>
    <t>MONTENEGRO</t>
  </si>
  <si>
    <t>MINISTRY OF FINANCE</t>
  </si>
  <si>
    <t>CRNA GORA</t>
  </si>
  <si>
    <t>MINISTARSTVO FINANSIJA</t>
  </si>
  <si>
    <t xml:space="preserve">   Javni dug (% BDP)</t>
  </si>
  <si>
    <t xml:space="preserve">   Public debt (% GDP)</t>
  </si>
  <si>
    <t xml:space="preserve">   Javna potrošnja (% BDP)</t>
  </si>
  <si>
    <t>Ažurirano:</t>
  </si>
  <si>
    <t>Updated:</t>
  </si>
  <si>
    <t>Broj stanovnika (Popis 2011)</t>
  </si>
  <si>
    <t>Population (Census 2011)</t>
  </si>
  <si>
    <t>Površina (km²)</t>
  </si>
  <si>
    <t xml:space="preserve">   Inflacija (%)</t>
  </si>
  <si>
    <t xml:space="preserve">   Inflation (%)</t>
  </si>
  <si>
    <t>BDP (mil. €)*</t>
  </si>
  <si>
    <t>Royal Capital</t>
  </si>
  <si>
    <t>Glavni grad</t>
  </si>
  <si>
    <t>Prijestonica</t>
  </si>
  <si>
    <t>Capital</t>
  </si>
  <si>
    <t>Valuta</t>
  </si>
  <si>
    <t>Currency</t>
  </si>
  <si>
    <t>Notice: The information is provided in English and in Montenegrin language</t>
  </si>
  <si>
    <t>Napomena: Informacija je urađena je na engleskom i crnogorskom jeziku</t>
  </si>
  <si>
    <t>*data represent Ministry of Finance forecast</t>
  </si>
  <si>
    <t>Izvor: ZZZ, Monstat, Ministarstvo finansija</t>
  </si>
  <si>
    <t>Source: Employment Office, Monstat, Ministry of Finance</t>
  </si>
  <si>
    <t>2012.</t>
  </si>
  <si>
    <t>2013.</t>
  </si>
  <si>
    <t>Makroekonomski pokazatelji</t>
  </si>
  <si>
    <t>Nominalni rast BDP-a</t>
  </si>
  <si>
    <t>Realni rast BDP-a</t>
  </si>
  <si>
    <t>Inflacija</t>
  </si>
  <si>
    <t xml:space="preserve">Uvoz </t>
  </si>
  <si>
    <t>Izvoz</t>
  </si>
  <si>
    <t>Ostalo</t>
  </si>
  <si>
    <t>Deficit tekućeg računa</t>
  </si>
  <si>
    <t>Neto strane direktne investicije</t>
  </si>
  <si>
    <t>Domaći krediti</t>
  </si>
  <si>
    <t>Fiskalni pokazatelji</t>
  </si>
  <si>
    <t>Izvorni javni prihodi</t>
  </si>
  <si>
    <t>Javna potrošnja</t>
  </si>
  <si>
    <t>Deficit/Suficit</t>
  </si>
  <si>
    <t>Primarni deficit/suficit</t>
  </si>
  <si>
    <t>Državni dug</t>
  </si>
  <si>
    <t>Makroekonomski i fiskalni okvir  (u % BDP-a)</t>
  </si>
  <si>
    <t>Ostvarenje</t>
  </si>
  <si>
    <t>Procjena</t>
  </si>
  <si>
    <t>Osnovni scenario</t>
  </si>
  <si>
    <t>Scenario nižeg rasta</t>
  </si>
  <si>
    <t>Core data tab</t>
  </si>
  <si>
    <t>Macroeconomic and Fiscal Framework (in %GDP)</t>
  </si>
  <si>
    <t>Net foreign investments</t>
  </si>
  <si>
    <t>Actual data</t>
  </si>
  <si>
    <t>Estimate</t>
  </si>
  <si>
    <t>Base scenario</t>
  </si>
  <si>
    <t>Low-growth scenario</t>
  </si>
  <si>
    <t>1 - engleski</t>
  </si>
  <si>
    <t>Central budget tab</t>
  </si>
  <si>
    <t>Central Budget of Montenegro</t>
  </si>
  <si>
    <t>Tax on Profits of Legal Person</t>
  </si>
  <si>
    <t>Primici od otplate kredita i sredstva prenijeta iz prethodne godine</t>
  </si>
  <si>
    <t>Local Government tab</t>
  </si>
  <si>
    <t xml:space="preserve"> % GDP</t>
  </si>
  <si>
    <t>Local Government</t>
  </si>
  <si>
    <t>Lokalna samouprava</t>
  </si>
  <si>
    <t>Current revenues and grants</t>
  </si>
  <si>
    <t>Izvorni prihodi i donacije</t>
  </si>
  <si>
    <t>Tekuća potrošnja lokalne samouprave</t>
  </si>
  <si>
    <t>mil. €</t>
  </si>
  <si>
    <t>Local Taxes</t>
  </si>
  <si>
    <t>Suficit/deficit</t>
  </si>
  <si>
    <t>Izvor: Ministarstvo finansija Crne Gore</t>
  </si>
  <si>
    <t>Source: Ministry of Finance of Montenegro</t>
  </si>
  <si>
    <t>Residential duties</t>
  </si>
  <si>
    <t>Local road fees</t>
  </si>
  <si>
    <t>Current local government expenditure</t>
  </si>
  <si>
    <t>Surtaxe on PIT</t>
  </si>
  <si>
    <t>Current maintenance</t>
  </si>
  <si>
    <t>Lolacl utility duties</t>
  </si>
  <si>
    <t>Sourse: Ministry of Finance of Montenegro</t>
  </si>
  <si>
    <t>Deposits of local government</t>
  </si>
  <si>
    <t>Transfers from the Central Budget</t>
  </si>
  <si>
    <t>Fees for usage of construction land</t>
  </si>
  <si>
    <t>Fees for municipal residental land</t>
  </si>
  <si>
    <t>Public expenditure tab</t>
  </si>
  <si>
    <t>Tekuća javna potrošnja</t>
  </si>
  <si>
    <t>Kapitalni izdaci</t>
  </si>
  <si>
    <t>Local taxes</t>
  </si>
  <si>
    <t>Public expenditures</t>
  </si>
  <si>
    <t>Current public expenditures</t>
  </si>
  <si>
    <t>Capital Budget of Montenegro</t>
  </si>
  <si>
    <t>Capital Budget of Local Government</t>
  </si>
  <si>
    <t>Surplus/deficit</t>
  </si>
  <si>
    <t>Financing</t>
  </si>
  <si>
    <t>Privatisation revenues or selling property</t>
  </si>
  <si>
    <t xml:space="preserve">   Public expenditure (% GDP)</t>
  </si>
  <si>
    <t>Stopa nezaposlenosti (%)</t>
  </si>
  <si>
    <t>Unemployment rate (%)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</si>
  <si>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</si>
  <si>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</si>
  <si>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</si>
  <si>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</si>
  <si>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</si>
  <si>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</si>
  <si>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</si>
  <si>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</si>
  <si>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</si>
  <si>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</si>
  <si>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</si>
  <si>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</si>
  <si>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Porez na imovinu</t>
  </si>
  <si>
    <t xml:space="preserve">Akcize </t>
  </si>
  <si>
    <t>Porez na međ. trgov. i transakcije</t>
  </si>
  <si>
    <t>Doprinosi za PIO</t>
  </si>
  <si>
    <t>Doprinosi za zdravstvo</t>
  </si>
  <si>
    <t>Doprinosi za nezaposlene</t>
  </si>
  <si>
    <t>Naknada za kor. prirodnih dobara</t>
  </si>
  <si>
    <t>Naknade za priređ.  igara na sreću</t>
  </si>
  <si>
    <t>Naknade za puteve</t>
  </si>
  <si>
    <t>Prihodi koje organi ostvaruju vršenjem svoje djel.</t>
  </si>
  <si>
    <t>Monthly plan tab</t>
  </si>
  <si>
    <t>January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</si>
  <si>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</si>
  <si>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</si>
  <si>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</si>
  <si>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</si>
  <si>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</si>
  <si>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</si>
  <si>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</si>
  <si>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</si>
  <si>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</si>
  <si>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</si>
  <si>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Izvršenje budžeta, po mjesecima</t>
  </si>
  <si>
    <t>Nakn. za koriš. dob. od opš. int.</t>
  </si>
  <si>
    <t>Prihodi od privatizacije</t>
  </si>
  <si>
    <t>Analitics tab</t>
  </si>
  <si>
    <t>*podaci su procjena Ministarstva finansija</t>
  </si>
  <si>
    <t>Source: Ministry of Finance, Central Bank, Monstat</t>
  </si>
  <si>
    <t>Izvor: Ministarstvo finansija, Centralna banka, Monstat</t>
  </si>
  <si>
    <t>Budget execution, by months</t>
  </si>
  <si>
    <t>Plan</t>
  </si>
  <si>
    <t>Analitika ostvarenja</t>
  </si>
  <si>
    <t>Execution analitics</t>
  </si>
  <si>
    <t>Naknada za topli obrok</t>
  </si>
  <si>
    <t>Transferi institucijama, pojedincima, nevladinom i javnom sektoru</t>
  </si>
  <si>
    <t>Otplata dugova</t>
  </si>
  <si>
    <t>Otplata hartija od vrijednosti i kredita rezidentima</t>
  </si>
  <si>
    <t>Otplata hartija od vrijednosti i kredita nerezidentima</t>
  </si>
  <si>
    <t>Otplata obaveza iz predhodnih godina</t>
  </si>
  <si>
    <t>O P I S</t>
  </si>
  <si>
    <t>Prava iz oblasti PIO</t>
  </si>
  <si>
    <t>Ostala prava iz oblasti zdravstvene zastite</t>
  </si>
  <si>
    <t>preliminarni podaci</t>
  </si>
  <si>
    <t>preliminary data</t>
  </si>
  <si>
    <t>Execution</t>
  </si>
  <si>
    <t>Expenditures</t>
  </si>
  <si>
    <t>Current expenditures</t>
  </si>
  <si>
    <t>Other expenditures</t>
  </si>
  <si>
    <t>Capital expenditures</t>
  </si>
  <si>
    <t>Capital expenditures of Current Budget and State Funds</t>
  </si>
  <si>
    <t>Public debt</t>
  </si>
  <si>
    <t>Ukupno javni dug</t>
  </si>
  <si>
    <t>Dug prema rezidentima</t>
  </si>
  <si>
    <t>Dug prema nerezidentima</t>
  </si>
  <si>
    <t>I kvartal</t>
  </si>
  <si>
    <t>II kvartal</t>
  </si>
  <si>
    <t>III kvartal</t>
  </si>
  <si>
    <t>IV kvartal</t>
  </si>
  <si>
    <t>Stanje javnog duga, na kraju perioda</t>
  </si>
  <si>
    <t>Public debt, at the end of the period</t>
  </si>
  <si>
    <t>Debt to residents</t>
  </si>
  <si>
    <t>Debt to nonresidents</t>
  </si>
  <si>
    <t>Stanje javnog duga, kvartalno</t>
  </si>
  <si>
    <t xml:space="preserve">Public debt, quaterly </t>
  </si>
  <si>
    <t>I quater</t>
  </si>
  <si>
    <t>II quater</t>
  </si>
  <si>
    <t>III quater</t>
  </si>
  <si>
    <t>IV quater</t>
  </si>
  <si>
    <t>Stanje javnog duga, po mjesecima</t>
  </si>
  <si>
    <t>Public debt, monthly</t>
  </si>
  <si>
    <t>-</t>
  </si>
  <si>
    <t>ažurirano po završnom, 29-05-2012</t>
  </si>
  <si>
    <t>Area (km²)</t>
  </si>
  <si>
    <t>GDP (mil. €)*</t>
  </si>
  <si>
    <r>
      <t xml:space="preserve">BDP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</si>
  <si>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r>
      <t xml:space="preserve">GDP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</si>
  <si>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t>Prosječna neto zarada (€)</t>
  </si>
  <si>
    <t>Average net wage (€)</t>
  </si>
  <si>
    <t>BDP (u mil. €)</t>
  </si>
  <si>
    <t>GDP (mil. €)</t>
  </si>
  <si>
    <t>Capital ouflows and capital budget</t>
  </si>
  <si>
    <t>Deficit/Surplus</t>
  </si>
  <si>
    <t>Deficit/Suficit (bez garancija)</t>
  </si>
  <si>
    <t>Primarni deficit/suficit (bez garancija)</t>
  </si>
  <si>
    <t>Deficit/Surplus (without Guarantees)</t>
  </si>
  <si>
    <t>Primary deficit/surplus (without Guarantees)</t>
  </si>
  <si>
    <t>Q1</t>
  </si>
  <si>
    <t>Q2</t>
  </si>
  <si>
    <t>Q3</t>
  </si>
  <si>
    <t>Q4</t>
  </si>
  <si>
    <t>Apsolutno odstupanje u odnosu na plan</t>
  </si>
  <si>
    <t>Apsolutno odstupanje</t>
  </si>
  <si>
    <t>Bankarski depoziti (domaći)</t>
  </si>
  <si>
    <t>Bank deposits (domestic)</t>
  </si>
  <si>
    <t>Jan- Dec 2012</t>
  </si>
  <si>
    <t>Plan according to Budget Law for 2013</t>
  </si>
  <si>
    <t>Plan prema Zakonu o Budžetu za 2013. godinu</t>
  </si>
  <si>
    <t>*preliminarni podaci</t>
  </si>
  <si>
    <t>2012*</t>
  </si>
  <si>
    <t>preliminary</t>
  </si>
  <si>
    <t>Plan for 2013</t>
  </si>
  <si>
    <t>Plan 2013</t>
  </si>
  <si>
    <t>Mjesečni plan za 2013. godinu</t>
  </si>
  <si>
    <t>Plan for 2013, by months</t>
  </si>
  <si>
    <t>Execution for 2013</t>
  </si>
  <si>
    <t>Jan - Dec 2013</t>
  </si>
  <si>
    <t>Jan - Feb 2013</t>
  </si>
  <si>
    <t>April 2013</t>
  </si>
  <si>
    <t>Ostvarenje -p</t>
  </si>
  <si>
    <t>Projekcije</t>
  </si>
  <si>
    <t>2013.P</t>
  </si>
  <si>
    <t>2013* EST.</t>
  </si>
  <si>
    <t>razlika</t>
  </si>
  <si>
    <t>*Napomena: Procijenjeni podaci za 2013 godinu</t>
  </si>
  <si>
    <t>*Notice: Estimated data for 2013.</t>
  </si>
  <si>
    <t>2013* EST</t>
  </si>
  <si>
    <t>2013* est</t>
  </si>
  <si>
    <t>Maj 2013</t>
  </si>
  <si>
    <t xml:space="preserve"> </t>
  </si>
  <si>
    <r>
      <rPr>
        <b/>
        <u/>
        <sz val="10"/>
        <rFont val="Arial"/>
        <family val="2"/>
      </rPr>
      <t>Napomena</t>
    </r>
    <r>
      <rPr>
        <sz val="10"/>
        <rFont val="Arial"/>
        <family val="2"/>
      </rPr>
      <t>: Bruto zarade i doprinosi na teret poslodavca, ugovori o djelu i penzije od januara 2013 godine, prilagođene su u skladu sa obračunskim osnovom.</t>
    </r>
  </si>
  <si>
    <r>
      <t>2013</t>
    </r>
    <r>
      <rPr>
        <b/>
        <vertAlign val="superscript"/>
        <sz val="10"/>
        <rFont val="Arial"/>
        <family val="2"/>
        <charset val="238"/>
      </rPr>
      <t>**</t>
    </r>
  </si>
  <si>
    <t>Jun 2013</t>
  </si>
  <si>
    <t>June 2013</t>
  </si>
  <si>
    <t>May 2013</t>
  </si>
  <si>
    <t>Mjesečni plan za 2012. godinu</t>
  </si>
  <si>
    <t>July 2013</t>
  </si>
  <si>
    <t>Jul 2013</t>
  </si>
  <si>
    <t xml:space="preserve">  Avg 2013</t>
  </si>
  <si>
    <t>Jan- Sep 2013</t>
  </si>
  <si>
    <t xml:space="preserve">  Sep 2013</t>
  </si>
</sst>
</file>

<file path=xl/styles.xml><?xml version="1.0" encoding="utf-8"?>
<styleSheet xmlns="http://schemas.openxmlformats.org/spreadsheetml/2006/main">
  <numFmts count="17">
    <numFmt numFmtId="164" formatCode="_-* #,##0.00\ &quot;€&quot;_-;\-* #,##0.00\ &quot;€&quot;_-;_-* &quot;-&quot;??\ &quot;€&quot;_-;_-@_-"/>
    <numFmt numFmtId="165" formatCode="0.00,,"/>
    <numFmt numFmtId="166" formatCode="0.0000"/>
    <numFmt numFmtId="167" formatCode="0.0,,"/>
    <numFmt numFmtId="168" formatCode="#,##0.0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[&gt;0.05]#,##0.0;[&lt;-0.05]\-#,##0.0;\-\-&quot; &quot;;"/>
    <numFmt numFmtId="174" formatCode="[&gt;0.5]#,##0;[&lt;-0.5]\-#,##0;\-\-&quot; &quot;;"/>
    <numFmt numFmtId="175" formatCode="[Black]#,##0.0;[Black]\-#,##0.0;;"/>
    <numFmt numFmtId="176" formatCode="0.000000000"/>
    <numFmt numFmtId="177" formatCode="0.0"/>
    <numFmt numFmtId="178" formatCode="#,##0.00,,"/>
    <numFmt numFmtId="179" formatCode="#,##0.0,,"/>
    <numFmt numFmtId="180" formatCode="0.0000000"/>
  </numFmts>
  <fonts count="99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8"/>
      <name val="Arial Narrow"/>
      <family val="2"/>
    </font>
    <font>
      <sz val="7"/>
      <name val="Arial"/>
      <family val="2"/>
    </font>
    <font>
      <b/>
      <sz val="10"/>
      <name val="Arial"/>
      <family val="2"/>
    </font>
    <font>
      <sz val="7"/>
      <color indexed="18"/>
      <name val="Arial"/>
      <family val="2"/>
    </font>
    <font>
      <sz val="10"/>
      <name val="Times New Roman"/>
      <family val="1"/>
    </font>
    <font>
      <i/>
      <sz val="7"/>
      <color indexed="18"/>
      <name val="Arial"/>
      <family val="2"/>
    </font>
    <font>
      <b/>
      <sz val="10"/>
      <name val="Arial"/>
      <family val="2"/>
      <charset val="238"/>
    </font>
    <font>
      <b/>
      <sz val="7"/>
      <name val="Arial"/>
      <family val="2"/>
      <charset val="238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0"/>
      <name val="Century Gothic"/>
      <family val="2"/>
      <charset val="238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5"/>
      <name val="Arial"/>
      <family val="2"/>
    </font>
    <font>
      <sz val="6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sz val="10"/>
      <name val="Arial"/>
      <family val="2"/>
    </font>
    <font>
      <sz val="8"/>
      <color indexed="9"/>
      <name val="Arial"/>
      <family val="2"/>
    </font>
    <font>
      <sz val="7"/>
      <name val="Century Gothic"/>
      <family val="2"/>
    </font>
    <font>
      <b/>
      <sz val="7"/>
      <name val="Century Gothic"/>
      <family val="2"/>
    </font>
    <font>
      <sz val="7"/>
      <color indexed="18"/>
      <name val="Century Gothic"/>
      <family val="2"/>
    </font>
    <font>
      <i/>
      <sz val="7"/>
      <color indexed="18"/>
      <name val="Century Gothic"/>
      <family val="2"/>
    </font>
    <font>
      <sz val="10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12"/>
      <name val="Arial"/>
      <family val="2"/>
      <charset val="238"/>
    </font>
    <font>
      <i/>
      <sz val="8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0"/>
      <name val="Arial"/>
      <family val="2"/>
      <charset val="238"/>
    </font>
    <font>
      <sz val="7"/>
      <name val="Arial"/>
      <family val="2"/>
      <charset val="238"/>
    </font>
    <font>
      <b/>
      <i/>
      <sz val="8"/>
      <name val="Arial"/>
      <family val="2"/>
      <charset val="238"/>
    </font>
    <font>
      <sz val="12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sz val="12"/>
      <color theme="4" tint="-0.249977111117893"/>
      <name val="Arial"/>
      <family val="2"/>
      <charset val="238"/>
    </font>
    <font>
      <sz val="12"/>
      <color theme="5" tint="-0.249977111117893"/>
      <name val="Arial"/>
      <family val="2"/>
      <charset val="238"/>
    </font>
    <font>
      <sz val="12"/>
      <color theme="6" tint="-0.249977111117893"/>
      <name val="Arial"/>
      <family val="2"/>
      <charset val="238"/>
    </font>
    <font>
      <b/>
      <sz val="10"/>
      <color theme="5" tint="-0.249977111117893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b/>
      <sz val="10"/>
      <color theme="6" tint="-0.499984740745262"/>
      <name val="Arial"/>
      <family val="2"/>
      <charset val="238"/>
    </font>
    <font>
      <sz val="10"/>
      <color theme="6" tint="-0.499984740745262"/>
      <name val="Arial"/>
      <family val="2"/>
      <charset val="238"/>
    </font>
    <font>
      <b/>
      <sz val="12"/>
      <name val="Arial"/>
      <family val="2"/>
      <charset val="238"/>
    </font>
    <font>
      <sz val="12"/>
      <color theme="9" tint="-0.499984740745262"/>
      <name val="Arial"/>
      <family val="2"/>
      <charset val="238"/>
    </font>
    <font>
      <b/>
      <sz val="10"/>
      <name val="Century Gothic"/>
      <family val="2"/>
      <charset val="238"/>
    </font>
    <font>
      <i/>
      <sz val="8"/>
      <color theme="4" tint="-0.249977111117893"/>
      <name val="Arial"/>
      <family val="2"/>
      <charset val="238"/>
    </font>
    <font>
      <i/>
      <sz val="8"/>
      <color theme="6" tint="-0.499984740745262"/>
      <name val="Arial"/>
      <family val="2"/>
      <charset val="238"/>
    </font>
    <font>
      <i/>
      <sz val="8"/>
      <color theme="5" tint="-0.249977111117893"/>
      <name val="Arial"/>
      <family val="2"/>
      <charset val="238"/>
    </font>
    <font>
      <sz val="12"/>
      <color theme="3" tint="-0.249977111117893"/>
      <name val="Arial"/>
      <family val="2"/>
      <charset val="238"/>
    </font>
    <font>
      <b/>
      <sz val="10"/>
      <color theme="4" tint="-0.249977111117893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indexed="62"/>
      <name val="Arial"/>
      <family val="2"/>
      <charset val="238"/>
    </font>
    <font>
      <sz val="10"/>
      <color rgb="FF323E1A"/>
      <name val="Arial"/>
      <family val="2"/>
      <charset val="238"/>
    </font>
    <font>
      <sz val="10"/>
      <color theme="0"/>
      <name val="Arial"/>
      <family val="2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0"/>
      <color rgb="FFC00000"/>
      <name val="Arial"/>
      <family val="2"/>
      <charset val="238"/>
    </font>
    <font>
      <sz val="10"/>
      <color rgb="FFC00000"/>
      <name val="Arial"/>
      <family val="2"/>
      <charset val="238"/>
    </font>
    <font>
      <i/>
      <sz val="10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name val="Century Gothic"/>
      <family val="2"/>
    </font>
    <font>
      <i/>
      <sz val="11"/>
      <color theme="1"/>
      <name val="Calibri"/>
      <family val="2"/>
      <scheme val="minor"/>
    </font>
    <font>
      <b/>
      <sz val="10"/>
      <color rgb="FF323E1A"/>
      <name val="Arial"/>
      <family val="2"/>
      <charset val="238"/>
    </font>
    <font>
      <sz val="10"/>
      <color rgb="FFFF0000"/>
      <name val="Arial"/>
      <family val="2"/>
    </font>
    <font>
      <b/>
      <sz val="10"/>
      <color theme="6" tint="-0.499984740745262"/>
      <name val="Arial"/>
      <family val="2"/>
    </font>
    <font>
      <sz val="9"/>
      <name val="Calibri"/>
      <family val="2"/>
      <charset val="238"/>
      <scheme val="minor"/>
    </font>
    <font>
      <b/>
      <u/>
      <sz val="10"/>
      <name val="Arial"/>
      <family val="2"/>
    </font>
    <font>
      <b/>
      <vertAlign val="superscript"/>
      <sz val="10"/>
      <name val="Arial"/>
      <family val="2"/>
      <charset val="238"/>
    </font>
    <font>
      <sz val="9"/>
      <color theme="1"/>
      <name val="Tahoma"/>
      <family val="2"/>
      <charset val="238"/>
    </font>
    <font>
      <b/>
      <sz val="11"/>
      <name val="Arial"/>
      <family val="2"/>
      <charset val="238"/>
    </font>
    <font>
      <sz val="10"/>
      <color theme="9" tint="0.39997558519241921"/>
      <name val="Arial"/>
      <family val="2"/>
      <charset val="238"/>
    </font>
    <font>
      <sz val="5"/>
      <name val="Arial"/>
      <family val="2"/>
      <charset val="238"/>
    </font>
    <font>
      <sz val="8"/>
      <color indexed="9"/>
      <name val="Arial"/>
      <family val="2"/>
      <charset val="238"/>
    </font>
    <font>
      <sz val="6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23E1A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10000"/>
        <bgColor indexed="64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98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ashed">
        <color indexed="64"/>
      </bottom>
      <diagonal/>
    </border>
    <border>
      <left/>
      <right style="double">
        <color indexed="64"/>
      </right>
      <top style="double">
        <color indexed="64"/>
      </top>
      <bottom style="dashed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dashed">
        <color indexed="64"/>
      </bottom>
      <diagonal/>
    </border>
    <border>
      <left/>
      <right/>
      <top style="dotted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tted">
        <color indexed="64"/>
      </top>
      <bottom style="dashed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40">
    <xf numFmtId="0" fontId="0" fillId="0" borderId="0"/>
    <xf numFmtId="169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21" fillId="0" borderId="0" applyProtection="0"/>
    <xf numFmtId="0" fontId="22" fillId="0" borderId="0">
      <protection locked="0"/>
    </xf>
    <xf numFmtId="0" fontId="22" fillId="0" borderId="0">
      <protection locked="0"/>
    </xf>
    <xf numFmtId="0" fontId="23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3" fillId="0" borderId="0">
      <protection locked="0"/>
    </xf>
    <xf numFmtId="2" fontId="21" fillId="0" borderId="0" applyProtection="0"/>
    <xf numFmtId="0" fontId="21" fillId="0" borderId="0" applyNumberFormat="0" applyFont="0" applyFill="0" applyBorder="0" applyAlignment="0" applyProtection="0"/>
    <xf numFmtId="0" fontId="24" fillId="0" borderId="0" applyProtection="0"/>
    <xf numFmtId="173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68" fontId="25" fillId="0" borderId="0"/>
    <xf numFmtId="0" fontId="26" fillId="0" borderId="0"/>
    <xf numFmtId="0" fontId="27" fillId="0" borderId="0"/>
    <xf numFmtId="0" fontId="27" fillId="0" borderId="0"/>
    <xf numFmtId="0" fontId="18" fillId="0" borderId="0"/>
    <xf numFmtId="0" fontId="17" fillId="0" borderId="0"/>
    <xf numFmtId="175" fontId="18" fillId="0" borderId="0" applyFont="0" applyFill="0" applyBorder="0" applyAlignment="0" applyProtection="0"/>
    <xf numFmtId="0" fontId="28" fillId="0" borderId="0"/>
    <xf numFmtId="0" fontId="1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3" fillId="21" borderId="0" applyNumberFormat="0" applyBorder="0" applyAlignment="0" applyProtection="0"/>
    <xf numFmtId="0" fontId="17" fillId="0" borderId="0"/>
    <xf numFmtId="0" fontId="1" fillId="0" borderId="0"/>
  </cellStyleXfs>
  <cellXfs count="1281">
    <xf numFmtId="0" fontId="0" fillId="0" borderId="0" xfId="0"/>
    <xf numFmtId="0" fontId="0" fillId="0" borderId="0" xfId="0" applyBorder="1"/>
    <xf numFmtId="2" fontId="4" fillId="0" borderId="0" xfId="0" applyNumberFormat="1" applyFont="1" applyFill="1" applyBorder="1" applyAlignment="1">
      <alignment horizontal="right"/>
    </xf>
    <xf numFmtId="0" fontId="13" fillId="0" borderId="0" xfId="0" applyFont="1"/>
    <xf numFmtId="0" fontId="0" fillId="0" borderId="0" xfId="0" applyFill="1" applyBorder="1"/>
    <xf numFmtId="0" fontId="4" fillId="0" borderId="0" xfId="22" applyFont="1" applyBorder="1" applyAlignment="1">
      <alignment horizontal="right"/>
    </xf>
    <xf numFmtId="0" fontId="11" fillId="0" borderId="0" xfId="22" applyFont="1" applyAlignment="1">
      <alignment wrapText="1"/>
    </xf>
    <xf numFmtId="0" fontId="10" fillId="0" borderId="0" xfId="22" applyFont="1" applyBorder="1" applyAlignment="1">
      <alignment horizontal="center" wrapText="1"/>
    </xf>
    <xf numFmtId="0" fontId="8" fillId="0" borderId="0" xfId="22" applyFont="1" applyBorder="1"/>
    <xf numFmtId="2" fontId="4" fillId="0" borderId="0" xfId="22" applyNumberFormat="1" applyFont="1" applyBorder="1" applyAlignment="1">
      <alignment horizontal="right"/>
    </xf>
    <xf numFmtId="4" fontId="8" fillId="0" borderId="0" xfId="22" applyNumberFormat="1" applyFont="1" applyBorder="1"/>
    <xf numFmtId="0" fontId="12" fillId="0" borderId="0" xfId="22" applyFont="1" applyBorder="1"/>
    <xf numFmtId="2" fontId="4" fillId="0" borderId="0" xfId="22" applyNumberFormat="1" applyFont="1" applyFill="1" applyBorder="1" applyAlignment="1">
      <alignment horizontal="right"/>
    </xf>
    <xf numFmtId="165" fontId="0" fillId="0" borderId="0" xfId="0" applyNumberFormat="1"/>
    <xf numFmtId="165" fontId="16" fillId="0" borderId="11" xfId="0" applyNumberFormat="1" applyFont="1" applyBorder="1" applyAlignment="1">
      <alignment horizontal="right" vertical="center"/>
    </xf>
    <xf numFmtId="4" fontId="29" fillId="0" borderId="0" xfId="0" applyNumberFormat="1" applyFont="1"/>
    <xf numFmtId="165" fontId="16" fillId="0" borderId="12" xfId="0" applyNumberFormat="1" applyFont="1" applyBorder="1" applyAlignment="1">
      <alignment horizontal="right" vertical="center"/>
    </xf>
    <xf numFmtId="165" fontId="16" fillId="0" borderId="10" xfId="0" applyNumberFormat="1" applyFont="1" applyBorder="1" applyAlignment="1">
      <alignment horizontal="right" vertical="center"/>
    </xf>
    <xf numFmtId="4" fontId="33" fillId="0" borderId="0" xfId="0" applyNumberFormat="1" applyFont="1"/>
    <xf numFmtId="49" fontId="33" fillId="0" borderId="0" xfId="0" applyNumberFormat="1" applyFont="1" applyAlignment="1">
      <alignment wrapText="1"/>
    </xf>
    <xf numFmtId="0" fontId="33" fillId="0" borderId="0" xfId="0" applyFont="1"/>
    <xf numFmtId="0" fontId="35" fillId="0" borderId="0" xfId="0" applyFont="1"/>
    <xf numFmtId="2" fontId="35" fillId="0" borderId="0" xfId="0" applyNumberFormat="1" applyFont="1" applyFill="1" applyBorder="1" applyAlignment="1">
      <alignment horizontal="right"/>
    </xf>
    <xf numFmtId="0" fontId="36" fillId="0" borderId="0" xfId="0" applyFont="1"/>
    <xf numFmtId="4" fontId="16" fillId="0" borderId="0" xfId="0" applyNumberFormat="1" applyFont="1" applyFill="1" applyBorder="1" applyAlignment="1">
      <alignment horizontal="right" vertical="center"/>
    </xf>
    <xf numFmtId="4" fontId="16" fillId="0" borderId="0" xfId="0" applyNumberFormat="1" applyFont="1" applyFill="1" applyBorder="1"/>
    <xf numFmtId="0" fontId="10" fillId="0" borderId="0" xfId="22" applyFont="1" applyBorder="1" applyAlignment="1">
      <alignment horizontal="center"/>
    </xf>
    <xf numFmtId="4" fontId="4" fillId="0" borderId="0" xfId="22" applyNumberFormat="1" applyFont="1" applyFill="1" applyBorder="1"/>
    <xf numFmtId="0" fontId="7" fillId="0" borderId="0" xfId="22" applyFont="1" applyFill="1" applyBorder="1"/>
    <xf numFmtId="49" fontId="8" fillId="0" borderId="0" xfId="22" applyNumberFormat="1" applyFont="1" applyFill="1" applyBorder="1" applyAlignment="1">
      <alignment horizontal="left" wrapText="1" indent="2"/>
    </xf>
    <xf numFmtId="0" fontId="17" fillId="0" borderId="0" xfId="22" applyFont="1"/>
    <xf numFmtId="49" fontId="17" fillId="0" borderId="0" xfId="22" applyNumberFormat="1" applyFont="1" applyAlignment="1">
      <alignment wrapText="1"/>
    </xf>
    <xf numFmtId="49" fontId="8" fillId="0" borderId="0" xfId="22" applyNumberFormat="1" applyFont="1" applyBorder="1" applyAlignment="1">
      <alignment horizontal="left" wrapText="1" indent="2"/>
    </xf>
    <xf numFmtId="0" fontId="7" fillId="0" borderId="0" xfId="22" applyFont="1" applyBorder="1"/>
    <xf numFmtId="49" fontId="8" fillId="0" borderId="0" xfId="22" applyNumberFormat="1" applyFont="1" applyBorder="1" applyAlignment="1">
      <alignment horizontal="left" wrapText="1" indent="5"/>
    </xf>
    <xf numFmtId="49" fontId="8" fillId="0" borderId="0" xfId="22" applyNumberFormat="1" applyFont="1" applyBorder="1" applyAlignment="1">
      <alignment horizontal="left" wrapText="1" indent="3"/>
    </xf>
    <xf numFmtId="49" fontId="8" fillId="0" borderId="0" xfId="22" applyNumberFormat="1" applyFont="1" applyBorder="1" applyAlignment="1">
      <alignment horizontal="left" wrapText="1" indent="4"/>
    </xf>
    <xf numFmtId="49" fontId="8" fillId="0" borderId="0" xfId="22" applyNumberFormat="1" applyFont="1" applyBorder="1" applyAlignment="1">
      <alignment horizontal="left" wrapText="1" indent="1"/>
    </xf>
    <xf numFmtId="164" fontId="4" fillId="0" borderId="0" xfId="22" applyNumberFormat="1" applyFont="1" applyFill="1" applyBorder="1" applyAlignment="1">
      <alignment vertical="center"/>
    </xf>
    <xf numFmtId="0" fontId="10" fillId="0" borderId="0" xfId="22" applyFont="1" applyBorder="1" applyAlignment="1"/>
    <xf numFmtId="167" fontId="34" fillId="0" borderId="0" xfId="0" applyNumberFormat="1" applyFont="1" applyFill="1" applyProtection="1">
      <protection hidden="1"/>
    </xf>
    <xf numFmtId="0" fontId="0" fillId="0" borderId="0" xfId="0" applyFill="1" applyBorder="1" applyAlignment="1">
      <alignment horizont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4" fontId="15" fillId="0" borderId="0" xfId="0" applyNumberFormat="1" applyFont="1" applyFill="1" applyBorder="1" applyAlignment="1">
      <alignment horizontal="right" vertical="center"/>
    </xf>
    <xf numFmtId="4" fontId="15" fillId="0" borderId="0" xfId="0" applyNumberFormat="1" applyFont="1" applyFill="1" applyBorder="1"/>
    <xf numFmtId="165" fontId="16" fillId="0" borderId="0" xfId="0" applyNumberFormat="1" applyFont="1" applyFill="1" applyBorder="1"/>
    <xf numFmtId="165" fontId="15" fillId="0" borderId="0" xfId="0" applyNumberFormat="1" applyFont="1" applyFill="1" applyBorder="1"/>
    <xf numFmtId="0" fontId="33" fillId="0" borderId="0" xfId="0" applyFont="1" applyFill="1" applyBorder="1"/>
    <xf numFmtId="4" fontId="33" fillId="0" borderId="0" xfId="0" applyNumberFormat="1" applyFont="1" applyFill="1" applyBorder="1"/>
    <xf numFmtId="165" fontId="0" fillId="0" borderId="0" xfId="0" applyNumberFormat="1" applyFill="1" applyBorder="1"/>
    <xf numFmtId="0" fontId="0" fillId="0" borderId="0" xfId="0" applyFill="1"/>
    <xf numFmtId="0" fontId="35" fillId="0" borderId="0" xfId="0" applyFont="1" applyFill="1"/>
    <xf numFmtId="164" fontId="35" fillId="0" borderId="0" xfId="0" applyNumberFormat="1" applyFont="1" applyFill="1" applyBorder="1" applyAlignment="1">
      <alignment horizontal="center" vertical="center"/>
    </xf>
    <xf numFmtId="4" fontId="36" fillId="0" borderId="0" xfId="0" applyNumberFormat="1" applyFont="1" applyFill="1" applyBorder="1"/>
    <xf numFmtId="4" fontId="35" fillId="0" borderId="0" xfId="0" applyNumberFormat="1" applyFont="1" applyFill="1" applyBorder="1"/>
    <xf numFmtId="4" fontId="35" fillId="0" borderId="0" xfId="0" applyNumberFormat="1" applyFont="1" applyFill="1"/>
    <xf numFmtId="0" fontId="35" fillId="0" borderId="0" xfId="0" applyFont="1" applyFill="1" applyBorder="1"/>
    <xf numFmtId="0" fontId="35" fillId="0" borderId="0" xfId="0" applyFont="1" applyFill="1" applyBorder="1" applyAlignment="1">
      <alignment horizontal="right"/>
    </xf>
    <xf numFmtId="0" fontId="36" fillId="0" borderId="0" xfId="0" applyFont="1" applyFill="1" applyBorder="1" applyAlignment="1">
      <alignment horizontal="right"/>
    </xf>
    <xf numFmtId="0" fontId="37" fillId="0" borderId="0" xfId="0" applyFont="1" applyFill="1" applyBorder="1" applyAlignment="1"/>
    <xf numFmtId="0" fontId="37" fillId="0" borderId="0" xfId="0" applyFont="1" applyFill="1" applyBorder="1" applyAlignment="1">
      <alignment horizontal="center" wrapText="1"/>
    </xf>
    <xf numFmtId="0" fontId="37" fillId="0" borderId="0" xfId="0" applyFont="1" applyFill="1" applyBorder="1" applyAlignment="1">
      <alignment horizontal="center"/>
    </xf>
    <xf numFmtId="49" fontId="36" fillId="0" borderId="0" xfId="0" applyNumberFormat="1" applyFont="1" applyFill="1" applyBorder="1" applyAlignment="1">
      <alignment horizontal="left" wrapText="1" indent="1"/>
    </xf>
    <xf numFmtId="0" fontId="38" fillId="0" borderId="0" xfId="0" applyFont="1" applyFill="1" applyBorder="1"/>
    <xf numFmtId="2" fontId="36" fillId="0" borderId="0" xfId="0" applyNumberFormat="1" applyFont="1" applyFill="1" applyBorder="1" applyAlignment="1">
      <alignment horizontal="right"/>
    </xf>
    <xf numFmtId="0" fontId="36" fillId="0" borderId="0" xfId="0" applyFont="1" applyFill="1"/>
    <xf numFmtId="49" fontId="36" fillId="0" borderId="0" xfId="0" applyNumberFormat="1" applyFont="1" applyFill="1" applyBorder="1" applyAlignment="1">
      <alignment horizontal="left" wrapText="1"/>
    </xf>
    <xf numFmtId="49" fontId="0" fillId="0" borderId="0" xfId="0" applyNumberFormat="1" applyFill="1" applyAlignment="1">
      <alignment wrapText="1"/>
    </xf>
    <xf numFmtId="0" fontId="0" fillId="2" borderId="0" xfId="0" applyFill="1"/>
    <xf numFmtId="0" fontId="0" fillId="2" borderId="0" xfId="0" applyFill="1" applyBorder="1"/>
    <xf numFmtId="0" fontId="43" fillId="2" borderId="0" xfId="0" applyFont="1" applyFill="1"/>
    <xf numFmtId="0" fontId="17" fillId="2" borderId="0" xfId="0" applyFont="1" applyFill="1"/>
    <xf numFmtId="2" fontId="0" fillId="2" borderId="0" xfId="0" applyNumberFormat="1" applyFill="1"/>
    <xf numFmtId="16" fontId="0" fillId="2" borderId="0" xfId="0" applyNumberFormat="1" applyFill="1"/>
    <xf numFmtId="17" fontId="0" fillId="2" borderId="0" xfId="0" applyNumberFormat="1" applyFill="1"/>
    <xf numFmtId="0" fontId="43" fillId="2" borderId="0" xfId="0" applyFont="1" applyFill="1" applyAlignment="1"/>
    <xf numFmtId="0" fontId="41" fillId="2" borderId="0" xfId="0" applyFont="1" applyFill="1" applyBorder="1" applyAlignment="1">
      <alignment horizontal="center"/>
    </xf>
    <xf numFmtId="0" fontId="42" fillId="2" borderId="0" xfId="0" applyFont="1" applyFill="1" applyBorder="1" applyAlignment="1">
      <alignment horizontal="right" wrapText="1"/>
    </xf>
    <xf numFmtId="0" fontId="13" fillId="2" borderId="0" xfId="0" applyFont="1" applyFill="1"/>
    <xf numFmtId="0" fontId="0" fillId="2" borderId="0" xfId="0" applyFill="1" applyProtection="1">
      <protection locked="0"/>
    </xf>
    <xf numFmtId="0" fontId="35" fillId="2" borderId="0" xfId="0" applyFont="1" applyFill="1"/>
    <xf numFmtId="4" fontId="36" fillId="2" borderId="0" xfId="0" applyNumberFormat="1" applyFont="1" applyFill="1" applyBorder="1"/>
    <xf numFmtId="4" fontId="35" fillId="2" borderId="0" xfId="0" applyNumberFormat="1" applyFont="1" applyFill="1" applyBorder="1"/>
    <xf numFmtId="4" fontId="35" fillId="2" borderId="0" xfId="0" applyNumberFormat="1" applyFont="1" applyFill="1"/>
    <xf numFmtId="0" fontId="36" fillId="2" borderId="0" xfId="0" applyFont="1" applyFill="1"/>
    <xf numFmtId="2" fontId="9" fillId="2" borderId="0" xfId="0" applyNumberFormat="1" applyFont="1" applyFill="1" applyBorder="1" applyAlignment="1">
      <alignment wrapText="1"/>
    </xf>
    <xf numFmtId="0" fontId="33" fillId="2" borderId="0" xfId="0" applyFont="1" applyFill="1"/>
    <xf numFmtId="49" fontId="33" fillId="2" borderId="0" xfId="0" applyNumberFormat="1" applyFont="1" applyFill="1" applyAlignment="1">
      <alignment wrapText="1"/>
    </xf>
    <xf numFmtId="49" fontId="33" fillId="2" borderId="0" xfId="0" applyNumberFormat="1" applyFont="1" applyFill="1" applyBorder="1" applyAlignment="1">
      <alignment wrapText="1"/>
    </xf>
    <xf numFmtId="49" fontId="9" fillId="2" borderId="0" xfId="0" applyNumberFormat="1" applyFont="1" applyFill="1" applyBorder="1" applyAlignment="1">
      <alignment wrapText="1"/>
    </xf>
    <xf numFmtId="0" fontId="35" fillId="2" borderId="0" xfId="0" applyFont="1" applyFill="1" applyBorder="1"/>
    <xf numFmtId="49" fontId="40" fillId="2" borderId="0" xfId="22" applyNumberFormat="1" applyFont="1" applyFill="1" applyBorder="1" applyAlignment="1">
      <alignment wrapText="1"/>
    </xf>
    <xf numFmtId="4" fontId="17" fillId="0" borderId="0" xfId="22" applyNumberFormat="1" applyFont="1" applyFill="1" applyBorder="1"/>
    <xf numFmtId="0" fontId="17" fillId="0" borderId="0" xfId="22" applyFont="1" applyFill="1" applyBorder="1"/>
    <xf numFmtId="0" fontId="17" fillId="0" borderId="0" xfId="22" applyFont="1" applyFill="1"/>
    <xf numFmtId="0" fontId="17" fillId="0" borderId="0" xfId="22" applyFont="1" applyBorder="1"/>
    <xf numFmtId="49" fontId="8" fillId="0" borderId="0" xfId="22" applyNumberFormat="1" applyFont="1" applyFill="1" applyBorder="1" applyAlignment="1">
      <alignment wrapText="1"/>
    </xf>
    <xf numFmtId="49" fontId="8" fillId="0" borderId="0" xfId="22" applyNumberFormat="1" applyFont="1" applyFill="1" applyBorder="1" applyAlignment="1">
      <alignment horizontal="left" wrapText="1" indent="1"/>
    </xf>
    <xf numFmtId="0" fontId="33" fillId="0" borderId="0" xfId="22" applyFont="1" applyFill="1" applyBorder="1" applyAlignment="1"/>
    <xf numFmtId="0" fontId="33" fillId="0" borderId="0" xfId="22" applyFont="1" applyFill="1" applyBorder="1" applyAlignment="1">
      <alignment wrapText="1"/>
    </xf>
    <xf numFmtId="0" fontId="33" fillId="0" borderId="0" xfId="22" applyFont="1" applyFill="1" applyBorder="1" applyAlignment="1">
      <alignment horizontal="center" wrapText="1"/>
    </xf>
    <xf numFmtId="4" fontId="17" fillId="0" borderId="0" xfId="22" applyNumberFormat="1" applyFont="1"/>
    <xf numFmtId="4" fontId="17" fillId="0" borderId="0" xfId="22" applyNumberFormat="1" applyFont="1" applyBorder="1"/>
    <xf numFmtId="49" fontId="8" fillId="0" borderId="0" xfId="22" applyNumberFormat="1" applyFont="1" applyBorder="1" applyAlignment="1">
      <alignment horizontal="left" wrapText="1"/>
    </xf>
    <xf numFmtId="166" fontId="17" fillId="0" borderId="0" xfId="22" applyNumberFormat="1" applyFont="1"/>
    <xf numFmtId="49" fontId="48" fillId="0" borderId="0" xfId="22" applyNumberFormat="1" applyFont="1" applyBorder="1" applyAlignment="1">
      <alignment horizontal="left" wrapText="1"/>
    </xf>
    <xf numFmtId="49" fontId="48" fillId="0" borderId="0" xfId="22" applyNumberFormat="1" applyFont="1" applyFill="1" applyBorder="1" applyAlignment="1">
      <alignment horizontal="left" wrapText="1"/>
    </xf>
    <xf numFmtId="49" fontId="17" fillId="0" borderId="0" xfId="22" applyNumberFormat="1" applyFont="1" applyBorder="1" applyAlignment="1">
      <alignment wrapText="1"/>
    </xf>
    <xf numFmtId="49" fontId="17" fillId="0" borderId="0" xfId="22" applyNumberFormat="1" applyFont="1" applyAlignment="1"/>
    <xf numFmtId="0" fontId="17" fillId="2" borderId="0" xfId="22" applyFont="1" applyFill="1"/>
    <xf numFmtId="0" fontId="17" fillId="2" borderId="0" xfId="22" applyFont="1" applyFill="1" applyBorder="1"/>
    <xf numFmtId="0" fontId="39" fillId="2" borderId="0" xfId="22" applyFont="1" applyFill="1" applyBorder="1"/>
    <xf numFmtId="0" fontId="47" fillId="2" borderId="0" xfId="22" applyFont="1" applyFill="1" applyBorder="1"/>
    <xf numFmtId="167" fontId="17" fillId="2" borderId="0" xfId="0" applyNumberFormat="1" applyFont="1" applyFill="1" applyBorder="1" applyAlignment="1" applyProtection="1">
      <protection hidden="1"/>
    </xf>
    <xf numFmtId="0" fontId="17" fillId="2" borderId="0" xfId="22" applyFont="1" applyFill="1" applyProtection="1"/>
    <xf numFmtId="0" fontId="16" fillId="2" borderId="0" xfId="22" applyFont="1" applyFill="1" applyBorder="1" applyAlignment="1">
      <alignment vertical="center"/>
    </xf>
    <xf numFmtId="0" fontId="17" fillId="2" borderId="0" xfId="22" applyFont="1" applyFill="1" applyProtection="1">
      <protection locked="0"/>
    </xf>
    <xf numFmtId="4" fontId="4" fillId="2" borderId="0" xfId="22" applyNumberFormat="1" applyFont="1" applyFill="1" applyBorder="1"/>
    <xf numFmtId="4" fontId="17" fillId="2" borderId="0" xfId="22" applyNumberFormat="1" applyFont="1" applyFill="1" applyBorder="1"/>
    <xf numFmtId="4" fontId="17" fillId="2" borderId="0" xfId="22" applyNumberFormat="1" applyFont="1" applyFill="1"/>
    <xf numFmtId="165" fontId="16" fillId="2" borderId="0" xfId="22" applyNumberFormat="1" applyFont="1" applyFill="1" applyBorder="1"/>
    <xf numFmtId="165" fontId="17" fillId="2" borderId="0" xfId="22" applyNumberFormat="1" applyFont="1" applyFill="1"/>
    <xf numFmtId="2" fontId="49" fillId="2" borderId="0" xfId="22" applyNumberFormat="1" applyFont="1" applyFill="1" applyBorder="1" applyAlignment="1">
      <alignment vertical="center"/>
    </xf>
    <xf numFmtId="2" fontId="8" fillId="2" borderId="0" xfId="22" applyNumberFormat="1" applyFont="1" applyFill="1" applyBorder="1" applyAlignment="1">
      <alignment wrapText="1"/>
    </xf>
    <xf numFmtId="49" fontId="17" fillId="2" borderId="0" xfId="22" applyNumberFormat="1" applyFont="1" applyFill="1" applyBorder="1" applyAlignment="1">
      <alignment wrapText="1"/>
    </xf>
    <xf numFmtId="49" fontId="17" fillId="2" borderId="0" xfId="22" applyNumberFormat="1" applyFont="1" applyFill="1" applyAlignment="1">
      <alignment wrapText="1"/>
    </xf>
    <xf numFmtId="0" fontId="19" fillId="2" borderId="0" xfId="22" applyFont="1" applyFill="1"/>
    <xf numFmtId="49" fontId="17" fillId="2" borderId="0" xfId="22" applyNumberFormat="1" applyFont="1" applyFill="1" applyAlignment="1"/>
    <xf numFmtId="2" fontId="13" fillId="2" borderId="24" xfId="22" applyNumberFormat="1" applyFont="1" applyFill="1" applyBorder="1" applyAlignment="1">
      <alignment vertical="center"/>
    </xf>
    <xf numFmtId="2" fontId="17" fillId="2" borderId="24" xfId="22" applyNumberFormat="1" applyFont="1" applyFill="1" applyBorder="1" applyAlignment="1">
      <alignment vertical="center"/>
    </xf>
    <xf numFmtId="2" fontId="13" fillId="2" borderId="24" xfId="22" applyNumberFormat="1" applyFont="1" applyFill="1" applyBorder="1" applyAlignment="1">
      <alignment vertical="center" wrapText="1"/>
    </xf>
    <xf numFmtId="2" fontId="13" fillId="2" borderId="26" xfId="22" applyNumberFormat="1" applyFont="1" applyFill="1" applyBorder="1" applyAlignment="1">
      <alignment vertical="center"/>
    </xf>
    <xf numFmtId="2" fontId="13" fillId="2" borderId="27" xfId="22" applyNumberFormat="1" applyFont="1" applyFill="1" applyBorder="1" applyAlignment="1">
      <alignment vertical="center"/>
    </xf>
    <xf numFmtId="2" fontId="13" fillId="2" borderId="28" xfId="22" applyNumberFormat="1" applyFont="1" applyFill="1" applyBorder="1" applyAlignment="1">
      <alignment vertical="center"/>
    </xf>
    <xf numFmtId="4" fontId="13" fillId="2" borderId="0" xfId="22" applyNumberFormat="1" applyFont="1" applyFill="1" applyBorder="1" applyAlignment="1">
      <alignment vertical="center"/>
    </xf>
    <xf numFmtId="4" fontId="13" fillId="2" borderId="19" xfId="22" applyNumberFormat="1" applyFont="1" applyFill="1" applyBorder="1" applyAlignment="1">
      <alignment vertical="center"/>
    </xf>
    <xf numFmtId="4" fontId="17" fillId="2" borderId="19" xfId="22" applyNumberFormat="1" applyFont="1" applyFill="1" applyBorder="1" applyAlignment="1">
      <alignment vertical="center"/>
    </xf>
    <xf numFmtId="4" fontId="17" fillId="2" borderId="0" xfId="22" applyNumberFormat="1" applyFont="1" applyFill="1" applyBorder="1" applyAlignment="1">
      <alignment vertical="center"/>
    </xf>
    <xf numFmtId="4" fontId="13" fillId="2" borderId="29" xfId="22" applyNumberFormat="1" applyFont="1" applyFill="1" applyBorder="1" applyAlignment="1">
      <alignment vertical="center"/>
    </xf>
    <xf numFmtId="4" fontId="13" fillId="2" borderId="32" xfId="22" applyNumberFormat="1" applyFont="1" applyFill="1" applyBorder="1" applyAlignment="1">
      <alignment vertical="center"/>
    </xf>
    <xf numFmtId="165" fontId="13" fillId="2" borderId="8" xfId="0" applyNumberFormat="1" applyFont="1" applyFill="1" applyBorder="1"/>
    <xf numFmtId="4" fontId="13" fillId="2" borderId="18" xfId="0" applyNumberFormat="1" applyFont="1" applyFill="1" applyBorder="1"/>
    <xf numFmtId="2" fontId="13" fillId="2" borderId="13" xfId="0" applyNumberFormat="1" applyFont="1" applyFill="1" applyBorder="1" applyAlignment="1">
      <alignment vertical="center" wrapText="1"/>
    </xf>
    <xf numFmtId="165" fontId="13" fillId="2" borderId="9" xfId="0" applyNumberFormat="1" applyFont="1" applyFill="1" applyBorder="1"/>
    <xf numFmtId="4" fontId="13" fillId="2" borderId="34" xfId="0" applyNumberFormat="1" applyFont="1" applyFill="1" applyBorder="1"/>
    <xf numFmtId="49" fontId="13" fillId="2" borderId="13" xfId="0" applyNumberFormat="1" applyFont="1" applyFill="1" applyBorder="1" applyAlignment="1">
      <alignment vertical="center" wrapText="1"/>
    </xf>
    <xf numFmtId="164" fontId="35" fillId="0" borderId="0" xfId="0" applyNumberFormat="1" applyFont="1" applyFill="1" applyBorder="1" applyAlignment="1">
      <alignment vertical="center"/>
    </xf>
    <xf numFmtId="49" fontId="36" fillId="0" borderId="0" xfId="0" applyNumberFormat="1" applyFont="1" applyFill="1" applyBorder="1" applyAlignment="1">
      <alignment wrapText="1"/>
    </xf>
    <xf numFmtId="49" fontId="35" fillId="0" borderId="0" xfId="0" applyNumberFormat="1" applyFont="1" applyFill="1" applyBorder="1" applyAlignment="1">
      <alignment horizontal="left" wrapText="1" indent="2"/>
    </xf>
    <xf numFmtId="0" fontId="36" fillId="0" borderId="0" xfId="0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 wrapText="1"/>
    </xf>
    <xf numFmtId="0" fontId="36" fillId="0" borderId="0" xfId="0" applyFont="1" applyFill="1" applyBorder="1" applyAlignment="1"/>
    <xf numFmtId="0" fontId="36" fillId="0" borderId="0" xfId="0" applyFont="1" applyFill="1" applyBorder="1" applyAlignment="1">
      <alignment wrapText="1"/>
    </xf>
    <xf numFmtId="0" fontId="35" fillId="0" borderId="0" xfId="0" applyFont="1" applyFill="1" applyBorder="1" applyAlignment="1">
      <alignment wrapText="1"/>
    </xf>
    <xf numFmtId="49" fontId="36" fillId="0" borderId="0" xfId="0" applyNumberFormat="1" applyFont="1" applyFill="1" applyBorder="1" applyAlignment="1">
      <alignment horizontal="left" wrapText="1" indent="3"/>
    </xf>
    <xf numFmtId="49" fontId="35" fillId="0" borderId="0" xfId="0" applyNumberFormat="1" applyFont="1" applyFill="1" applyBorder="1" applyAlignment="1">
      <alignment horizontal="left" wrapText="1" indent="5"/>
    </xf>
    <xf numFmtId="49" fontId="35" fillId="0" borderId="0" xfId="0" applyNumberFormat="1" applyFont="1" applyFill="1" applyBorder="1" applyAlignment="1">
      <alignment horizontal="left" wrapText="1" indent="3"/>
    </xf>
    <xf numFmtId="166" fontId="35" fillId="0" borderId="0" xfId="0" applyNumberFormat="1" applyFont="1" applyFill="1" applyBorder="1"/>
    <xf numFmtId="0" fontId="36" fillId="0" borderId="0" xfId="0" applyFont="1" applyFill="1" applyBorder="1"/>
    <xf numFmtId="49" fontId="8" fillId="0" borderId="0" xfId="0" applyNumberFormat="1" applyFont="1" applyFill="1" applyBorder="1" applyAlignment="1">
      <alignment horizontal="left" wrapText="1" indent="3"/>
    </xf>
    <xf numFmtId="165" fontId="17" fillId="2" borderId="21" xfId="0" applyNumberFormat="1" applyFont="1" applyFill="1" applyBorder="1"/>
    <xf numFmtId="0" fontId="13" fillId="5" borderId="28" xfId="22" applyFont="1" applyFill="1" applyBorder="1" applyAlignment="1">
      <alignment horizontal="center" vertical="center" wrapText="1"/>
    </xf>
    <xf numFmtId="0" fontId="13" fillId="5" borderId="29" xfId="22" applyFont="1" applyFill="1" applyBorder="1" applyAlignment="1">
      <alignment horizontal="center" vertical="center" wrapText="1"/>
    </xf>
    <xf numFmtId="0" fontId="13" fillId="5" borderId="32" xfId="22" applyFont="1" applyFill="1" applyBorder="1" applyAlignment="1">
      <alignment horizontal="center" vertical="center" wrapText="1"/>
    </xf>
    <xf numFmtId="2" fontId="13" fillId="5" borderId="9" xfId="22" applyNumberFormat="1" applyFont="1" applyFill="1" applyBorder="1" applyAlignment="1">
      <alignment vertical="center"/>
    </xf>
    <xf numFmtId="4" fontId="13" fillId="5" borderId="34" xfId="22" applyNumberFormat="1" applyFont="1" applyFill="1" applyBorder="1" applyAlignment="1">
      <alignment vertical="center"/>
    </xf>
    <xf numFmtId="4" fontId="13" fillId="5" borderId="33" xfId="22" applyNumberFormat="1" applyFont="1" applyFill="1" applyBorder="1" applyAlignment="1">
      <alignment vertical="center"/>
    </xf>
    <xf numFmtId="2" fontId="13" fillId="8" borderId="9" xfId="0" applyNumberFormat="1" applyFont="1" applyFill="1" applyBorder="1" applyAlignment="1">
      <alignment horizontal="left" vertical="center" wrapText="1"/>
    </xf>
    <xf numFmtId="165" fontId="13" fillId="8" borderId="8" xfId="0" applyNumberFormat="1" applyFont="1" applyFill="1" applyBorder="1"/>
    <xf numFmtId="4" fontId="13" fillId="8" borderId="18" xfId="0" applyNumberFormat="1" applyFont="1" applyFill="1" applyBorder="1"/>
    <xf numFmtId="4" fontId="13" fillId="8" borderId="34" xfId="0" applyNumberFormat="1" applyFont="1" applyFill="1" applyBorder="1"/>
    <xf numFmtId="0" fontId="13" fillId="8" borderId="28" xfId="0" applyFont="1" applyFill="1" applyBorder="1" applyAlignment="1">
      <alignment horizontal="center" vertical="center" wrapText="1"/>
    </xf>
    <xf numFmtId="0" fontId="13" fillId="8" borderId="15" xfId="0" applyFont="1" applyFill="1" applyBorder="1" applyAlignment="1">
      <alignment horizontal="center" vertical="center" wrapText="1"/>
    </xf>
    <xf numFmtId="0" fontId="13" fillId="8" borderId="54" xfId="0" applyFont="1" applyFill="1" applyBorder="1" applyAlignment="1">
      <alignment horizontal="center" vertical="center" wrapText="1"/>
    </xf>
    <xf numFmtId="0" fontId="13" fillId="8" borderId="19" xfId="0" applyFont="1" applyFill="1" applyBorder="1" applyAlignment="1">
      <alignment horizontal="center" vertical="center" wrapText="1"/>
    </xf>
    <xf numFmtId="2" fontId="13" fillId="8" borderId="13" xfId="0" applyNumberFormat="1" applyFont="1" applyFill="1" applyBorder="1" applyAlignment="1">
      <alignment vertical="center"/>
    </xf>
    <xf numFmtId="165" fontId="13" fillId="8" borderId="43" xfId="0" applyNumberFormat="1" applyFont="1" applyFill="1" applyBorder="1"/>
    <xf numFmtId="2" fontId="13" fillId="8" borderId="13" xfId="0" applyNumberFormat="1" applyFont="1" applyFill="1" applyBorder="1" applyAlignment="1">
      <alignment horizontal="left" vertical="center"/>
    </xf>
    <xf numFmtId="165" fontId="13" fillId="8" borderId="9" xfId="0" applyNumberFormat="1" applyFont="1" applyFill="1" applyBorder="1"/>
    <xf numFmtId="49" fontId="13" fillId="8" borderId="13" xfId="0" applyNumberFormat="1" applyFont="1" applyFill="1" applyBorder="1" applyAlignment="1">
      <alignment vertical="center" wrapText="1"/>
    </xf>
    <xf numFmtId="165" fontId="13" fillId="8" borderId="33" xfId="0" applyNumberFormat="1" applyFont="1" applyFill="1" applyBorder="1"/>
    <xf numFmtId="2" fontId="13" fillId="2" borderId="26" xfId="0" applyNumberFormat="1" applyFont="1" applyFill="1" applyBorder="1" applyAlignment="1">
      <alignment vertical="center" wrapText="1"/>
    </xf>
    <xf numFmtId="165" fontId="13" fillId="2" borderId="46" xfId="0" applyNumberFormat="1" applyFont="1" applyFill="1" applyBorder="1"/>
    <xf numFmtId="4" fontId="13" fillId="2" borderId="55" xfId="0" applyNumberFormat="1" applyFont="1" applyFill="1" applyBorder="1"/>
    <xf numFmtId="2" fontId="17" fillId="2" borderId="56" xfId="0" applyNumberFormat="1" applyFont="1" applyFill="1" applyBorder="1" applyAlignment="1">
      <alignment vertical="center" wrapText="1"/>
    </xf>
    <xf numFmtId="165" fontId="17" fillId="2" borderId="47" xfId="0" applyNumberFormat="1" applyFont="1" applyFill="1" applyBorder="1"/>
    <xf numFmtId="4" fontId="17" fillId="2" borderId="15" xfId="0" applyNumberFormat="1" applyFont="1" applyFill="1" applyBorder="1"/>
    <xf numFmtId="4" fontId="17" fillId="2" borderId="19" xfId="0" applyNumberFormat="1" applyFont="1" applyFill="1" applyBorder="1"/>
    <xf numFmtId="2" fontId="13" fillId="2" borderId="56" xfId="0" applyNumberFormat="1" applyFont="1" applyFill="1" applyBorder="1" applyAlignment="1">
      <alignment vertical="center" wrapText="1"/>
    </xf>
    <xf numFmtId="165" fontId="13" fillId="2" borderId="47" xfId="0" applyNumberFormat="1" applyFont="1" applyFill="1" applyBorder="1"/>
    <xf numFmtId="4" fontId="13" fillId="2" borderId="15" xfId="0" applyNumberFormat="1" applyFont="1" applyFill="1" applyBorder="1"/>
    <xf numFmtId="165" fontId="17" fillId="2" borderId="56" xfId="0" applyNumberFormat="1" applyFont="1" applyFill="1" applyBorder="1"/>
    <xf numFmtId="49" fontId="17" fillId="2" borderId="10" xfId="0" applyNumberFormat="1" applyFont="1" applyFill="1" applyBorder="1" applyAlignment="1">
      <alignment vertical="center" wrapText="1"/>
    </xf>
    <xf numFmtId="49" fontId="13" fillId="2" borderId="26" xfId="0" applyNumberFormat="1" applyFont="1" applyFill="1" applyBorder="1" applyAlignment="1">
      <alignment vertical="center" wrapText="1"/>
    </xf>
    <xf numFmtId="49" fontId="17" fillId="2" borderId="56" xfId="0" applyNumberFormat="1" applyFont="1" applyFill="1" applyBorder="1" applyAlignment="1">
      <alignment vertical="center" wrapText="1"/>
    </xf>
    <xf numFmtId="49" fontId="13" fillId="2" borderId="56" xfId="0" applyNumberFormat="1" applyFont="1" applyFill="1" applyBorder="1" applyAlignment="1">
      <alignment vertical="center" wrapText="1"/>
    </xf>
    <xf numFmtId="49" fontId="17" fillId="2" borderId="26" xfId="0" applyNumberFormat="1" applyFont="1" applyFill="1" applyBorder="1" applyAlignment="1">
      <alignment vertical="center" wrapText="1"/>
    </xf>
    <xf numFmtId="165" fontId="17" fillId="2" borderId="30" xfId="0" applyNumberFormat="1" applyFont="1" applyFill="1" applyBorder="1"/>
    <xf numFmtId="4" fontId="17" fillId="2" borderId="57" xfId="0" applyNumberFormat="1" applyFont="1" applyFill="1" applyBorder="1"/>
    <xf numFmtId="165" fontId="17" fillId="2" borderId="46" xfId="0" applyNumberFormat="1" applyFont="1" applyFill="1" applyBorder="1"/>
    <xf numFmtId="4" fontId="17" fillId="2" borderId="58" xfId="0" applyNumberFormat="1" applyFont="1" applyFill="1" applyBorder="1"/>
    <xf numFmtId="4" fontId="17" fillId="2" borderId="45" xfId="0" applyNumberFormat="1" applyFont="1" applyFill="1" applyBorder="1"/>
    <xf numFmtId="165" fontId="17" fillId="2" borderId="24" xfId="0" applyNumberFormat="1" applyFont="1" applyFill="1" applyBorder="1"/>
    <xf numFmtId="4" fontId="17" fillId="2" borderId="25" xfId="0" applyNumberFormat="1" applyFont="1" applyFill="1" applyBorder="1"/>
    <xf numFmtId="4" fontId="17" fillId="2" borderId="44" xfId="0" applyNumberFormat="1" applyFont="1" applyFill="1" applyBorder="1"/>
    <xf numFmtId="4" fontId="17" fillId="2" borderId="55" xfId="0" applyNumberFormat="1" applyFont="1" applyFill="1" applyBorder="1"/>
    <xf numFmtId="49" fontId="17" fillId="2" borderId="27" xfId="0" applyNumberFormat="1" applyFont="1" applyFill="1" applyBorder="1" applyAlignment="1">
      <alignment vertical="center" wrapText="1"/>
    </xf>
    <xf numFmtId="165" fontId="17" fillId="2" borderId="28" xfId="0" applyNumberFormat="1" applyFont="1" applyFill="1" applyBorder="1"/>
    <xf numFmtId="4" fontId="17" fillId="2" borderId="59" xfId="0" applyNumberFormat="1" applyFont="1" applyFill="1" applyBorder="1"/>
    <xf numFmtId="4" fontId="17" fillId="2" borderId="29" xfId="0" applyNumberFormat="1" applyFont="1" applyFill="1" applyBorder="1"/>
    <xf numFmtId="0" fontId="50" fillId="7" borderId="9" xfId="22" applyFont="1" applyFill="1" applyBorder="1" applyAlignment="1">
      <alignment vertical="center"/>
    </xf>
    <xf numFmtId="0" fontId="13" fillId="2" borderId="0" xfId="22" applyFont="1" applyFill="1" applyBorder="1"/>
    <xf numFmtId="0" fontId="17" fillId="2" borderId="0" xfId="0" applyFont="1" applyFill="1" applyBorder="1"/>
    <xf numFmtId="167" fontId="13" fillId="2" borderId="0" xfId="0" applyNumberFormat="1" applyFont="1" applyFill="1" applyBorder="1" applyAlignment="1" applyProtection="1">
      <protection hidden="1"/>
    </xf>
    <xf numFmtId="4" fontId="29" fillId="2" borderId="0" xfId="0" applyNumberFormat="1" applyFont="1" applyFill="1" applyBorder="1"/>
    <xf numFmtId="4" fontId="29" fillId="2" borderId="0" xfId="0" applyNumberFormat="1" applyFont="1" applyFill="1"/>
    <xf numFmtId="167" fontId="4" fillId="2" borderId="0" xfId="0" applyNumberFormat="1" applyFont="1" applyFill="1" applyProtection="1">
      <protection hidden="1"/>
    </xf>
    <xf numFmtId="0" fontId="17" fillId="2" borderId="0" xfId="0" applyFont="1" applyFill="1" applyBorder="1" applyAlignment="1">
      <alignment horizontal="center"/>
    </xf>
    <xf numFmtId="0" fontId="17" fillId="2" borderId="0" xfId="0" applyFont="1" applyFill="1" applyProtection="1">
      <protection locked="0"/>
    </xf>
    <xf numFmtId="0" fontId="15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 wrapText="1"/>
    </xf>
    <xf numFmtId="4" fontId="15" fillId="2" borderId="0" xfId="0" applyNumberFormat="1" applyFont="1" applyFill="1" applyBorder="1" applyAlignment="1">
      <alignment horizontal="right" vertical="center"/>
    </xf>
    <xf numFmtId="4" fontId="16" fillId="2" borderId="0" xfId="0" applyNumberFormat="1" applyFont="1" applyFill="1" applyBorder="1" applyAlignment="1">
      <alignment horizontal="right" vertical="center"/>
    </xf>
    <xf numFmtId="4" fontId="15" fillId="2" borderId="0" xfId="0" applyNumberFormat="1" applyFont="1" applyFill="1" applyBorder="1"/>
    <xf numFmtId="4" fontId="16" fillId="2" borderId="0" xfId="0" applyNumberFormat="1" applyFont="1" applyFill="1" applyBorder="1"/>
    <xf numFmtId="165" fontId="16" fillId="2" borderId="0" xfId="0" applyNumberFormat="1" applyFont="1" applyFill="1" applyBorder="1"/>
    <xf numFmtId="165" fontId="16" fillId="2" borderId="31" xfId="0" applyNumberFormat="1" applyFont="1" applyFill="1" applyBorder="1"/>
    <xf numFmtId="4" fontId="33" fillId="2" borderId="0" xfId="0" applyNumberFormat="1" applyFont="1" applyFill="1"/>
    <xf numFmtId="4" fontId="33" fillId="2" borderId="0" xfId="0" applyNumberFormat="1" applyFont="1" applyFill="1" applyBorder="1"/>
    <xf numFmtId="0" fontId="33" fillId="2" borderId="0" xfId="0" applyFont="1" applyFill="1" applyBorder="1"/>
    <xf numFmtId="165" fontId="15" fillId="2" borderId="0" xfId="0" applyNumberFormat="1" applyFont="1" applyFill="1" applyBorder="1"/>
    <xf numFmtId="165" fontId="33" fillId="2" borderId="0" xfId="0" applyNumberFormat="1" applyFont="1" applyFill="1" applyBorder="1"/>
    <xf numFmtId="49" fontId="17" fillId="2" borderId="20" xfId="0" applyNumberFormat="1" applyFont="1" applyFill="1" applyBorder="1" applyAlignment="1">
      <alignment horizontal="left" vertical="center" wrapText="1"/>
    </xf>
    <xf numFmtId="49" fontId="13" fillId="2" borderId="9" xfId="0" applyNumberFormat="1" applyFont="1" applyFill="1" applyBorder="1" applyAlignment="1">
      <alignment horizontal="left" vertical="center" wrapText="1"/>
    </xf>
    <xf numFmtId="167" fontId="43" fillId="2" borderId="0" xfId="0" applyNumberFormat="1" applyFont="1" applyFill="1" applyBorder="1" applyAlignment="1">
      <alignment horizontal="center" vertical="center"/>
    </xf>
    <xf numFmtId="167" fontId="43" fillId="2" borderId="0" xfId="0" applyNumberFormat="1" applyFont="1" applyFill="1" applyBorder="1" applyAlignment="1" applyProtection="1">
      <alignment horizontal="center" vertical="center"/>
      <protection hidden="1"/>
    </xf>
    <xf numFmtId="0" fontId="43" fillId="2" borderId="31" xfId="22" applyFont="1" applyFill="1" applyBorder="1" applyAlignment="1">
      <alignment vertical="center"/>
    </xf>
    <xf numFmtId="167" fontId="43" fillId="2" borderId="31" xfId="0" applyNumberFormat="1" applyFont="1" applyFill="1" applyBorder="1" applyAlignment="1" applyProtection="1">
      <alignment horizontal="center" vertical="center"/>
      <protection hidden="1"/>
    </xf>
    <xf numFmtId="0" fontId="13" fillId="6" borderId="27" xfId="0" applyFont="1" applyFill="1" applyBorder="1" applyAlignment="1">
      <alignment horizontal="center" vertical="center" wrapText="1"/>
    </xf>
    <xf numFmtId="2" fontId="13" fillId="6" borderId="9" xfId="0" applyNumberFormat="1" applyFont="1" applyFill="1" applyBorder="1" applyAlignment="1">
      <alignment horizontal="left" vertical="center" wrapText="1"/>
    </xf>
    <xf numFmtId="49" fontId="13" fillId="6" borderId="13" xfId="0" applyNumberFormat="1" applyFont="1" applyFill="1" applyBorder="1" applyAlignment="1">
      <alignment vertical="center" wrapText="1"/>
    </xf>
    <xf numFmtId="2" fontId="13" fillId="6" borderId="9" xfId="0" applyNumberFormat="1" applyFont="1" applyFill="1" applyBorder="1" applyAlignment="1">
      <alignment horizontal="left" vertical="center"/>
    </xf>
    <xf numFmtId="49" fontId="13" fillId="6" borderId="13" xfId="0" applyNumberFormat="1" applyFont="1" applyFill="1" applyBorder="1" applyAlignment="1">
      <alignment horizontal="left" vertical="center" wrapText="1"/>
    </xf>
    <xf numFmtId="167" fontId="34" fillId="0" borderId="0" xfId="0" applyNumberFormat="1" applyFont="1" applyFill="1" applyBorder="1" applyProtection="1">
      <protection hidden="1"/>
    </xf>
    <xf numFmtId="165" fontId="16" fillId="0" borderId="0" xfId="0" applyNumberFormat="1" applyFont="1" applyFill="1" applyBorder="1" applyAlignment="1">
      <alignment horizontal="right" vertical="center"/>
    </xf>
    <xf numFmtId="49" fontId="6" fillId="0" borderId="0" xfId="0" applyNumberFormat="1" applyFont="1" applyFill="1" applyBorder="1" applyAlignment="1">
      <alignment wrapText="1"/>
    </xf>
    <xf numFmtId="0" fontId="7" fillId="0" borderId="0" xfId="0" applyFont="1" applyFill="1" applyBorder="1"/>
    <xf numFmtId="165" fontId="15" fillId="0" borderId="0" xfId="0" applyNumberFormat="1" applyFont="1" applyFill="1" applyBorder="1" applyAlignment="1">
      <alignment horizontal="right" vertical="center"/>
    </xf>
    <xf numFmtId="49" fontId="6" fillId="0" borderId="0" xfId="0" applyNumberFormat="1" applyFont="1" applyFill="1" applyBorder="1" applyAlignment="1">
      <alignment horizontal="left" wrapText="1" indent="1"/>
    </xf>
    <xf numFmtId="166" fontId="0" fillId="0" borderId="0" xfId="0" applyNumberFormat="1" applyFill="1" applyBorder="1"/>
    <xf numFmtId="49" fontId="8" fillId="0" borderId="0" xfId="0" applyNumberFormat="1" applyFont="1" applyFill="1" applyBorder="1" applyAlignment="1">
      <alignment horizontal="left" wrapText="1" indent="2"/>
    </xf>
    <xf numFmtId="0" fontId="30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wrapText="1"/>
    </xf>
    <xf numFmtId="176" fontId="0" fillId="0" borderId="0" xfId="0" applyNumberFormat="1" applyFill="1" applyBorder="1"/>
    <xf numFmtId="0" fontId="4" fillId="0" borderId="0" xfId="0" applyFont="1" applyFill="1" applyBorder="1" applyAlignment="1">
      <alignment horizontal="right"/>
    </xf>
    <xf numFmtId="165" fontId="31" fillId="0" borderId="0" xfId="0" applyNumberFormat="1" applyFont="1" applyFill="1" applyBorder="1"/>
    <xf numFmtId="0" fontId="5" fillId="0" borderId="0" xfId="0" applyFont="1" applyFill="1" applyBorder="1" applyAlignment="1">
      <alignment horizontal="right"/>
    </xf>
    <xf numFmtId="2" fontId="0" fillId="0" borderId="0" xfId="0" applyNumberFormat="1" applyFill="1" applyBorder="1"/>
    <xf numFmtId="49" fontId="8" fillId="0" borderId="0" xfId="0" applyNumberFormat="1" applyFont="1" applyFill="1" applyBorder="1" applyAlignment="1">
      <alignment horizontal="left" wrapText="1" indent="5"/>
    </xf>
    <xf numFmtId="4" fontId="32" fillId="0" borderId="0" xfId="0" applyNumberFormat="1" applyFont="1" applyFill="1" applyBorder="1"/>
    <xf numFmtId="4" fontId="0" fillId="0" borderId="0" xfId="0" applyNumberFormat="1" applyFill="1" applyBorder="1"/>
    <xf numFmtId="49" fontId="14" fillId="0" borderId="0" xfId="0" applyNumberFormat="1" applyFont="1" applyFill="1" applyBorder="1" applyAlignment="1">
      <alignment horizontal="left" wrapText="1" indent="2"/>
    </xf>
    <xf numFmtId="49" fontId="14" fillId="0" borderId="0" xfId="0" applyNumberFormat="1" applyFont="1" applyFill="1" applyBorder="1" applyAlignment="1">
      <alignment horizontal="left" wrapText="1"/>
    </xf>
    <xf numFmtId="0" fontId="13" fillId="0" borderId="0" xfId="0" applyFont="1" applyFill="1" applyBorder="1"/>
    <xf numFmtId="49" fontId="0" fillId="0" borderId="0" xfId="0" applyNumberFormat="1" applyFill="1" applyBorder="1" applyAlignment="1">
      <alignment wrapText="1"/>
    </xf>
    <xf numFmtId="0" fontId="43" fillId="2" borderId="0" xfId="0" applyFont="1" applyFill="1" applyBorder="1" applyAlignment="1"/>
    <xf numFmtId="49" fontId="8" fillId="2" borderId="0" xfId="0" applyNumberFormat="1" applyFont="1" applyFill="1" applyBorder="1" applyAlignment="1">
      <alignment horizontal="left" wrapText="1" indent="3"/>
    </xf>
    <xf numFmtId="2" fontId="13" fillId="2" borderId="30" xfId="0" applyNumberFormat="1" applyFont="1" applyFill="1" applyBorder="1" applyAlignment="1">
      <alignment horizontal="left" vertical="center" wrapText="1"/>
    </xf>
    <xf numFmtId="2" fontId="17" fillId="2" borderId="24" xfId="0" applyNumberFormat="1" applyFont="1" applyFill="1" applyBorder="1" applyAlignment="1">
      <alignment horizontal="left" vertical="center" wrapText="1"/>
    </xf>
    <xf numFmtId="2" fontId="13" fillId="2" borderId="24" xfId="0" applyNumberFormat="1" applyFont="1" applyFill="1" applyBorder="1" applyAlignment="1">
      <alignment horizontal="left" vertical="center" wrapText="1"/>
    </xf>
    <xf numFmtId="49" fontId="17" fillId="2" borderId="24" xfId="0" applyNumberFormat="1" applyFont="1" applyFill="1" applyBorder="1" applyAlignment="1">
      <alignment horizontal="left" vertical="center" wrapText="1"/>
    </xf>
    <xf numFmtId="49" fontId="13" fillId="2" borderId="24" xfId="0" applyNumberFormat="1" applyFont="1" applyFill="1" applyBorder="1" applyAlignment="1">
      <alignment horizontal="left" vertical="center" wrapText="1"/>
    </xf>
    <xf numFmtId="49" fontId="13" fillId="2" borderId="30" xfId="0" applyNumberFormat="1" applyFont="1" applyFill="1" applyBorder="1" applyAlignment="1">
      <alignment horizontal="left" vertical="center" wrapText="1"/>
    </xf>
    <xf numFmtId="49" fontId="17" fillId="2" borderId="30" xfId="0" applyNumberFormat="1" applyFont="1" applyFill="1" applyBorder="1" applyAlignment="1">
      <alignment horizontal="left" vertical="center" wrapText="1"/>
    </xf>
    <xf numFmtId="165" fontId="17" fillId="2" borderId="24" xfId="0" applyNumberFormat="1" applyFont="1" applyFill="1" applyBorder="1" applyAlignment="1">
      <alignment horizontal="left" vertical="center"/>
    </xf>
    <xf numFmtId="165" fontId="57" fillId="8" borderId="8" xfId="0" applyNumberFormat="1" applyFont="1" applyFill="1" applyBorder="1"/>
    <xf numFmtId="4" fontId="57" fillId="8" borderId="18" xfId="0" applyNumberFormat="1" applyFont="1" applyFill="1" applyBorder="1"/>
    <xf numFmtId="4" fontId="57" fillId="8" borderId="34" xfId="0" applyNumberFormat="1" applyFont="1" applyFill="1" applyBorder="1"/>
    <xf numFmtId="165" fontId="57" fillId="2" borderId="46" xfId="0" applyNumberFormat="1" applyFont="1" applyFill="1" applyBorder="1"/>
    <xf numFmtId="4" fontId="57" fillId="2" borderId="55" xfId="0" applyNumberFormat="1" applyFont="1" applyFill="1" applyBorder="1"/>
    <xf numFmtId="4" fontId="57" fillId="2" borderId="45" xfId="0" applyNumberFormat="1" applyFont="1" applyFill="1" applyBorder="1"/>
    <xf numFmtId="165" fontId="58" fillId="2" borderId="47" xfId="0" applyNumberFormat="1" applyFont="1" applyFill="1" applyBorder="1"/>
    <xf numFmtId="4" fontId="58" fillId="2" borderId="15" xfId="0" applyNumberFormat="1" applyFont="1" applyFill="1" applyBorder="1"/>
    <xf numFmtId="4" fontId="58" fillId="2" borderId="19" xfId="0" applyNumberFormat="1" applyFont="1" applyFill="1" applyBorder="1"/>
    <xf numFmtId="165" fontId="57" fillId="2" borderId="47" xfId="0" applyNumberFormat="1" applyFont="1" applyFill="1" applyBorder="1"/>
    <xf numFmtId="4" fontId="57" fillId="2" borderId="15" xfId="0" applyNumberFormat="1" applyFont="1" applyFill="1" applyBorder="1"/>
    <xf numFmtId="4" fontId="57" fillId="2" borderId="19" xfId="0" applyNumberFormat="1" applyFont="1" applyFill="1" applyBorder="1"/>
    <xf numFmtId="165" fontId="57" fillId="2" borderId="8" xfId="0" applyNumberFormat="1" applyFont="1" applyFill="1" applyBorder="1"/>
    <xf numFmtId="4" fontId="57" fillId="2" borderId="18" xfId="0" applyNumberFormat="1" applyFont="1" applyFill="1" applyBorder="1"/>
    <xf numFmtId="4" fontId="57" fillId="2" borderId="34" xfId="0" applyNumberFormat="1" applyFont="1" applyFill="1" applyBorder="1"/>
    <xf numFmtId="165" fontId="57" fillId="8" borderId="43" xfId="0" applyNumberFormat="1" applyFont="1" applyFill="1" applyBorder="1"/>
    <xf numFmtId="165" fontId="57" fillId="2" borderId="9" xfId="0" applyNumberFormat="1" applyFont="1" applyFill="1" applyBorder="1"/>
    <xf numFmtId="165" fontId="58" fillId="2" borderId="46" xfId="0" applyNumberFormat="1" applyFont="1" applyFill="1" applyBorder="1"/>
    <xf numFmtId="4" fontId="58" fillId="2" borderId="58" xfId="0" applyNumberFormat="1" applyFont="1" applyFill="1" applyBorder="1"/>
    <xf numFmtId="4" fontId="58" fillId="2" borderId="45" xfId="0" applyNumberFormat="1" applyFont="1" applyFill="1" applyBorder="1"/>
    <xf numFmtId="4" fontId="58" fillId="2" borderId="44" xfId="0" applyNumberFormat="1" applyFont="1" applyFill="1" applyBorder="1"/>
    <xf numFmtId="165" fontId="58" fillId="2" borderId="14" xfId="0" applyNumberFormat="1" applyFont="1" applyFill="1" applyBorder="1"/>
    <xf numFmtId="4" fontId="58" fillId="2" borderId="29" xfId="0" applyNumberFormat="1" applyFont="1" applyFill="1" applyBorder="1"/>
    <xf numFmtId="167" fontId="43" fillId="2" borderId="0" xfId="0" applyNumberFormat="1" applyFont="1" applyFill="1" applyBorder="1" applyAlignment="1" applyProtection="1">
      <protection hidden="1"/>
    </xf>
    <xf numFmtId="0" fontId="17" fillId="0" borderId="0" xfId="0" applyFont="1"/>
    <xf numFmtId="0" fontId="13" fillId="2" borderId="26" xfId="0" applyFont="1" applyFill="1" applyBorder="1"/>
    <xf numFmtId="0" fontId="17" fillId="2" borderId="56" xfId="0" applyFont="1" applyFill="1" applyBorder="1"/>
    <xf numFmtId="0" fontId="13" fillId="2" borderId="56" xfId="0" applyFont="1" applyFill="1" applyBorder="1"/>
    <xf numFmtId="0" fontId="13" fillId="6" borderId="29" xfId="0" applyFont="1" applyFill="1" applyBorder="1" applyAlignment="1">
      <alignment horizontal="center" vertical="center" wrapText="1"/>
    </xf>
    <xf numFmtId="4" fontId="13" fillId="6" borderId="34" xfId="0" applyNumberFormat="1" applyFont="1" applyFill="1" applyBorder="1" applyAlignment="1">
      <alignment horizontal="right" vertical="center"/>
    </xf>
    <xf numFmtId="4" fontId="13" fillId="2" borderId="45" xfId="0" applyNumberFormat="1" applyFont="1" applyFill="1" applyBorder="1" applyAlignment="1">
      <alignment horizontal="right" vertical="center"/>
    </xf>
    <xf numFmtId="4" fontId="17" fillId="2" borderId="19" xfId="0" applyNumberFormat="1" applyFont="1" applyFill="1" applyBorder="1" applyAlignment="1">
      <alignment horizontal="right" vertical="center"/>
    </xf>
    <xf numFmtId="4" fontId="13" fillId="2" borderId="19" xfId="0" applyNumberFormat="1" applyFont="1" applyFill="1" applyBorder="1" applyAlignment="1">
      <alignment horizontal="right" vertical="center"/>
    </xf>
    <xf numFmtId="4" fontId="17" fillId="2" borderId="45" xfId="0" applyNumberFormat="1" applyFont="1" applyFill="1" applyBorder="1" applyAlignment="1">
      <alignment horizontal="right" vertical="center"/>
    </xf>
    <xf numFmtId="4" fontId="13" fillId="2" borderId="34" xfId="0" applyNumberFormat="1" applyFont="1" applyFill="1" applyBorder="1" applyAlignment="1">
      <alignment horizontal="right" vertical="center"/>
    </xf>
    <xf numFmtId="4" fontId="13" fillId="6" borderId="34" xfId="0" applyNumberFormat="1" applyFont="1" applyFill="1" applyBorder="1"/>
    <xf numFmtId="165" fontId="17" fillId="2" borderId="35" xfId="0" applyNumberFormat="1" applyFont="1" applyFill="1" applyBorder="1"/>
    <xf numFmtId="0" fontId="13" fillId="6" borderId="60" xfId="0" applyFont="1" applyFill="1" applyBorder="1" applyAlignment="1">
      <alignment horizontal="center" vertical="center" wrapText="1"/>
    </xf>
    <xf numFmtId="165" fontId="13" fillId="6" borderId="8" xfId="0" applyNumberFormat="1" applyFont="1" applyFill="1" applyBorder="1" applyAlignment="1">
      <alignment horizontal="right" vertical="center"/>
    </xf>
    <xf numFmtId="165" fontId="13" fillId="2" borderId="46" xfId="0" applyNumberFormat="1" applyFont="1" applyFill="1" applyBorder="1" applyAlignment="1">
      <alignment horizontal="right" vertical="center"/>
    </xf>
    <xf numFmtId="165" fontId="17" fillId="2" borderId="47" xfId="0" applyNumberFormat="1" applyFont="1" applyFill="1" applyBorder="1" applyAlignment="1">
      <alignment horizontal="right" vertical="center"/>
    </xf>
    <xf numFmtId="165" fontId="17" fillId="2" borderId="47" xfId="0" quotePrefix="1" applyNumberFormat="1" applyFont="1" applyFill="1" applyBorder="1" applyAlignment="1">
      <alignment horizontal="right" vertical="center"/>
    </xf>
    <xf numFmtId="165" fontId="13" fillId="2" borderId="47" xfId="0" applyNumberFormat="1" applyFont="1" applyFill="1" applyBorder="1" applyAlignment="1">
      <alignment horizontal="right" vertical="center"/>
    </xf>
    <xf numFmtId="165" fontId="17" fillId="2" borderId="46" xfId="0" applyNumberFormat="1" applyFont="1" applyFill="1" applyBorder="1" applyAlignment="1">
      <alignment horizontal="right" vertical="center"/>
    </xf>
    <xf numFmtId="165" fontId="13" fillId="2" borderId="8" xfId="0" applyNumberFormat="1" applyFont="1" applyFill="1" applyBorder="1" applyAlignment="1">
      <alignment horizontal="right" vertical="center"/>
    </xf>
    <xf numFmtId="165" fontId="13" fillId="6" borderId="8" xfId="0" applyNumberFormat="1" applyFont="1" applyFill="1" applyBorder="1"/>
    <xf numFmtId="4" fontId="55" fillId="6" borderId="34" xfId="0" applyNumberFormat="1" applyFont="1" applyFill="1" applyBorder="1" applyAlignment="1">
      <alignment horizontal="right" vertical="center"/>
    </xf>
    <xf numFmtId="4" fontId="55" fillId="2" borderId="45" xfId="0" applyNumberFormat="1" applyFont="1" applyFill="1" applyBorder="1" applyAlignment="1">
      <alignment horizontal="right" vertical="center"/>
    </xf>
    <xf numFmtId="4" fontId="56" fillId="2" borderId="19" xfId="0" applyNumberFormat="1" applyFont="1" applyFill="1" applyBorder="1" applyAlignment="1">
      <alignment horizontal="right" vertical="center"/>
    </xf>
    <xf numFmtId="4" fontId="55" fillId="2" borderId="19" xfId="0" applyNumberFormat="1" applyFont="1" applyFill="1" applyBorder="1" applyAlignment="1">
      <alignment horizontal="right" vertical="center"/>
    </xf>
    <xf numFmtId="4" fontId="56" fillId="2" borderId="45" xfId="0" applyNumberFormat="1" applyFont="1" applyFill="1" applyBorder="1" applyAlignment="1">
      <alignment horizontal="right" vertical="center"/>
    </xf>
    <xf numFmtId="4" fontId="55" fillId="2" borderId="34" xfId="0" applyNumberFormat="1" applyFont="1" applyFill="1" applyBorder="1" applyAlignment="1">
      <alignment horizontal="right" vertical="center"/>
    </xf>
    <xf numFmtId="4" fontId="55" fillId="6" borderId="34" xfId="0" applyNumberFormat="1" applyFont="1" applyFill="1" applyBorder="1"/>
    <xf numFmtId="4" fontId="56" fillId="2" borderId="45" xfId="0" applyNumberFormat="1" applyFont="1" applyFill="1" applyBorder="1"/>
    <xf numFmtId="4" fontId="56" fillId="2" borderId="19" xfId="0" applyNumberFormat="1" applyFont="1" applyFill="1" applyBorder="1"/>
    <xf numFmtId="165" fontId="56" fillId="2" borderId="35" xfId="0" applyNumberFormat="1" applyFont="1" applyFill="1" applyBorder="1"/>
    <xf numFmtId="165" fontId="55" fillId="6" borderId="8" xfId="0" applyNumberFormat="1" applyFont="1" applyFill="1" applyBorder="1" applyAlignment="1">
      <alignment horizontal="right" vertical="center"/>
    </xf>
    <xf numFmtId="165" fontId="55" fillId="2" borderId="46" xfId="0" applyNumberFormat="1" applyFont="1" applyFill="1" applyBorder="1" applyAlignment="1">
      <alignment horizontal="right" vertical="center"/>
    </xf>
    <xf numFmtId="165" fontId="56" fillId="2" borderId="47" xfId="0" applyNumberFormat="1" applyFont="1" applyFill="1" applyBorder="1" applyAlignment="1">
      <alignment horizontal="right" vertical="center"/>
    </xf>
    <xf numFmtId="165" fontId="56" fillId="2" borderId="47" xfId="0" quotePrefix="1" applyNumberFormat="1" applyFont="1" applyFill="1" applyBorder="1" applyAlignment="1">
      <alignment horizontal="right" vertical="center"/>
    </xf>
    <xf numFmtId="165" fontId="55" fillId="2" borderId="47" xfId="0" applyNumberFormat="1" applyFont="1" applyFill="1" applyBorder="1" applyAlignment="1">
      <alignment horizontal="right" vertical="center"/>
    </xf>
    <xf numFmtId="165" fontId="56" fillId="2" borderId="47" xfId="0" applyNumberFormat="1" applyFont="1" applyFill="1" applyBorder="1"/>
    <xf numFmtId="165" fontId="56" fillId="2" borderId="46" xfId="0" applyNumberFormat="1" applyFont="1" applyFill="1" applyBorder="1" applyAlignment="1">
      <alignment horizontal="right" vertical="center"/>
    </xf>
    <xf numFmtId="165" fontId="55" fillId="2" borderId="8" xfId="0" applyNumberFormat="1" applyFont="1" applyFill="1" applyBorder="1" applyAlignment="1">
      <alignment horizontal="right" vertical="center"/>
    </xf>
    <xf numFmtId="165" fontId="55" fillId="6" borderId="8" xfId="0" applyNumberFormat="1" applyFont="1" applyFill="1" applyBorder="1"/>
    <xf numFmtId="165" fontId="56" fillId="2" borderId="46" xfId="0" applyNumberFormat="1" applyFont="1" applyFill="1" applyBorder="1"/>
    <xf numFmtId="165" fontId="56" fillId="2" borderId="21" xfId="0" applyNumberFormat="1" applyFont="1" applyFill="1" applyBorder="1"/>
    <xf numFmtId="165" fontId="13" fillId="5" borderId="8" xfId="22" applyNumberFormat="1" applyFont="1" applyFill="1" applyBorder="1" applyAlignment="1">
      <alignment vertical="center"/>
    </xf>
    <xf numFmtId="165" fontId="13" fillId="2" borderId="47" xfId="22" applyNumberFormat="1" applyFont="1" applyFill="1" applyBorder="1" applyAlignment="1">
      <alignment vertical="center"/>
    </xf>
    <xf numFmtId="165" fontId="17" fillId="2" borderId="47" xfId="22" applyNumberFormat="1" applyFont="1" applyFill="1" applyBorder="1" applyAlignment="1">
      <alignment vertical="center"/>
    </xf>
    <xf numFmtId="165" fontId="13" fillId="2" borderId="14" xfId="22" applyNumberFormat="1" applyFont="1" applyFill="1" applyBorder="1" applyAlignment="1">
      <alignment vertical="center"/>
    </xf>
    <xf numFmtId="165" fontId="13" fillId="2" borderId="46" xfId="22" applyNumberFormat="1" applyFont="1" applyFill="1" applyBorder="1" applyAlignment="1">
      <alignment horizontal="right" vertical="center" wrapText="1"/>
    </xf>
    <xf numFmtId="0" fontId="13" fillId="5" borderId="54" xfId="22" applyFont="1" applyFill="1" applyBorder="1" applyAlignment="1">
      <alignment horizontal="center" vertical="center" wrapText="1"/>
    </xf>
    <xf numFmtId="0" fontId="13" fillId="5" borderId="61" xfId="22" applyFont="1" applyFill="1" applyBorder="1" applyAlignment="1">
      <alignment horizontal="center" vertical="center" wrapText="1"/>
    </xf>
    <xf numFmtId="165" fontId="13" fillId="2" borderId="47" xfId="0" applyNumberFormat="1" applyFont="1" applyFill="1" applyBorder="1" applyAlignment="1">
      <alignment horizontal="right"/>
    </xf>
    <xf numFmtId="165" fontId="13" fillId="2" borderId="44" xfId="0" applyNumberFormat="1" applyFont="1" applyFill="1" applyBorder="1" applyAlignment="1">
      <alignment horizontal="right"/>
    </xf>
    <xf numFmtId="165" fontId="13" fillId="2" borderId="25" xfId="0" applyNumberFormat="1" applyFont="1" applyFill="1" applyBorder="1" applyAlignment="1">
      <alignment horizontal="right"/>
    </xf>
    <xf numFmtId="165" fontId="13" fillId="2" borderId="19" xfId="0" applyNumberFormat="1" applyFont="1" applyFill="1" applyBorder="1" applyAlignment="1">
      <alignment horizontal="right"/>
    </xf>
    <xf numFmtId="165" fontId="17" fillId="2" borderId="47" xfId="0" applyNumberFormat="1" applyFont="1" applyFill="1" applyBorder="1" applyAlignment="1">
      <alignment horizontal="right"/>
    </xf>
    <xf numFmtId="165" fontId="17" fillId="2" borderId="44" xfId="0" applyNumberFormat="1" applyFont="1" applyFill="1" applyBorder="1" applyAlignment="1">
      <alignment horizontal="right"/>
    </xf>
    <xf numFmtId="165" fontId="17" fillId="2" borderId="25" xfId="0" applyNumberFormat="1" applyFont="1" applyFill="1" applyBorder="1" applyAlignment="1">
      <alignment horizontal="right"/>
    </xf>
    <xf numFmtId="165" fontId="17" fillId="2" borderId="19" xfId="0" applyNumberFormat="1" applyFont="1" applyFill="1" applyBorder="1" applyAlignment="1">
      <alignment horizontal="right"/>
    </xf>
    <xf numFmtId="0" fontId="13" fillId="4" borderId="13" xfId="0" applyFont="1" applyFill="1" applyBorder="1"/>
    <xf numFmtId="165" fontId="13" fillId="4" borderId="8" xfId="0" applyNumberFormat="1" applyFont="1" applyFill="1" applyBorder="1" applyAlignment="1">
      <alignment horizontal="right"/>
    </xf>
    <xf numFmtId="165" fontId="13" fillId="4" borderId="43" xfId="0" applyNumberFormat="1" applyFont="1" applyFill="1" applyBorder="1" applyAlignment="1">
      <alignment horizontal="right"/>
    </xf>
    <xf numFmtId="165" fontId="13" fillId="4" borderId="3" xfId="0" applyNumberFormat="1" applyFont="1" applyFill="1" applyBorder="1" applyAlignment="1">
      <alignment horizontal="right"/>
    </xf>
    <xf numFmtId="0" fontId="13" fillId="4" borderId="54" xfId="0" applyFont="1" applyFill="1" applyBorder="1" applyAlignment="1">
      <alignment horizontal="center" vertical="center"/>
    </xf>
    <xf numFmtId="0" fontId="13" fillId="4" borderId="62" xfId="0" applyFont="1" applyFill="1" applyBorder="1" applyAlignment="1">
      <alignment horizontal="center" vertical="center"/>
    </xf>
    <xf numFmtId="0" fontId="13" fillId="4" borderId="63" xfId="0" applyFont="1" applyFill="1" applyBorder="1" applyAlignment="1">
      <alignment horizontal="center" vertical="center"/>
    </xf>
    <xf numFmtId="0" fontId="13" fillId="4" borderId="29" xfId="0" applyFont="1" applyFill="1" applyBorder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17" fillId="0" borderId="0" xfId="22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wrapText="1"/>
    </xf>
    <xf numFmtId="165" fontId="13" fillId="2" borderId="14" xfId="0" applyNumberFormat="1" applyFont="1" applyFill="1" applyBorder="1" applyAlignment="1">
      <alignment horizontal="right" vertical="center"/>
    </xf>
    <xf numFmtId="165" fontId="13" fillId="2" borderId="53" xfId="0" applyNumberFormat="1" applyFont="1" applyFill="1" applyBorder="1" applyAlignment="1">
      <alignment horizontal="right" vertical="center"/>
    </xf>
    <xf numFmtId="165" fontId="13" fillId="2" borderId="64" xfId="0" applyNumberFormat="1" applyFont="1" applyFill="1" applyBorder="1" applyAlignment="1">
      <alignment horizontal="right" vertical="center"/>
    </xf>
    <xf numFmtId="165" fontId="13" fillId="2" borderId="29" xfId="0" applyNumberFormat="1" applyFont="1" applyFill="1" applyBorder="1" applyAlignment="1">
      <alignment horizontal="right" vertical="center"/>
    </xf>
    <xf numFmtId="0" fontId="13" fillId="4" borderId="61" xfId="0" applyFont="1" applyFill="1" applyBorder="1" applyAlignment="1">
      <alignment horizontal="center" vertical="center"/>
    </xf>
    <xf numFmtId="165" fontId="13" fillId="4" borderId="18" xfId="0" applyNumberFormat="1" applyFont="1" applyFill="1" applyBorder="1" applyAlignment="1">
      <alignment horizontal="right"/>
    </xf>
    <xf numFmtId="165" fontId="13" fillId="2" borderId="15" xfId="0" applyNumberFormat="1" applyFont="1" applyFill="1" applyBorder="1" applyAlignment="1">
      <alignment horizontal="right"/>
    </xf>
    <xf numFmtId="165" fontId="17" fillId="2" borderId="15" xfId="0" applyNumberFormat="1" applyFont="1" applyFill="1" applyBorder="1" applyAlignment="1">
      <alignment horizontal="right"/>
    </xf>
    <xf numFmtId="165" fontId="13" fillId="2" borderId="59" xfId="0" applyNumberFormat="1" applyFont="1" applyFill="1" applyBorder="1" applyAlignment="1">
      <alignment horizontal="right" vertical="center"/>
    </xf>
    <xf numFmtId="2" fontId="49" fillId="2" borderId="0" xfId="0" applyNumberFormat="1" applyFont="1" applyFill="1" applyBorder="1" applyAlignment="1">
      <alignment wrapText="1"/>
    </xf>
    <xf numFmtId="0" fontId="49" fillId="2" borderId="0" xfId="0" applyFont="1" applyFill="1"/>
    <xf numFmtId="0" fontId="0" fillId="2" borderId="24" xfId="0" applyFill="1" applyBorder="1"/>
    <xf numFmtId="0" fontId="0" fillId="2" borderId="56" xfId="0" applyFill="1" applyBorder="1"/>
    <xf numFmtId="0" fontId="0" fillId="2" borderId="27" xfId="0" applyFill="1" applyBorder="1"/>
    <xf numFmtId="0" fontId="13" fillId="2" borderId="56" xfId="0" applyFont="1" applyFill="1" applyBorder="1" applyAlignment="1">
      <alignment wrapText="1"/>
    </xf>
    <xf numFmtId="0" fontId="13" fillId="2" borderId="28" xfId="0" applyFont="1" applyFill="1" applyBorder="1"/>
    <xf numFmtId="165" fontId="13" fillId="4" borderId="8" xfId="0" applyNumberFormat="1" applyFont="1" applyFill="1" applyBorder="1"/>
    <xf numFmtId="165" fontId="13" fillId="2" borderId="24" xfId="0" applyNumberFormat="1" applyFont="1" applyFill="1" applyBorder="1" applyAlignment="1">
      <alignment horizontal="right" vertical="center"/>
    </xf>
    <xf numFmtId="165" fontId="13" fillId="2" borderId="15" xfId="0" applyNumberFormat="1" applyFont="1" applyFill="1" applyBorder="1" applyAlignment="1">
      <alignment horizontal="right" vertical="center"/>
    </xf>
    <xf numFmtId="165" fontId="13" fillId="2" borderId="0" xfId="0" applyNumberFormat="1" applyFont="1" applyFill="1" applyBorder="1" applyAlignment="1">
      <alignment horizontal="right" vertical="center"/>
    </xf>
    <xf numFmtId="165" fontId="13" fillId="2" borderId="25" xfId="0" applyNumberFormat="1" applyFont="1" applyFill="1" applyBorder="1" applyAlignment="1">
      <alignment horizontal="right" vertical="center"/>
    </xf>
    <xf numFmtId="165" fontId="13" fillId="2" borderId="65" xfId="0" applyNumberFormat="1" applyFont="1" applyFill="1" applyBorder="1" applyAlignment="1">
      <alignment horizontal="right" vertical="center"/>
    </xf>
    <xf numFmtId="165" fontId="13" fillId="2" borderId="28" xfId="0" applyNumberFormat="1" applyFont="1" applyFill="1" applyBorder="1" applyAlignment="1">
      <alignment horizontal="right" vertical="center"/>
    </xf>
    <xf numFmtId="165" fontId="13" fillId="2" borderId="66" xfId="0" applyNumberFormat="1" applyFont="1" applyFill="1" applyBorder="1" applyAlignment="1">
      <alignment horizontal="right" vertical="center"/>
    </xf>
    <xf numFmtId="165" fontId="0" fillId="2" borderId="19" xfId="0" applyNumberFormat="1" applyFill="1" applyBorder="1"/>
    <xf numFmtId="165" fontId="17" fillId="2" borderId="14" xfId="0" applyNumberFormat="1" applyFont="1" applyFill="1" applyBorder="1" applyAlignment="1">
      <alignment horizontal="right"/>
    </xf>
    <xf numFmtId="165" fontId="17" fillId="2" borderId="53" xfId="0" applyNumberFormat="1" applyFont="1" applyFill="1" applyBorder="1" applyAlignment="1">
      <alignment horizontal="right"/>
    </xf>
    <xf numFmtId="165" fontId="17" fillId="2" borderId="64" xfId="0" applyNumberFormat="1" applyFont="1" applyFill="1" applyBorder="1" applyAlignment="1">
      <alignment horizontal="right"/>
    </xf>
    <xf numFmtId="165" fontId="13" fillId="4" borderId="28" xfId="0" applyNumberFormat="1" applyFont="1" applyFill="1" applyBorder="1" applyAlignment="1">
      <alignment horizontal="right" vertical="center"/>
    </xf>
    <xf numFmtId="165" fontId="13" fillId="4" borderId="64" xfId="0" applyNumberFormat="1" applyFont="1" applyFill="1" applyBorder="1" applyAlignment="1">
      <alignment horizontal="right" vertical="center"/>
    </xf>
    <xf numFmtId="165" fontId="13" fillId="4" borderId="32" xfId="0" applyNumberFormat="1" applyFont="1" applyFill="1" applyBorder="1" applyAlignment="1">
      <alignment horizontal="right" vertical="center"/>
    </xf>
    <xf numFmtId="165" fontId="13" fillId="4" borderId="66" xfId="0" applyNumberFormat="1" applyFont="1" applyFill="1" applyBorder="1" applyAlignment="1">
      <alignment horizontal="right" vertical="center"/>
    </xf>
    <xf numFmtId="165" fontId="13" fillId="2" borderId="20" xfId="0" applyNumberFormat="1" applyFont="1" applyFill="1" applyBorder="1"/>
    <xf numFmtId="4" fontId="13" fillId="2" borderId="4" xfId="0" applyNumberFormat="1" applyFont="1" applyFill="1" applyBorder="1"/>
    <xf numFmtId="165" fontId="13" fillId="2" borderId="21" xfId="0" applyNumberFormat="1" applyFont="1" applyFill="1" applyBorder="1"/>
    <xf numFmtId="4" fontId="13" fillId="2" borderId="52" xfId="0" applyNumberFormat="1" applyFont="1" applyFill="1" applyBorder="1"/>
    <xf numFmtId="165" fontId="57" fillId="2" borderId="21" xfId="0" applyNumberFormat="1" applyFont="1" applyFill="1" applyBorder="1"/>
    <xf numFmtId="4" fontId="57" fillId="2" borderId="52" xfId="0" applyNumberFormat="1" applyFont="1" applyFill="1" applyBorder="1"/>
    <xf numFmtId="0" fontId="36" fillId="2" borderId="0" xfId="0" applyFont="1" applyFill="1" applyBorder="1"/>
    <xf numFmtId="0" fontId="50" fillId="2" borderId="0" xfId="22" applyFont="1" applyFill="1" applyBorder="1" applyAlignment="1">
      <alignment vertical="center"/>
    </xf>
    <xf numFmtId="167" fontId="52" fillId="2" borderId="0" xfId="0" applyNumberFormat="1" applyFont="1" applyFill="1" applyBorder="1" applyAlignment="1">
      <alignment horizontal="center" vertical="center"/>
    </xf>
    <xf numFmtId="167" fontId="52" fillId="2" borderId="0" xfId="0" applyNumberFormat="1" applyFont="1" applyFill="1" applyBorder="1" applyAlignment="1" applyProtection="1">
      <alignment horizontal="center" vertical="center"/>
      <protection hidden="1"/>
    </xf>
    <xf numFmtId="167" fontId="52" fillId="2" borderId="24" xfId="0" applyNumberFormat="1" applyFont="1" applyFill="1" applyBorder="1" applyAlignment="1" applyProtection="1">
      <alignment vertical="center"/>
      <protection hidden="1"/>
    </xf>
    <xf numFmtId="167" fontId="52" fillId="2" borderId="0" xfId="0" applyNumberFormat="1" applyFont="1" applyFill="1" applyBorder="1" applyAlignment="1" applyProtection="1">
      <alignment vertical="center"/>
      <protection hidden="1"/>
    </xf>
    <xf numFmtId="167" fontId="43" fillId="2" borderId="0" xfId="0" applyNumberFormat="1" applyFont="1" applyFill="1" applyBorder="1" applyAlignment="1" applyProtection="1">
      <alignment vertical="center"/>
      <protection hidden="1"/>
    </xf>
    <xf numFmtId="167" fontId="43" fillId="2" borderId="19" xfId="0" applyNumberFormat="1" applyFont="1" applyFill="1" applyBorder="1" applyAlignment="1" applyProtection="1">
      <alignment vertical="center"/>
      <protection hidden="1"/>
    </xf>
    <xf numFmtId="0" fontId="51" fillId="9" borderId="9" xfId="22" applyFont="1" applyFill="1" applyBorder="1" applyAlignment="1">
      <alignment vertical="center"/>
    </xf>
    <xf numFmtId="0" fontId="13" fillId="4" borderId="67" xfId="0" applyFont="1" applyFill="1" applyBorder="1" applyAlignment="1">
      <alignment horizontal="center" vertical="center"/>
    </xf>
    <xf numFmtId="165" fontId="13" fillId="4" borderId="68" xfId="0" applyNumberFormat="1" applyFont="1" applyFill="1" applyBorder="1" applyAlignment="1">
      <alignment horizontal="right"/>
    </xf>
    <xf numFmtId="165" fontId="13" fillId="2" borderId="65" xfId="0" applyNumberFormat="1" applyFont="1" applyFill="1" applyBorder="1" applyAlignment="1">
      <alignment horizontal="right"/>
    </xf>
    <xf numFmtId="165" fontId="17" fillId="2" borderId="65" xfId="0" applyNumberFormat="1" applyFont="1" applyFill="1" applyBorder="1" applyAlignment="1">
      <alignment horizontal="right"/>
    </xf>
    <xf numFmtId="165" fontId="13" fillId="4" borderId="9" xfId="0" applyNumberFormat="1" applyFont="1" applyFill="1" applyBorder="1"/>
    <xf numFmtId="165" fontId="17" fillId="2" borderId="66" xfId="0" applyNumberFormat="1" applyFont="1" applyFill="1" applyBorder="1" applyAlignment="1">
      <alignment horizontal="right"/>
    </xf>
    <xf numFmtId="165" fontId="13" fillId="4" borderId="13" xfId="0" applyNumberFormat="1" applyFont="1" applyFill="1" applyBorder="1" applyAlignment="1">
      <alignment horizontal="right"/>
    </xf>
    <xf numFmtId="165" fontId="13" fillId="2" borderId="27" xfId="0" applyNumberFormat="1" applyFont="1" applyFill="1" applyBorder="1" applyAlignment="1">
      <alignment horizontal="right" vertical="center"/>
    </xf>
    <xf numFmtId="165" fontId="13" fillId="4" borderId="43" xfId="0" applyNumberFormat="1" applyFont="1" applyFill="1" applyBorder="1"/>
    <xf numFmtId="49" fontId="13" fillId="2" borderId="27" xfId="0" applyNumberFormat="1" applyFont="1" applyFill="1" applyBorder="1" applyAlignment="1">
      <alignment vertical="center" wrapText="1"/>
    </xf>
    <xf numFmtId="165" fontId="13" fillId="2" borderId="14" xfId="0" applyNumberFormat="1" applyFont="1" applyFill="1" applyBorder="1"/>
    <xf numFmtId="4" fontId="13" fillId="2" borderId="29" xfId="0" applyNumberFormat="1" applyFont="1" applyFill="1" applyBorder="1"/>
    <xf numFmtId="165" fontId="55" fillId="2" borderId="14" xfId="0" applyNumberFormat="1" applyFont="1" applyFill="1" applyBorder="1"/>
    <xf numFmtId="4" fontId="55" fillId="2" borderId="29" xfId="0" applyNumberFormat="1" applyFont="1" applyFill="1" applyBorder="1"/>
    <xf numFmtId="0" fontId="49" fillId="2" borderId="0" xfId="0" applyFont="1" applyFill="1" applyAlignment="1">
      <alignment vertical="top"/>
    </xf>
    <xf numFmtId="165" fontId="56" fillId="2" borderId="0" xfId="0" applyNumberFormat="1" applyFont="1" applyFill="1" applyBorder="1"/>
    <xf numFmtId="165" fontId="13" fillId="4" borderId="13" xfId="0" applyNumberFormat="1" applyFont="1" applyFill="1" applyBorder="1"/>
    <xf numFmtId="167" fontId="43" fillId="2" borderId="0" xfId="0" applyNumberFormat="1" applyFont="1" applyFill="1" applyBorder="1" applyAlignment="1">
      <alignment vertical="center"/>
    </xf>
    <xf numFmtId="167" fontId="52" fillId="2" borderId="0" xfId="0" applyNumberFormat="1" applyFont="1" applyFill="1" applyBorder="1" applyAlignment="1">
      <alignment vertical="center"/>
    </xf>
    <xf numFmtId="0" fontId="50" fillId="10" borderId="9" xfId="22" applyFont="1" applyFill="1" applyBorder="1" applyAlignment="1">
      <alignment vertical="center"/>
    </xf>
    <xf numFmtId="0" fontId="17" fillId="12" borderId="9" xfId="0" applyNumberFormat="1" applyFont="1" applyFill="1" applyBorder="1" applyAlignment="1" applyProtection="1">
      <alignment horizontal="center" vertical="center"/>
      <protection hidden="1"/>
    </xf>
    <xf numFmtId="0" fontId="17" fillId="12" borderId="9" xfId="0" applyNumberFormat="1" applyFont="1" applyFill="1" applyBorder="1" applyAlignment="1">
      <alignment horizontal="center" vertical="center"/>
    </xf>
    <xf numFmtId="165" fontId="13" fillId="2" borderId="32" xfId="0" applyNumberFormat="1" applyFont="1" applyFill="1" applyBorder="1" applyAlignment="1">
      <alignment horizontal="right" vertical="center"/>
    </xf>
    <xf numFmtId="165" fontId="13" fillId="2" borderId="0" xfId="0" applyNumberFormat="1" applyFont="1" applyFill="1" applyBorder="1" applyAlignment="1">
      <alignment horizontal="right"/>
    </xf>
    <xf numFmtId="165" fontId="17" fillId="2" borderId="0" xfId="0" applyNumberFormat="1" applyFont="1" applyFill="1" applyBorder="1" applyAlignment="1">
      <alignment horizontal="right"/>
    </xf>
    <xf numFmtId="165" fontId="0" fillId="2" borderId="0" xfId="0" applyNumberFormat="1" applyFill="1" applyBorder="1"/>
    <xf numFmtId="165" fontId="13" fillId="2" borderId="0" xfId="0" applyNumberFormat="1" applyFont="1" applyFill="1" applyBorder="1"/>
    <xf numFmtId="165" fontId="13" fillId="2" borderId="57" xfId="0" applyNumberFormat="1" applyFont="1" applyFill="1" applyBorder="1" applyAlignment="1">
      <alignment horizontal="right" vertical="center"/>
    </xf>
    <xf numFmtId="0" fontId="13" fillId="2" borderId="0" xfId="0" applyFont="1" applyFill="1" applyBorder="1" applyAlignment="1">
      <alignment vertical="center"/>
    </xf>
    <xf numFmtId="0" fontId="13" fillId="2" borderId="0" xfId="0" applyFont="1" applyFill="1" applyBorder="1" applyAlignment="1">
      <alignment horizontal="center" vertical="center"/>
    </xf>
    <xf numFmtId="165" fontId="13" fillId="2" borderId="46" xfId="0" applyNumberFormat="1" applyFont="1" applyFill="1" applyBorder="1" applyAlignment="1">
      <alignment horizontal="right"/>
    </xf>
    <xf numFmtId="2" fontId="13" fillId="11" borderId="13" xfId="0" applyNumberFormat="1" applyFont="1" applyFill="1" applyBorder="1"/>
    <xf numFmtId="165" fontId="13" fillId="4" borderId="9" xfId="0" applyNumberFormat="1" applyFont="1" applyFill="1" applyBorder="1" applyAlignment="1">
      <alignment horizontal="right" vertical="center"/>
    </xf>
    <xf numFmtId="165" fontId="13" fillId="4" borderId="3" xfId="0" applyNumberFormat="1" applyFont="1" applyFill="1" applyBorder="1" applyAlignment="1">
      <alignment horizontal="right" vertical="center"/>
    </xf>
    <xf numFmtId="165" fontId="13" fillId="4" borderId="33" xfId="0" applyNumberFormat="1" applyFont="1" applyFill="1" applyBorder="1" applyAlignment="1">
      <alignment horizontal="right" vertical="center"/>
    </xf>
    <xf numFmtId="2" fontId="17" fillId="13" borderId="19" xfId="0" applyNumberFormat="1" applyFont="1" applyFill="1" applyBorder="1" applyAlignment="1">
      <alignment horizontal="right"/>
    </xf>
    <xf numFmtId="2" fontId="13" fillId="13" borderId="59" xfId="0" applyNumberFormat="1" applyFont="1" applyFill="1" applyBorder="1" applyAlignment="1">
      <alignment horizontal="right" vertical="center"/>
    </xf>
    <xf numFmtId="2" fontId="13" fillId="13" borderId="15" xfId="0" applyNumberFormat="1" applyFont="1" applyFill="1" applyBorder="1" applyAlignment="1">
      <alignment horizontal="right"/>
    </xf>
    <xf numFmtId="2" fontId="17" fillId="13" borderId="15" xfId="0" applyNumberFormat="1" applyFont="1" applyFill="1" applyBorder="1" applyAlignment="1">
      <alignment horizontal="right"/>
    </xf>
    <xf numFmtId="2" fontId="13" fillId="13" borderId="29" xfId="0" applyNumberFormat="1" applyFont="1" applyFill="1" applyBorder="1" applyAlignment="1">
      <alignment horizontal="right" vertical="center"/>
    </xf>
    <xf numFmtId="2" fontId="13" fillId="13" borderId="15" xfId="0" applyNumberFormat="1" applyFont="1" applyFill="1" applyBorder="1" applyAlignment="1">
      <alignment horizontal="right" vertical="center"/>
    </xf>
    <xf numFmtId="2" fontId="17" fillId="13" borderId="59" xfId="0" applyNumberFormat="1" applyFont="1" applyFill="1" applyBorder="1" applyAlignment="1">
      <alignment horizontal="right"/>
    </xf>
    <xf numFmtId="0" fontId="50" fillId="14" borderId="9" xfId="22" applyFont="1" applyFill="1" applyBorder="1" applyAlignment="1">
      <alignment vertical="center"/>
    </xf>
    <xf numFmtId="165" fontId="17" fillId="2" borderId="14" xfId="0" applyNumberFormat="1" applyFont="1" applyFill="1" applyBorder="1" applyAlignment="1">
      <alignment horizontal="right" vertical="center"/>
    </xf>
    <xf numFmtId="4" fontId="17" fillId="2" borderId="29" xfId="0" applyNumberFormat="1" applyFont="1" applyFill="1" applyBorder="1" applyAlignment="1">
      <alignment horizontal="right" vertical="center"/>
    </xf>
    <xf numFmtId="2" fontId="17" fillId="2" borderId="27" xfId="0" applyNumberFormat="1" applyFont="1" applyFill="1" applyBorder="1" applyAlignment="1">
      <alignment horizontal="left" vertical="center" wrapText="1"/>
    </xf>
    <xf numFmtId="0" fontId="50" fillId="15" borderId="9" xfId="22" applyFont="1" applyFill="1" applyBorder="1" applyAlignment="1">
      <alignment vertical="center"/>
    </xf>
    <xf numFmtId="2" fontId="13" fillId="16" borderId="9" xfId="0" applyNumberFormat="1" applyFont="1" applyFill="1" applyBorder="1" applyAlignment="1">
      <alignment horizontal="left" vertical="center" wrapText="1"/>
    </xf>
    <xf numFmtId="165" fontId="13" fillId="16" borderId="8" xfId="0" applyNumberFormat="1" applyFont="1" applyFill="1" applyBorder="1" applyAlignment="1">
      <alignment horizontal="right" vertical="center"/>
    </xf>
    <xf numFmtId="4" fontId="13" fillId="16" borderId="34" xfId="0" applyNumberFormat="1" applyFont="1" applyFill="1" applyBorder="1" applyAlignment="1">
      <alignment horizontal="right" vertical="center"/>
    </xf>
    <xf numFmtId="0" fontId="13" fillId="16" borderId="54" xfId="0" applyFont="1" applyFill="1" applyBorder="1" applyAlignment="1">
      <alignment horizontal="center" vertical="center" wrapText="1"/>
    </xf>
    <xf numFmtId="0" fontId="13" fillId="16" borderId="70" xfId="0" applyFont="1" applyFill="1" applyBorder="1" applyAlignment="1">
      <alignment horizontal="center" vertical="center" wrapText="1"/>
    </xf>
    <xf numFmtId="0" fontId="13" fillId="16" borderId="14" xfId="0" applyFont="1" applyFill="1" applyBorder="1" applyAlignment="1">
      <alignment horizontal="center" vertical="center" wrapText="1"/>
    </xf>
    <xf numFmtId="0" fontId="13" fillId="16" borderId="59" xfId="0" applyFont="1" applyFill="1" applyBorder="1" applyAlignment="1">
      <alignment horizontal="center" vertical="center" wrapText="1"/>
    </xf>
    <xf numFmtId="4" fontId="17" fillId="2" borderId="59" xfId="0" applyNumberFormat="1" applyFont="1" applyFill="1" applyBorder="1" applyAlignment="1">
      <alignment horizontal="right" vertical="center"/>
    </xf>
    <xf numFmtId="165" fontId="13" fillId="16" borderId="3" xfId="0" applyNumberFormat="1" applyFont="1" applyFill="1" applyBorder="1" applyAlignment="1">
      <alignment horizontal="right" vertical="center"/>
    </xf>
    <xf numFmtId="0" fontId="13" fillId="2" borderId="0" xfId="0" applyFont="1" applyFill="1" applyBorder="1" applyAlignment="1">
      <alignment horizontal="center" vertical="center" wrapText="1"/>
    </xf>
    <xf numFmtId="4" fontId="13" fillId="2" borderId="0" xfId="0" applyNumberFormat="1" applyFont="1" applyFill="1" applyBorder="1" applyAlignment="1">
      <alignment horizontal="right" vertical="center"/>
    </xf>
    <xf numFmtId="165" fontId="17" fillId="2" borderId="0" xfId="0" applyNumberFormat="1" applyFont="1" applyFill="1" applyBorder="1" applyAlignment="1">
      <alignment horizontal="right" vertical="center"/>
    </xf>
    <xf numFmtId="4" fontId="17" fillId="2" borderId="0" xfId="0" applyNumberFormat="1" applyFont="1" applyFill="1" applyBorder="1" applyAlignment="1">
      <alignment horizontal="right" vertical="center"/>
    </xf>
    <xf numFmtId="165" fontId="17" fillId="2" borderId="58" xfId="0" applyNumberFormat="1" applyFont="1" applyFill="1" applyBorder="1" applyAlignment="1">
      <alignment horizontal="right" vertical="center"/>
    </xf>
    <xf numFmtId="4" fontId="17" fillId="2" borderId="55" xfId="0" applyNumberFormat="1" applyFont="1" applyFill="1" applyBorder="1" applyAlignment="1">
      <alignment horizontal="right" vertical="center"/>
    </xf>
    <xf numFmtId="2" fontId="17" fillId="2" borderId="30" xfId="0" applyNumberFormat="1" applyFont="1" applyFill="1" applyBorder="1" applyAlignment="1">
      <alignment horizontal="left" vertical="center" wrapText="1"/>
    </xf>
    <xf numFmtId="165" fontId="17" fillId="2" borderId="64" xfId="0" applyNumberFormat="1" applyFont="1" applyFill="1" applyBorder="1" applyAlignment="1">
      <alignment horizontal="right" vertical="center"/>
    </xf>
    <xf numFmtId="0" fontId="50" fillId="17" borderId="9" xfId="22" applyFont="1" applyFill="1" applyBorder="1" applyAlignment="1">
      <alignment vertical="center"/>
    </xf>
    <xf numFmtId="0" fontId="20" fillId="2" borderId="0" xfId="26" applyFont="1" applyFill="1" applyBorder="1" applyAlignment="1">
      <alignment horizontal="center" vertical="center" wrapText="1"/>
    </xf>
    <xf numFmtId="165" fontId="61" fillId="2" borderId="0" xfId="26" applyNumberFormat="1" applyFont="1" applyFill="1" applyBorder="1" applyAlignment="1">
      <alignment wrapText="1"/>
    </xf>
    <xf numFmtId="4" fontId="61" fillId="2" borderId="0" xfId="26" applyNumberFormat="1" applyFont="1" applyFill="1" applyBorder="1" applyAlignment="1"/>
    <xf numFmtId="165" fontId="61" fillId="2" borderId="0" xfId="26" applyNumberFormat="1" applyFont="1" applyFill="1" applyBorder="1" applyAlignment="1"/>
    <xf numFmtId="165" fontId="20" fillId="2" borderId="0" xfId="26" applyNumberFormat="1" applyFont="1" applyFill="1" applyBorder="1" applyAlignment="1"/>
    <xf numFmtId="4" fontId="20" fillId="2" borderId="0" xfId="26" applyNumberFormat="1" applyFont="1" applyFill="1" applyBorder="1" applyAlignment="1"/>
    <xf numFmtId="0" fontId="17" fillId="12" borderId="13" xfId="0" applyNumberFormat="1" applyFont="1" applyFill="1" applyBorder="1" applyAlignment="1" applyProtection="1">
      <alignment horizontal="center" vertical="center"/>
      <protection hidden="1"/>
    </xf>
    <xf numFmtId="165" fontId="66" fillId="5" borderId="8" xfId="22" applyNumberFormat="1" applyFont="1" applyFill="1" applyBorder="1" applyAlignment="1">
      <alignment vertical="center"/>
    </xf>
    <xf numFmtId="4" fontId="66" fillId="5" borderId="34" xfId="22" applyNumberFormat="1" applyFont="1" applyFill="1" applyBorder="1" applyAlignment="1">
      <alignment vertical="center"/>
    </xf>
    <xf numFmtId="165" fontId="66" fillId="2" borderId="47" xfId="22" applyNumberFormat="1" applyFont="1" applyFill="1" applyBorder="1" applyAlignment="1">
      <alignment vertical="center"/>
    </xf>
    <xf numFmtId="4" fontId="66" fillId="2" borderId="19" xfId="22" applyNumberFormat="1" applyFont="1" applyFill="1" applyBorder="1" applyAlignment="1">
      <alignment vertical="center"/>
    </xf>
    <xf numFmtId="165" fontId="67" fillId="2" borderId="47" xfId="22" applyNumberFormat="1" applyFont="1" applyFill="1" applyBorder="1" applyAlignment="1">
      <alignment vertical="center"/>
    </xf>
    <xf numFmtId="4" fontId="67" fillId="2" borderId="19" xfId="22" applyNumberFormat="1" applyFont="1" applyFill="1" applyBorder="1" applyAlignment="1">
      <alignment vertical="center"/>
    </xf>
    <xf numFmtId="165" fontId="66" fillId="2" borderId="14" xfId="22" applyNumberFormat="1" applyFont="1" applyFill="1" applyBorder="1" applyAlignment="1">
      <alignment vertical="center"/>
    </xf>
    <xf numFmtId="4" fontId="66" fillId="2" borderId="29" xfId="22" applyNumberFormat="1" applyFont="1" applyFill="1" applyBorder="1" applyAlignment="1">
      <alignment vertical="center"/>
    </xf>
    <xf numFmtId="165" fontId="68" fillId="2" borderId="47" xfId="22" applyNumberFormat="1" applyFont="1" applyFill="1" applyBorder="1" applyAlignment="1">
      <alignment vertical="center"/>
    </xf>
    <xf numFmtId="4" fontId="68" fillId="2" borderId="19" xfId="22" applyNumberFormat="1" applyFont="1" applyFill="1" applyBorder="1" applyAlignment="1">
      <alignment vertical="center"/>
    </xf>
    <xf numFmtId="165" fontId="67" fillId="2" borderId="0" xfId="22" applyNumberFormat="1" applyFont="1" applyFill="1" applyBorder="1" applyAlignment="1">
      <alignment vertical="center"/>
    </xf>
    <xf numFmtId="165" fontId="13" fillId="2" borderId="44" xfId="0" applyNumberFormat="1" applyFont="1" applyFill="1" applyBorder="1" applyAlignment="1">
      <alignment horizontal="right" vertical="center"/>
    </xf>
    <xf numFmtId="2" fontId="0" fillId="2" borderId="0" xfId="0" applyNumberFormat="1" applyFill="1" applyBorder="1"/>
    <xf numFmtId="165" fontId="69" fillId="2" borderId="47" xfId="0" applyNumberFormat="1" applyFont="1" applyFill="1" applyBorder="1"/>
    <xf numFmtId="4" fontId="69" fillId="2" borderId="19" xfId="0" applyNumberFormat="1" applyFont="1" applyFill="1" applyBorder="1"/>
    <xf numFmtId="2" fontId="56" fillId="2" borderId="35" xfId="0" applyNumberFormat="1" applyFont="1" applyFill="1" applyBorder="1"/>
    <xf numFmtId="2" fontId="17" fillId="2" borderId="35" xfId="0" applyNumberFormat="1" applyFont="1" applyFill="1" applyBorder="1"/>
    <xf numFmtId="165" fontId="13" fillId="4" borderId="68" xfId="0" applyNumberFormat="1" applyFont="1" applyFill="1" applyBorder="1" applyAlignment="1">
      <alignment horizontal="right" vertical="center"/>
    </xf>
    <xf numFmtId="165" fontId="13" fillId="18" borderId="65" xfId="0" applyNumberFormat="1" applyFont="1" applyFill="1" applyBorder="1" applyAlignment="1">
      <alignment horizontal="right"/>
    </xf>
    <xf numFmtId="165" fontId="17" fillId="18" borderId="65" xfId="0" applyNumberFormat="1" applyFont="1" applyFill="1" applyBorder="1" applyAlignment="1">
      <alignment horizontal="right"/>
    </xf>
    <xf numFmtId="165" fontId="13" fillId="18" borderId="66" xfId="0" applyNumberFormat="1" applyFont="1" applyFill="1" applyBorder="1" applyAlignment="1">
      <alignment horizontal="right" vertical="center"/>
    </xf>
    <xf numFmtId="165" fontId="13" fillId="18" borderId="65" xfId="0" applyNumberFormat="1" applyFont="1" applyFill="1" applyBorder="1" applyAlignment="1">
      <alignment horizontal="right" vertical="center"/>
    </xf>
    <xf numFmtId="165" fontId="17" fillId="18" borderId="66" xfId="0" applyNumberFormat="1" applyFont="1" applyFill="1" applyBorder="1" applyAlignment="1">
      <alignment horizontal="right"/>
    </xf>
    <xf numFmtId="4" fontId="55" fillId="6" borderId="18" xfId="0" applyNumberFormat="1" applyFont="1" applyFill="1" applyBorder="1" applyAlignment="1">
      <alignment horizontal="right" vertical="center"/>
    </xf>
    <xf numFmtId="4" fontId="55" fillId="2" borderId="55" xfId="0" applyNumberFormat="1" applyFont="1" applyFill="1" applyBorder="1" applyAlignment="1">
      <alignment horizontal="right" vertical="center"/>
    </xf>
    <xf numFmtId="4" fontId="56" fillId="2" borderId="15" xfId="0" applyNumberFormat="1" applyFont="1" applyFill="1" applyBorder="1" applyAlignment="1">
      <alignment horizontal="right" vertical="center"/>
    </xf>
    <xf numFmtId="4" fontId="55" fillId="2" borderId="15" xfId="0" applyNumberFormat="1" applyFont="1" applyFill="1" applyBorder="1" applyAlignment="1">
      <alignment horizontal="right" vertical="center"/>
    </xf>
    <xf numFmtId="4" fontId="56" fillId="2" borderId="55" xfId="0" applyNumberFormat="1" applyFont="1" applyFill="1" applyBorder="1" applyAlignment="1">
      <alignment horizontal="right" vertical="center"/>
    </xf>
    <xf numFmtId="4" fontId="55" fillId="2" borderId="18" xfId="0" applyNumberFormat="1" applyFont="1" applyFill="1" applyBorder="1" applyAlignment="1">
      <alignment horizontal="right" vertical="center"/>
    </xf>
    <xf numFmtId="4" fontId="55" fillId="6" borderId="18" xfId="0" applyNumberFormat="1" applyFont="1" applyFill="1" applyBorder="1"/>
    <xf numFmtId="4" fontId="56" fillId="2" borderId="55" xfId="0" applyNumberFormat="1" applyFont="1" applyFill="1" applyBorder="1"/>
    <xf numFmtId="4" fontId="56" fillId="2" borderId="15" xfId="0" applyNumberFormat="1" applyFont="1" applyFill="1" applyBorder="1"/>
    <xf numFmtId="4" fontId="55" fillId="2" borderId="59" xfId="0" applyNumberFormat="1" applyFont="1" applyFill="1" applyBorder="1"/>
    <xf numFmtId="165" fontId="13" fillId="2" borderId="19" xfId="0" applyNumberFormat="1" applyFont="1" applyFill="1" applyBorder="1" applyAlignment="1">
      <alignment horizontal="right" vertical="center"/>
    </xf>
    <xf numFmtId="165" fontId="0" fillId="2" borderId="29" xfId="0" applyNumberFormat="1" applyFill="1" applyBorder="1"/>
    <xf numFmtId="165" fontId="13" fillId="4" borderId="45" xfId="0" applyNumberFormat="1" applyFont="1" applyFill="1" applyBorder="1"/>
    <xf numFmtId="165" fontId="0" fillId="2" borderId="45" xfId="0" applyNumberFormat="1" applyFill="1" applyBorder="1"/>
    <xf numFmtId="165" fontId="17" fillId="2" borderId="59" xfId="0" applyNumberFormat="1" applyFont="1" applyFill="1" applyBorder="1" applyAlignment="1">
      <alignment horizontal="right"/>
    </xf>
    <xf numFmtId="165" fontId="13" fillId="4" borderId="59" xfId="0" applyNumberFormat="1" applyFont="1" applyFill="1" applyBorder="1" applyAlignment="1">
      <alignment horizontal="right" vertical="center"/>
    </xf>
    <xf numFmtId="178" fontId="13" fillId="4" borderId="34" xfId="0" applyNumberFormat="1" applyFont="1" applyFill="1" applyBorder="1" applyAlignment="1">
      <alignment horizontal="right"/>
    </xf>
    <xf numFmtId="179" fontId="43" fillId="12" borderId="9" xfId="0" applyNumberFormat="1" applyFont="1" applyFill="1" applyBorder="1" applyAlignment="1" applyProtection="1">
      <alignment vertical="center"/>
      <protection hidden="1"/>
    </xf>
    <xf numFmtId="179" fontId="43" fillId="12" borderId="9" xfId="0" applyNumberFormat="1" applyFont="1" applyFill="1" applyBorder="1" applyAlignment="1">
      <alignment vertical="center"/>
    </xf>
    <xf numFmtId="179" fontId="60" fillId="12" borderId="9" xfId="0" applyNumberFormat="1" applyFont="1" applyFill="1" applyBorder="1" applyAlignment="1">
      <alignment vertical="center"/>
    </xf>
    <xf numFmtId="179" fontId="60" fillId="12" borderId="9" xfId="0" applyNumberFormat="1" applyFont="1" applyFill="1" applyBorder="1" applyAlignment="1" applyProtection="1">
      <alignment vertical="center"/>
      <protection hidden="1"/>
    </xf>
    <xf numFmtId="165" fontId="0" fillId="2" borderId="0" xfId="0" applyNumberFormat="1" applyFill="1"/>
    <xf numFmtId="165" fontId="17" fillId="2" borderId="57" xfId="0" applyNumberFormat="1" applyFont="1" applyFill="1" applyBorder="1" applyAlignment="1">
      <alignment horizontal="right"/>
    </xf>
    <xf numFmtId="0" fontId="40" fillId="0" borderId="0" xfId="22" applyFont="1" applyFill="1" applyBorder="1" applyAlignment="1">
      <alignment vertical="center"/>
    </xf>
    <xf numFmtId="0" fontId="40" fillId="0" borderId="0" xfId="22" applyFont="1" applyFill="1" applyAlignment="1">
      <alignment vertical="center"/>
    </xf>
    <xf numFmtId="0" fontId="40" fillId="0" borderId="0" xfId="22" applyFont="1" applyFill="1" applyBorder="1" applyAlignment="1">
      <alignment horizontal="center" vertical="center"/>
    </xf>
    <xf numFmtId="2" fontId="40" fillId="0" borderId="0" xfId="22" applyNumberFormat="1" applyFont="1" applyFill="1" applyBorder="1" applyAlignment="1">
      <alignment vertical="center"/>
    </xf>
    <xf numFmtId="2" fontId="40" fillId="0" borderId="0" xfId="22" applyNumberFormat="1" applyFont="1" applyFill="1" applyBorder="1" applyAlignment="1">
      <alignment horizontal="left" vertical="center"/>
    </xf>
    <xf numFmtId="49" fontId="40" fillId="0" borderId="0" xfId="22" applyNumberFormat="1" applyFont="1" applyFill="1" applyBorder="1" applyAlignment="1">
      <alignment vertical="center"/>
    </xf>
    <xf numFmtId="0" fontId="40" fillId="3" borderId="0" xfId="0" applyFont="1" applyFill="1" applyAlignment="1" applyProtection="1">
      <alignment vertical="center"/>
      <protection locked="0"/>
    </xf>
    <xf numFmtId="0" fontId="40" fillId="0" borderId="0" xfId="0" applyFont="1" applyAlignment="1">
      <alignment vertical="center"/>
    </xf>
    <xf numFmtId="0" fontId="40" fillId="0" borderId="0" xfId="22" applyFont="1" applyAlignment="1">
      <alignment vertical="center"/>
    </xf>
    <xf numFmtId="1" fontId="40" fillId="0" borderId="0" xfId="0" applyNumberFormat="1" applyFont="1" applyFill="1" applyBorder="1" applyAlignment="1">
      <alignment horizontal="center" vertical="center"/>
    </xf>
    <xf numFmtId="1" fontId="40" fillId="0" borderId="0" xfId="0" applyNumberFormat="1" applyFont="1" applyFill="1" applyAlignment="1">
      <alignment horizontal="center" vertical="center"/>
    </xf>
    <xf numFmtId="0" fontId="40" fillId="0" borderId="0" xfId="0" applyFont="1" applyFill="1" applyBorder="1" applyAlignment="1">
      <alignment horizontal="left" vertical="center"/>
    </xf>
    <xf numFmtId="16" fontId="40" fillId="0" borderId="0" xfId="0" applyNumberFormat="1" applyFont="1" applyFill="1" applyAlignment="1">
      <alignment vertical="center"/>
    </xf>
    <xf numFmtId="0" fontId="40" fillId="0" borderId="0" xfId="0" applyFont="1" applyFill="1" applyAlignment="1">
      <alignment vertical="center"/>
    </xf>
    <xf numFmtId="16" fontId="40" fillId="0" borderId="0" xfId="0" applyNumberFormat="1" applyFont="1" applyFill="1" applyBorder="1" applyAlignment="1">
      <alignment horizontal="left" vertical="center"/>
    </xf>
    <xf numFmtId="17" fontId="40" fillId="0" borderId="0" xfId="0" applyNumberFormat="1" applyFont="1" applyFill="1" applyBorder="1" applyAlignment="1">
      <alignment horizontal="left" vertical="center"/>
    </xf>
    <xf numFmtId="0" fontId="40" fillId="0" borderId="0" xfId="0" applyFont="1" applyFill="1" applyAlignment="1">
      <alignment horizontal="left" vertical="center"/>
    </xf>
    <xf numFmtId="17" fontId="40" fillId="0" borderId="0" xfId="0" applyNumberFormat="1" applyFont="1" applyFill="1" applyAlignment="1">
      <alignment vertical="center"/>
    </xf>
    <xf numFmtId="4" fontId="40" fillId="0" borderId="0" xfId="22" applyNumberFormat="1" applyFont="1" applyFill="1" applyBorder="1" applyAlignment="1">
      <alignment vertical="center"/>
    </xf>
    <xf numFmtId="165" fontId="40" fillId="0" borderId="0" xfId="22" applyNumberFormat="1" applyFont="1" applyFill="1" applyBorder="1" applyAlignment="1">
      <alignment vertical="center"/>
    </xf>
    <xf numFmtId="4" fontId="71" fillId="0" borderId="0" xfId="22" applyNumberFormat="1" applyFont="1" applyFill="1" applyBorder="1" applyAlignment="1">
      <alignment vertical="center"/>
    </xf>
    <xf numFmtId="165" fontId="71" fillId="0" borderId="0" xfId="22" applyNumberFormat="1" applyFont="1" applyFill="1" applyBorder="1" applyAlignment="1">
      <alignment vertical="center"/>
    </xf>
    <xf numFmtId="49" fontId="40" fillId="0" borderId="0" xfId="22" applyNumberFormat="1" applyFont="1" applyAlignment="1">
      <alignment vertical="center"/>
    </xf>
    <xf numFmtId="49" fontId="40" fillId="0" borderId="0" xfId="0" applyNumberFormat="1" applyFont="1" applyAlignment="1">
      <alignment vertical="center"/>
    </xf>
    <xf numFmtId="178" fontId="0" fillId="2" borderId="0" xfId="0" applyNumberFormat="1" applyFill="1"/>
    <xf numFmtId="165" fontId="74" fillId="2" borderId="47" xfId="0" applyNumberFormat="1" applyFont="1" applyFill="1" applyBorder="1"/>
    <xf numFmtId="4" fontId="74" fillId="2" borderId="15" xfId="0" applyNumberFormat="1" applyFont="1" applyFill="1" applyBorder="1"/>
    <xf numFmtId="165" fontId="73" fillId="2" borderId="47" xfId="0" applyNumberFormat="1" applyFont="1" applyFill="1" applyBorder="1"/>
    <xf numFmtId="4" fontId="73" fillId="2" borderId="15" xfId="0" applyNumberFormat="1" applyFont="1" applyFill="1" applyBorder="1"/>
    <xf numFmtId="165" fontId="73" fillId="2" borderId="8" xfId="0" applyNumberFormat="1" applyFont="1" applyFill="1" applyBorder="1"/>
    <xf numFmtId="4" fontId="73" fillId="2" borderId="18" xfId="0" applyNumberFormat="1" applyFont="1" applyFill="1" applyBorder="1"/>
    <xf numFmtId="165" fontId="17" fillId="2" borderId="0" xfId="0" applyNumberFormat="1" applyFont="1" applyFill="1"/>
    <xf numFmtId="2" fontId="17" fillId="2" borderId="9" xfId="22" applyNumberFormat="1" applyFont="1" applyFill="1" applyBorder="1" applyAlignment="1">
      <alignment vertical="center"/>
    </xf>
    <xf numFmtId="165" fontId="17" fillId="2" borderId="8" xfId="22" applyNumberFormat="1" applyFont="1" applyFill="1" applyBorder="1" applyAlignment="1">
      <alignment vertical="center"/>
    </xf>
    <xf numFmtId="4" fontId="17" fillId="2" borderId="34" xfId="22" applyNumberFormat="1" applyFont="1" applyFill="1" applyBorder="1" applyAlignment="1">
      <alignment vertical="center"/>
    </xf>
    <xf numFmtId="4" fontId="17" fillId="2" borderId="33" xfId="22" applyNumberFormat="1" applyFont="1" applyFill="1" applyBorder="1" applyAlignment="1">
      <alignment vertical="center"/>
    </xf>
    <xf numFmtId="4" fontId="13" fillId="2" borderId="18" xfId="22" applyNumberFormat="1" applyFont="1" applyFill="1" applyBorder="1" applyAlignment="1">
      <alignment vertical="center"/>
    </xf>
    <xf numFmtId="49" fontId="13" fillId="2" borderId="28" xfId="0" applyNumberFormat="1" applyFont="1" applyFill="1" applyBorder="1" applyAlignment="1">
      <alignment horizontal="left" vertical="center" wrapText="1"/>
    </xf>
    <xf numFmtId="4" fontId="13" fillId="2" borderId="29" xfId="0" applyNumberFormat="1" applyFont="1" applyFill="1" applyBorder="1" applyAlignment="1">
      <alignment horizontal="right" vertical="center"/>
    </xf>
    <xf numFmtId="165" fontId="55" fillId="2" borderId="14" xfId="0" applyNumberFormat="1" applyFont="1" applyFill="1" applyBorder="1" applyAlignment="1">
      <alignment horizontal="right" vertical="center"/>
    </xf>
    <xf numFmtId="4" fontId="55" fillId="2" borderId="29" xfId="0" applyNumberFormat="1" applyFont="1" applyFill="1" applyBorder="1" applyAlignment="1">
      <alignment horizontal="right" vertical="center"/>
    </xf>
    <xf numFmtId="4" fontId="55" fillId="2" borderId="59" xfId="0" applyNumberFormat="1" applyFont="1" applyFill="1" applyBorder="1" applyAlignment="1">
      <alignment horizontal="right" vertical="center"/>
    </xf>
    <xf numFmtId="165" fontId="56" fillId="2" borderId="18" xfId="0" applyNumberFormat="1" applyFont="1" applyFill="1" applyBorder="1"/>
    <xf numFmtId="4" fontId="13" fillId="2" borderId="59" xfId="0" applyNumberFormat="1" applyFont="1" applyFill="1" applyBorder="1"/>
    <xf numFmtId="165" fontId="57" fillId="2" borderId="14" xfId="0" applyNumberFormat="1" applyFont="1" applyFill="1" applyBorder="1"/>
    <xf numFmtId="4" fontId="57" fillId="2" borderId="29" xfId="0" applyNumberFormat="1" applyFont="1" applyFill="1" applyBorder="1"/>
    <xf numFmtId="4" fontId="57" fillId="2" borderId="59" xfId="0" applyNumberFormat="1" applyFont="1" applyFill="1" applyBorder="1"/>
    <xf numFmtId="4" fontId="57" fillId="2" borderId="23" xfId="0" applyNumberFormat="1" applyFont="1" applyFill="1" applyBorder="1"/>
    <xf numFmtId="4" fontId="58" fillId="2" borderId="55" xfId="0" applyNumberFormat="1" applyFont="1" applyFill="1" applyBorder="1"/>
    <xf numFmtId="49" fontId="17" fillId="2" borderId="13" xfId="0" applyNumberFormat="1" applyFont="1" applyFill="1" applyBorder="1" applyAlignment="1">
      <alignment vertical="center" wrapText="1"/>
    </xf>
    <xf numFmtId="165" fontId="55" fillId="2" borderId="47" xfId="0" applyNumberFormat="1" applyFont="1" applyFill="1" applyBorder="1"/>
    <xf numFmtId="165" fontId="16" fillId="2" borderId="0" xfId="0" applyNumberFormat="1" applyFont="1" applyFill="1" applyBorder="1" applyAlignment="1">
      <alignment horizontal="right" vertical="center"/>
    </xf>
    <xf numFmtId="165" fontId="73" fillId="2" borderId="65" xfId="0" applyNumberFormat="1" applyFont="1" applyFill="1" applyBorder="1" applyAlignment="1">
      <alignment horizontal="right"/>
    </xf>
    <xf numFmtId="165" fontId="74" fillId="2" borderId="65" xfId="0" applyNumberFormat="1" applyFont="1" applyFill="1" applyBorder="1" applyAlignment="1">
      <alignment horizontal="right"/>
    </xf>
    <xf numFmtId="165" fontId="73" fillId="2" borderId="66" xfId="0" applyNumberFormat="1" applyFont="1" applyFill="1" applyBorder="1" applyAlignment="1">
      <alignment horizontal="right" vertical="center"/>
    </xf>
    <xf numFmtId="165" fontId="73" fillId="4" borderId="8" xfId="0" applyNumberFormat="1" applyFont="1" applyFill="1" applyBorder="1"/>
    <xf numFmtId="165" fontId="73" fillId="2" borderId="65" xfId="0" applyNumberFormat="1" applyFont="1" applyFill="1" applyBorder="1" applyAlignment="1">
      <alignment horizontal="right" vertical="center"/>
    </xf>
    <xf numFmtId="165" fontId="73" fillId="2" borderId="25" xfId="0" applyNumberFormat="1" applyFont="1" applyFill="1" applyBorder="1" applyAlignment="1">
      <alignment horizontal="right" vertical="center"/>
    </xf>
    <xf numFmtId="165" fontId="74" fillId="2" borderId="66" xfId="0" applyNumberFormat="1" applyFont="1" applyFill="1" applyBorder="1" applyAlignment="1">
      <alignment horizontal="right"/>
    </xf>
    <xf numFmtId="165" fontId="73" fillId="4" borderId="66" xfId="0" applyNumberFormat="1" applyFont="1" applyFill="1" applyBorder="1" applyAlignment="1">
      <alignment horizontal="right" vertical="center"/>
    </xf>
    <xf numFmtId="165" fontId="73" fillId="2" borderId="28" xfId="0" applyNumberFormat="1" applyFont="1" applyFill="1" applyBorder="1" applyAlignment="1">
      <alignment horizontal="right" vertical="center"/>
    </xf>
    <xf numFmtId="165" fontId="17" fillId="2" borderId="25" xfId="0" applyNumberFormat="1" applyFont="1" applyFill="1" applyBorder="1" applyAlignment="1">
      <alignment horizontal="right" vertical="center"/>
    </xf>
    <xf numFmtId="165" fontId="45" fillId="4" borderId="13" xfId="0" applyNumberFormat="1" applyFont="1" applyFill="1" applyBorder="1" applyAlignment="1">
      <alignment horizontal="center"/>
    </xf>
    <xf numFmtId="165" fontId="45" fillId="2" borderId="56" xfId="0" applyNumberFormat="1" applyFont="1" applyFill="1" applyBorder="1" applyAlignment="1">
      <alignment horizontal="center"/>
    </xf>
    <xf numFmtId="165" fontId="75" fillId="2" borderId="56" xfId="0" applyNumberFormat="1" applyFont="1" applyFill="1" applyBorder="1" applyAlignment="1">
      <alignment horizontal="center"/>
    </xf>
    <xf numFmtId="165" fontId="45" fillId="2" borderId="27" xfId="0" applyNumberFormat="1" applyFont="1" applyFill="1" applyBorder="1" applyAlignment="1">
      <alignment horizontal="center" vertical="center"/>
    </xf>
    <xf numFmtId="165" fontId="45" fillId="2" borderId="56" xfId="0" applyNumberFormat="1" applyFont="1" applyFill="1" applyBorder="1" applyAlignment="1">
      <alignment horizontal="center" vertical="center"/>
    </xf>
    <xf numFmtId="165" fontId="75" fillId="2" borderId="27" xfId="0" applyNumberFormat="1" applyFont="1" applyFill="1" applyBorder="1" applyAlignment="1">
      <alignment horizontal="center"/>
    </xf>
    <xf numFmtId="165" fontId="45" fillId="4" borderId="26" xfId="0" applyNumberFormat="1" applyFont="1" applyFill="1" applyBorder="1" applyAlignment="1">
      <alignment horizontal="center"/>
    </xf>
    <xf numFmtId="165" fontId="75" fillId="2" borderId="26" xfId="0" applyNumberFormat="1" applyFont="1" applyFill="1" applyBorder="1" applyAlignment="1">
      <alignment horizontal="center"/>
    </xf>
    <xf numFmtId="0" fontId="45" fillId="4" borderId="69" xfId="0" applyFont="1" applyFill="1" applyBorder="1" applyAlignment="1">
      <alignment horizontal="center" vertical="center"/>
    </xf>
    <xf numFmtId="0" fontId="0" fillId="0" borderId="0" xfId="0" applyFill="1" applyBorder="1"/>
    <xf numFmtId="2" fontId="70" fillId="0" borderId="0" xfId="0" applyNumberFormat="1" applyFont="1" applyFill="1"/>
    <xf numFmtId="177" fontId="46" fillId="2" borderId="0" xfId="0" applyNumberFormat="1" applyFont="1" applyFill="1" applyBorder="1" applyAlignment="1">
      <alignment horizontal="center" vertical="center" wrapText="1"/>
    </xf>
    <xf numFmtId="177" fontId="17" fillId="2" borderId="0" xfId="0" applyNumberFormat="1" applyFont="1" applyFill="1" applyBorder="1" applyAlignment="1">
      <alignment horizontal="center" vertical="center" wrapText="1"/>
    </xf>
    <xf numFmtId="177" fontId="39" fillId="2" borderId="0" xfId="0" applyNumberFormat="1" applyFont="1" applyFill="1" applyBorder="1" applyAlignment="1">
      <alignment horizontal="center" vertical="center" wrapText="1"/>
    </xf>
    <xf numFmtId="177" fontId="17" fillId="2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wrapText="1"/>
    </xf>
    <xf numFmtId="0" fontId="0" fillId="0" borderId="0" xfId="0" applyFill="1" applyBorder="1"/>
    <xf numFmtId="2" fontId="17" fillId="2" borderId="28" xfId="22" applyNumberFormat="1" applyFont="1" applyFill="1" applyBorder="1" applyAlignment="1">
      <alignment vertical="center"/>
    </xf>
    <xf numFmtId="165" fontId="17" fillId="2" borderId="14" xfId="22" applyNumberFormat="1" applyFont="1" applyFill="1" applyBorder="1" applyAlignment="1">
      <alignment vertical="center"/>
    </xf>
    <xf numFmtId="4" fontId="17" fillId="2" borderId="29" xfId="22" applyNumberFormat="1" applyFont="1" applyFill="1" applyBorder="1" applyAlignment="1">
      <alignment vertical="center"/>
    </xf>
    <xf numFmtId="4" fontId="17" fillId="2" borderId="32" xfId="22" applyNumberFormat="1" applyFont="1" applyFill="1" applyBorder="1" applyAlignment="1">
      <alignment vertical="center"/>
    </xf>
    <xf numFmtId="165" fontId="67" fillId="2" borderId="14" xfId="22" applyNumberFormat="1" applyFont="1" applyFill="1" applyBorder="1" applyAlignment="1">
      <alignment vertical="center"/>
    </xf>
    <xf numFmtId="4" fontId="67" fillId="2" borderId="29" xfId="22" applyNumberFormat="1" applyFont="1" applyFill="1" applyBorder="1" applyAlignment="1">
      <alignment vertical="center"/>
    </xf>
    <xf numFmtId="4" fontId="67" fillId="2" borderId="15" xfId="22" applyNumberFormat="1" applyFont="1" applyFill="1" applyBorder="1" applyAlignment="1">
      <alignment vertical="center"/>
    </xf>
    <xf numFmtId="165" fontId="56" fillId="2" borderId="59" xfId="0" applyNumberFormat="1" applyFont="1" applyFill="1" applyBorder="1"/>
    <xf numFmtId="0" fontId="0" fillId="0" borderId="0" xfId="0" applyAlignment="1"/>
    <xf numFmtId="0" fontId="13" fillId="4" borderId="13" xfId="0" applyFont="1" applyFill="1" applyBorder="1" applyAlignment="1"/>
    <xf numFmtId="0" fontId="13" fillId="2" borderId="26" xfId="0" applyFont="1" applyFill="1" applyBorder="1" applyAlignment="1"/>
    <xf numFmtId="0" fontId="17" fillId="2" borderId="56" xfId="0" applyFont="1" applyFill="1" applyBorder="1" applyAlignment="1"/>
    <xf numFmtId="0" fontId="13" fillId="2" borderId="56" xfId="0" applyFont="1" applyFill="1" applyBorder="1" applyAlignment="1"/>
    <xf numFmtId="0" fontId="13" fillId="2" borderId="27" xfId="0" applyFont="1" applyFill="1" applyBorder="1" applyAlignment="1"/>
    <xf numFmtId="0" fontId="0" fillId="2" borderId="56" xfId="0" applyFill="1" applyBorder="1" applyAlignment="1"/>
    <xf numFmtId="0" fontId="0" fillId="2" borderId="27" xfId="0" applyFill="1" applyBorder="1" applyAlignment="1"/>
    <xf numFmtId="0" fontId="13" fillId="2" borderId="28" xfId="0" applyFont="1" applyFill="1" applyBorder="1" applyAlignment="1"/>
    <xf numFmtId="180" fontId="0" fillId="2" borderId="0" xfId="0" applyNumberFormat="1" applyFill="1"/>
    <xf numFmtId="2" fontId="17" fillId="2" borderId="0" xfId="0" applyNumberFormat="1" applyFont="1" applyFill="1"/>
    <xf numFmtId="17" fontId="17" fillId="0" borderId="0" xfId="0" applyNumberFormat="1" applyFont="1"/>
    <xf numFmtId="165" fontId="45" fillId="2" borderId="0" xfId="0" applyNumberFormat="1" applyFont="1" applyFill="1" applyBorder="1" applyAlignment="1">
      <alignment horizontal="center"/>
    </xf>
    <xf numFmtId="2" fontId="0" fillId="0" borderId="0" xfId="0" applyNumberFormat="1"/>
    <xf numFmtId="0" fontId="17" fillId="2" borderId="27" xfId="0" applyFont="1" applyFill="1" applyBorder="1"/>
    <xf numFmtId="165" fontId="13" fillId="11" borderId="8" xfId="0" applyNumberFormat="1" applyFont="1" applyFill="1" applyBorder="1" applyAlignment="1">
      <alignment horizontal="right"/>
    </xf>
    <xf numFmtId="0" fontId="43" fillId="2" borderId="0" xfId="0" applyFont="1" applyFill="1" applyAlignment="1">
      <alignment horizontal="center"/>
    </xf>
    <xf numFmtId="165" fontId="13" fillId="4" borderId="8" xfId="0" applyNumberFormat="1" applyFont="1" applyFill="1" applyBorder="1" applyAlignment="1">
      <alignment horizontal="right" vertical="center"/>
    </xf>
    <xf numFmtId="165" fontId="17" fillId="2" borderId="44" xfId="0" applyNumberFormat="1" applyFont="1" applyFill="1" applyBorder="1" applyAlignment="1">
      <alignment horizontal="right" vertical="center"/>
    </xf>
    <xf numFmtId="165" fontId="17" fillId="2" borderId="58" xfId="0" applyNumberFormat="1" applyFont="1" applyFill="1" applyBorder="1" applyAlignment="1">
      <alignment horizontal="right"/>
    </xf>
    <xf numFmtId="165" fontId="13" fillId="4" borderId="43" xfId="0" applyNumberFormat="1" applyFont="1" applyFill="1" applyBorder="1" applyAlignment="1">
      <alignment horizontal="right" vertical="center"/>
    </xf>
    <xf numFmtId="165" fontId="13" fillId="4" borderId="53" xfId="0" applyNumberFormat="1" applyFont="1" applyFill="1" applyBorder="1" applyAlignment="1">
      <alignment horizontal="right" vertical="center"/>
    </xf>
    <xf numFmtId="165" fontId="76" fillId="2" borderId="47" xfId="22" applyNumberFormat="1" applyFont="1" applyFill="1" applyBorder="1" applyAlignment="1">
      <alignment vertical="center"/>
    </xf>
    <xf numFmtId="4" fontId="76" fillId="2" borderId="19" xfId="22" applyNumberFormat="1" applyFont="1" applyFill="1" applyBorder="1" applyAlignment="1">
      <alignment vertical="center"/>
    </xf>
    <xf numFmtId="165" fontId="77" fillId="2" borderId="47" xfId="22" applyNumberFormat="1" applyFont="1" applyFill="1" applyBorder="1" applyAlignment="1">
      <alignment vertical="center"/>
    </xf>
    <xf numFmtId="4" fontId="77" fillId="2" borderId="19" xfId="22" applyNumberFormat="1" applyFont="1" applyFill="1" applyBorder="1" applyAlignment="1">
      <alignment vertical="center"/>
    </xf>
    <xf numFmtId="165" fontId="77" fillId="5" borderId="8" xfId="22" applyNumberFormat="1" applyFont="1" applyFill="1" applyBorder="1" applyAlignment="1">
      <alignment vertical="center"/>
    </xf>
    <xf numFmtId="4" fontId="77" fillId="5" borderId="34" xfId="22" applyNumberFormat="1" applyFont="1" applyFill="1" applyBorder="1" applyAlignment="1">
      <alignment vertical="center"/>
    </xf>
    <xf numFmtId="2" fontId="13" fillId="11" borderId="34" xfId="0" applyNumberFormat="1" applyFont="1" applyFill="1" applyBorder="1"/>
    <xf numFmtId="165" fontId="13" fillId="13" borderId="47" xfId="0" applyNumberFormat="1" applyFont="1" applyFill="1" applyBorder="1" applyAlignment="1">
      <alignment horizontal="right"/>
    </xf>
    <xf numFmtId="165" fontId="17" fillId="13" borderId="47" xfId="0" applyNumberFormat="1" applyFont="1" applyFill="1" applyBorder="1" applyAlignment="1">
      <alignment horizontal="right"/>
    </xf>
    <xf numFmtId="165" fontId="13" fillId="13" borderId="14" xfId="0" applyNumberFormat="1" applyFont="1" applyFill="1" applyBorder="1" applyAlignment="1">
      <alignment horizontal="right" vertical="center"/>
    </xf>
    <xf numFmtId="165" fontId="13" fillId="13" borderId="47" xfId="0" applyNumberFormat="1" applyFont="1" applyFill="1" applyBorder="1" applyAlignment="1">
      <alignment horizontal="right" vertical="center"/>
    </xf>
    <xf numFmtId="0" fontId="17" fillId="2" borderId="0" xfId="0" applyNumberFormat="1" applyFont="1" applyFill="1" applyBorder="1" applyAlignment="1" applyProtection="1">
      <alignment horizontal="center" vertical="center"/>
      <protection hidden="1"/>
    </xf>
    <xf numFmtId="179" fontId="60" fillId="2" borderId="0" xfId="0" applyNumberFormat="1" applyFont="1" applyFill="1" applyBorder="1" applyAlignment="1" applyProtection="1">
      <alignment vertical="center"/>
      <protection hidden="1"/>
    </xf>
    <xf numFmtId="165" fontId="77" fillId="2" borderId="14" xfId="22" applyNumberFormat="1" applyFont="1" applyFill="1" applyBorder="1" applyAlignment="1">
      <alignment vertical="center"/>
    </xf>
    <xf numFmtId="4" fontId="77" fillId="2" borderId="29" xfId="22" applyNumberFormat="1" applyFont="1" applyFill="1" applyBorder="1" applyAlignment="1">
      <alignment vertical="center"/>
    </xf>
    <xf numFmtId="165" fontId="76" fillId="2" borderId="8" xfId="22" applyNumberFormat="1" applyFont="1" applyFill="1" applyBorder="1" applyAlignment="1">
      <alignment vertical="center"/>
    </xf>
    <xf numFmtId="4" fontId="76" fillId="2" borderId="34" xfId="22" applyNumberFormat="1" applyFont="1" applyFill="1" applyBorder="1" applyAlignment="1">
      <alignment vertical="center"/>
    </xf>
    <xf numFmtId="177" fontId="79" fillId="0" borderId="4" xfId="0" applyNumberFormat="1" applyFont="1" applyBorder="1" applyAlignment="1">
      <alignment horizontal="center" vertical="center" wrapText="1"/>
    </xf>
    <xf numFmtId="177" fontId="79" fillId="0" borderId="35" xfId="0" applyNumberFormat="1" applyFont="1" applyBorder="1" applyAlignment="1">
      <alignment horizontal="center" vertical="center" wrapText="1"/>
    </xf>
    <xf numFmtId="177" fontId="79" fillId="0" borderId="2" xfId="0" applyNumberFormat="1" applyFont="1" applyBorder="1" applyAlignment="1">
      <alignment horizontal="center" vertical="center" wrapText="1"/>
    </xf>
    <xf numFmtId="177" fontId="79" fillId="0" borderId="36" xfId="0" applyNumberFormat="1" applyFont="1" applyBorder="1" applyAlignment="1">
      <alignment horizontal="center" vertical="center" wrapText="1"/>
    </xf>
    <xf numFmtId="177" fontId="79" fillId="0" borderId="50" xfId="0" applyNumberFormat="1" applyFont="1" applyBorder="1" applyAlignment="1">
      <alignment horizontal="center" vertical="center" wrapText="1"/>
    </xf>
    <xf numFmtId="177" fontId="79" fillId="0" borderId="38" xfId="0" applyNumberFormat="1" applyFont="1" applyBorder="1" applyAlignment="1">
      <alignment horizontal="center" vertical="center" wrapText="1"/>
    </xf>
    <xf numFmtId="177" fontId="79" fillId="0" borderId="77" xfId="0" applyNumberFormat="1" applyFont="1" applyBorder="1" applyAlignment="1">
      <alignment horizontal="center" vertical="center" wrapText="1"/>
    </xf>
    <xf numFmtId="177" fontId="79" fillId="0" borderId="78" xfId="0" applyNumberFormat="1" applyFont="1" applyBorder="1" applyAlignment="1">
      <alignment horizontal="center" vertical="center" wrapText="1"/>
    </xf>
    <xf numFmtId="177" fontId="79" fillId="0" borderId="50" xfId="0" applyNumberFormat="1" applyFont="1" applyBorder="1" applyAlignment="1">
      <alignment horizontal="center" vertical="center"/>
    </xf>
    <xf numFmtId="177" fontId="79" fillId="0" borderId="38" xfId="0" applyNumberFormat="1" applyFont="1" applyBorder="1" applyAlignment="1">
      <alignment horizontal="center" vertical="center"/>
    </xf>
    <xf numFmtId="177" fontId="80" fillId="0" borderId="52" xfId="0" applyNumberFormat="1" applyFont="1" applyBorder="1" applyAlignment="1">
      <alignment horizontal="center" vertical="center" wrapText="1"/>
    </xf>
    <xf numFmtId="177" fontId="80" fillId="0" borderId="7" xfId="0" applyNumberFormat="1" applyFont="1" applyBorder="1" applyAlignment="1">
      <alignment horizontal="center" vertical="center" wrapText="1"/>
    </xf>
    <xf numFmtId="177" fontId="80" fillId="0" borderId="51" xfId="0" applyNumberFormat="1" applyFont="1" applyBorder="1" applyAlignment="1">
      <alignment horizontal="center" vertical="center" wrapText="1"/>
    </xf>
    <xf numFmtId="0" fontId="78" fillId="19" borderId="48" xfId="0" applyFont="1" applyFill="1" applyBorder="1" applyAlignment="1">
      <alignment horizontal="left"/>
    </xf>
    <xf numFmtId="0" fontId="78" fillId="19" borderId="5" xfId="0" applyFont="1" applyFill="1" applyBorder="1" applyAlignment="1">
      <alignment horizontal="left"/>
    </xf>
    <xf numFmtId="0" fontId="78" fillId="19" borderId="32" xfId="0" applyFont="1" applyFill="1" applyBorder="1" applyAlignment="1">
      <alignment horizontal="left"/>
    </xf>
    <xf numFmtId="0" fontId="78" fillId="19" borderId="49" xfId="0" applyFont="1" applyFill="1" applyBorder="1" applyAlignment="1">
      <alignment horizontal="left"/>
    </xf>
    <xf numFmtId="177" fontId="81" fillId="0" borderId="52" xfId="0" applyNumberFormat="1" applyFont="1" applyBorder="1" applyAlignment="1">
      <alignment horizontal="center" vertical="center" wrapText="1"/>
    </xf>
    <xf numFmtId="177" fontId="81" fillId="0" borderId="7" xfId="0" applyNumberFormat="1" applyFont="1" applyBorder="1" applyAlignment="1">
      <alignment horizontal="center" vertical="center" wrapText="1"/>
    </xf>
    <xf numFmtId="177" fontId="81" fillId="0" borderId="79" xfId="0" applyNumberFormat="1" applyFont="1" applyBorder="1" applyAlignment="1">
      <alignment horizontal="center" vertical="center" wrapText="1"/>
    </xf>
    <xf numFmtId="177" fontId="81" fillId="0" borderId="51" xfId="0" applyNumberFormat="1" applyFont="1" applyBorder="1" applyAlignment="1">
      <alignment horizontal="center" vertical="center"/>
    </xf>
    <xf numFmtId="0" fontId="82" fillId="20" borderId="3" xfId="0" applyFont="1" applyFill="1" applyBorder="1" applyAlignment="1">
      <alignment horizontal="center"/>
    </xf>
    <xf numFmtId="0" fontId="82" fillId="20" borderId="18" xfId="0" applyFont="1" applyFill="1" applyBorder="1" applyAlignment="1">
      <alignment horizontal="center"/>
    </xf>
    <xf numFmtId="177" fontId="79" fillId="0" borderId="16" xfId="0" applyNumberFormat="1" applyFont="1" applyBorder="1" applyAlignment="1">
      <alignment horizontal="center" vertical="center" wrapText="1"/>
    </xf>
    <xf numFmtId="177" fontId="79" fillId="0" borderId="17" xfId="0" applyNumberFormat="1" applyFont="1" applyBorder="1" applyAlignment="1">
      <alignment horizontal="center" vertical="center" wrapText="1"/>
    </xf>
    <xf numFmtId="177" fontId="79" fillId="0" borderId="81" xfId="0" applyNumberFormat="1" applyFont="1" applyBorder="1" applyAlignment="1">
      <alignment horizontal="center" vertical="center" wrapText="1"/>
    </xf>
    <xf numFmtId="177" fontId="79" fillId="0" borderId="80" xfId="0" applyNumberFormat="1" applyFont="1" applyBorder="1" applyAlignment="1">
      <alignment horizontal="center" vertical="center" wrapText="1"/>
    </xf>
    <xf numFmtId="177" fontId="79" fillId="0" borderId="22" xfId="0" applyNumberFormat="1" applyFont="1" applyBorder="1" applyAlignment="1">
      <alignment horizontal="center" vertical="center"/>
    </xf>
    <xf numFmtId="0" fontId="82" fillId="20" borderId="33" xfId="0" applyFont="1" applyFill="1" applyBorder="1" applyAlignment="1">
      <alignment vertical="center"/>
    </xf>
    <xf numFmtId="165" fontId="45" fillId="4" borderId="13" xfId="0" applyNumberFormat="1" applyFont="1" applyFill="1" applyBorder="1" applyAlignment="1">
      <alignment horizontal="right"/>
    </xf>
    <xf numFmtId="165" fontId="45" fillId="0" borderId="56" xfId="0" applyNumberFormat="1" applyFont="1" applyFill="1" applyBorder="1" applyAlignment="1">
      <alignment horizontal="center"/>
    </xf>
    <xf numFmtId="165" fontId="13" fillId="0" borderId="66" xfId="0" applyNumberFormat="1" applyFont="1" applyFill="1" applyBorder="1" applyAlignment="1">
      <alignment horizontal="right" vertical="center"/>
    </xf>
    <xf numFmtId="165" fontId="45" fillId="0" borderId="27" xfId="0" applyNumberFormat="1" applyFont="1" applyFill="1" applyBorder="1" applyAlignment="1">
      <alignment horizontal="center" vertical="center"/>
    </xf>
    <xf numFmtId="165" fontId="13" fillId="0" borderId="47" xfId="37" applyNumberFormat="1" applyFont="1" applyFill="1" applyBorder="1" applyAlignment="1">
      <alignment horizontal="right"/>
    </xf>
    <xf numFmtId="165" fontId="13" fillId="0" borderId="25" xfId="37" applyNumberFormat="1" applyFont="1" applyFill="1" applyBorder="1" applyAlignment="1">
      <alignment horizontal="right"/>
    </xf>
    <xf numFmtId="165" fontId="13" fillId="0" borderId="44" xfId="37" applyNumberFormat="1" applyFont="1" applyFill="1" applyBorder="1" applyAlignment="1">
      <alignment horizontal="right"/>
    </xf>
    <xf numFmtId="165" fontId="13" fillId="0" borderId="14" xfId="37" applyNumberFormat="1" applyFont="1" applyFill="1" applyBorder="1" applyAlignment="1">
      <alignment horizontal="right" vertical="center"/>
    </xf>
    <xf numFmtId="165" fontId="13" fillId="0" borderId="64" xfId="37" applyNumberFormat="1" applyFont="1" applyFill="1" applyBorder="1" applyAlignment="1">
      <alignment horizontal="right" vertical="center"/>
    </xf>
    <xf numFmtId="165" fontId="13" fillId="0" borderId="53" xfId="37" applyNumberFormat="1" applyFont="1" applyFill="1" applyBorder="1" applyAlignment="1">
      <alignment horizontal="right" vertical="center"/>
    </xf>
    <xf numFmtId="165" fontId="13" fillId="0" borderId="82" xfId="0" applyNumberFormat="1" applyFont="1" applyFill="1" applyBorder="1" applyAlignment="1">
      <alignment horizontal="right"/>
    </xf>
    <xf numFmtId="165" fontId="45" fillId="0" borderId="26" xfId="0" applyNumberFormat="1" applyFont="1" applyFill="1" applyBorder="1" applyAlignment="1">
      <alignment horizontal="center"/>
    </xf>
    <xf numFmtId="165" fontId="13" fillId="0" borderId="46" xfId="37" applyNumberFormat="1" applyFont="1" applyFill="1" applyBorder="1" applyAlignment="1">
      <alignment horizontal="right"/>
    </xf>
    <xf numFmtId="165" fontId="13" fillId="0" borderId="57" xfId="37" applyNumberFormat="1" applyFont="1" applyFill="1" applyBorder="1" applyAlignment="1">
      <alignment horizontal="right"/>
    </xf>
    <xf numFmtId="165" fontId="13" fillId="0" borderId="58" xfId="37" applyNumberFormat="1" applyFont="1" applyFill="1" applyBorder="1" applyAlignment="1">
      <alignment horizontal="right"/>
    </xf>
    <xf numFmtId="165" fontId="17" fillId="2" borderId="19" xfId="0" applyNumberFormat="1" applyFont="1" applyFill="1" applyBorder="1" applyAlignment="1">
      <alignment horizontal="center"/>
    </xf>
    <xf numFmtId="0" fontId="9" fillId="2" borderId="0" xfId="0" applyFont="1" applyFill="1" applyAlignment="1">
      <alignment wrapText="1"/>
    </xf>
    <xf numFmtId="177" fontId="86" fillId="0" borderId="2" xfId="0" applyNumberFormat="1" applyFont="1" applyBorder="1" applyAlignment="1">
      <alignment horizontal="center" vertical="center" wrapText="1"/>
    </xf>
    <xf numFmtId="177" fontId="86" fillId="0" borderId="17" xfId="0" applyNumberFormat="1" applyFont="1" applyBorder="1" applyAlignment="1">
      <alignment horizontal="center" vertical="center" wrapText="1"/>
    </xf>
    <xf numFmtId="177" fontId="84" fillId="0" borderId="2" xfId="0" applyNumberFormat="1" applyFont="1" applyBorder="1" applyAlignment="1">
      <alignment horizontal="center" vertical="center" wrapText="1"/>
    </xf>
    <xf numFmtId="177" fontId="84" fillId="0" borderId="17" xfId="0" applyNumberFormat="1" applyFont="1" applyBorder="1" applyAlignment="1">
      <alignment horizontal="center" vertical="center" wrapText="1"/>
    </xf>
    <xf numFmtId="177" fontId="84" fillId="0" borderId="50" xfId="0" applyNumberFormat="1" applyFont="1" applyBorder="1" applyAlignment="1">
      <alignment horizontal="center" vertical="center" wrapText="1"/>
    </xf>
    <xf numFmtId="177" fontId="84" fillId="0" borderId="22" xfId="0" applyNumberFormat="1" applyFont="1" applyBorder="1" applyAlignment="1">
      <alignment horizontal="center" vertical="center" wrapText="1"/>
    </xf>
    <xf numFmtId="4" fontId="17" fillId="2" borderId="0" xfId="0" applyNumberFormat="1" applyFont="1" applyFill="1"/>
    <xf numFmtId="165" fontId="87" fillId="6" borderId="8" xfId="0" applyNumberFormat="1" applyFont="1" applyFill="1" applyBorder="1" applyAlignment="1">
      <alignment horizontal="right" vertical="center"/>
    </xf>
    <xf numFmtId="165" fontId="17" fillId="22" borderId="65" xfId="0" applyNumberFormat="1" applyFont="1" applyFill="1" applyBorder="1" applyAlignment="1">
      <alignment horizontal="right"/>
    </xf>
    <xf numFmtId="0" fontId="17" fillId="2" borderId="26" xfId="0" applyNumberFormat="1" applyFont="1" applyFill="1" applyBorder="1" applyAlignment="1">
      <alignment vertical="center" wrapText="1"/>
    </xf>
    <xf numFmtId="0" fontId="17" fillId="2" borderId="56" xfId="0" applyNumberFormat="1" applyFont="1" applyFill="1" applyBorder="1" applyAlignment="1">
      <alignment vertical="center" wrapText="1"/>
    </xf>
    <xf numFmtId="0" fontId="51" fillId="9" borderId="9" xfId="38" applyFont="1" applyFill="1" applyBorder="1" applyAlignment="1">
      <alignment vertical="center"/>
    </xf>
    <xf numFmtId="0" fontId="50" fillId="2" borderId="0" xfId="38" applyFont="1" applyFill="1" applyBorder="1" applyAlignment="1">
      <alignment vertical="center"/>
    </xf>
    <xf numFmtId="165" fontId="13" fillId="12" borderId="43" xfId="0" applyNumberFormat="1" applyFont="1" applyFill="1" applyBorder="1" applyAlignment="1">
      <alignment horizontal="right"/>
    </xf>
    <xf numFmtId="165" fontId="13" fillId="12" borderId="8" xfId="0" applyNumberFormat="1" applyFont="1" applyFill="1" applyBorder="1" applyAlignment="1">
      <alignment horizontal="right"/>
    </xf>
    <xf numFmtId="2" fontId="13" fillId="12" borderId="18" xfId="0" applyNumberFormat="1" applyFont="1" applyFill="1" applyBorder="1" applyAlignment="1">
      <alignment horizontal="right"/>
    </xf>
    <xf numFmtId="49" fontId="13" fillId="13" borderId="54" xfId="0" applyNumberFormat="1" applyFont="1" applyFill="1" applyBorder="1" applyAlignment="1">
      <alignment horizontal="center" vertical="center"/>
    </xf>
    <xf numFmtId="0" fontId="13" fillId="13" borderId="54" xfId="0" applyNumberFormat="1" applyFont="1" applyFill="1" applyBorder="1" applyAlignment="1">
      <alignment horizontal="center" vertical="center" wrapText="1"/>
    </xf>
    <xf numFmtId="0" fontId="13" fillId="13" borderId="61" xfId="0" applyNumberFormat="1" applyFont="1" applyFill="1" applyBorder="1" applyAlignment="1">
      <alignment horizontal="center" vertical="center" wrapText="1"/>
    </xf>
    <xf numFmtId="0" fontId="13" fillId="13" borderId="62" xfId="0" applyNumberFormat="1" applyFont="1" applyFill="1" applyBorder="1" applyAlignment="1">
      <alignment horizontal="center" vertical="center"/>
    </xf>
    <xf numFmtId="49" fontId="13" fillId="13" borderId="62" xfId="0" applyNumberFormat="1" applyFont="1" applyFill="1" applyBorder="1" applyAlignment="1">
      <alignment horizontal="center" vertical="center"/>
    </xf>
    <xf numFmtId="0" fontId="13" fillId="13" borderId="70" xfId="0" applyNumberFormat="1" applyFont="1" applyFill="1" applyBorder="1" applyAlignment="1">
      <alignment horizontal="center" vertical="center" wrapText="1"/>
    </xf>
    <xf numFmtId="2" fontId="13" fillId="12" borderId="13" xfId="0" applyNumberFormat="1" applyFont="1" applyFill="1" applyBorder="1"/>
    <xf numFmtId="4" fontId="13" fillId="2" borderId="0" xfId="0" applyNumberFormat="1" applyFont="1" applyFill="1" applyBorder="1"/>
    <xf numFmtId="165" fontId="17" fillId="23" borderId="47" xfId="22" applyNumberFormat="1" applyFont="1" applyFill="1" applyBorder="1" applyAlignment="1">
      <alignment vertical="center"/>
    </xf>
    <xf numFmtId="0" fontId="88" fillId="2" borderId="0" xfId="0" applyFont="1" applyFill="1"/>
    <xf numFmtId="0" fontId="13" fillId="13" borderId="70" xfId="0" applyNumberFormat="1" applyFont="1" applyFill="1" applyBorder="1" applyAlignment="1">
      <alignment horizontal="center" vertical="center"/>
    </xf>
    <xf numFmtId="2" fontId="13" fillId="2" borderId="0" xfId="0" applyNumberFormat="1" applyFont="1" applyFill="1" applyBorder="1"/>
    <xf numFmtId="2" fontId="45" fillId="4" borderId="13" xfId="0" applyNumberFormat="1" applyFont="1" applyFill="1" applyBorder="1" applyAlignment="1">
      <alignment horizontal="center"/>
    </xf>
    <xf numFmtId="165" fontId="45" fillId="19" borderId="13" xfId="0" applyNumberFormat="1" applyFont="1" applyFill="1" applyBorder="1" applyAlignment="1">
      <alignment horizontal="right"/>
    </xf>
    <xf numFmtId="165" fontId="45" fillId="19" borderId="13" xfId="0" applyNumberFormat="1" applyFont="1" applyFill="1" applyBorder="1" applyAlignment="1">
      <alignment horizontal="center"/>
    </xf>
    <xf numFmtId="165" fontId="17" fillId="19" borderId="0" xfId="0" applyNumberFormat="1" applyFont="1" applyFill="1"/>
    <xf numFmtId="0" fontId="0" fillId="19" borderId="0" xfId="0" applyFill="1"/>
    <xf numFmtId="2" fontId="45" fillId="19" borderId="13" xfId="0" applyNumberFormat="1" applyFont="1" applyFill="1" applyBorder="1" applyAlignment="1">
      <alignment horizontal="center"/>
    </xf>
    <xf numFmtId="2" fontId="45" fillId="0" borderId="26" xfId="0" applyNumberFormat="1" applyFont="1" applyFill="1" applyBorder="1" applyAlignment="1">
      <alignment horizontal="center"/>
    </xf>
    <xf numFmtId="2" fontId="17" fillId="2" borderId="19" xfId="0" applyNumberFormat="1" applyFont="1" applyFill="1" applyBorder="1" applyAlignment="1">
      <alignment horizontal="center"/>
    </xf>
    <xf numFmtId="2" fontId="45" fillId="0" borderId="56" xfId="0" applyNumberFormat="1" applyFont="1" applyFill="1" applyBorder="1" applyAlignment="1">
      <alignment horizontal="center"/>
    </xf>
    <xf numFmtId="2" fontId="45" fillId="0" borderId="27" xfId="0" applyNumberFormat="1" applyFont="1" applyFill="1" applyBorder="1" applyAlignment="1">
      <alignment horizontal="center" vertical="center"/>
    </xf>
    <xf numFmtId="2" fontId="45" fillId="2" borderId="56" xfId="0" applyNumberFormat="1" applyFont="1" applyFill="1" applyBorder="1" applyAlignment="1">
      <alignment horizontal="center" vertical="center"/>
    </xf>
    <xf numFmtId="2" fontId="75" fillId="2" borderId="56" xfId="0" applyNumberFormat="1" applyFont="1" applyFill="1" applyBorder="1" applyAlignment="1">
      <alignment horizontal="center"/>
    </xf>
    <xf numFmtId="2" fontId="45" fillId="2" borderId="56" xfId="0" applyNumberFormat="1" applyFont="1" applyFill="1" applyBorder="1" applyAlignment="1">
      <alignment horizontal="center"/>
    </xf>
    <xf numFmtId="2" fontId="75" fillId="2" borderId="27" xfId="0" applyNumberFormat="1" applyFont="1" applyFill="1" applyBorder="1" applyAlignment="1">
      <alignment horizontal="center"/>
    </xf>
    <xf numFmtId="2" fontId="45" fillId="4" borderId="26" xfId="0" applyNumberFormat="1" applyFont="1" applyFill="1" applyBorder="1" applyAlignment="1">
      <alignment horizontal="center"/>
    </xf>
    <xf numFmtId="2" fontId="75" fillId="2" borderId="26" xfId="0" applyNumberFormat="1" applyFont="1" applyFill="1" applyBorder="1" applyAlignment="1">
      <alignment horizontal="center"/>
    </xf>
    <xf numFmtId="2" fontId="45" fillId="2" borderId="27" xfId="0" applyNumberFormat="1" applyFont="1" applyFill="1" applyBorder="1" applyAlignment="1">
      <alignment horizontal="center" vertical="center"/>
    </xf>
    <xf numFmtId="4" fontId="0" fillId="2" borderId="0" xfId="0" applyNumberFormat="1" applyFill="1" applyBorder="1"/>
    <xf numFmtId="0" fontId="17" fillId="0" borderId="0" xfId="0" applyFont="1" applyFill="1"/>
    <xf numFmtId="167" fontId="43" fillId="0" borderId="0" xfId="0" applyNumberFormat="1" applyFont="1" applyFill="1" applyBorder="1" applyAlignment="1">
      <alignment horizontal="center" vertical="center"/>
    </xf>
    <xf numFmtId="165" fontId="17" fillId="0" borderId="47" xfId="0" applyNumberFormat="1" applyFont="1" applyFill="1" applyBorder="1" applyAlignment="1">
      <alignment horizontal="right"/>
    </xf>
    <xf numFmtId="165" fontId="13" fillId="0" borderId="25" xfId="0" applyNumberFormat="1" applyFont="1" applyFill="1" applyBorder="1" applyAlignment="1">
      <alignment horizontal="right" vertical="center"/>
    </xf>
    <xf numFmtId="165" fontId="13" fillId="0" borderId="47" xfId="0" applyNumberFormat="1" applyFont="1" applyFill="1" applyBorder="1" applyAlignment="1">
      <alignment horizontal="right" vertical="center"/>
    </xf>
    <xf numFmtId="165" fontId="17" fillId="0" borderId="25" xfId="0" applyNumberFormat="1" applyFont="1" applyFill="1" applyBorder="1" applyAlignment="1">
      <alignment horizontal="right"/>
    </xf>
    <xf numFmtId="165" fontId="17" fillId="0" borderId="64" xfId="0" applyNumberFormat="1" applyFont="1" applyFill="1" applyBorder="1" applyAlignment="1">
      <alignment horizontal="right"/>
    </xf>
    <xf numFmtId="165" fontId="13" fillId="0" borderId="64" xfId="0" applyNumberFormat="1" applyFont="1" applyFill="1" applyBorder="1" applyAlignment="1">
      <alignment horizontal="right" vertical="center"/>
    </xf>
    <xf numFmtId="165" fontId="13" fillId="0" borderId="8" xfId="0" applyNumberFormat="1" applyFont="1" applyFill="1" applyBorder="1" applyAlignment="1">
      <alignment horizontal="right" vertical="center"/>
    </xf>
    <xf numFmtId="165" fontId="17" fillId="0" borderId="46" xfId="0" applyNumberFormat="1" applyFont="1" applyFill="1" applyBorder="1" applyAlignment="1">
      <alignment horizontal="right" vertical="center"/>
    </xf>
    <xf numFmtId="165" fontId="17" fillId="0" borderId="44" xfId="0" applyNumberFormat="1" applyFont="1" applyFill="1" applyBorder="1" applyAlignment="1">
      <alignment horizontal="right"/>
    </xf>
    <xf numFmtId="0" fontId="82" fillId="20" borderId="33" xfId="0" applyFont="1" applyFill="1" applyBorder="1" applyAlignment="1">
      <alignment horizontal="center" vertical="center"/>
    </xf>
    <xf numFmtId="167" fontId="65" fillId="24" borderId="13" xfId="0" applyNumberFormat="1" applyFont="1" applyFill="1" applyBorder="1" applyAlignment="1" applyProtection="1">
      <alignment horizontal="center" vertical="center"/>
      <protection hidden="1"/>
    </xf>
    <xf numFmtId="177" fontId="17" fillId="2" borderId="0" xfId="0" applyNumberFormat="1" applyFont="1" applyFill="1" applyBorder="1" applyAlignment="1" applyProtection="1">
      <protection hidden="1"/>
    </xf>
    <xf numFmtId="167" fontId="17" fillId="24" borderId="0" xfId="0" applyNumberFormat="1" applyFont="1" applyFill="1" applyBorder="1" applyAlignment="1" applyProtection="1">
      <protection hidden="1"/>
    </xf>
    <xf numFmtId="0" fontId="17" fillId="2" borderId="0" xfId="38" applyFont="1" applyFill="1" applyBorder="1"/>
    <xf numFmtId="0" fontId="62" fillId="2" borderId="32" xfId="38" applyFont="1" applyFill="1" applyBorder="1" applyAlignment="1"/>
    <xf numFmtId="0" fontId="62" fillId="24" borderId="32" xfId="38" applyFont="1" applyFill="1" applyBorder="1" applyAlignment="1"/>
    <xf numFmtId="0" fontId="13" fillId="5" borderId="54" xfId="38" applyFont="1" applyFill="1" applyBorder="1" applyAlignment="1">
      <alignment horizontal="center" vertical="center" wrapText="1"/>
    </xf>
    <xf numFmtId="0" fontId="13" fillId="5" borderId="29" xfId="38" applyFont="1" applyFill="1" applyBorder="1" applyAlignment="1">
      <alignment horizontal="center" vertical="center" wrapText="1"/>
    </xf>
    <xf numFmtId="0" fontId="13" fillId="24" borderId="54" xfId="38" applyFont="1" applyFill="1" applyBorder="1" applyAlignment="1">
      <alignment horizontal="center" vertical="center" wrapText="1"/>
    </xf>
    <xf numFmtId="0" fontId="13" fillId="24" borderId="29" xfId="38" applyFont="1" applyFill="1" applyBorder="1" applyAlignment="1">
      <alignment horizontal="center" vertical="center" wrapText="1"/>
    </xf>
    <xf numFmtId="165" fontId="77" fillId="5" borderId="8" xfId="38" applyNumberFormat="1" applyFont="1" applyFill="1" applyBorder="1" applyAlignment="1">
      <alignment vertical="center"/>
    </xf>
    <xf numFmtId="4" fontId="77" fillId="5" borderId="34" xfId="38" applyNumberFormat="1" applyFont="1" applyFill="1" applyBorder="1" applyAlignment="1">
      <alignment vertical="center"/>
    </xf>
    <xf numFmtId="165" fontId="77" fillId="24" borderId="8" xfId="38" applyNumberFormat="1" applyFont="1" applyFill="1" applyBorder="1" applyAlignment="1">
      <alignment vertical="center"/>
    </xf>
    <xf numFmtId="2" fontId="77" fillId="24" borderId="8" xfId="38" applyNumberFormat="1" applyFont="1" applyFill="1" applyBorder="1" applyAlignment="1">
      <alignment vertical="center"/>
    </xf>
    <xf numFmtId="165" fontId="77" fillId="2" borderId="47" xfId="38" applyNumberFormat="1" applyFont="1" applyFill="1" applyBorder="1" applyAlignment="1">
      <alignment vertical="center"/>
    </xf>
    <xf numFmtId="4" fontId="77" fillId="2" borderId="19" xfId="38" applyNumberFormat="1" applyFont="1" applyFill="1" applyBorder="1" applyAlignment="1">
      <alignment vertical="center"/>
    </xf>
    <xf numFmtId="165" fontId="77" fillId="24" borderId="47" xfId="38" applyNumberFormat="1" applyFont="1" applyFill="1" applyBorder="1" applyAlignment="1">
      <alignment vertical="center"/>
    </xf>
    <xf numFmtId="2" fontId="77" fillId="24" borderId="47" xfId="38" applyNumberFormat="1" applyFont="1" applyFill="1" applyBorder="1" applyAlignment="1">
      <alignment vertical="center"/>
    </xf>
    <xf numFmtId="4" fontId="76" fillId="2" borderId="19" xfId="38" applyNumberFormat="1" applyFont="1" applyFill="1" applyBorder="1" applyAlignment="1">
      <alignment vertical="center"/>
    </xf>
    <xf numFmtId="165" fontId="76" fillId="24" borderId="47" xfId="38" applyNumberFormat="1" applyFont="1" applyFill="1" applyBorder="1" applyAlignment="1">
      <alignment vertical="center"/>
    </xf>
    <xf numFmtId="2" fontId="76" fillId="24" borderId="47" xfId="38" applyNumberFormat="1" applyFont="1" applyFill="1" applyBorder="1" applyAlignment="1">
      <alignment vertical="center"/>
    </xf>
    <xf numFmtId="165" fontId="76" fillId="2" borderId="47" xfId="38" applyNumberFormat="1" applyFont="1" applyFill="1" applyBorder="1" applyAlignment="1">
      <alignment vertical="center"/>
    </xf>
    <xf numFmtId="165" fontId="76" fillId="0" borderId="47" xfId="38" applyNumberFormat="1" applyFont="1" applyFill="1" applyBorder="1" applyAlignment="1">
      <alignment vertical="center"/>
    </xf>
    <xf numFmtId="4" fontId="76" fillId="0" borderId="19" xfId="38" applyNumberFormat="1" applyFont="1" applyFill="1" applyBorder="1" applyAlignment="1">
      <alignment vertical="center"/>
    </xf>
    <xf numFmtId="165" fontId="77" fillId="0" borderId="47" xfId="38" applyNumberFormat="1" applyFont="1" applyFill="1" applyBorder="1" applyAlignment="1">
      <alignment vertical="center"/>
    </xf>
    <xf numFmtId="165" fontId="13" fillId="5" borderId="8" xfId="38" applyNumberFormat="1" applyFont="1" applyFill="1" applyBorder="1" applyAlignment="1">
      <alignment vertical="center"/>
    </xf>
    <xf numFmtId="165" fontId="13" fillId="24" borderId="8" xfId="38" applyNumberFormat="1" applyFont="1" applyFill="1" applyBorder="1" applyAlignment="1">
      <alignment vertical="center"/>
    </xf>
    <xf numFmtId="2" fontId="13" fillId="24" borderId="8" xfId="38" applyNumberFormat="1" applyFont="1" applyFill="1" applyBorder="1" applyAlignment="1">
      <alignment vertical="center"/>
    </xf>
    <xf numFmtId="165" fontId="13" fillId="2" borderId="47" xfId="38" applyNumberFormat="1" applyFont="1" applyFill="1" applyBorder="1" applyAlignment="1">
      <alignment vertical="center"/>
    </xf>
    <xf numFmtId="165" fontId="13" fillId="24" borderId="47" xfId="38" applyNumberFormat="1" applyFont="1" applyFill="1" applyBorder="1" applyAlignment="1">
      <alignment vertical="center"/>
    </xf>
    <xf numFmtId="2" fontId="13" fillId="24" borderId="47" xfId="38" applyNumberFormat="1" applyFont="1" applyFill="1" applyBorder="1" applyAlignment="1">
      <alignment vertical="center"/>
    </xf>
    <xf numFmtId="165" fontId="77" fillId="2" borderId="14" xfId="38" applyNumberFormat="1" applyFont="1" applyFill="1" applyBorder="1" applyAlignment="1">
      <alignment vertical="center"/>
    </xf>
    <xf numFmtId="4" fontId="77" fillId="2" borderId="29" xfId="38" applyNumberFormat="1" applyFont="1" applyFill="1" applyBorder="1" applyAlignment="1">
      <alignment vertical="center"/>
    </xf>
    <xf numFmtId="165" fontId="77" fillId="24" borderId="14" xfId="38" applyNumberFormat="1" applyFont="1" applyFill="1" applyBorder="1" applyAlignment="1">
      <alignment vertical="center"/>
    </xf>
    <xf numFmtId="2" fontId="77" fillId="24" borderId="14" xfId="38" applyNumberFormat="1" applyFont="1" applyFill="1" applyBorder="1" applyAlignment="1">
      <alignment vertical="center"/>
    </xf>
    <xf numFmtId="165" fontId="76" fillId="2" borderId="8" xfId="38" applyNumberFormat="1" applyFont="1" applyFill="1" applyBorder="1" applyAlignment="1">
      <alignment vertical="center"/>
    </xf>
    <xf numFmtId="4" fontId="76" fillId="2" borderId="34" xfId="38" applyNumberFormat="1" applyFont="1" applyFill="1" applyBorder="1" applyAlignment="1">
      <alignment vertical="center"/>
    </xf>
    <xf numFmtId="165" fontId="76" fillId="24" borderId="8" xfId="38" applyNumberFormat="1" applyFont="1" applyFill="1" applyBorder="1" applyAlignment="1">
      <alignment vertical="center"/>
    </xf>
    <xf numFmtId="2" fontId="76" fillId="24" borderId="8" xfId="38" applyNumberFormat="1" applyFont="1" applyFill="1" applyBorder="1" applyAlignment="1">
      <alignment vertical="center"/>
    </xf>
    <xf numFmtId="165" fontId="13" fillId="2" borderId="14" xfId="38" applyNumberFormat="1" applyFont="1" applyFill="1" applyBorder="1" applyAlignment="1">
      <alignment vertical="center"/>
    </xf>
    <xf numFmtId="165" fontId="13" fillId="24" borderId="27" xfId="38" applyNumberFormat="1" applyFont="1" applyFill="1" applyBorder="1" applyAlignment="1">
      <alignment vertical="center"/>
    </xf>
    <xf numFmtId="2" fontId="13" fillId="24" borderId="14" xfId="38" applyNumberFormat="1" applyFont="1" applyFill="1" applyBorder="1" applyAlignment="1">
      <alignment vertical="center"/>
    </xf>
    <xf numFmtId="167" fontId="54" fillId="24" borderId="13" xfId="0" applyNumberFormat="1" applyFont="1" applyFill="1" applyBorder="1" applyAlignment="1" applyProtection="1">
      <alignment horizontal="center" vertical="center"/>
      <protection hidden="1"/>
    </xf>
    <xf numFmtId="0" fontId="35" fillId="24" borderId="0" xfId="0" applyFont="1" applyFill="1"/>
    <xf numFmtId="0" fontId="63" fillId="2" borderId="32" xfId="38" applyFont="1" applyFill="1" applyBorder="1" applyAlignment="1"/>
    <xf numFmtId="0" fontId="63" fillId="24" borderId="32" xfId="38" applyFont="1" applyFill="1" applyBorder="1" applyAlignment="1"/>
    <xf numFmtId="0" fontId="13" fillId="24" borderId="28" xfId="0" applyFont="1" applyFill="1" applyBorder="1" applyAlignment="1">
      <alignment horizontal="center" vertical="center" wrapText="1"/>
    </xf>
    <xf numFmtId="0" fontId="13" fillId="24" borderId="15" xfId="0" applyFont="1" applyFill="1" applyBorder="1" applyAlignment="1">
      <alignment horizontal="center" vertical="center" wrapText="1"/>
    </xf>
    <xf numFmtId="165" fontId="13" fillId="24" borderId="8" xfId="0" applyNumberFormat="1" applyFont="1" applyFill="1" applyBorder="1"/>
    <xf numFmtId="4" fontId="57" fillId="24" borderId="18" xfId="0" applyNumberFormat="1" applyFont="1" applyFill="1" applyBorder="1"/>
    <xf numFmtId="165" fontId="57" fillId="24" borderId="46" xfId="0" applyNumberFormat="1" applyFont="1" applyFill="1" applyBorder="1"/>
    <xf numFmtId="4" fontId="57" fillId="24" borderId="55" xfId="0" applyNumberFormat="1" applyFont="1" applyFill="1" applyBorder="1"/>
    <xf numFmtId="165" fontId="58" fillId="24" borderId="47" xfId="0" applyNumberFormat="1" applyFont="1" applyFill="1" applyBorder="1"/>
    <xf numFmtId="4" fontId="58" fillId="24" borderId="15" xfId="0" applyNumberFormat="1" applyFont="1" applyFill="1" applyBorder="1"/>
    <xf numFmtId="165" fontId="57" fillId="24" borderId="47" xfId="0" applyNumberFormat="1" applyFont="1" applyFill="1" applyBorder="1"/>
    <xf numFmtId="4" fontId="57" fillId="24" borderId="15" xfId="0" applyNumberFormat="1" applyFont="1" applyFill="1" applyBorder="1"/>
    <xf numFmtId="165" fontId="57" fillId="24" borderId="8" xfId="0" applyNumberFormat="1" applyFont="1" applyFill="1" applyBorder="1"/>
    <xf numFmtId="165" fontId="13" fillId="24" borderId="43" xfId="0" applyNumberFormat="1" applyFont="1" applyFill="1" applyBorder="1"/>
    <xf numFmtId="4" fontId="57" fillId="24" borderId="34" xfId="0" applyNumberFormat="1" applyFont="1" applyFill="1" applyBorder="1"/>
    <xf numFmtId="165" fontId="89" fillId="2" borderId="47" xfId="0" applyNumberFormat="1" applyFont="1" applyFill="1" applyBorder="1"/>
    <xf numFmtId="165" fontId="57" fillId="24" borderId="14" xfId="0" applyNumberFormat="1" applyFont="1" applyFill="1" applyBorder="1"/>
    <xf numFmtId="4" fontId="57" fillId="24" borderId="59" xfId="0" applyNumberFormat="1" applyFont="1" applyFill="1" applyBorder="1"/>
    <xf numFmtId="165" fontId="89" fillId="2" borderId="14" xfId="0" applyNumberFormat="1" applyFont="1" applyFill="1" applyBorder="1"/>
    <xf numFmtId="165" fontId="57" fillId="24" borderId="21" xfId="0" applyNumberFormat="1" applyFont="1" applyFill="1" applyBorder="1"/>
    <xf numFmtId="4" fontId="57" fillId="24" borderId="52" xfId="0" applyNumberFormat="1" applyFont="1" applyFill="1" applyBorder="1"/>
    <xf numFmtId="165" fontId="57" fillId="24" borderId="9" xfId="0" applyNumberFormat="1" applyFont="1" applyFill="1" applyBorder="1"/>
    <xf numFmtId="165" fontId="58" fillId="24" borderId="46" xfId="0" applyNumberFormat="1" applyFont="1" applyFill="1" applyBorder="1"/>
    <xf numFmtId="4" fontId="58" fillId="24" borderId="58" xfId="0" applyNumberFormat="1" applyFont="1" applyFill="1" applyBorder="1"/>
    <xf numFmtId="4" fontId="58" fillId="24" borderId="44" xfId="0" applyNumberFormat="1" applyFont="1" applyFill="1" applyBorder="1"/>
    <xf numFmtId="4" fontId="58" fillId="24" borderId="45" xfId="0" applyNumberFormat="1" applyFont="1" applyFill="1" applyBorder="1"/>
    <xf numFmtId="4" fontId="58" fillId="24" borderId="19" xfId="0" applyNumberFormat="1" applyFont="1" applyFill="1" applyBorder="1"/>
    <xf numFmtId="165" fontId="17" fillId="24" borderId="28" xfId="0" applyNumberFormat="1" applyFont="1" applyFill="1" applyBorder="1"/>
    <xf numFmtId="4" fontId="58" fillId="24" borderId="29" xfId="0" applyNumberFormat="1" applyFont="1" applyFill="1" applyBorder="1"/>
    <xf numFmtId="167" fontId="53" fillId="24" borderId="13" xfId="0" applyNumberFormat="1" applyFont="1" applyFill="1" applyBorder="1" applyAlignment="1" applyProtection="1">
      <alignment horizontal="center" vertical="center"/>
      <protection hidden="1"/>
    </xf>
    <xf numFmtId="167" fontId="43" fillId="24" borderId="0" xfId="0" applyNumberFormat="1" applyFont="1" applyFill="1" applyBorder="1" applyAlignment="1" applyProtection="1">
      <alignment horizontal="center" vertical="center"/>
      <protection hidden="1"/>
    </xf>
    <xf numFmtId="0" fontId="64" fillId="2" borderId="32" xfId="38" applyFont="1" applyFill="1" applyBorder="1" applyAlignment="1"/>
    <xf numFmtId="0" fontId="64" fillId="24" borderId="32" xfId="38" applyFont="1" applyFill="1" applyBorder="1" applyAlignment="1"/>
    <xf numFmtId="0" fontId="13" fillId="24" borderId="60" xfId="0" applyFont="1" applyFill="1" applyBorder="1" applyAlignment="1">
      <alignment horizontal="center" vertical="center" wrapText="1"/>
    </xf>
    <xf numFmtId="0" fontId="13" fillId="24" borderId="29" xfId="0" applyFont="1" applyFill="1" applyBorder="1" applyAlignment="1">
      <alignment horizontal="center" vertical="center" wrapText="1"/>
    </xf>
    <xf numFmtId="165" fontId="13" fillId="24" borderId="8" xfId="0" applyNumberFormat="1" applyFont="1" applyFill="1" applyBorder="1" applyAlignment="1">
      <alignment horizontal="right" vertical="center"/>
    </xf>
    <xf numFmtId="4" fontId="55" fillId="24" borderId="34" xfId="0" applyNumberFormat="1" applyFont="1" applyFill="1" applyBorder="1" applyAlignment="1">
      <alignment horizontal="right" vertical="center"/>
    </xf>
    <xf numFmtId="165" fontId="13" fillId="24" borderId="46" xfId="0" applyNumberFormat="1" applyFont="1" applyFill="1" applyBorder="1" applyAlignment="1">
      <alignment horizontal="right" vertical="center"/>
    </xf>
    <xf numFmtId="4" fontId="55" fillId="24" borderId="45" xfId="0" applyNumberFormat="1" applyFont="1" applyFill="1" applyBorder="1" applyAlignment="1">
      <alignment horizontal="right" vertical="center"/>
    </xf>
    <xf numFmtId="165" fontId="17" fillId="24" borderId="47" xfId="0" applyNumberFormat="1" applyFont="1" applyFill="1" applyBorder="1" applyAlignment="1">
      <alignment horizontal="right" vertical="center"/>
    </xf>
    <xf numFmtId="4" fontId="56" fillId="24" borderId="19" xfId="0" applyNumberFormat="1" applyFont="1" applyFill="1" applyBorder="1" applyAlignment="1">
      <alignment horizontal="right" vertical="center"/>
    </xf>
    <xf numFmtId="165" fontId="17" fillId="24" borderId="47" xfId="0" quotePrefix="1" applyNumberFormat="1" applyFont="1" applyFill="1" applyBorder="1" applyAlignment="1">
      <alignment horizontal="right" vertical="center"/>
    </xf>
    <xf numFmtId="165" fontId="55" fillId="24" borderId="47" xfId="0" applyNumberFormat="1" applyFont="1" applyFill="1" applyBorder="1" applyAlignment="1">
      <alignment horizontal="right" vertical="center"/>
    </xf>
    <xf numFmtId="4" fontId="55" fillId="24" borderId="19" xfId="0" applyNumberFormat="1" applyFont="1" applyFill="1" applyBorder="1" applyAlignment="1">
      <alignment horizontal="right" vertical="center"/>
    </xf>
    <xf numFmtId="165" fontId="13" fillId="24" borderId="47" xfId="0" applyNumberFormat="1" applyFont="1" applyFill="1" applyBorder="1" applyAlignment="1">
      <alignment horizontal="right" vertical="center"/>
    </xf>
    <xf numFmtId="165" fontId="87" fillId="24" borderId="8" xfId="0" applyNumberFormat="1" applyFont="1" applyFill="1" applyBorder="1" applyAlignment="1">
      <alignment horizontal="right" vertical="center"/>
    </xf>
    <xf numFmtId="165" fontId="17" fillId="24" borderId="46" xfId="0" applyNumberFormat="1" applyFont="1" applyFill="1" applyBorder="1" applyAlignment="1">
      <alignment horizontal="right" vertical="center"/>
    </xf>
    <xf numFmtId="4" fontId="56" fillId="24" borderId="45" xfId="0" applyNumberFormat="1" applyFont="1" applyFill="1" applyBorder="1" applyAlignment="1">
      <alignment horizontal="right" vertical="center"/>
    </xf>
    <xf numFmtId="165" fontId="17" fillId="24" borderId="47" xfId="0" applyNumberFormat="1" applyFont="1" applyFill="1" applyBorder="1"/>
    <xf numFmtId="165" fontId="13" fillId="24" borderId="14" xfId="0" applyNumberFormat="1" applyFont="1" applyFill="1" applyBorder="1" applyAlignment="1">
      <alignment horizontal="right" vertical="center"/>
    </xf>
    <xf numFmtId="4" fontId="55" fillId="24" borderId="29" xfId="0" applyNumberFormat="1" applyFont="1" applyFill="1" applyBorder="1" applyAlignment="1">
      <alignment horizontal="right" vertical="center"/>
    </xf>
    <xf numFmtId="165" fontId="56" fillId="24" borderId="21" xfId="0" applyNumberFormat="1" applyFont="1" applyFill="1" applyBorder="1"/>
    <xf numFmtId="165" fontId="56" fillId="24" borderId="35" xfId="0" applyNumberFormat="1" applyFont="1" applyFill="1" applyBorder="1"/>
    <xf numFmtId="165" fontId="55" fillId="24" borderId="8" xfId="0" applyNumberFormat="1" applyFont="1" applyFill="1" applyBorder="1" applyAlignment="1">
      <alignment horizontal="right" vertical="center"/>
    </xf>
    <xf numFmtId="4" fontId="55" fillId="24" borderId="34" xfId="0" applyNumberFormat="1" applyFont="1" applyFill="1" applyBorder="1"/>
    <xf numFmtId="165" fontId="56" fillId="24" borderId="46" xfId="0" applyNumberFormat="1" applyFont="1" applyFill="1" applyBorder="1"/>
    <xf numFmtId="4" fontId="56" fillId="24" borderId="45" xfId="0" applyNumberFormat="1" applyFont="1" applyFill="1" applyBorder="1"/>
    <xf numFmtId="165" fontId="56" fillId="24" borderId="47" xfId="0" applyNumberFormat="1" applyFont="1" applyFill="1" applyBorder="1"/>
    <xf numFmtId="4" fontId="56" fillId="24" borderId="19" xfId="0" applyNumberFormat="1" applyFont="1" applyFill="1" applyBorder="1"/>
    <xf numFmtId="165" fontId="55" fillId="24" borderId="14" xfId="0" applyNumberFormat="1" applyFont="1" applyFill="1" applyBorder="1"/>
    <xf numFmtId="4" fontId="55" fillId="24" borderId="29" xfId="0" applyNumberFormat="1" applyFont="1" applyFill="1" applyBorder="1"/>
    <xf numFmtId="4" fontId="77" fillId="0" borderId="19" xfId="38" applyNumberFormat="1" applyFont="1" applyFill="1" applyBorder="1" applyAlignment="1">
      <alignment vertical="center"/>
    </xf>
    <xf numFmtId="165" fontId="13" fillId="0" borderId="47" xfId="38" applyNumberFormat="1" applyFont="1" applyFill="1" applyBorder="1" applyAlignment="1">
      <alignment vertical="center"/>
    </xf>
    <xf numFmtId="2" fontId="77" fillId="0" borderId="47" xfId="38" applyNumberFormat="1" applyFont="1" applyFill="1" applyBorder="1" applyAlignment="1">
      <alignment vertical="center"/>
    </xf>
    <xf numFmtId="0" fontId="9" fillId="2" borderId="0" xfId="0" applyFont="1" applyFill="1" applyBorder="1" applyAlignment="1">
      <alignment wrapText="1"/>
    </xf>
    <xf numFmtId="167" fontId="4" fillId="2" borderId="0" xfId="0" applyNumberFormat="1" applyFont="1" applyFill="1" applyBorder="1" applyProtection="1">
      <protection hidden="1"/>
    </xf>
    <xf numFmtId="4" fontId="57" fillId="2" borderId="2" xfId="0" applyNumberFormat="1" applyFont="1" applyFill="1" applyBorder="1"/>
    <xf numFmtId="0" fontId="13" fillId="2" borderId="30" xfId="0" applyFont="1" applyFill="1" applyBorder="1"/>
    <xf numFmtId="0" fontId="17" fillId="2" borderId="24" xfId="0" applyFont="1" applyFill="1" applyBorder="1"/>
    <xf numFmtId="0" fontId="13" fillId="2" borderId="24" xfId="0" applyFont="1" applyFill="1" applyBorder="1"/>
    <xf numFmtId="0" fontId="13" fillId="2" borderId="28" xfId="0" applyFont="1" applyFill="1" applyBorder="1" applyAlignment="1">
      <alignment wrapText="1"/>
    </xf>
    <xf numFmtId="0" fontId="13" fillId="12" borderId="9" xfId="0" applyFont="1" applyFill="1" applyBorder="1"/>
    <xf numFmtId="0" fontId="13" fillId="2" borderId="24" xfId="0" applyFont="1" applyFill="1" applyBorder="1" applyAlignment="1">
      <alignment wrapText="1"/>
    </xf>
    <xf numFmtId="0" fontId="0" fillId="2" borderId="28" xfId="0" applyFill="1" applyBorder="1"/>
    <xf numFmtId="0" fontId="13" fillId="11" borderId="9" xfId="0" applyFont="1" applyFill="1" applyBorder="1"/>
    <xf numFmtId="2" fontId="17" fillId="13" borderId="0" xfId="0" applyNumberFormat="1" applyFont="1" applyFill="1" applyBorder="1" applyAlignment="1">
      <alignment horizontal="right"/>
    </xf>
    <xf numFmtId="2" fontId="13" fillId="11" borderId="33" xfId="0" applyNumberFormat="1" applyFont="1" applyFill="1" applyBorder="1"/>
    <xf numFmtId="2" fontId="13" fillId="13" borderId="0" xfId="0" applyNumberFormat="1" applyFont="1" applyFill="1" applyBorder="1" applyAlignment="1">
      <alignment horizontal="right"/>
    </xf>
    <xf numFmtId="2" fontId="13" fillId="13" borderId="32" xfId="0" applyNumberFormat="1" applyFont="1" applyFill="1" applyBorder="1" applyAlignment="1">
      <alignment horizontal="right" vertical="center"/>
    </xf>
    <xf numFmtId="2" fontId="13" fillId="12" borderId="33" xfId="0" applyNumberFormat="1" applyFont="1" applyFill="1" applyBorder="1"/>
    <xf numFmtId="2" fontId="13" fillId="13" borderId="0" xfId="0" applyNumberFormat="1" applyFont="1" applyFill="1" applyBorder="1" applyAlignment="1">
      <alignment horizontal="right" vertical="center"/>
    </xf>
    <xf numFmtId="165" fontId="13" fillId="13" borderId="44" xfId="0" applyNumberFormat="1" applyFont="1" applyFill="1" applyBorder="1" applyAlignment="1">
      <alignment horizontal="right"/>
    </xf>
    <xf numFmtId="165" fontId="17" fillId="13" borderId="44" xfId="0" applyNumberFormat="1" applyFont="1" applyFill="1" applyBorder="1" applyAlignment="1">
      <alignment horizontal="right"/>
    </xf>
    <xf numFmtId="165" fontId="13" fillId="13" borderId="53" xfId="0" applyNumberFormat="1" applyFont="1" applyFill="1" applyBorder="1" applyAlignment="1">
      <alignment horizontal="right" vertical="center"/>
    </xf>
    <xf numFmtId="165" fontId="13" fillId="13" borderId="44" xfId="0" applyNumberFormat="1" applyFont="1" applyFill="1" applyBorder="1" applyAlignment="1">
      <alignment horizontal="right" vertical="center"/>
    </xf>
    <xf numFmtId="165" fontId="13" fillId="11" borderId="43" xfId="0" applyNumberFormat="1" applyFont="1" applyFill="1" applyBorder="1" applyAlignment="1">
      <alignment horizontal="right"/>
    </xf>
    <xf numFmtId="2" fontId="13" fillId="11" borderId="9" xfId="0" applyNumberFormat="1" applyFont="1" applyFill="1" applyBorder="1"/>
    <xf numFmtId="165" fontId="13" fillId="0" borderId="44" xfId="0" applyNumberFormat="1" applyFont="1" applyFill="1" applyBorder="1" applyAlignment="1">
      <alignment horizontal="right"/>
    </xf>
    <xf numFmtId="165" fontId="13" fillId="0" borderId="24" xfId="0" applyNumberFormat="1" applyFont="1" applyFill="1" applyBorder="1" applyAlignment="1">
      <alignment horizontal="right" vertical="center"/>
    </xf>
    <xf numFmtId="165" fontId="13" fillId="0" borderId="65" xfId="0" applyNumberFormat="1" applyFont="1" applyFill="1" applyBorder="1" applyAlignment="1">
      <alignment horizontal="right" vertical="center"/>
    </xf>
    <xf numFmtId="165" fontId="17" fillId="0" borderId="53" xfId="0" applyNumberFormat="1" applyFont="1" applyFill="1" applyBorder="1" applyAlignment="1">
      <alignment horizontal="right"/>
    </xf>
    <xf numFmtId="165" fontId="13" fillId="0" borderId="47" xfId="0" applyNumberFormat="1" applyFont="1" applyFill="1" applyBorder="1" applyAlignment="1">
      <alignment horizontal="right"/>
    </xf>
    <xf numFmtId="165" fontId="13" fillId="0" borderId="14" xfId="0" applyNumberFormat="1" applyFont="1" applyFill="1" applyBorder="1" applyAlignment="1">
      <alignment horizontal="right" vertical="center"/>
    </xf>
    <xf numFmtId="165" fontId="17" fillId="0" borderId="14" xfId="0" applyNumberFormat="1" applyFont="1" applyFill="1" applyBorder="1" applyAlignment="1">
      <alignment horizontal="right"/>
    </xf>
    <xf numFmtId="0" fontId="13" fillId="0" borderId="56" xfId="0" applyFont="1" applyFill="1" applyBorder="1"/>
    <xf numFmtId="165" fontId="45" fillId="0" borderId="56" xfId="0" applyNumberFormat="1" applyFont="1" applyFill="1" applyBorder="1" applyAlignment="1">
      <alignment horizontal="center" vertical="center"/>
    </xf>
    <xf numFmtId="2" fontId="45" fillId="0" borderId="56" xfId="0" applyNumberFormat="1" applyFont="1" applyFill="1" applyBorder="1" applyAlignment="1">
      <alignment horizontal="center" vertical="center"/>
    </xf>
    <xf numFmtId="165" fontId="0" fillId="0" borderId="0" xfId="0" applyNumberFormat="1" applyFill="1"/>
    <xf numFmtId="0" fontId="33" fillId="2" borderId="0" xfId="0" applyFont="1" applyFill="1" applyAlignment="1">
      <alignment wrapText="1"/>
    </xf>
    <xf numFmtId="0" fontId="13" fillId="0" borderId="54" xfId="22" applyFont="1" applyFill="1" applyBorder="1" applyAlignment="1">
      <alignment horizontal="center" vertical="center" wrapText="1"/>
    </xf>
    <xf numFmtId="0" fontId="13" fillId="0" borderId="29" xfId="22" applyFont="1" applyFill="1" applyBorder="1" applyAlignment="1">
      <alignment horizontal="center" vertical="center" wrapText="1"/>
    </xf>
    <xf numFmtId="0" fontId="13" fillId="0" borderId="32" xfId="22" applyFont="1" applyFill="1" applyBorder="1" applyAlignment="1">
      <alignment horizontal="center" vertical="center" wrapText="1"/>
    </xf>
    <xf numFmtId="0" fontId="13" fillId="0" borderId="61" xfId="22" applyFont="1" applyFill="1" applyBorder="1" applyAlignment="1">
      <alignment horizontal="center" vertical="center" wrapText="1"/>
    </xf>
    <xf numFmtId="0" fontId="13" fillId="0" borderId="28" xfId="22" applyFont="1" applyFill="1" applyBorder="1" applyAlignment="1">
      <alignment horizontal="center" vertical="center" wrapText="1"/>
    </xf>
    <xf numFmtId="0" fontId="13" fillId="0" borderId="60" xfId="0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 vertical="center" wrapText="1"/>
    </xf>
    <xf numFmtId="178" fontId="0" fillId="0" borderId="0" xfId="0" applyNumberFormat="1" applyFill="1"/>
    <xf numFmtId="0" fontId="0" fillId="0" borderId="0" xfId="0" applyFill="1" applyBorder="1"/>
    <xf numFmtId="49" fontId="13" fillId="0" borderId="24" xfId="0" applyNumberFormat="1" applyFont="1" applyFill="1" applyBorder="1" applyAlignment="1">
      <alignment horizontal="left" vertical="center" wrapText="1"/>
    </xf>
    <xf numFmtId="165" fontId="13" fillId="0" borderId="47" xfId="0" applyNumberFormat="1" applyFont="1" applyFill="1" applyBorder="1"/>
    <xf numFmtId="4" fontId="13" fillId="0" borderId="19" xfId="0" applyNumberFormat="1" applyFont="1" applyFill="1" applyBorder="1" applyAlignment="1">
      <alignment horizontal="right" vertical="center"/>
    </xf>
    <xf numFmtId="4" fontId="55" fillId="0" borderId="19" xfId="0" applyNumberFormat="1" applyFont="1" applyFill="1" applyBorder="1" applyAlignment="1">
      <alignment horizontal="right" vertical="center"/>
    </xf>
    <xf numFmtId="4" fontId="55" fillId="0" borderId="15" xfId="0" applyNumberFormat="1" applyFont="1" applyFill="1" applyBorder="1" applyAlignment="1">
      <alignment horizontal="right" vertical="center"/>
    </xf>
    <xf numFmtId="167" fontId="13" fillId="0" borderId="0" xfId="0" applyNumberFormat="1" applyFont="1" applyFill="1" applyBorder="1" applyAlignment="1" applyProtection="1">
      <protection hidden="1"/>
    </xf>
    <xf numFmtId="0" fontId="17" fillId="0" borderId="0" xfId="0" applyFont="1" applyFill="1" applyBorder="1"/>
    <xf numFmtId="0" fontId="9" fillId="0" borderId="0" xfId="0" applyFont="1" applyFill="1" applyBorder="1" applyAlignment="1">
      <alignment horizontal="right"/>
    </xf>
    <xf numFmtId="165" fontId="13" fillId="0" borderId="46" xfId="0" applyNumberFormat="1" applyFont="1" applyFill="1" applyBorder="1" applyAlignment="1">
      <alignment horizontal="right" vertical="center"/>
    </xf>
    <xf numFmtId="165" fontId="17" fillId="0" borderId="47" xfId="0" applyNumberFormat="1" applyFont="1" applyFill="1" applyBorder="1" applyAlignment="1">
      <alignment horizontal="right" vertical="center"/>
    </xf>
    <xf numFmtId="165" fontId="17" fillId="0" borderId="47" xfId="0" quotePrefix="1" applyNumberFormat="1" applyFont="1" applyFill="1" applyBorder="1" applyAlignment="1">
      <alignment horizontal="right" vertical="center"/>
    </xf>
    <xf numFmtId="165" fontId="55" fillId="0" borderId="47" xfId="0" applyNumberFormat="1" applyFont="1" applyFill="1" applyBorder="1" applyAlignment="1">
      <alignment horizontal="right" vertical="center"/>
    </xf>
    <xf numFmtId="165" fontId="17" fillId="0" borderId="47" xfId="0" applyNumberFormat="1" applyFont="1" applyFill="1" applyBorder="1"/>
    <xf numFmtId="165" fontId="17" fillId="0" borderId="21" xfId="0" applyNumberFormat="1" applyFont="1" applyFill="1" applyBorder="1"/>
    <xf numFmtId="165" fontId="55" fillId="0" borderId="8" xfId="0" applyNumberFormat="1" applyFont="1" applyFill="1" applyBorder="1" applyAlignment="1">
      <alignment horizontal="right" vertical="center"/>
    </xf>
    <xf numFmtId="165" fontId="56" fillId="0" borderId="46" xfId="0" applyNumberFormat="1" applyFont="1" applyFill="1" applyBorder="1"/>
    <xf numFmtId="165" fontId="56" fillId="0" borderId="47" xfId="0" applyNumberFormat="1" applyFont="1" applyFill="1" applyBorder="1"/>
    <xf numFmtId="165" fontId="55" fillId="0" borderId="14" xfId="0" applyNumberFormat="1" applyFont="1" applyFill="1" applyBorder="1"/>
    <xf numFmtId="165" fontId="16" fillId="0" borderId="31" xfId="0" applyNumberFormat="1" applyFont="1" applyFill="1" applyBorder="1"/>
    <xf numFmtId="165" fontId="56" fillId="0" borderId="0" xfId="0" applyNumberFormat="1" applyFont="1" applyFill="1" applyBorder="1"/>
    <xf numFmtId="0" fontId="33" fillId="0" borderId="0" xfId="0" applyFont="1" applyFill="1"/>
    <xf numFmtId="49" fontId="13" fillId="0" borderId="13" xfId="0" applyNumberFormat="1" applyFont="1" applyFill="1" applyBorder="1" applyAlignment="1">
      <alignment vertical="center" wrapText="1"/>
    </xf>
    <xf numFmtId="4" fontId="13" fillId="0" borderId="34" xfId="0" applyNumberFormat="1" applyFont="1" applyFill="1" applyBorder="1" applyAlignment="1">
      <alignment horizontal="right" vertical="center"/>
    </xf>
    <xf numFmtId="4" fontId="55" fillId="0" borderId="34" xfId="0" applyNumberFormat="1" applyFont="1" applyFill="1" applyBorder="1" applyAlignment="1">
      <alignment horizontal="right" vertical="center"/>
    </xf>
    <xf numFmtId="4" fontId="55" fillId="0" borderId="18" xfId="0" applyNumberFormat="1" applyFont="1" applyFill="1" applyBorder="1" applyAlignment="1">
      <alignment horizontal="right" vertical="center"/>
    </xf>
    <xf numFmtId="49" fontId="17" fillId="0" borderId="56" xfId="0" applyNumberFormat="1" applyFont="1" applyFill="1" applyBorder="1" applyAlignment="1">
      <alignment vertical="center" wrapText="1"/>
    </xf>
    <xf numFmtId="165" fontId="69" fillId="0" borderId="47" xfId="0" applyNumberFormat="1" applyFont="1" applyFill="1" applyBorder="1"/>
    <xf numFmtId="4" fontId="69" fillId="0" borderId="19" xfId="0" applyNumberFormat="1" applyFont="1" applyFill="1" applyBorder="1"/>
    <xf numFmtId="4" fontId="56" fillId="0" borderId="19" xfId="0" applyNumberFormat="1" applyFont="1" applyFill="1" applyBorder="1"/>
    <xf numFmtId="4" fontId="56" fillId="0" borderId="15" xfId="0" applyNumberFormat="1" applyFont="1" applyFill="1" applyBorder="1"/>
    <xf numFmtId="165" fontId="13" fillId="13" borderId="57" xfId="0" applyNumberFormat="1" applyFont="1" applyFill="1" applyBorder="1" applyAlignment="1">
      <alignment horizontal="right" vertical="center"/>
    </xf>
    <xf numFmtId="165" fontId="13" fillId="13" borderId="25" xfId="0" applyNumberFormat="1" applyFont="1" applyFill="1" applyBorder="1" applyAlignment="1">
      <alignment horizontal="right" vertical="center"/>
    </xf>
    <xf numFmtId="165" fontId="17" fillId="13" borderId="25" xfId="0" applyNumberFormat="1" applyFont="1" applyFill="1" applyBorder="1" applyAlignment="1">
      <alignment horizontal="right"/>
    </xf>
    <xf numFmtId="2" fontId="13" fillId="12" borderId="34" xfId="0" applyNumberFormat="1" applyFont="1" applyFill="1" applyBorder="1" applyAlignment="1">
      <alignment horizontal="right"/>
    </xf>
    <xf numFmtId="165" fontId="17" fillId="13" borderId="57" xfId="0" applyNumberFormat="1" applyFont="1" applyFill="1" applyBorder="1" applyAlignment="1">
      <alignment horizontal="right"/>
    </xf>
    <xf numFmtId="165" fontId="13" fillId="11" borderId="1" xfId="0" applyNumberFormat="1" applyFont="1" applyFill="1" applyBorder="1" applyAlignment="1">
      <alignment horizontal="right" vertical="center"/>
    </xf>
    <xf numFmtId="2" fontId="17" fillId="13" borderId="25" xfId="0" applyNumberFormat="1" applyFont="1" applyFill="1" applyBorder="1" applyAlignment="1">
      <alignment horizontal="right"/>
    </xf>
    <xf numFmtId="2" fontId="13" fillId="11" borderId="3" xfId="0" applyNumberFormat="1" applyFont="1" applyFill="1" applyBorder="1"/>
    <xf numFmtId="2" fontId="13" fillId="13" borderId="64" xfId="0" applyNumberFormat="1" applyFont="1" applyFill="1" applyBorder="1" applyAlignment="1">
      <alignment horizontal="right" vertical="center"/>
    </xf>
    <xf numFmtId="165" fontId="76" fillId="0" borderId="47" xfId="22" applyNumberFormat="1" applyFont="1" applyFill="1" applyBorder="1" applyAlignment="1">
      <alignment vertical="center"/>
    </xf>
    <xf numFmtId="2" fontId="17" fillId="0" borderId="24" xfId="22" applyNumberFormat="1" applyFont="1" applyFill="1" applyBorder="1" applyAlignment="1">
      <alignment vertical="center"/>
    </xf>
    <xf numFmtId="165" fontId="17" fillId="0" borderId="47" xfId="22" applyNumberFormat="1" applyFont="1" applyFill="1" applyBorder="1" applyAlignment="1">
      <alignment vertical="center"/>
    </xf>
    <xf numFmtId="4" fontId="17" fillId="0" borderId="19" xfId="22" applyNumberFormat="1" applyFont="1" applyFill="1" applyBorder="1" applyAlignment="1">
      <alignment vertical="center"/>
    </xf>
    <xf numFmtId="4" fontId="17" fillId="0" borderId="0" xfId="22" applyNumberFormat="1" applyFont="1" applyFill="1" applyBorder="1" applyAlignment="1">
      <alignment vertical="center"/>
    </xf>
    <xf numFmtId="4" fontId="76" fillId="0" borderId="19" xfId="22" applyNumberFormat="1" applyFont="1" applyFill="1" applyBorder="1" applyAlignment="1">
      <alignment vertical="center"/>
    </xf>
    <xf numFmtId="2" fontId="76" fillId="0" borderId="47" xfId="38" applyNumberFormat="1" applyFont="1" applyFill="1" applyBorder="1" applyAlignment="1">
      <alignment vertical="center"/>
    </xf>
    <xf numFmtId="49" fontId="8" fillId="0" borderId="0" xfId="22" applyNumberFormat="1" applyFont="1" applyFill="1" applyBorder="1" applyAlignment="1">
      <alignment horizontal="left" wrapText="1" indent="3"/>
    </xf>
    <xf numFmtId="2" fontId="17" fillId="0" borderId="0" xfId="0" applyNumberFormat="1" applyFont="1" applyFill="1" applyBorder="1"/>
    <xf numFmtId="2" fontId="13" fillId="13" borderId="57" xfId="0" applyNumberFormat="1" applyFont="1" applyFill="1" applyBorder="1" applyAlignment="1">
      <alignment horizontal="right"/>
    </xf>
    <xf numFmtId="2" fontId="13" fillId="13" borderId="25" xfId="0" applyNumberFormat="1" applyFont="1" applyFill="1" applyBorder="1" applyAlignment="1">
      <alignment horizontal="right"/>
    </xf>
    <xf numFmtId="2" fontId="13" fillId="12" borderId="3" xfId="0" applyNumberFormat="1" applyFont="1" applyFill="1" applyBorder="1"/>
    <xf numFmtId="177" fontId="79" fillId="0" borderId="90" xfId="0" applyNumberFormat="1" applyFont="1" applyFill="1" applyBorder="1" applyAlignment="1">
      <alignment horizontal="center" vertical="center" wrapText="1"/>
    </xf>
    <xf numFmtId="177" fontId="79" fillId="0" borderId="2" xfId="0" applyNumberFormat="1" applyFont="1" applyFill="1" applyBorder="1" applyAlignment="1">
      <alignment horizontal="center" vertical="center" wrapText="1"/>
    </xf>
    <xf numFmtId="177" fontId="79" fillId="0" borderId="50" xfId="0" applyNumberFormat="1" applyFont="1" applyFill="1" applyBorder="1" applyAlignment="1">
      <alignment horizontal="center" vertical="center" wrapText="1"/>
    </xf>
    <xf numFmtId="177" fontId="79" fillId="0" borderId="4" xfId="0" applyNumberFormat="1" applyFont="1" applyFill="1" applyBorder="1" applyAlignment="1">
      <alignment horizontal="center" vertical="center" wrapText="1"/>
    </xf>
    <xf numFmtId="177" fontId="79" fillId="0" borderId="77" xfId="0" applyNumberFormat="1" applyFont="1" applyFill="1" applyBorder="1" applyAlignment="1">
      <alignment horizontal="center" vertical="center" wrapText="1"/>
    </xf>
    <xf numFmtId="177" fontId="79" fillId="0" borderId="50" xfId="0" applyNumberFormat="1" applyFont="1" applyFill="1" applyBorder="1" applyAlignment="1">
      <alignment horizontal="center" vertical="center"/>
    </xf>
    <xf numFmtId="165" fontId="13" fillId="16" borderId="57" xfId="0" applyNumberFormat="1" applyFont="1" applyFill="1" applyBorder="1" applyAlignment="1">
      <alignment horizontal="right" vertical="center"/>
    </xf>
    <xf numFmtId="165" fontId="17" fillId="2" borderId="30" xfId="0" applyNumberFormat="1" applyFont="1" applyFill="1" applyBorder="1" applyAlignment="1">
      <alignment horizontal="right" vertical="center"/>
    </xf>
    <xf numFmtId="165" fontId="17" fillId="2" borderId="28" xfId="0" applyNumberFormat="1" applyFont="1" applyFill="1" applyBorder="1" applyAlignment="1">
      <alignment horizontal="right" vertical="center"/>
    </xf>
    <xf numFmtId="4" fontId="13" fillId="16" borderId="45" xfId="0" applyNumberFormat="1" applyFont="1" applyFill="1" applyBorder="1" applyAlignment="1">
      <alignment horizontal="right" vertical="center"/>
    </xf>
    <xf numFmtId="165" fontId="13" fillId="16" borderId="46" xfId="0" applyNumberFormat="1" applyFont="1" applyFill="1" applyBorder="1" applyAlignment="1">
      <alignment horizontal="right" vertical="center"/>
    </xf>
    <xf numFmtId="2" fontId="17" fillId="2" borderId="28" xfId="0" applyNumberFormat="1" applyFont="1" applyFill="1" applyBorder="1" applyAlignment="1">
      <alignment horizontal="left" vertical="center" wrapText="1"/>
    </xf>
    <xf numFmtId="165" fontId="17" fillId="2" borderId="87" xfId="0" applyNumberFormat="1" applyFont="1" applyFill="1" applyBorder="1" applyAlignment="1">
      <alignment horizontal="right" vertical="center"/>
    </xf>
    <xf numFmtId="165" fontId="17" fillId="2" borderId="37" xfId="0" applyNumberFormat="1" applyFont="1" applyFill="1" applyBorder="1" applyAlignment="1">
      <alignment horizontal="right" vertical="center"/>
    </xf>
    <xf numFmtId="165" fontId="17" fillId="2" borderId="23" xfId="0" applyNumberFormat="1" applyFont="1" applyFill="1" applyBorder="1" applyAlignment="1">
      <alignment horizontal="right" vertical="center"/>
    </xf>
    <xf numFmtId="4" fontId="13" fillId="16" borderId="77" xfId="0" applyNumberFormat="1" applyFont="1" applyFill="1" applyBorder="1" applyAlignment="1">
      <alignment horizontal="right" vertical="center"/>
    </xf>
    <xf numFmtId="4" fontId="13" fillId="16" borderId="4" xfId="0" applyNumberFormat="1" applyFont="1" applyFill="1" applyBorder="1" applyAlignment="1">
      <alignment horizontal="right" vertical="center"/>
    </xf>
    <xf numFmtId="165" fontId="17" fillId="0" borderId="37" xfId="0" applyNumberFormat="1" applyFont="1" applyFill="1" applyBorder="1" applyAlignment="1">
      <alignment horizontal="right" vertical="center"/>
    </xf>
    <xf numFmtId="0" fontId="17" fillId="22" borderId="0" xfId="22" applyFont="1" applyFill="1"/>
    <xf numFmtId="167" fontId="17" fillId="22" borderId="0" xfId="0" applyNumberFormat="1" applyFont="1" applyFill="1" applyBorder="1" applyAlignment="1" applyProtection="1">
      <protection hidden="1"/>
    </xf>
    <xf numFmtId="0" fontId="13" fillId="22" borderId="54" xfId="22" applyFont="1" applyFill="1" applyBorder="1" applyAlignment="1">
      <alignment horizontal="center" vertical="center" wrapText="1"/>
    </xf>
    <xf numFmtId="165" fontId="77" fillId="22" borderId="8" xfId="22" applyNumberFormat="1" applyFont="1" applyFill="1" applyBorder="1" applyAlignment="1">
      <alignment vertical="center"/>
    </xf>
    <xf numFmtId="165" fontId="77" fillId="22" borderId="47" xfId="22" applyNumberFormat="1" applyFont="1" applyFill="1" applyBorder="1" applyAlignment="1">
      <alignment vertical="center"/>
    </xf>
    <xf numFmtId="165" fontId="76" fillId="22" borderId="47" xfId="22" applyNumberFormat="1" applyFont="1" applyFill="1" applyBorder="1" applyAlignment="1">
      <alignment vertical="center"/>
    </xf>
    <xf numFmtId="165" fontId="13" fillId="22" borderId="8" xfId="22" applyNumberFormat="1" applyFont="1" applyFill="1" applyBorder="1" applyAlignment="1">
      <alignment vertical="center"/>
    </xf>
    <xf numFmtId="165" fontId="13" fillId="22" borderId="47" xfId="22" applyNumberFormat="1" applyFont="1" applyFill="1" applyBorder="1" applyAlignment="1">
      <alignment vertical="center"/>
    </xf>
    <xf numFmtId="165" fontId="77" fillId="22" borderId="14" xfId="22" applyNumberFormat="1" applyFont="1" applyFill="1" applyBorder="1" applyAlignment="1">
      <alignment vertical="center"/>
    </xf>
    <xf numFmtId="165" fontId="76" fillId="22" borderId="8" xfId="22" applyNumberFormat="1" applyFont="1" applyFill="1" applyBorder="1" applyAlignment="1">
      <alignment vertical="center"/>
    </xf>
    <xf numFmtId="165" fontId="13" fillId="22" borderId="14" xfId="22" applyNumberFormat="1" applyFont="1" applyFill="1" applyBorder="1" applyAlignment="1">
      <alignment vertical="center"/>
    </xf>
    <xf numFmtId="0" fontId="17" fillId="22" borderId="0" xfId="22" applyFont="1" applyFill="1" applyBorder="1"/>
    <xf numFmtId="165" fontId="17" fillId="2" borderId="93" xfId="0" applyNumberFormat="1" applyFont="1" applyFill="1" applyBorder="1" applyAlignment="1">
      <alignment horizontal="right"/>
    </xf>
    <xf numFmtId="165" fontId="17" fillId="2" borderId="90" xfId="0" applyNumberFormat="1" applyFont="1" applyFill="1" applyBorder="1" applyAlignment="1">
      <alignment horizontal="right"/>
    </xf>
    <xf numFmtId="165" fontId="17" fillId="2" borderId="95" xfId="0" applyNumberFormat="1" applyFont="1" applyFill="1" applyBorder="1" applyAlignment="1">
      <alignment horizontal="right"/>
    </xf>
    <xf numFmtId="165" fontId="75" fillId="2" borderId="94" xfId="0" applyNumberFormat="1" applyFont="1" applyFill="1" applyBorder="1" applyAlignment="1">
      <alignment horizontal="center"/>
    </xf>
    <xf numFmtId="0" fontId="0" fillId="0" borderId="0" xfId="0" applyFill="1" applyBorder="1"/>
    <xf numFmtId="165" fontId="13" fillId="22" borderId="8" xfId="0" applyNumberFormat="1" applyFont="1" applyFill="1" applyBorder="1"/>
    <xf numFmtId="165" fontId="17" fillId="22" borderId="0" xfId="0" applyNumberFormat="1" applyFont="1" applyFill="1"/>
    <xf numFmtId="165" fontId="17" fillId="0" borderId="0" xfId="0" applyNumberFormat="1" applyFont="1" applyFill="1"/>
    <xf numFmtId="165" fontId="13" fillId="12" borderId="13" xfId="0" applyNumberFormat="1" applyFont="1" applyFill="1" applyBorder="1" applyAlignment="1">
      <alignment horizontal="right"/>
    </xf>
    <xf numFmtId="165" fontId="13" fillId="2" borderId="56" xfId="0" applyNumberFormat="1" applyFont="1" applyFill="1" applyBorder="1" applyAlignment="1">
      <alignment horizontal="right"/>
    </xf>
    <xf numFmtId="165" fontId="17" fillId="2" borderId="56" xfId="0" applyNumberFormat="1" applyFont="1" applyFill="1" applyBorder="1" applyAlignment="1">
      <alignment horizontal="right"/>
    </xf>
    <xf numFmtId="165" fontId="13" fillId="12" borderId="13" xfId="0" applyNumberFormat="1" applyFont="1" applyFill="1" applyBorder="1"/>
    <xf numFmtId="165" fontId="13" fillId="2" borderId="26" xfId="0" applyNumberFormat="1" applyFont="1" applyFill="1" applyBorder="1" applyAlignment="1">
      <alignment horizontal="right" vertical="center"/>
    </xf>
    <xf numFmtId="165" fontId="13" fillId="2" borderId="56" xfId="0" applyNumberFormat="1" applyFont="1" applyFill="1" applyBorder="1" applyAlignment="1">
      <alignment horizontal="right" vertical="center"/>
    </xf>
    <xf numFmtId="165" fontId="13" fillId="11" borderId="13" xfId="0" applyNumberFormat="1" applyFont="1" applyFill="1" applyBorder="1"/>
    <xf numFmtId="165" fontId="13" fillId="2" borderId="44" xfId="37" applyNumberFormat="1" applyFont="1" applyFill="1" applyBorder="1" applyAlignment="1">
      <alignment horizontal="right"/>
    </xf>
    <xf numFmtId="165" fontId="93" fillId="2" borderId="25" xfId="39" applyNumberFormat="1" applyFont="1" applyFill="1" applyBorder="1" applyAlignment="1">
      <alignment horizontal="right" wrapText="1"/>
    </xf>
    <xf numFmtId="165" fontId="75" fillId="2" borderId="56" xfId="0" applyNumberFormat="1" applyFont="1" applyFill="1" applyBorder="1" applyAlignment="1">
      <alignment horizontal="right"/>
    </xf>
    <xf numFmtId="165" fontId="17" fillId="0" borderId="47" xfId="37" applyNumberFormat="1" applyFont="1" applyFill="1" applyBorder="1" applyAlignment="1">
      <alignment horizontal="right"/>
    </xf>
    <xf numFmtId="165" fontId="17" fillId="0" borderId="25" xfId="37" applyNumberFormat="1" applyFont="1" applyFill="1" applyBorder="1" applyAlignment="1">
      <alignment horizontal="right"/>
    </xf>
    <xf numFmtId="165" fontId="17" fillId="0" borderId="44" xfId="37" applyNumberFormat="1" applyFont="1" applyFill="1" applyBorder="1" applyAlignment="1">
      <alignment horizontal="right"/>
    </xf>
    <xf numFmtId="165" fontId="13" fillId="2" borderId="19" xfId="0" applyNumberFormat="1" applyFont="1" applyFill="1" applyBorder="1" applyAlignment="1">
      <alignment horizontal="center"/>
    </xf>
    <xf numFmtId="0" fontId="13" fillId="19" borderId="9" xfId="0" applyFont="1" applyFill="1" applyBorder="1"/>
    <xf numFmtId="0" fontId="13" fillId="4" borderId="9" xfId="0" applyFont="1" applyFill="1" applyBorder="1"/>
    <xf numFmtId="0" fontId="13" fillId="0" borderId="24" xfId="0" applyFont="1" applyFill="1" applyBorder="1"/>
    <xf numFmtId="0" fontId="17" fillId="2" borderId="28" xfId="0" applyFont="1" applyFill="1" applyBorder="1"/>
    <xf numFmtId="165" fontId="13" fillId="4" borderId="34" xfId="0" applyNumberFormat="1" applyFont="1" applyFill="1" applyBorder="1"/>
    <xf numFmtId="165" fontId="45" fillId="19" borderId="8" xfId="0" applyNumberFormat="1" applyFont="1" applyFill="1" applyBorder="1" applyAlignment="1">
      <alignment horizontal="right"/>
    </xf>
    <xf numFmtId="165" fontId="45" fillId="19" borderId="3" xfId="0" applyNumberFormat="1" applyFont="1" applyFill="1" applyBorder="1" applyAlignment="1">
      <alignment horizontal="right"/>
    </xf>
    <xf numFmtId="165" fontId="45" fillId="19" borderId="18" xfId="0" applyNumberFormat="1" applyFont="1" applyFill="1" applyBorder="1" applyAlignment="1">
      <alignment horizontal="right"/>
    </xf>
    <xf numFmtId="165" fontId="13" fillId="0" borderId="55" xfId="37" applyNumberFormat="1" applyFont="1" applyFill="1" applyBorder="1" applyAlignment="1">
      <alignment horizontal="right"/>
    </xf>
    <xf numFmtId="165" fontId="13" fillId="0" borderId="15" xfId="37" applyNumberFormat="1" applyFont="1" applyFill="1" applyBorder="1" applyAlignment="1">
      <alignment horizontal="right"/>
    </xf>
    <xf numFmtId="165" fontId="17" fillId="0" borderId="15" xfId="37" applyNumberFormat="1" applyFont="1" applyFill="1" applyBorder="1" applyAlignment="1">
      <alignment horizontal="right"/>
    </xf>
    <xf numFmtId="165" fontId="13" fillId="0" borderId="59" xfId="37" applyNumberFormat="1" applyFont="1" applyFill="1" applyBorder="1" applyAlignment="1">
      <alignment horizontal="right" vertical="center"/>
    </xf>
    <xf numFmtId="165" fontId="13" fillId="4" borderId="3" xfId="0" applyNumberFormat="1" applyFont="1" applyFill="1" applyBorder="1"/>
    <xf numFmtId="165" fontId="13" fillId="4" borderId="18" xfId="0" applyNumberFormat="1" applyFont="1" applyFill="1" applyBorder="1"/>
    <xf numFmtId="165" fontId="13" fillId="4" borderId="18" xfId="0" applyNumberFormat="1" applyFont="1" applyFill="1" applyBorder="1" applyAlignment="1">
      <alignment horizontal="right" vertical="center"/>
    </xf>
    <xf numFmtId="4" fontId="13" fillId="16" borderId="55" xfId="0" applyNumberFormat="1" applyFont="1" applyFill="1" applyBorder="1" applyAlignment="1">
      <alignment horizontal="right" vertical="center"/>
    </xf>
    <xf numFmtId="4" fontId="13" fillId="0" borderId="82" xfId="0" applyNumberFormat="1" applyFont="1" applyFill="1" applyBorder="1" applyAlignment="1">
      <alignment horizontal="right" vertical="center"/>
    </xf>
    <xf numFmtId="165" fontId="17" fillId="0" borderId="82" xfId="0" applyNumberFormat="1" applyFont="1" applyFill="1" applyBorder="1" applyAlignment="1">
      <alignment horizontal="right" vertical="center"/>
    </xf>
    <xf numFmtId="4" fontId="13" fillId="0" borderId="55" xfId="0" applyNumberFormat="1" applyFont="1" applyFill="1" applyBorder="1" applyAlignment="1">
      <alignment horizontal="right" vertical="center"/>
    </xf>
    <xf numFmtId="4" fontId="13" fillId="0" borderId="66" xfId="0" applyNumberFormat="1" applyFont="1" applyFill="1" applyBorder="1" applyAlignment="1">
      <alignment horizontal="right" vertical="center"/>
    </xf>
    <xf numFmtId="165" fontId="17" fillId="0" borderId="66" xfId="0" applyNumberFormat="1" applyFont="1" applyFill="1" applyBorder="1" applyAlignment="1">
      <alignment horizontal="right" vertical="center"/>
    </xf>
    <xf numFmtId="4" fontId="13" fillId="0" borderId="59" xfId="0" applyNumberFormat="1" applyFont="1" applyFill="1" applyBorder="1" applyAlignment="1">
      <alignment horizontal="right" vertical="center"/>
    </xf>
    <xf numFmtId="0" fontId="13" fillId="16" borderId="66" xfId="0" applyFont="1" applyFill="1" applyBorder="1" applyAlignment="1">
      <alignment horizontal="center" vertical="center" wrapText="1"/>
    </xf>
    <xf numFmtId="4" fontId="13" fillId="16" borderId="31" xfId="0" applyNumberFormat="1" applyFont="1" applyFill="1" applyBorder="1" applyAlignment="1">
      <alignment horizontal="right" vertical="center"/>
    </xf>
    <xf numFmtId="4" fontId="13" fillId="16" borderId="87" xfId="0" applyNumberFormat="1" applyFont="1" applyFill="1" applyBorder="1" applyAlignment="1">
      <alignment horizontal="right" vertical="center"/>
    </xf>
    <xf numFmtId="165" fontId="17" fillId="2" borderId="97" xfId="0" applyNumberFormat="1" applyFont="1" applyFill="1" applyBorder="1" applyAlignment="1">
      <alignment horizontal="right" vertical="center"/>
    </xf>
    <xf numFmtId="4" fontId="13" fillId="16" borderId="64" xfId="0" applyNumberFormat="1" applyFont="1" applyFill="1" applyBorder="1" applyAlignment="1">
      <alignment horizontal="right" vertical="center"/>
    </xf>
    <xf numFmtId="17" fontId="40" fillId="0" borderId="0" xfId="0" applyNumberFormat="1" applyFont="1" applyAlignment="1">
      <alignment vertical="center"/>
    </xf>
    <xf numFmtId="165" fontId="13" fillId="12" borderId="27" xfId="0" applyNumberFormat="1" applyFont="1" applyFill="1" applyBorder="1" applyAlignment="1">
      <alignment horizontal="right"/>
    </xf>
    <xf numFmtId="165" fontId="13" fillId="12" borderId="89" xfId="0" applyNumberFormat="1" applyFont="1" applyFill="1" applyBorder="1" applyAlignment="1">
      <alignment horizontal="right" vertical="center"/>
    </xf>
    <xf numFmtId="165" fontId="13" fillId="12" borderId="1" xfId="0" applyNumberFormat="1" applyFont="1" applyFill="1" applyBorder="1" applyAlignment="1">
      <alignment horizontal="right" vertical="center"/>
    </xf>
    <xf numFmtId="2" fontId="13" fillId="12" borderId="51" xfId="0" applyNumberFormat="1" applyFont="1" applyFill="1" applyBorder="1" applyAlignment="1">
      <alignment horizontal="right" vertical="center"/>
    </xf>
    <xf numFmtId="2" fontId="13" fillId="12" borderId="50" xfId="0" applyNumberFormat="1" applyFont="1" applyFill="1" applyBorder="1" applyAlignment="1">
      <alignment horizontal="right" vertical="center"/>
    </xf>
    <xf numFmtId="165" fontId="13" fillId="12" borderId="51" xfId="0" applyNumberFormat="1" applyFont="1" applyFill="1" applyBorder="1" applyAlignment="1">
      <alignment horizontal="right" vertical="center"/>
    </xf>
    <xf numFmtId="2" fontId="13" fillId="12" borderId="22" xfId="0" applyNumberFormat="1" applyFont="1" applyFill="1" applyBorder="1" applyAlignment="1">
      <alignment horizontal="right" vertical="center"/>
    </xf>
    <xf numFmtId="165" fontId="17" fillId="11" borderId="27" xfId="0" applyNumberFormat="1" applyFont="1" applyFill="1" applyBorder="1" applyAlignment="1">
      <alignment horizontal="right"/>
    </xf>
    <xf numFmtId="165" fontId="17" fillId="11" borderId="13" xfId="0" applyNumberFormat="1" applyFont="1" applyFill="1" applyBorder="1" applyAlignment="1">
      <alignment horizontal="right"/>
    </xf>
    <xf numFmtId="2" fontId="13" fillId="11" borderId="22" xfId="0" applyNumberFormat="1" applyFont="1" applyFill="1" applyBorder="1" applyAlignment="1">
      <alignment horizontal="right" vertical="center"/>
    </xf>
    <xf numFmtId="2" fontId="13" fillId="13" borderId="65" xfId="0" applyNumberFormat="1" applyFont="1" applyFill="1" applyBorder="1" applyAlignment="1">
      <alignment horizontal="right" vertical="center"/>
    </xf>
    <xf numFmtId="2" fontId="17" fillId="13" borderId="65" xfId="0" applyNumberFormat="1" applyFont="1" applyFill="1" applyBorder="1" applyAlignment="1">
      <alignment horizontal="right"/>
    </xf>
    <xf numFmtId="165" fontId="13" fillId="12" borderId="32" xfId="0" applyNumberFormat="1" applyFont="1" applyFill="1" applyBorder="1"/>
    <xf numFmtId="165" fontId="13" fillId="2" borderId="30" xfId="0" applyNumberFormat="1" applyFont="1" applyFill="1" applyBorder="1" applyAlignment="1">
      <alignment horizontal="right" vertical="center"/>
    </xf>
    <xf numFmtId="165" fontId="13" fillId="12" borderId="27" xfId="0" applyNumberFormat="1" applyFont="1" applyFill="1" applyBorder="1"/>
    <xf numFmtId="165" fontId="13" fillId="12" borderId="14" xfId="0" applyNumberFormat="1" applyFont="1" applyFill="1" applyBorder="1" applyAlignment="1">
      <alignment horizontal="right"/>
    </xf>
    <xf numFmtId="2" fontId="13" fillId="12" borderId="29" xfId="0" applyNumberFormat="1" applyFont="1" applyFill="1" applyBorder="1"/>
    <xf numFmtId="2" fontId="13" fillId="12" borderId="66" xfId="0" applyNumberFormat="1" applyFont="1" applyFill="1" applyBorder="1"/>
    <xf numFmtId="165" fontId="13" fillId="12" borderId="53" xfId="0" applyNumberFormat="1" applyFont="1" applyFill="1" applyBorder="1" applyAlignment="1">
      <alignment horizontal="right"/>
    </xf>
    <xf numFmtId="2" fontId="13" fillId="12" borderId="28" xfId="0" applyNumberFormat="1" applyFont="1" applyFill="1" applyBorder="1"/>
    <xf numFmtId="2" fontId="13" fillId="12" borderId="27" xfId="0" applyNumberFormat="1" applyFont="1" applyFill="1" applyBorder="1"/>
    <xf numFmtId="165" fontId="13" fillId="12" borderId="9" xfId="0" applyNumberFormat="1" applyFont="1" applyFill="1" applyBorder="1"/>
    <xf numFmtId="165" fontId="13" fillId="2" borderId="26" xfId="0" applyNumberFormat="1" applyFont="1" applyFill="1" applyBorder="1"/>
    <xf numFmtId="165" fontId="13" fillId="2" borderId="56" xfId="0" applyNumberFormat="1" applyFont="1" applyFill="1" applyBorder="1"/>
    <xf numFmtId="165" fontId="17" fillId="2" borderId="24" xfId="0" applyNumberFormat="1" applyFont="1" applyFill="1" applyBorder="1" applyAlignment="1">
      <alignment horizontal="right" vertical="center"/>
    </xf>
    <xf numFmtId="165" fontId="17" fillId="2" borderId="27" xfId="0" applyNumberFormat="1" applyFont="1" applyFill="1" applyBorder="1" applyAlignment="1">
      <alignment horizontal="right"/>
    </xf>
    <xf numFmtId="165" fontId="13" fillId="11" borderId="13" xfId="0" applyNumberFormat="1" applyFont="1" applyFill="1" applyBorder="1" applyAlignment="1">
      <alignment horizontal="right"/>
    </xf>
    <xf numFmtId="165" fontId="13" fillId="11" borderId="27" xfId="0" applyNumberFormat="1" applyFont="1" applyFill="1" applyBorder="1" applyAlignment="1">
      <alignment horizontal="right"/>
    </xf>
    <xf numFmtId="4" fontId="13" fillId="16" borderId="80" xfId="0" applyNumberFormat="1" applyFont="1" applyFill="1" applyBorder="1" applyAlignment="1">
      <alignment horizontal="right" vertical="center"/>
    </xf>
    <xf numFmtId="165" fontId="17" fillId="2" borderId="66" xfId="0" applyNumberFormat="1" applyFont="1" applyFill="1" applyBorder="1" applyAlignment="1">
      <alignment horizontal="right" vertical="center"/>
    </xf>
    <xf numFmtId="165" fontId="17" fillId="2" borderId="32" xfId="0" applyNumberFormat="1" applyFont="1" applyFill="1" applyBorder="1" applyAlignment="1">
      <alignment horizontal="right" vertical="center"/>
    </xf>
    <xf numFmtId="4" fontId="13" fillId="16" borderId="66" xfId="0" applyNumberFormat="1" applyFont="1" applyFill="1" applyBorder="1" applyAlignment="1">
      <alignment horizontal="right" vertical="center"/>
    </xf>
    <xf numFmtId="4" fontId="13" fillId="16" borderId="59" xfId="0" applyNumberFormat="1" applyFont="1" applyFill="1" applyBorder="1" applyAlignment="1">
      <alignment horizontal="right" vertical="center"/>
    </xf>
    <xf numFmtId="165" fontId="17" fillId="0" borderId="32" xfId="0" applyNumberFormat="1" applyFont="1" applyFill="1" applyBorder="1" applyAlignment="1">
      <alignment horizontal="right" vertical="center"/>
    </xf>
    <xf numFmtId="165" fontId="95" fillId="2" borderId="0" xfId="0" applyNumberFormat="1" applyFont="1" applyFill="1" applyBorder="1" applyAlignment="1">
      <alignment horizontal="right"/>
    </xf>
    <xf numFmtId="165" fontId="13" fillId="11" borderId="56" xfId="0" applyNumberFormat="1" applyFont="1" applyFill="1" applyBorder="1"/>
    <xf numFmtId="165" fontId="17" fillId="2" borderId="27" xfId="0" applyNumberFormat="1" applyFont="1" applyFill="1" applyBorder="1"/>
    <xf numFmtId="165" fontId="13" fillId="2" borderId="27" xfId="0" applyNumberFormat="1" applyFont="1" applyFill="1" applyBorder="1"/>
    <xf numFmtId="165" fontId="13" fillId="11" borderId="27" xfId="0" applyNumberFormat="1" applyFont="1" applyFill="1" applyBorder="1"/>
    <xf numFmtId="165" fontId="13" fillId="11" borderId="24" xfId="0" applyNumberFormat="1" applyFont="1" applyFill="1" applyBorder="1" applyAlignment="1">
      <alignment horizontal="right" vertical="center"/>
    </xf>
    <xf numFmtId="165" fontId="13" fillId="11" borderId="28" xfId="0" applyNumberFormat="1" applyFont="1" applyFill="1" applyBorder="1" applyAlignment="1">
      <alignment horizontal="right" vertical="center"/>
    </xf>
    <xf numFmtId="165" fontId="13" fillId="11" borderId="9" xfId="0" applyNumberFormat="1" applyFont="1" applyFill="1" applyBorder="1" applyAlignment="1">
      <alignment horizontal="right" vertical="center"/>
    </xf>
    <xf numFmtId="165" fontId="17" fillId="2" borderId="2" xfId="0" applyNumberFormat="1" applyFont="1" applyFill="1" applyBorder="1" applyAlignment="1">
      <alignment horizontal="center" vertical="center"/>
    </xf>
    <xf numFmtId="4" fontId="17" fillId="2" borderId="2" xfId="0" applyNumberFormat="1" applyFont="1" applyFill="1" applyBorder="1" applyAlignment="1">
      <alignment horizontal="right" vertical="center"/>
    </xf>
    <xf numFmtId="165" fontId="13" fillId="16" borderId="46" xfId="0" applyNumberFormat="1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165" fontId="17" fillId="0" borderId="0" xfId="0" applyNumberFormat="1" applyFont="1"/>
    <xf numFmtId="165" fontId="17" fillId="0" borderId="11" xfId="0" applyNumberFormat="1" applyFont="1" applyBorder="1" applyAlignment="1">
      <alignment horizontal="right" vertical="center"/>
    </xf>
    <xf numFmtId="0" fontId="48" fillId="2" borderId="0" xfId="0" applyFont="1" applyFill="1" applyBorder="1"/>
    <xf numFmtId="4" fontId="96" fillId="2" borderId="0" xfId="0" applyNumberFormat="1" applyFont="1" applyFill="1" applyBorder="1"/>
    <xf numFmtId="4" fontId="96" fillId="2" borderId="0" xfId="0" applyNumberFormat="1" applyFont="1" applyFill="1"/>
    <xf numFmtId="4" fontId="96" fillId="0" borderId="0" xfId="0" applyNumberFormat="1" applyFont="1"/>
    <xf numFmtId="167" fontId="3" fillId="2" borderId="0" xfId="0" applyNumberFormat="1" applyFont="1" applyFill="1" applyProtection="1">
      <protection hidden="1"/>
    </xf>
    <xf numFmtId="167" fontId="97" fillId="0" borderId="0" xfId="0" applyNumberFormat="1" applyFont="1" applyFill="1" applyProtection="1">
      <protection hidden="1"/>
    </xf>
    <xf numFmtId="165" fontId="17" fillId="0" borderId="12" xfId="0" applyNumberFormat="1" applyFont="1" applyBorder="1" applyAlignment="1">
      <alignment horizontal="right" vertical="center"/>
    </xf>
    <xf numFmtId="167" fontId="97" fillId="0" borderId="0" xfId="0" applyNumberFormat="1" applyFont="1" applyFill="1" applyBorder="1" applyProtection="1">
      <protection hidden="1"/>
    </xf>
    <xf numFmtId="165" fontId="17" fillId="0" borderId="0" xfId="0" applyNumberFormat="1" applyFont="1" applyFill="1" applyBorder="1"/>
    <xf numFmtId="165" fontId="17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center"/>
    </xf>
    <xf numFmtId="0" fontId="13" fillId="2" borderId="32" xfId="0" applyFont="1" applyFill="1" applyBorder="1" applyAlignment="1">
      <alignment vertical="center"/>
    </xf>
    <xf numFmtId="0" fontId="17" fillId="0" borderId="87" xfId="0" applyFont="1" applyBorder="1"/>
    <xf numFmtId="0" fontId="13" fillId="2" borderId="79" xfId="0" applyFont="1" applyFill="1" applyBorder="1" applyAlignment="1">
      <alignment vertical="center"/>
    </xf>
    <xf numFmtId="0" fontId="44" fillId="2" borderId="87" xfId="0" applyFont="1" applyFill="1" applyBorder="1" applyAlignment="1">
      <alignment horizontal="left" vertical="center"/>
    </xf>
    <xf numFmtId="0" fontId="13" fillId="2" borderId="37" xfId="0" applyFont="1" applyFill="1" applyBorder="1" applyAlignment="1">
      <alignment horizontal="center" vertical="center"/>
    </xf>
    <xf numFmtId="0" fontId="13" fillId="2" borderId="79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4" fontId="13" fillId="0" borderId="0" xfId="0" applyNumberFormat="1" applyFont="1" applyFill="1" applyBorder="1" applyAlignment="1">
      <alignment horizontal="right" vertical="center"/>
    </xf>
    <xf numFmtId="49" fontId="14" fillId="0" borderId="0" xfId="0" applyNumberFormat="1" applyFont="1" applyFill="1" applyBorder="1" applyAlignment="1">
      <alignment wrapText="1"/>
    </xf>
    <xf numFmtId="0" fontId="3" fillId="0" borderId="0" xfId="0" applyFont="1" applyFill="1" applyBorder="1"/>
    <xf numFmtId="165" fontId="13" fillId="0" borderId="0" xfId="0" applyNumberFormat="1" applyFont="1" applyFill="1" applyBorder="1" applyAlignment="1">
      <alignment horizontal="right" vertical="center"/>
    </xf>
    <xf numFmtId="49" fontId="14" fillId="0" borderId="0" xfId="0" applyNumberFormat="1" applyFont="1" applyFill="1" applyBorder="1" applyAlignment="1">
      <alignment horizontal="left" wrapText="1" indent="1"/>
    </xf>
    <xf numFmtId="166" fontId="17" fillId="0" borderId="0" xfId="0" applyNumberFormat="1" applyFont="1" applyFill="1" applyBorder="1"/>
    <xf numFmtId="4" fontId="17" fillId="0" borderId="0" xfId="0" applyNumberFormat="1" applyFont="1" applyFill="1" applyBorder="1" applyAlignment="1">
      <alignment horizontal="right" vertical="center"/>
    </xf>
    <xf numFmtId="49" fontId="48" fillId="0" borderId="0" xfId="0" applyNumberFormat="1" applyFont="1" applyFill="1" applyBorder="1" applyAlignment="1">
      <alignment horizontal="left" wrapText="1" indent="2"/>
    </xf>
    <xf numFmtId="0" fontId="98" fillId="0" borderId="0" xfId="0" applyFont="1" applyFill="1" applyBorder="1" applyAlignment="1">
      <alignment horizontal="center" vertical="center" wrapText="1"/>
    </xf>
    <xf numFmtId="165" fontId="17" fillId="2" borderId="0" xfId="0" applyNumberFormat="1" applyFont="1" applyFill="1" applyBorder="1"/>
    <xf numFmtId="4" fontId="17" fillId="0" borderId="0" xfId="0" applyNumberFormat="1" applyFont="1"/>
    <xf numFmtId="4" fontId="17" fillId="0" borderId="0" xfId="0" applyNumberFormat="1" applyFont="1" applyFill="1" applyBorder="1"/>
    <xf numFmtId="49" fontId="17" fillId="0" borderId="0" xfId="0" applyNumberFormat="1" applyFont="1" applyFill="1" applyBorder="1" applyAlignment="1">
      <alignment wrapText="1"/>
    </xf>
    <xf numFmtId="49" fontId="17" fillId="2" borderId="0" xfId="0" applyNumberFormat="1" applyFont="1" applyFill="1" applyAlignment="1">
      <alignment wrapText="1"/>
    </xf>
    <xf numFmtId="168" fontId="17" fillId="2" borderId="0" xfId="27" applyNumberFormat="1" applyFont="1" applyFill="1" applyBorder="1" applyAlignment="1">
      <alignment wrapText="1"/>
    </xf>
    <xf numFmtId="4" fontId="17" fillId="2" borderId="0" xfId="0" applyNumberFormat="1" applyFont="1" applyFill="1" applyBorder="1"/>
    <xf numFmtId="49" fontId="17" fillId="2" borderId="0" xfId="0" applyNumberFormat="1" applyFont="1" applyFill="1" applyBorder="1" applyAlignment="1">
      <alignment wrapText="1"/>
    </xf>
    <xf numFmtId="165" fontId="13" fillId="0" borderId="0" xfId="0" applyNumberFormat="1" applyFont="1" applyFill="1" applyBorder="1"/>
    <xf numFmtId="165" fontId="17" fillId="0" borderId="10" xfId="0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wrapText="1"/>
    </xf>
    <xf numFmtId="0" fontId="13" fillId="5" borderId="39" xfId="22" applyFont="1" applyFill="1" applyBorder="1" applyAlignment="1">
      <alignment horizontal="center" vertical="center"/>
    </xf>
    <xf numFmtId="0" fontId="13" fillId="5" borderId="40" xfId="22" applyFont="1" applyFill="1" applyBorder="1" applyAlignment="1">
      <alignment horizontal="center" vertical="center"/>
    </xf>
    <xf numFmtId="0" fontId="51" fillId="14" borderId="30" xfId="22" applyFont="1" applyFill="1" applyBorder="1" applyAlignment="1">
      <alignment horizontal="center" vertical="center"/>
    </xf>
    <xf numFmtId="0" fontId="51" fillId="14" borderId="28" xfId="22" applyFont="1" applyFill="1" applyBorder="1" applyAlignment="1">
      <alignment horizontal="center" vertical="center"/>
    </xf>
    <xf numFmtId="179" fontId="65" fillId="5" borderId="13" xfId="0" applyNumberFormat="1" applyFont="1" applyFill="1" applyBorder="1" applyAlignment="1" applyProtection="1">
      <alignment horizontal="center" vertical="center"/>
      <protection hidden="1"/>
    </xf>
    <xf numFmtId="0" fontId="44" fillId="2" borderId="32" xfId="22" applyFont="1" applyFill="1" applyBorder="1" applyAlignment="1">
      <alignment horizontal="center"/>
    </xf>
    <xf numFmtId="0" fontId="62" fillId="2" borderId="32" xfId="22" applyFont="1" applyFill="1" applyBorder="1" applyAlignment="1">
      <alignment horizontal="center"/>
    </xf>
    <xf numFmtId="167" fontId="43" fillId="2" borderId="0" xfId="0" applyNumberFormat="1" applyFont="1" applyFill="1" applyBorder="1" applyAlignment="1" applyProtection="1">
      <alignment horizontal="center"/>
      <protection hidden="1"/>
    </xf>
    <xf numFmtId="179" fontId="43" fillId="5" borderId="13" xfId="0" applyNumberFormat="1" applyFont="1" applyFill="1" applyBorder="1" applyAlignment="1">
      <alignment horizontal="center" vertical="center"/>
    </xf>
    <xf numFmtId="179" fontId="65" fillId="5" borderId="13" xfId="0" applyNumberFormat="1" applyFont="1" applyFill="1" applyBorder="1" applyAlignment="1">
      <alignment horizontal="center" vertical="center"/>
    </xf>
    <xf numFmtId="179" fontId="43" fillId="5" borderId="13" xfId="0" applyNumberFormat="1" applyFont="1" applyFill="1" applyBorder="1" applyAlignment="1" applyProtection="1">
      <alignment horizontal="center" vertical="center"/>
      <protection hidden="1"/>
    </xf>
    <xf numFmtId="0" fontId="13" fillId="8" borderId="39" xfId="0" applyFont="1" applyFill="1" applyBorder="1" applyAlignment="1">
      <alignment horizontal="center" vertical="center"/>
    </xf>
    <xf numFmtId="0" fontId="13" fillId="8" borderId="40" xfId="0" applyFont="1" applyFill="1" applyBorder="1" applyAlignment="1">
      <alignment horizontal="center" vertical="center"/>
    </xf>
    <xf numFmtId="2" fontId="51" fillId="17" borderId="26" xfId="0" applyNumberFormat="1" applyFont="1" applyFill="1" applyBorder="1" applyAlignment="1">
      <alignment horizontal="center" vertical="center"/>
    </xf>
    <xf numFmtId="2" fontId="51" fillId="17" borderId="27" xfId="0" applyNumberFormat="1" applyFont="1" applyFill="1" applyBorder="1" applyAlignment="1">
      <alignment horizontal="center" vertical="center"/>
    </xf>
    <xf numFmtId="179" fontId="54" fillId="8" borderId="13" xfId="0" applyNumberFormat="1" applyFont="1" applyFill="1" applyBorder="1" applyAlignment="1" applyProtection="1">
      <alignment horizontal="center" vertical="center"/>
      <protection hidden="1"/>
    </xf>
    <xf numFmtId="0" fontId="63" fillId="2" borderId="32" xfId="22" applyFont="1" applyFill="1" applyBorder="1" applyAlignment="1">
      <alignment horizontal="center"/>
    </xf>
    <xf numFmtId="0" fontId="43" fillId="2" borderId="0" xfId="0" applyFont="1" applyFill="1" applyAlignment="1">
      <alignment horizontal="center"/>
    </xf>
    <xf numFmtId="179" fontId="43" fillId="8" borderId="13" xfId="0" applyNumberFormat="1" applyFont="1" applyFill="1" applyBorder="1" applyAlignment="1">
      <alignment horizontal="center" vertical="center"/>
    </xf>
    <xf numFmtId="179" fontId="54" fillId="8" borderId="13" xfId="0" applyNumberFormat="1" applyFont="1" applyFill="1" applyBorder="1" applyAlignment="1">
      <alignment horizontal="center" vertical="center"/>
    </xf>
    <xf numFmtId="179" fontId="43" fillId="8" borderId="13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 applyFill="1" applyBorder="1" applyAlignment="1">
      <alignment horizontal="center" wrapText="1"/>
    </xf>
    <xf numFmtId="0" fontId="0" fillId="0" borderId="0" xfId="0" applyFill="1" applyBorder="1"/>
    <xf numFmtId="0" fontId="9" fillId="0" borderId="0" xfId="0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 vertical="center"/>
    </xf>
    <xf numFmtId="2" fontId="51" fillId="7" borderId="30" xfId="0" applyNumberFormat="1" applyFont="1" applyFill="1" applyBorder="1" applyAlignment="1">
      <alignment horizontal="center" vertical="center"/>
    </xf>
    <xf numFmtId="2" fontId="51" fillId="7" borderId="28" xfId="0" applyNumberFormat="1" applyFont="1" applyFill="1" applyBorder="1" applyAlignment="1">
      <alignment horizontal="center" vertical="center"/>
    </xf>
    <xf numFmtId="0" fontId="13" fillId="6" borderId="42" xfId="0" applyFont="1" applyFill="1" applyBorder="1" applyAlignment="1">
      <alignment horizontal="center" vertical="center"/>
    </xf>
    <xf numFmtId="0" fontId="15" fillId="2" borderId="32" xfId="0" applyFont="1" applyFill="1" applyBorder="1" applyAlignment="1">
      <alignment horizontal="center" vertical="center"/>
    </xf>
    <xf numFmtId="0" fontId="64" fillId="2" borderId="32" xfId="22" applyFont="1" applyFill="1" applyBorder="1" applyAlignment="1">
      <alignment horizontal="center"/>
    </xf>
    <xf numFmtId="179" fontId="43" fillId="6" borderId="13" xfId="0" applyNumberFormat="1" applyFont="1" applyFill="1" applyBorder="1" applyAlignment="1" applyProtection="1">
      <alignment horizontal="center" vertical="center"/>
      <protection hidden="1"/>
    </xf>
    <xf numFmtId="179" fontId="43" fillId="6" borderId="13" xfId="0" applyNumberFormat="1" applyFont="1" applyFill="1" applyBorder="1" applyAlignment="1">
      <alignment horizontal="center" vertical="center"/>
    </xf>
    <xf numFmtId="179" fontId="53" fillId="6" borderId="13" xfId="0" applyNumberFormat="1" applyFont="1" applyFill="1" applyBorder="1" applyAlignment="1">
      <alignment horizontal="center" vertical="center"/>
    </xf>
    <xf numFmtId="179" fontId="53" fillId="6" borderId="13" xfId="0" applyNumberFormat="1" applyFont="1" applyFill="1" applyBorder="1" applyAlignment="1" applyProtection="1">
      <alignment horizontal="center" vertical="center"/>
      <protection hidden="1"/>
    </xf>
    <xf numFmtId="179" fontId="59" fillId="4" borderId="33" xfId="0" applyNumberFormat="1" applyFont="1" applyFill="1" applyBorder="1" applyAlignment="1">
      <alignment horizontal="center" vertical="center"/>
    </xf>
    <xf numFmtId="179" fontId="59" fillId="4" borderId="34" xfId="0" applyNumberFormat="1" applyFont="1" applyFill="1" applyBorder="1" applyAlignment="1">
      <alignment horizontal="center" vertical="center"/>
    </xf>
    <xf numFmtId="0" fontId="51" fillId="9" borderId="26" xfId="0" applyFont="1" applyFill="1" applyBorder="1" applyAlignment="1">
      <alignment horizontal="center" vertical="center"/>
    </xf>
    <xf numFmtId="0" fontId="51" fillId="9" borderId="27" xfId="0" applyFont="1" applyFill="1" applyBorder="1" applyAlignment="1">
      <alignment horizontal="center" vertical="center"/>
    </xf>
    <xf numFmtId="0" fontId="13" fillId="4" borderId="39" xfId="0" applyFont="1" applyFill="1" applyBorder="1" applyAlignment="1">
      <alignment horizontal="center" vertical="center"/>
    </xf>
    <xf numFmtId="0" fontId="13" fillId="4" borderId="41" xfId="0" applyFont="1" applyFill="1" applyBorder="1" applyAlignment="1">
      <alignment horizontal="center" vertical="center"/>
    </xf>
    <xf numFmtId="0" fontId="13" fillId="4" borderId="40" xfId="0" applyFont="1" applyFill="1" applyBorder="1" applyAlignment="1">
      <alignment horizontal="center" vertical="center"/>
    </xf>
    <xf numFmtId="0" fontId="43" fillId="2" borderId="0" xfId="0" applyFont="1" applyFill="1" applyBorder="1" applyAlignment="1">
      <alignment horizontal="center"/>
    </xf>
    <xf numFmtId="0" fontId="82" fillId="20" borderId="9" xfId="0" applyFont="1" applyFill="1" applyBorder="1" applyAlignment="1">
      <alignment horizontal="center" vertical="center"/>
    </xf>
    <xf numFmtId="0" fontId="82" fillId="20" borderId="33" xfId="0" applyFont="1" applyFill="1" applyBorder="1" applyAlignment="1">
      <alignment horizontal="center" vertical="center"/>
    </xf>
    <xf numFmtId="0" fontId="82" fillId="20" borderId="34" xfId="0" applyFont="1" applyFill="1" applyBorder="1" applyAlignment="1">
      <alignment horizontal="center" vertical="center"/>
    </xf>
    <xf numFmtId="0" fontId="82" fillId="20" borderId="46" xfId="0" applyFont="1" applyFill="1" applyBorder="1" applyAlignment="1">
      <alignment horizontal="center" vertical="center" textRotation="45" wrapText="1"/>
    </xf>
    <xf numFmtId="0" fontId="82" fillId="20" borderId="47" xfId="0" applyFont="1" applyFill="1" applyBorder="1" applyAlignment="1">
      <alignment horizontal="center" vertical="center" textRotation="45" wrapText="1"/>
    </xf>
    <xf numFmtId="0" fontId="82" fillId="20" borderId="14" xfId="0" applyFont="1" applyFill="1" applyBorder="1" applyAlignment="1">
      <alignment horizontal="center" vertical="center" textRotation="45" wrapText="1"/>
    </xf>
    <xf numFmtId="0" fontId="82" fillId="20" borderId="30" xfId="0" applyFont="1" applyFill="1" applyBorder="1" applyAlignment="1">
      <alignment horizontal="center" vertical="center" wrapText="1"/>
    </xf>
    <xf numFmtId="0" fontId="82" fillId="20" borderId="31" xfId="0" applyFont="1" applyFill="1" applyBorder="1" applyAlignment="1">
      <alignment horizontal="center" vertical="center" wrapText="1"/>
    </xf>
    <xf numFmtId="0" fontId="82" fillId="20" borderId="28" xfId="0" applyFont="1" applyFill="1" applyBorder="1" applyAlignment="1">
      <alignment horizontal="center" vertical="center" wrapText="1"/>
    </xf>
    <xf numFmtId="0" fontId="82" fillId="20" borderId="32" xfId="0" applyFont="1" applyFill="1" applyBorder="1" applyAlignment="1">
      <alignment horizontal="center" vertical="center" wrapText="1"/>
    </xf>
    <xf numFmtId="0" fontId="13" fillId="0" borderId="39" xfId="22" applyFont="1" applyFill="1" applyBorder="1" applyAlignment="1">
      <alignment horizontal="center" vertical="center"/>
    </xf>
    <xf numFmtId="0" fontId="13" fillId="0" borderId="40" xfId="22" applyFont="1" applyFill="1" applyBorder="1" applyAlignment="1">
      <alignment horizontal="center" vertical="center"/>
    </xf>
    <xf numFmtId="167" fontId="65" fillId="5" borderId="13" xfId="0" applyNumberFormat="1" applyFont="1" applyFill="1" applyBorder="1" applyAlignment="1" applyProtection="1">
      <alignment horizontal="center" vertical="center"/>
      <protection hidden="1"/>
    </xf>
    <xf numFmtId="0" fontId="17" fillId="0" borderId="5" xfId="22" applyFont="1" applyBorder="1" applyAlignment="1">
      <alignment horizontal="center" vertical="center"/>
    </xf>
    <xf numFmtId="0" fontId="17" fillId="0" borderId="7" xfId="22" applyFont="1" applyBorder="1" applyAlignment="1">
      <alignment horizontal="center" vertical="center"/>
    </xf>
    <xf numFmtId="0" fontId="3" fillId="2" borderId="87" xfId="22" applyFont="1" applyFill="1" applyBorder="1" applyAlignment="1">
      <alignment horizontal="center" vertical="center" wrapText="1"/>
    </xf>
    <xf numFmtId="0" fontId="3" fillId="2" borderId="79" xfId="22" applyFont="1" applyFill="1" applyBorder="1" applyAlignment="1">
      <alignment horizontal="center" vertical="center" wrapText="1"/>
    </xf>
    <xf numFmtId="0" fontId="3" fillId="2" borderId="49" xfId="22" applyFont="1" applyFill="1" applyBorder="1" applyAlignment="1">
      <alignment horizontal="center" vertical="center" wrapText="1"/>
    </xf>
    <xf numFmtId="0" fontId="3" fillId="2" borderId="52" xfId="22" applyFont="1" applyFill="1" applyBorder="1" applyAlignment="1">
      <alignment horizontal="center" vertical="center" wrapText="1"/>
    </xf>
    <xf numFmtId="167" fontId="17" fillId="2" borderId="5" xfId="0" applyNumberFormat="1" applyFont="1" applyFill="1" applyBorder="1" applyAlignment="1" applyProtection="1">
      <alignment horizontal="left" vertical="center"/>
      <protection hidden="1"/>
    </xf>
    <xf numFmtId="167" fontId="17" fillId="2" borderId="6" xfId="0" applyNumberFormat="1" applyFont="1" applyFill="1" applyBorder="1" applyAlignment="1" applyProtection="1">
      <alignment horizontal="left" vertical="center"/>
      <protection hidden="1"/>
    </xf>
    <xf numFmtId="167" fontId="17" fillId="2" borderId="7" xfId="0" applyNumberFormat="1" applyFont="1" applyFill="1" applyBorder="1" applyAlignment="1" applyProtection="1">
      <alignment horizontal="left" vertical="center"/>
      <protection hidden="1"/>
    </xf>
    <xf numFmtId="0" fontId="13" fillId="5" borderId="39" xfId="38" applyFont="1" applyFill="1" applyBorder="1" applyAlignment="1">
      <alignment horizontal="center" vertical="center"/>
    </xf>
    <xf numFmtId="0" fontId="13" fillId="5" borderId="40" xfId="38" applyFont="1" applyFill="1" applyBorder="1" applyAlignment="1">
      <alignment horizontal="center" vertical="center"/>
    </xf>
    <xf numFmtId="167" fontId="65" fillId="5" borderId="9" xfId="0" applyNumberFormat="1" applyFont="1" applyFill="1" applyBorder="1" applyAlignment="1" applyProtection="1">
      <alignment horizontal="center" vertical="center"/>
      <protection hidden="1"/>
    </xf>
    <xf numFmtId="167" fontId="65" fillId="5" borderId="34" xfId="0" applyNumberFormat="1" applyFont="1" applyFill="1" applyBorder="1" applyAlignment="1" applyProtection="1">
      <alignment horizontal="center" vertical="center"/>
      <protection hidden="1"/>
    </xf>
    <xf numFmtId="0" fontId="13" fillId="24" borderId="39" xfId="38" applyFont="1" applyFill="1" applyBorder="1" applyAlignment="1">
      <alignment horizontal="center" vertical="center"/>
    </xf>
    <xf numFmtId="0" fontId="13" fillId="24" borderId="40" xfId="38" applyFont="1" applyFill="1" applyBorder="1" applyAlignment="1">
      <alignment horizontal="center" vertical="center"/>
    </xf>
    <xf numFmtId="0" fontId="13" fillId="0" borderId="85" xfId="22" applyFont="1" applyFill="1" applyBorder="1" applyAlignment="1">
      <alignment horizontal="center" vertical="center"/>
    </xf>
    <xf numFmtId="0" fontId="13" fillId="0" borderId="86" xfId="22" applyFont="1" applyFill="1" applyBorder="1" applyAlignment="1">
      <alignment horizontal="center" vertical="center"/>
    </xf>
    <xf numFmtId="167" fontId="65" fillId="5" borderId="26" xfId="0" applyNumberFormat="1" applyFont="1" applyFill="1" applyBorder="1" applyAlignment="1" applyProtection="1">
      <alignment horizontal="center" vertical="center"/>
      <protection hidden="1"/>
    </xf>
    <xf numFmtId="167" fontId="65" fillId="5" borderId="13" xfId="0" applyNumberFormat="1" applyFont="1" applyFill="1" applyBorder="1" applyAlignment="1">
      <alignment horizontal="center" vertical="center"/>
    </xf>
    <xf numFmtId="167" fontId="43" fillId="5" borderId="9" xfId="0" applyNumberFormat="1" applyFont="1" applyFill="1" applyBorder="1" applyAlignment="1">
      <alignment horizontal="center" vertical="center"/>
    </xf>
    <xf numFmtId="167" fontId="43" fillId="5" borderId="34" xfId="0" applyNumberFormat="1" applyFont="1" applyFill="1" applyBorder="1" applyAlignment="1">
      <alignment horizontal="center" vertical="center"/>
    </xf>
    <xf numFmtId="0" fontId="44" fillId="2" borderId="53" xfId="22" applyFont="1" applyFill="1" applyBorder="1" applyAlignment="1">
      <alignment horizontal="center"/>
    </xf>
    <xf numFmtId="167" fontId="43" fillId="5" borderId="9" xfId="0" applyNumberFormat="1" applyFont="1" applyFill="1" applyBorder="1" applyAlignment="1" applyProtection="1">
      <alignment horizontal="center" vertical="center"/>
      <protection hidden="1"/>
    </xf>
    <xf numFmtId="167" fontId="43" fillId="5" borderId="34" xfId="0" applyNumberFormat="1" applyFont="1" applyFill="1" applyBorder="1" applyAlignment="1" applyProtection="1">
      <alignment horizontal="center" vertical="center"/>
      <protection hidden="1"/>
    </xf>
    <xf numFmtId="167" fontId="54" fillId="8" borderId="13" xfId="0" applyNumberFormat="1" applyFont="1" applyFill="1" applyBorder="1" applyAlignment="1" applyProtection="1">
      <alignment horizontal="center" vertical="center"/>
      <protection hidden="1"/>
    </xf>
    <xf numFmtId="0" fontId="13" fillId="24" borderId="39" xfId="0" applyFont="1" applyFill="1" applyBorder="1" applyAlignment="1">
      <alignment horizontal="center" vertical="center"/>
    </xf>
    <xf numFmtId="0" fontId="13" fillId="24" borderId="40" xfId="0" applyFont="1" applyFill="1" applyBorder="1" applyAlignment="1">
      <alignment horizontal="center" vertical="center"/>
    </xf>
    <xf numFmtId="0" fontId="85" fillId="0" borderId="32" xfId="0" applyFont="1" applyBorder="1" applyAlignment="1">
      <alignment horizontal="center"/>
    </xf>
    <xf numFmtId="0" fontId="33" fillId="2" borderId="0" xfId="0" applyFont="1" applyFill="1" applyBorder="1" applyAlignment="1">
      <alignment horizontal="center" wrapText="1"/>
    </xf>
    <xf numFmtId="0" fontId="63" fillId="2" borderId="31" xfId="22" applyFont="1" applyFill="1" applyBorder="1" applyAlignment="1">
      <alignment horizontal="center" vertical="center" wrapText="1"/>
    </xf>
    <xf numFmtId="0" fontId="63" fillId="2" borderId="32" xfId="22" applyFont="1" applyFill="1" applyBorder="1" applyAlignment="1">
      <alignment horizontal="center" vertical="center" wrapText="1"/>
    </xf>
    <xf numFmtId="167" fontId="43" fillId="8" borderId="13" xfId="0" applyNumberFormat="1" applyFont="1" applyFill="1" applyBorder="1" applyAlignment="1" applyProtection="1">
      <alignment horizontal="center" vertical="center"/>
      <protection hidden="1"/>
    </xf>
    <xf numFmtId="167" fontId="43" fillId="8" borderId="13" xfId="0" applyNumberFormat="1" applyFont="1" applyFill="1" applyBorder="1" applyAlignment="1">
      <alignment horizontal="center" vertical="center"/>
    </xf>
    <xf numFmtId="167" fontId="54" fillId="8" borderId="13" xfId="0" applyNumberFormat="1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left"/>
    </xf>
    <xf numFmtId="167" fontId="53" fillId="6" borderId="13" xfId="0" applyNumberFormat="1" applyFont="1" applyFill="1" applyBorder="1" applyAlignment="1" applyProtection="1">
      <alignment horizontal="center" vertical="center"/>
      <protection hidden="1"/>
    </xf>
    <xf numFmtId="167" fontId="53" fillId="6" borderId="13" xfId="0" applyNumberFormat="1" applyFont="1" applyFill="1" applyBorder="1" applyAlignment="1">
      <alignment horizontal="center" vertical="center"/>
    </xf>
    <xf numFmtId="0" fontId="85" fillId="0" borderId="0" xfId="0" applyFont="1" applyBorder="1" applyAlignment="1">
      <alignment horizontal="center"/>
    </xf>
    <xf numFmtId="0" fontId="90" fillId="0" borderId="2" xfId="0" applyFont="1" applyBorder="1" applyAlignment="1">
      <alignment horizontal="center"/>
    </xf>
    <xf numFmtId="0" fontId="64" fillId="2" borderId="31" xfId="22" applyFont="1" applyFill="1" applyBorder="1" applyAlignment="1">
      <alignment horizontal="center" wrapText="1"/>
    </xf>
    <xf numFmtId="0" fontId="64" fillId="2" borderId="32" xfId="22" applyFont="1" applyFill="1" applyBorder="1" applyAlignment="1">
      <alignment horizontal="center" wrapText="1"/>
    </xf>
    <xf numFmtId="0" fontId="13" fillId="0" borderId="42" xfId="0" applyFont="1" applyFill="1" applyBorder="1" applyAlignment="1">
      <alignment horizontal="center" vertical="center"/>
    </xf>
    <xf numFmtId="0" fontId="13" fillId="24" borderId="42" xfId="0" applyFont="1" applyFill="1" applyBorder="1" applyAlignment="1">
      <alignment horizontal="center" vertical="center"/>
    </xf>
    <xf numFmtId="0" fontId="13" fillId="0" borderId="88" xfId="0" applyFont="1" applyFill="1" applyBorder="1" applyAlignment="1">
      <alignment horizontal="center" vertical="center"/>
    </xf>
    <xf numFmtId="167" fontId="43" fillId="6" borderId="13" xfId="0" applyNumberFormat="1" applyFont="1" applyFill="1" applyBorder="1" applyAlignment="1">
      <alignment horizontal="center" vertical="center"/>
    </xf>
    <xf numFmtId="167" fontId="43" fillId="6" borderId="13" xfId="0" applyNumberFormat="1" applyFont="1" applyFill="1" applyBorder="1" applyAlignment="1" applyProtection="1">
      <alignment horizontal="center" vertical="center"/>
      <protection hidden="1"/>
    </xf>
    <xf numFmtId="164" fontId="3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/>
    <xf numFmtId="0" fontId="13" fillId="2" borderId="0" xfId="0" applyFont="1" applyFill="1" applyBorder="1" applyAlignment="1">
      <alignment horizontal="center" vertical="center"/>
    </xf>
    <xf numFmtId="0" fontId="49" fillId="2" borderId="0" xfId="0" applyFont="1" applyFill="1" applyBorder="1" applyAlignment="1">
      <alignment horizontal="center" vertical="center"/>
    </xf>
    <xf numFmtId="0" fontId="13" fillId="16" borderId="42" xfId="0" applyFont="1" applyFill="1" applyBorder="1" applyAlignment="1">
      <alignment horizontal="center" vertical="center"/>
    </xf>
    <xf numFmtId="167" fontId="43" fillId="16" borderId="9" xfId="0" applyNumberFormat="1" applyFont="1" applyFill="1" applyBorder="1" applyAlignment="1" applyProtection="1">
      <alignment horizontal="center" vertical="center"/>
      <protection hidden="1"/>
    </xf>
    <xf numFmtId="167" fontId="43" fillId="16" borderId="34" xfId="0" applyNumberFormat="1" applyFont="1" applyFill="1" applyBorder="1" applyAlignment="1" applyProtection="1">
      <alignment horizontal="center" vertical="center"/>
      <protection hidden="1"/>
    </xf>
    <xf numFmtId="167" fontId="43" fillId="16" borderId="9" xfId="0" applyNumberFormat="1" applyFont="1" applyFill="1" applyBorder="1" applyAlignment="1">
      <alignment horizontal="center" vertical="center"/>
    </xf>
    <xf numFmtId="167" fontId="43" fillId="16" borderId="34" xfId="0" applyNumberFormat="1" applyFont="1" applyFill="1" applyBorder="1" applyAlignment="1">
      <alignment horizontal="center" vertical="center"/>
    </xf>
    <xf numFmtId="0" fontId="45" fillId="16" borderId="91" xfId="0" applyFont="1" applyFill="1" applyBorder="1" applyAlignment="1">
      <alignment horizontal="center" vertical="center"/>
    </xf>
    <xf numFmtId="0" fontId="45" fillId="16" borderId="92" xfId="0" applyFont="1" applyFill="1" applyBorder="1" applyAlignment="1">
      <alignment horizontal="center" vertical="center"/>
    </xf>
    <xf numFmtId="0" fontId="45" fillId="16" borderId="96" xfId="0" applyFont="1" applyFill="1" applyBorder="1" applyAlignment="1">
      <alignment horizontal="center" vertical="center"/>
    </xf>
    <xf numFmtId="0" fontId="13" fillId="16" borderId="71" xfId="0" applyFont="1" applyFill="1" applyBorder="1" applyAlignment="1">
      <alignment horizontal="center" vertical="center"/>
    </xf>
    <xf numFmtId="0" fontId="13" fillId="16" borderId="73" xfId="0" applyFont="1" applyFill="1" applyBorder="1" applyAlignment="1">
      <alignment horizontal="center" vertical="center"/>
    </xf>
    <xf numFmtId="0" fontId="13" fillId="16" borderId="72" xfId="0" applyFont="1" applyFill="1" applyBorder="1" applyAlignment="1">
      <alignment horizontal="center" vertical="center"/>
    </xf>
    <xf numFmtId="2" fontId="51" fillId="15" borderId="30" xfId="0" applyNumberFormat="1" applyFont="1" applyFill="1" applyBorder="1" applyAlignment="1">
      <alignment horizontal="center" vertical="center"/>
    </xf>
    <xf numFmtId="2" fontId="51" fillId="15" borderId="28" xfId="0" applyNumberFormat="1" applyFont="1" applyFill="1" applyBorder="1" applyAlignment="1">
      <alignment horizontal="center" vertical="center"/>
    </xf>
    <xf numFmtId="0" fontId="45" fillId="16" borderId="83" xfId="0" applyFont="1" applyFill="1" applyBorder="1" applyAlignment="1">
      <alignment horizontal="center" vertical="center"/>
    </xf>
    <xf numFmtId="0" fontId="45" fillId="16" borderId="84" xfId="0" applyFont="1" applyFill="1" applyBorder="1" applyAlignment="1">
      <alignment horizontal="center" vertical="center"/>
    </xf>
    <xf numFmtId="2" fontId="51" fillId="15" borderId="26" xfId="0" applyNumberFormat="1" applyFont="1" applyFill="1" applyBorder="1" applyAlignment="1">
      <alignment horizontal="center" vertical="center"/>
    </xf>
    <xf numFmtId="2" fontId="51" fillId="15" borderId="56" xfId="0" applyNumberFormat="1" applyFont="1" applyFill="1" applyBorder="1" applyAlignment="1">
      <alignment horizontal="center" vertical="center"/>
    </xf>
    <xf numFmtId="2" fontId="51" fillId="15" borderId="27" xfId="0" applyNumberFormat="1" applyFont="1" applyFill="1" applyBorder="1" applyAlignment="1">
      <alignment horizontal="center" vertical="center"/>
    </xf>
    <xf numFmtId="0" fontId="45" fillId="16" borderId="76" xfId="0" applyFont="1" applyFill="1" applyBorder="1" applyAlignment="1">
      <alignment horizontal="center" vertical="center"/>
    </xf>
    <xf numFmtId="0" fontId="45" fillId="16" borderId="74" xfId="0" applyFont="1" applyFill="1" applyBorder="1" applyAlignment="1">
      <alignment horizontal="center" vertical="center"/>
    </xf>
    <xf numFmtId="0" fontId="13" fillId="16" borderId="28" xfId="0" applyFont="1" applyFill="1" applyBorder="1" applyAlignment="1">
      <alignment horizontal="center" vertical="center"/>
    </xf>
    <xf numFmtId="0" fontId="13" fillId="16" borderId="32" xfId="0" applyFont="1" applyFill="1" applyBorder="1" applyAlignment="1">
      <alignment horizontal="center" vertical="center"/>
    </xf>
    <xf numFmtId="0" fontId="45" fillId="16" borderId="75" xfId="0" applyFont="1" applyFill="1" applyBorder="1" applyAlignment="1">
      <alignment horizontal="center" vertical="center"/>
    </xf>
    <xf numFmtId="0" fontId="13" fillId="13" borderId="39" xfId="0" applyNumberFormat="1" applyFont="1" applyFill="1" applyBorder="1" applyAlignment="1">
      <alignment horizontal="center" vertical="center"/>
    </xf>
    <xf numFmtId="0" fontId="13" fillId="13" borderId="41" xfId="0" applyNumberFormat="1" applyFont="1" applyFill="1" applyBorder="1" applyAlignment="1">
      <alignment horizontal="center" vertical="center"/>
    </xf>
    <xf numFmtId="0" fontId="13" fillId="13" borderId="40" xfId="0" applyNumberFormat="1" applyFont="1" applyFill="1" applyBorder="1" applyAlignment="1">
      <alignment horizontal="center" vertical="center"/>
    </xf>
    <xf numFmtId="0" fontId="51" fillId="10" borderId="26" xfId="0" applyFont="1" applyFill="1" applyBorder="1" applyAlignment="1">
      <alignment horizontal="center" vertical="center"/>
    </xf>
    <xf numFmtId="0" fontId="51" fillId="10" borderId="27" xfId="0" applyFont="1" applyFill="1" applyBorder="1" applyAlignment="1">
      <alignment horizontal="center" vertical="center"/>
    </xf>
    <xf numFmtId="0" fontId="94" fillId="4" borderId="30" xfId="0" applyFont="1" applyFill="1" applyBorder="1" applyAlignment="1">
      <alignment horizontal="center" vertical="center"/>
    </xf>
    <xf numFmtId="0" fontId="94" fillId="4" borderId="31" xfId="0" applyFont="1" applyFill="1" applyBorder="1" applyAlignment="1">
      <alignment horizontal="center" vertical="center"/>
    </xf>
    <xf numFmtId="0" fontId="94" fillId="4" borderId="45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center" vertical="center"/>
    </xf>
    <xf numFmtId="0" fontId="71" fillId="4" borderId="0" xfId="0" applyFont="1" applyFill="1" applyAlignment="1">
      <alignment horizontal="center" vertical="center"/>
    </xf>
    <xf numFmtId="0" fontId="40" fillId="4" borderId="0" xfId="0" applyFont="1" applyFill="1" applyAlignment="1">
      <alignment horizontal="center" vertical="center"/>
    </xf>
    <xf numFmtId="0" fontId="40" fillId="0" borderId="0" xfId="0" applyFont="1" applyFill="1" applyBorder="1" applyAlignment="1">
      <alignment horizontal="center" vertical="center" textRotation="45"/>
    </xf>
    <xf numFmtId="0" fontId="40" fillId="0" borderId="0" xfId="0" applyFont="1" applyFill="1" applyAlignment="1">
      <alignment horizontal="center" vertical="center" textRotation="45"/>
    </xf>
    <xf numFmtId="0" fontId="40" fillId="0" borderId="0" xfId="0" applyFont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16" fontId="40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165" fontId="13" fillId="2" borderId="56" xfId="0" applyNumberFormat="1" applyFont="1" applyFill="1" applyBorder="1" applyAlignment="1">
      <alignment horizontal="center"/>
    </xf>
  </cellXfs>
  <cellStyles count="40">
    <cellStyle name="1 indent" xfId="1"/>
    <cellStyle name="2 indents" xfId="2"/>
    <cellStyle name="3 indents" xfId="3"/>
    <cellStyle name="4 indents" xfId="4"/>
    <cellStyle name="Bad" xfId="37" builtinId="27"/>
    <cellStyle name="Date" xfId="5"/>
    <cellStyle name="F2" xfId="6"/>
    <cellStyle name="F3" xfId="7"/>
    <cellStyle name="F4" xfId="8"/>
    <cellStyle name="F5" xfId="9"/>
    <cellStyle name="F6" xfId="10"/>
    <cellStyle name="F7" xfId="11"/>
    <cellStyle name="F8" xfId="12"/>
    <cellStyle name="Fixed" xfId="13"/>
    <cellStyle name="HEADING1" xfId="14"/>
    <cellStyle name="HEADING2" xfId="15"/>
    <cellStyle name="imf-one decimal" xfId="16"/>
    <cellStyle name="imf-zero decimal" xfId="17"/>
    <cellStyle name="Label" xfId="18"/>
    <cellStyle name="Normal" xfId="0" builtinId="0"/>
    <cellStyle name="Normal - Style1" xfId="19"/>
    <cellStyle name="Normal - Style2" xfId="20"/>
    <cellStyle name="Normal - Style3" xfId="21"/>
    <cellStyle name="Normal 10" xfId="34"/>
    <cellStyle name="Normal 11" xfId="35"/>
    <cellStyle name="Normal 12" xfId="36"/>
    <cellStyle name="Normal 2" xfId="22"/>
    <cellStyle name="Normal 2 2" xfId="38"/>
    <cellStyle name="Normal 3" xfId="26"/>
    <cellStyle name="Normal 4" xfId="28"/>
    <cellStyle name="Normal 5" xfId="29"/>
    <cellStyle name="Normal 6" xfId="30"/>
    <cellStyle name="Normal 7" xfId="31"/>
    <cellStyle name="Normal 8" xfId="32"/>
    <cellStyle name="Normal 9" xfId="33"/>
    <cellStyle name="Normal_Execution for 2012_int" xfId="39"/>
    <cellStyle name="Normal_Sheet1" xfId="27"/>
    <cellStyle name="Obično_KnjigaZIKS i Min pomorstva i saobracaja" xfId="23"/>
    <cellStyle name="percentage difference" xfId="24"/>
    <cellStyle name="Publication" xfId="25"/>
  </cellStyles>
  <dxfs count="0"/>
  <tableStyles count="0" defaultTableStyle="TableStyleMedium9" defaultPivotStyle="PivotStyleLight16"/>
  <colors>
    <mruColors>
      <color rgb="FF910000"/>
      <color rgb="FF820000"/>
      <color rgb="FF5A0000"/>
      <color rgb="FF640000"/>
      <color rgb="FF6E0000"/>
      <color rgb="FF730000"/>
      <color rgb="FF780000"/>
      <color rgb="FF7D0000"/>
      <color rgb="FF7E0000"/>
      <color rgb="FF323E1A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Pr>
        <a:bodyPr/>
        <a:lstStyle/>
        <a:p>
          <a:pPr>
            <a:defRPr lang="en-US"/>
          </a:pPr>
          <a:endParaRPr lang="en-US"/>
        </a:p>
      </c:txPr>
    </c:title>
    <c:plotArea>
      <c:layout>
        <c:manualLayout>
          <c:layoutTarget val="inner"/>
          <c:xMode val="edge"/>
          <c:yMode val="edge"/>
          <c:x val="0.16493874594356508"/>
          <c:y val="0.29185704209881252"/>
          <c:w val="0.7939301375571356"/>
          <c:h val="0.48201926301064091"/>
        </c:manualLayout>
      </c:layout>
      <c:lineChart>
        <c:grouping val="standard"/>
        <c:ser>
          <c:idx val="0"/>
          <c:order val="0"/>
          <c:tx>
            <c:strRef>
              <c:f>'Analitics tab 2013'!$D$15</c:f>
              <c:strCache>
                <c:ptCount val="1"/>
                <c:pt idx="0">
                  <c:v>BDP (u mil. €)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'Analitics tab 2013'!$E$14:$N$14</c:f>
              <c:numCache>
                <c:formatCode>General</c:formatCod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</c:numCache>
            </c:numRef>
          </c:cat>
          <c:val>
            <c:numRef>
              <c:f>'Analitics tab 2013'!$E$15:$N$15</c:f>
              <c:numCache>
                <c:formatCode>#,##0.0,,</c:formatCode>
                <c:ptCount val="10"/>
                <c:pt idx="0">
                  <c:v>2148900000</c:v>
                </c:pt>
                <c:pt idx="1">
                  <c:v>2680500000</c:v>
                </c:pt>
                <c:pt idx="2">
                  <c:v>3085600000</c:v>
                </c:pt>
                <c:pt idx="3">
                  <c:v>2981000000</c:v>
                </c:pt>
                <c:pt idx="4">
                  <c:v>3104000000</c:v>
                </c:pt>
                <c:pt idx="5">
                  <c:v>3234000000</c:v>
                </c:pt>
                <c:pt idx="6">
                  <c:v>3149000000</c:v>
                </c:pt>
                <c:pt idx="7">
                  <c:v>3517000000</c:v>
                </c:pt>
                <c:pt idx="8">
                  <c:v>3735000000</c:v>
                </c:pt>
                <c:pt idx="9">
                  <c:v>3982000000</c:v>
                </c:pt>
              </c:numCache>
            </c:numRef>
          </c:val>
          <c:smooth val="1"/>
        </c:ser>
        <c:marker val="1"/>
        <c:axId val="90329856"/>
        <c:axId val="90331392"/>
      </c:lineChart>
      <c:catAx>
        <c:axId val="90329856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 rot="-2700000"/>
          <a:lstStyle/>
          <a:p>
            <a:pPr>
              <a:defRPr lang="en-US"/>
            </a:pPr>
            <a:endParaRPr lang="en-US"/>
          </a:p>
        </c:txPr>
        <c:crossAx val="90331392"/>
        <c:crosses val="autoZero"/>
        <c:auto val="1"/>
        <c:lblAlgn val="ctr"/>
        <c:lblOffset val="100"/>
      </c:catAx>
      <c:valAx>
        <c:axId val="90331392"/>
        <c:scaling>
          <c:orientation val="minMax"/>
          <c:min val="1500000000"/>
        </c:scaling>
        <c:axPos val="l"/>
        <c:majorGridlines/>
        <c:numFmt formatCode="#,##0.0,," sourceLinked="1"/>
        <c:maj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lang="en-US"/>
            </a:pPr>
            <a:endParaRPr lang="en-US"/>
          </a:p>
        </c:txPr>
        <c:crossAx val="90329856"/>
        <c:crosses val="autoZero"/>
        <c:crossBetween val="between"/>
        <c:majorUnit val="1000000000"/>
      </c:valAx>
    </c:plotArea>
    <c:plotVisOnly val="1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581025</xdr:colOff>
      <xdr:row>0</xdr:row>
      <xdr:rowOff>104775</xdr:rowOff>
    </xdr:from>
    <xdr:to>
      <xdr:col>11</xdr:col>
      <xdr:colOff>71803</xdr:colOff>
      <xdr:row>5</xdr:row>
      <xdr:rowOff>143617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00" y="104775"/>
          <a:ext cx="786178" cy="90561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9525</xdr:colOff>
      <xdr:row>1</xdr:row>
      <xdr:rowOff>19050</xdr:rowOff>
    </xdr:from>
    <xdr:to>
      <xdr:col>10</xdr:col>
      <xdr:colOff>828675</xdr:colOff>
      <xdr:row>6</xdr:row>
      <xdr:rowOff>114300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905875" y="180975"/>
          <a:ext cx="819150" cy="904875"/>
        </a:xfrm>
        <a:prstGeom prst="rect">
          <a:avLst/>
        </a:prstGeom>
      </xdr:spPr>
    </xdr:pic>
    <xdr:clientData/>
  </xdr:twoCellAnchor>
  <xdr:twoCellAnchor>
    <xdr:from>
      <xdr:col>20</xdr:col>
      <xdr:colOff>447675</xdr:colOff>
      <xdr:row>10</xdr:row>
      <xdr:rowOff>9525</xdr:rowOff>
    </xdr:from>
    <xdr:to>
      <xdr:col>22</xdr:col>
      <xdr:colOff>200025</xdr:colOff>
      <xdr:row>22</xdr:row>
      <xdr:rowOff>152400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266700</xdr:colOff>
      <xdr:row>0</xdr:row>
      <xdr:rowOff>123826</xdr:rowOff>
    </xdr:from>
    <xdr:to>
      <xdr:col>7</xdr:col>
      <xdr:colOff>304800</xdr:colOff>
      <xdr:row>5</xdr:row>
      <xdr:rowOff>133351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15250" y="123826"/>
          <a:ext cx="752475" cy="819150"/>
        </a:xfrm>
        <a:prstGeom prst="rect">
          <a:avLst/>
        </a:prstGeom>
      </xdr:spPr>
    </xdr:pic>
    <xdr:clientData/>
  </xdr:twoCellAnchor>
  <xdr:twoCellAnchor editAs="oneCell">
    <xdr:from>
      <xdr:col>8</xdr:col>
      <xdr:colOff>352425</xdr:colOff>
      <xdr:row>6</xdr:row>
      <xdr:rowOff>76200</xdr:rowOff>
    </xdr:from>
    <xdr:to>
      <xdr:col>9</xdr:col>
      <xdr:colOff>476250</xdr:colOff>
      <xdr:row>12</xdr:row>
      <xdr:rowOff>76200</xdr:rowOff>
    </xdr:to>
    <xdr:pic>
      <xdr:nvPicPr>
        <xdr:cNvPr id="3" name="Picture 2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05825" y="1047750"/>
          <a:ext cx="838200" cy="9715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657225</xdr:colOff>
      <xdr:row>0</xdr:row>
      <xdr:rowOff>133350</xdr:rowOff>
    </xdr:from>
    <xdr:to>
      <xdr:col>9</xdr:col>
      <xdr:colOff>309928</xdr:colOff>
      <xdr:row>6</xdr:row>
      <xdr:rowOff>67417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00" y="133350"/>
          <a:ext cx="786178" cy="90561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657225</xdr:colOff>
      <xdr:row>0</xdr:row>
      <xdr:rowOff>133350</xdr:rowOff>
    </xdr:from>
    <xdr:to>
      <xdr:col>9</xdr:col>
      <xdr:colOff>14653</xdr:colOff>
      <xdr:row>6</xdr:row>
      <xdr:rowOff>67417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77225" y="133350"/>
          <a:ext cx="786178" cy="90561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161925</xdr:colOff>
      <xdr:row>1</xdr:row>
      <xdr:rowOff>38101</xdr:rowOff>
    </xdr:from>
    <xdr:to>
      <xdr:col>10</xdr:col>
      <xdr:colOff>200025</xdr:colOff>
      <xdr:row>6</xdr:row>
      <xdr:rowOff>47626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3600" y="200026"/>
          <a:ext cx="752475" cy="8191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342900</xdr:colOff>
      <xdr:row>2</xdr:row>
      <xdr:rowOff>19050</xdr:rowOff>
    </xdr:from>
    <xdr:ext cx="3943350" cy="264560"/>
    <xdr:sp macro="" textlink="">
      <xdr:nvSpPr>
        <xdr:cNvPr id="2" name="TextBox 1"/>
        <xdr:cNvSpPr txBox="1"/>
      </xdr:nvSpPr>
      <xdr:spPr>
        <a:xfrm>
          <a:off x="9972675" y="342900"/>
          <a:ext cx="39433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22</xdr:col>
      <xdr:colOff>57150</xdr:colOff>
      <xdr:row>2</xdr:row>
      <xdr:rowOff>19050</xdr:rowOff>
    </xdr:from>
    <xdr:ext cx="2621230" cy="953466"/>
    <xdr:sp macro="" textlink="">
      <xdr:nvSpPr>
        <xdr:cNvPr id="3" name="TextBox 2"/>
        <xdr:cNvSpPr txBox="1"/>
      </xdr:nvSpPr>
      <xdr:spPr>
        <a:xfrm>
          <a:off x="1276350" y="342900"/>
          <a:ext cx="2621230" cy="9534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dohodak fizičkih lica  11%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promet nepokretnosti  10%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upotrebu motornih vozila   100%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Naknade za igre na sreću   40%</a:t>
          </a:r>
          <a:r>
            <a:rPr lang="en-US"/>
            <a:t> </a:t>
          </a:r>
          <a:endParaRPr lang="x-none"/>
        </a:p>
        <a:p>
          <a:r>
            <a:rPr lang="en-US" sz="1100" b="1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UKUPNO</a:t>
          </a:r>
          <a:r>
            <a:rPr lang="en-US"/>
            <a:t> </a:t>
          </a:r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514350</xdr:colOff>
      <xdr:row>0</xdr:row>
      <xdr:rowOff>142875</xdr:rowOff>
    </xdr:from>
    <xdr:to>
      <xdr:col>10</xdr:col>
      <xdr:colOff>5128</xdr:colOff>
      <xdr:row>6</xdr:row>
      <xdr:rowOff>38842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58275" y="142875"/>
          <a:ext cx="786178" cy="9056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514350</xdr:colOff>
      <xdr:row>0</xdr:row>
      <xdr:rowOff>95250</xdr:rowOff>
    </xdr:from>
    <xdr:to>
      <xdr:col>11</xdr:col>
      <xdr:colOff>5128</xdr:colOff>
      <xdr:row>5</xdr:row>
      <xdr:rowOff>124567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77325" y="95250"/>
          <a:ext cx="786178" cy="9056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523875</xdr:colOff>
      <xdr:row>1</xdr:row>
      <xdr:rowOff>38101</xdr:rowOff>
    </xdr:from>
    <xdr:to>
      <xdr:col>10</xdr:col>
      <xdr:colOff>561975</xdr:colOff>
      <xdr:row>6</xdr:row>
      <xdr:rowOff>47626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29775" y="200026"/>
          <a:ext cx="752475" cy="8191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85725</xdr:rowOff>
    </xdr:from>
    <xdr:to>
      <xdr:col>7</xdr:col>
      <xdr:colOff>786178</xdr:colOff>
      <xdr:row>7</xdr:row>
      <xdr:rowOff>19792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20050" y="247650"/>
          <a:ext cx="786178" cy="90561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228600</xdr:colOff>
      <xdr:row>1</xdr:row>
      <xdr:rowOff>76200</xdr:rowOff>
    </xdr:from>
    <xdr:to>
      <xdr:col>23</xdr:col>
      <xdr:colOff>367078</xdr:colOff>
      <xdr:row>6</xdr:row>
      <xdr:rowOff>86467</xdr:rowOff>
    </xdr:to>
    <xdr:pic>
      <xdr:nvPicPr>
        <xdr:cNvPr id="3" name="Picture 2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8500" y="238125"/>
          <a:ext cx="786178" cy="90561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514350</xdr:colOff>
      <xdr:row>0</xdr:row>
      <xdr:rowOff>142875</xdr:rowOff>
    </xdr:from>
    <xdr:to>
      <xdr:col>16</xdr:col>
      <xdr:colOff>140594</xdr:colOff>
      <xdr:row>6</xdr:row>
      <xdr:rowOff>38842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72625" y="142875"/>
          <a:ext cx="786178" cy="90561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514350</xdr:colOff>
      <xdr:row>0</xdr:row>
      <xdr:rowOff>95250</xdr:rowOff>
    </xdr:from>
    <xdr:to>
      <xdr:col>17</xdr:col>
      <xdr:colOff>143921</xdr:colOff>
      <xdr:row>5</xdr:row>
      <xdr:rowOff>124567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991600" y="95250"/>
          <a:ext cx="786178" cy="90561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466725</xdr:colOff>
      <xdr:row>0</xdr:row>
      <xdr:rowOff>28575</xdr:rowOff>
    </xdr:from>
    <xdr:to>
      <xdr:col>11</xdr:col>
      <xdr:colOff>142875</xdr:colOff>
      <xdr:row>6</xdr:row>
      <xdr:rowOff>0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29700" y="28575"/>
          <a:ext cx="838200" cy="9715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21\DATA\US\GEO\MISC\medium-ter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fad\DATA\O2\HRV\FIS\hrv-fisc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fad\DATA\O2\HRV\DOC\DATABASE\hr_red9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va.vukovic/Desktop/pokusaj%20Kap%20budz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OC"/>
      <sheetName val="REAL"/>
      <sheetName val="BOP"/>
      <sheetName val="FIS"/>
      <sheetName val="MACROF"/>
      <sheetName val="debt_sust"/>
      <sheetName val="WEO"/>
      <sheetName val="Ostvarenje 20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ocumentation"/>
      <sheetName val="B"/>
      <sheetName val="C"/>
      <sheetName val="D"/>
      <sheetName val="financ"/>
      <sheetName val="financsum"/>
      <sheetName val="EBFs"/>
      <sheetName val="consolid"/>
      <sheetName val="local"/>
      <sheetName val="SR tab 2"/>
      <sheetName val="K"/>
      <sheetName val="struct"/>
      <sheetName val="L"/>
      <sheetName val="S-I"/>
      <sheetName val="M"/>
      <sheetName val="N"/>
      <sheetName val="function"/>
      <sheetName val="pensions"/>
      <sheetName val="Gen1"/>
      <sheetName val="Gen2"/>
      <sheetName val="Gen3"/>
      <sheetName val="m-t"/>
      <sheetName val="Q4WEO"/>
      <sheetName val="Module1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ontents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,15,16)"/>
      <sheetName val="TAB17"/>
      <sheetName val="TAB18"/>
      <sheetName val="TAB19"/>
      <sheetName val="TAB20"/>
      <sheetName val="TAB21A"/>
      <sheetName val="TAB22A"/>
      <sheetName val="olad table4"/>
      <sheetName val="TAB23A"/>
      <sheetName val="TAB24A"/>
      <sheetName val="TAB25A"/>
      <sheetName val="TAB26A"/>
      <sheetName val="TAB27"/>
      <sheetName val="TAB28A"/>
      <sheetName val="TAB29A"/>
      <sheetName val="TAB30A"/>
      <sheetName val="TAB31A"/>
      <sheetName val="TAB32A"/>
      <sheetName val="TAB33A"/>
      <sheetName val="TAB34AA"/>
      <sheetName val="TAB35A"/>
      <sheetName val="TAB36A"/>
      <sheetName val="TAB37A"/>
      <sheetName val="TAB38A"/>
      <sheetName val="TAB39A"/>
      <sheetName val="TAB40A"/>
      <sheetName val="TAB41A"/>
      <sheetName val="TAB42A"/>
      <sheetName val="TAB43A"/>
      <sheetName val="TAB44"/>
      <sheetName val="TAB45A"/>
      <sheetName val="TAB46L"/>
      <sheetName val="TAB47L"/>
      <sheetName val="TAB48L"/>
      <sheetName val="TAB49L"/>
      <sheetName val="TAB50L"/>
      <sheetName val="TAB51"/>
      <sheetName val="TAB53A"/>
      <sheetName val="TAB54A"/>
      <sheetName val="tab55"/>
      <sheetName val="tab56"/>
      <sheetName val="tab57&amp;58"/>
      <sheetName val="tab59&amp;60"/>
      <sheetName val="tab61"/>
      <sheetName val="tab62"/>
    </sheetNames>
    <sheetDataSet>
      <sheetData sheetId="0" refreshError="1">
        <row r="17">
          <cell r="A17" t="str">
            <v>BOP</v>
          </cell>
          <cell r="C17" t="str">
            <v>Table 3. Central and Eastern Europe: Exports of Goods</v>
          </cell>
        </row>
        <row r="18">
          <cell r="A18" t="str">
            <v>BOP</v>
          </cell>
          <cell r="C18" t="str">
            <v>Table 4. Central and Eastern Europe: Exports of Goods to the European Union</v>
          </cell>
        </row>
        <row r="19">
          <cell r="A19" t="str">
            <v>BOP</v>
          </cell>
          <cell r="C19" t="str">
            <v xml:space="preserve">Table 5. Central and Eastern Europe: Growth of EU Market Share </v>
          </cell>
        </row>
        <row r="20">
          <cell r="A20" t="str">
            <v>BOP</v>
          </cell>
          <cell r="C20" t="str">
            <v>Table 6. Central and Eastern Europe: Exports of Goods to CEFTA</v>
          </cell>
        </row>
        <row r="21">
          <cell r="A21" t="str">
            <v>BOP</v>
          </cell>
          <cell r="C21" t="str">
            <v>Table 7. Central and Eastern Europe: Exchange Rate Developments</v>
          </cell>
        </row>
        <row r="22">
          <cell r="A22" t="str">
            <v>BOP</v>
          </cell>
          <cell r="C22" t="str">
            <v>Table 8. Central and Eastern Europe: Labor Market Competitiveness Indicators</v>
          </cell>
        </row>
        <row r="23">
          <cell r="A23" t="str">
            <v>BOP</v>
          </cell>
          <cell r="C23" t="str">
            <v>Table 9. Croatia: Composition of Trade According to Categories Defined by SITC</v>
          </cell>
        </row>
        <row r="24">
          <cell r="A24" t="str">
            <v>BOP</v>
          </cell>
          <cell r="C24" t="str">
            <v>Table 10. Central and Eastern Europe: Trade Arrangements</v>
          </cell>
        </row>
        <row r="25">
          <cell r="A25" t="str">
            <v>BOP</v>
          </cell>
          <cell r="C25" t="str">
            <v>Table 11. EU Tariffs by ISIC Categories</v>
          </cell>
        </row>
        <row r="26">
          <cell r="A26" t="str">
            <v>BOP</v>
          </cell>
          <cell r="C26" t="str">
            <v>Table 12. Central and Eastern Europe: Tariff Structure Summary</v>
          </cell>
        </row>
        <row r="27">
          <cell r="A27" t="str">
            <v>BOP</v>
          </cell>
          <cell r="C27" t="str">
            <v>Table 13. Central and Eastern Europe: Foreign Direct Investment 1/</v>
          </cell>
        </row>
        <row r="28">
          <cell r="A28" t="str">
            <v>FISCAL</v>
          </cell>
          <cell r="C28" t="str">
            <v>Table 14. Croatia: Social Expenditure, 1994-98 1/</v>
          </cell>
        </row>
        <row r="29">
          <cell r="A29" t="str">
            <v>FISCAL</v>
          </cell>
          <cell r="C29" t="str">
            <v>Table 15. Government Social Expenditure in Selected Industrial and Transition Countries</v>
          </cell>
        </row>
        <row r="30">
          <cell r="A30" t="str">
            <v>FISCAL</v>
          </cell>
          <cell r="C30" t="str">
            <v xml:space="preserve"> Table 16. Government Social Expenditure in Selected Industrial and Transition Countries</v>
          </cell>
        </row>
        <row r="31">
          <cell r="A31" t="str">
            <v>FISCAL</v>
          </cell>
          <cell r="C31" t="str">
            <v>Table 17. Comparison of Indicators of Public Pension Schemes in Selected Country-Groups 1/</v>
          </cell>
        </row>
        <row r="32">
          <cell r="A32" t="str">
            <v>FISCAL</v>
          </cell>
          <cell r="C32" t="str">
            <v>Table 18. Croatia: Accounts of the Pension and Disability Insurance Fund, 1991-98</v>
          </cell>
        </row>
        <row r="33">
          <cell r="A33" t="str">
            <v>FISCAL</v>
          </cell>
          <cell r="C33" t="str">
            <v>Table 19. Croatia: Key Indicators of the Pension System, 1990-97</v>
          </cell>
        </row>
        <row r="34">
          <cell r="A34" t="str">
            <v>REAL/GEN</v>
          </cell>
          <cell r="C34" t="str">
            <v>Table 20. Croatia: Quarterly GDP at Constant 1990 Prices  1/</v>
          </cell>
        </row>
        <row r="35">
          <cell r="A35" t="str">
            <v>REAL/GEN</v>
          </cell>
          <cell r="C35" t="str">
            <v>Table 21. Croatia: Gross Domestic Product at Current Prices 1/</v>
          </cell>
        </row>
        <row r="36">
          <cell r="A36" t="str">
            <v>REAL/GEN</v>
          </cell>
          <cell r="C36" t="str">
            <v>Table 22. Croatia: Gross Domestic Product at Constant (1990) prices 1/</v>
          </cell>
        </row>
        <row r="37">
          <cell r="A37" t="str">
            <v>REAL/GEN</v>
          </cell>
          <cell r="C37" t="str">
            <v>Table 23. Croatia: Trends in Industrial Production</v>
          </cell>
        </row>
        <row r="38">
          <cell r="A38" t="str">
            <v>REAL/GEN</v>
          </cell>
          <cell r="C38" t="str">
            <v xml:space="preserve">Table 24. Croatia: Agricultural Production </v>
          </cell>
        </row>
        <row r="39">
          <cell r="A39" t="str">
            <v>REAL/GEN</v>
          </cell>
          <cell r="C39" t="str">
            <v>Table 25. Croatia: Tourism—Overnight Stays</v>
          </cell>
        </row>
        <row r="40">
          <cell r="A40" t="str">
            <v>REAL/GEN</v>
          </cell>
          <cell r="C40" t="str">
            <v>Table 26. Croatia: Nights Spent by Tourists According to Type of Accommodation</v>
          </cell>
        </row>
        <row r="41">
          <cell r="A41" t="str">
            <v>REAL/GEN</v>
          </cell>
          <cell r="C41" t="str">
            <v xml:space="preserve">Table 27. Croatia: Nights Spent by Tourists According to Country of Origin </v>
          </cell>
        </row>
        <row r="42">
          <cell r="A42" t="str">
            <v>REAL/GEN</v>
          </cell>
          <cell r="C42" t="str">
            <v>Table 28. Croatia: Composition of Employment 1/</v>
          </cell>
        </row>
        <row r="43">
          <cell r="A43" t="str">
            <v>REAL/GEN</v>
          </cell>
          <cell r="C43" t="str">
            <v>Table 29. Croatia: Trends in Employment and Unemployment 1/</v>
          </cell>
        </row>
        <row r="44">
          <cell r="A44" t="str">
            <v>REAL/GEN</v>
          </cell>
          <cell r="C44" t="str">
            <v>Table 30. Croatia: Trends in Total Labor Costs</v>
          </cell>
        </row>
        <row r="45">
          <cell r="A45" t="str">
            <v>REAL/GEN</v>
          </cell>
          <cell r="C45" t="str">
            <v>Table 31. Croatia: Trends in Average Monthly Net Wages and Salaries 1/</v>
          </cell>
        </row>
        <row r="46">
          <cell r="A46" t="str">
            <v>REAL/GEN</v>
          </cell>
          <cell r="C46" t="str">
            <v>Table 32. Croatia: Average Gross Monthly Pay per Employee</v>
          </cell>
        </row>
        <row r="47">
          <cell r="A47" t="str">
            <v>REAL/GEN</v>
          </cell>
          <cell r="C47" t="str">
            <v xml:space="preserve">Table 33. Croatia: Indices of Nominal Net Wages and Salaries per Employee </v>
          </cell>
        </row>
        <row r="48">
          <cell r="A48" t="str">
            <v>REAL/GEN</v>
          </cell>
          <cell r="C48" t="str">
            <v>Table 34. Croatia: Indices of Real Net Wages and Salaries per Employee</v>
          </cell>
        </row>
        <row r="49">
          <cell r="A49" t="str">
            <v>REAL/GEN</v>
          </cell>
          <cell r="C49" t="str">
            <v>Table 35. Croatia: Structure of Average Employment Cost per Worker</v>
          </cell>
        </row>
        <row r="50">
          <cell r="A50" t="str">
            <v>REAL/GEN</v>
          </cell>
          <cell r="C50" t="str">
            <v>Table 36. Croatia: Price Developments</v>
          </cell>
        </row>
        <row r="51">
          <cell r="A51" t="str">
            <v>REAL/GEN</v>
          </cell>
          <cell r="C51" t="str">
            <v>Table 37. Croatia: Indices of Retail Prices</v>
          </cell>
        </row>
        <row r="52">
          <cell r="A52" t="str">
            <v>REAL/GEN</v>
          </cell>
          <cell r="C52" t="str">
            <v>Table 38. Croatia: Employment in National  Public  Enterprises</v>
          </cell>
        </row>
        <row r="53">
          <cell r="A53" t="str">
            <v>REAL/GEN</v>
          </cell>
          <cell r="C53" t="str">
            <v>Table 39. Croatia: Number of Enterprises in the Economic Sector and Number of Legal Entities Undergoing Bankruptcy</v>
          </cell>
        </row>
        <row r="54">
          <cell r="A54" t="str">
            <v>FISCAL</v>
          </cell>
          <cell r="C54" t="str">
            <v>Table 40. Croatia:  Budgetary Central Government Revenue</v>
          </cell>
        </row>
        <row r="55">
          <cell r="A55" t="str">
            <v>FISCAL</v>
          </cell>
          <cell r="C55" t="str">
            <v>Table 41. Croatia:  Budgetary Central Government Expenditure and Net Lending</v>
          </cell>
        </row>
        <row r="56">
          <cell r="A56" t="str">
            <v>FISCAL</v>
          </cell>
          <cell r="C56" t="str">
            <v>Table 42. Croatia:  Budgetary Central Government Expenditure by Function</v>
          </cell>
        </row>
        <row r="57">
          <cell r="A57" t="str">
            <v>FISCAL</v>
          </cell>
          <cell r="C57" t="str">
            <v>Table 43. Croatia:   Consolidated Fiscal Accounts</v>
          </cell>
        </row>
        <row r="58">
          <cell r="A58" t="str">
            <v>FISCAL</v>
          </cell>
          <cell r="C58" t="str">
            <v>Table 44. Croatia: Outstanding Stocks of Domestic Debt of the Central Budgetary Government</v>
          </cell>
        </row>
        <row r="59">
          <cell r="A59" t="str">
            <v>FISCAL</v>
          </cell>
          <cell r="C59" t="str">
            <v>Table 45. Croatia: Government Employment</v>
          </cell>
        </row>
        <row r="60">
          <cell r="A60" t="str">
            <v>FISCAL</v>
          </cell>
          <cell r="C60" t="str">
            <v>Table 46. Croatia: Health Insurance</v>
          </cell>
        </row>
        <row r="61">
          <cell r="A61" t="str">
            <v>REAL/GEN</v>
          </cell>
          <cell r="C61" t="str">
            <v>Table 47. Croatia: Disability and Retirement Insurance</v>
          </cell>
        </row>
        <row r="62">
          <cell r="A62" t="str">
            <v>REAL/GEN</v>
          </cell>
          <cell r="C62" t="str">
            <v>Table 48. Croatia: Monetary Survey</v>
          </cell>
        </row>
        <row r="63">
          <cell r="A63" t="str">
            <v>REAL/GEN</v>
          </cell>
          <cell r="C63" t="str">
            <v>Table 49. Croatia: Money Authorities' Balance Sheet</v>
          </cell>
        </row>
        <row r="64">
          <cell r="A64" t="str">
            <v>REAL/GEN</v>
          </cell>
          <cell r="C64" t="str">
            <v>Table 50. Croatia: Deposit Money Banks' Accounts</v>
          </cell>
        </row>
        <row r="65">
          <cell r="A65" t="str">
            <v>REAL/GEN</v>
          </cell>
          <cell r="C65" t="str">
            <v xml:space="preserve">Table 51: Croatia: Interest Rates of the Croatian National Bank </v>
          </cell>
        </row>
        <row r="67">
          <cell r="A67" t="str">
            <v>BOP</v>
          </cell>
          <cell r="C67" t="str">
            <v>Table 53. Croatia: Deposit Money Banks' Deposit Rates</v>
          </cell>
        </row>
        <row r="68">
          <cell r="A68" t="str">
            <v>BOP</v>
          </cell>
          <cell r="C68" t="str">
            <v>Table 54. Croatia: Deposit Money Banks' Credit Rates</v>
          </cell>
        </row>
        <row r="69">
          <cell r="A69" t="str">
            <v>BOP</v>
          </cell>
          <cell r="C69" t="str">
            <v>Table 55: Croatia: Balance of Payments 1/</v>
          </cell>
        </row>
        <row r="70">
          <cell r="A70" t="str">
            <v>BOP</v>
          </cell>
          <cell r="C70" t="str">
            <v>Table 56. Croatia: Merchandise Exports and Imports 1/</v>
          </cell>
        </row>
        <row r="71">
          <cell r="A71" t="str">
            <v>BOP</v>
          </cell>
          <cell r="C71" t="str">
            <v>Table 57. Croatia: Composition of Exports (SITC) 1/</v>
          </cell>
        </row>
        <row r="72">
          <cell r="A72" t="str">
            <v>BOP</v>
          </cell>
          <cell r="C72" t="str">
            <v>Table 58. Croatia: Composition of Imports (SITC)</v>
          </cell>
        </row>
        <row r="73">
          <cell r="A73" t="str">
            <v>BOP</v>
          </cell>
          <cell r="C73" t="str">
            <v>Table 59. Croatia: Exports by Destination 1/</v>
          </cell>
        </row>
        <row r="74">
          <cell r="A74" t="str">
            <v>BOP</v>
          </cell>
          <cell r="C74" t="str">
            <v>Table 60. Croatia: Imports by Origin 1/</v>
          </cell>
        </row>
        <row r="75">
          <cell r="A75" t="str">
            <v>BOP</v>
          </cell>
          <cell r="C75" t="str">
            <v>Table 61. Croatia: Exchange Rates and International Reserves</v>
          </cell>
        </row>
        <row r="76">
          <cell r="A76" t="str">
            <v>BOP</v>
          </cell>
          <cell r="C76" t="str">
            <v>Table 62. Croatia: External Debt</v>
          </cell>
        </row>
        <row r="77">
          <cell r="A77" t="str">
            <v>EDSS Name:</v>
          </cell>
        </row>
        <row r="78">
          <cell r="A78" t="str">
            <v>EDSS Descriptor:</v>
          </cell>
        </row>
        <row r="79">
          <cell r="A79" t="str">
            <v>EIS Code:</v>
          </cell>
        </row>
        <row r="80">
          <cell r="A80" t="str">
            <v>Country Code:</v>
          </cell>
        </row>
        <row r="81">
          <cell r="A81" t="str">
            <v>Sector Codes:</v>
          </cell>
          <cell r="C81" t="str">
            <v>D</v>
          </cell>
        </row>
        <row r="82">
          <cell r="A82" t="str">
            <v>EDSS Output File Location:</v>
          </cell>
        </row>
        <row r="83">
          <cell r="A83" t="str">
            <v>Register Entire Workbook:</v>
          </cell>
        </row>
        <row r="84">
          <cell r="A84" t="str">
            <v>Last Registered By:</v>
          </cell>
        </row>
        <row r="85">
          <cell r="A85" t="str">
            <v>Last Registered On: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Welcome tab"/>
      <sheetName val="Core data tab"/>
      <sheetName val="Cental Budget"/>
      <sheetName val="Local Government"/>
      <sheetName val="Public expenditure"/>
      <sheetName val="Monthly plan for 2012"/>
      <sheetName val="Execution for 2012"/>
      <sheetName val="Analitics tab"/>
      <sheetName val="Cental Budget_int"/>
      <sheetName val="Local Government_int"/>
      <sheetName val="Public expenditure_int"/>
      <sheetName val="Monthly plan for 2012_int"/>
      <sheetName val="Execution for 2012_int"/>
      <sheetName val="Analitics tab_int"/>
      <sheetName val="Public debt tab"/>
      <sheetName val="MasterSheet"/>
      <sheetName val="Data for 20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4">
          <cell r="E14">
            <v>3324000000</v>
          </cell>
        </row>
      </sheetData>
      <sheetData sheetId="12"/>
      <sheetData sheetId="13"/>
      <sheetData sheetId="14"/>
      <sheetData sheetId="15">
        <row r="1">
          <cell r="A1">
            <v>2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vmlDrawing" Target="../drawings/vmlDrawing8.vml"/><Relationship Id="rId5" Type="http://schemas.openxmlformats.org/officeDocument/2006/relationships/drawing" Target="../drawings/drawing8.xml"/><Relationship Id="rId4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2">
    <pageSetUpPr fitToPage="1"/>
  </sheetPr>
  <dimension ref="A1:DS208"/>
  <sheetViews>
    <sheetView topLeftCell="D7" workbookViewId="0">
      <selection activeCell="D18" sqref="D18:D19"/>
    </sheetView>
  </sheetViews>
  <sheetFormatPr defaultColWidth="9.140625" defaultRowHeight="12.75"/>
  <cols>
    <col min="1" max="1" width="0" style="30" hidden="1" customWidth="1"/>
    <col min="2" max="3" width="9.140625" style="30" hidden="1" customWidth="1"/>
    <col min="4" max="4" width="58.140625" style="30" customWidth="1"/>
    <col min="5" max="15" width="9.7109375" style="30" customWidth="1"/>
    <col min="16" max="17" width="9.7109375" style="96" customWidth="1"/>
    <col min="18" max="24" width="9.7109375" style="30" customWidth="1"/>
    <col min="25" max="39" width="13.85546875" style="30" customWidth="1"/>
    <col min="40" max="115" width="9.140625" style="30" customWidth="1"/>
    <col min="116" max="116" width="9.140625" style="30"/>
    <col min="117" max="117" width="15.42578125" style="30" customWidth="1"/>
    <col min="118" max="118" width="12.7109375" style="30" customWidth="1"/>
    <col min="119" max="119" width="11.85546875" style="30" customWidth="1"/>
    <col min="120" max="16384" width="9.140625" style="30"/>
  </cols>
  <sheetData>
    <row r="1" spans="1:115" ht="12.75" customHeight="1">
      <c r="A1" s="110"/>
      <c r="B1" s="110"/>
      <c r="C1" s="110"/>
      <c r="D1" s="110"/>
      <c r="E1" s="111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2"/>
      <c r="Q1" s="111"/>
      <c r="R1" s="111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</row>
    <row r="2" spans="1:115" ht="12.75" customHeight="1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2"/>
      <c r="Q2" s="111"/>
      <c r="R2" s="111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</row>
    <row r="3" spans="1:115" ht="12.75" customHeight="1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2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96"/>
    </row>
    <row r="4" spans="1:115" ht="15" customHeight="1">
      <c r="A4" s="110"/>
      <c r="B4" s="111"/>
      <c r="C4" s="110"/>
      <c r="D4" s="113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4"/>
      <c r="DD4" s="94"/>
      <c r="DE4" s="94"/>
      <c r="DF4" s="94"/>
      <c r="DG4" s="94"/>
      <c r="DH4" s="94"/>
      <c r="DI4" s="94"/>
      <c r="DJ4" s="94"/>
      <c r="DK4" s="94"/>
    </row>
    <row r="5" spans="1:115" ht="15" customHeight="1">
      <c r="A5" s="110"/>
      <c r="B5" s="110"/>
      <c r="C5" s="110"/>
      <c r="D5" s="113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4"/>
      <c r="DH5" s="94"/>
      <c r="DI5" s="94"/>
      <c r="DJ5" s="94"/>
      <c r="DK5" s="94"/>
    </row>
    <row r="6" spans="1:115" ht="15" customHeight="1">
      <c r="A6" s="110"/>
      <c r="B6" s="110"/>
      <c r="C6" s="110"/>
      <c r="D6" s="113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/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94"/>
      <c r="DG6" s="94"/>
      <c r="DH6" s="94"/>
      <c r="DI6" s="94"/>
      <c r="DJ6" s="94"/>
      <c r="DK6" s="94"/>
    </row>
    <row r="7" spans="1:115" ht="15" customHeight="1">
      <c r="A7" s="110"/>
      <c r="B7" s="110"/>
      <c r="C7" s="110"/>
      <c r="D7" s="113"/>
      <c r="E7" s="114"/>
      <c r="F7" s="114"/>
      <c r="G7" s="114"/>
      <c r="H7" s="114"/>
      <c r="I7" s="114"/>
      <c r="J7" s="1142" t="str">
        <f>IF(MasterSheet!$A$1 = 1, MasterSheet!C5,MasterSheet!B5)</f>
        <v>CRNA GORA</v>
      </c>
      <c r="K7" s="1142"/>
      <c r="L7" s="1142"/>
      <c r="M7" s="299"/>
      <c r="N7" s="114"/>
      <c r="O7" s="114"/>
      <c r="P7" s="114"/>
      <c r="Q7" s="114"/>
      <c r="R7" s="114"/>
      <c r="S7" s="114"/>
      <c r="T7" s="114"/>
      <c r="U7" s="114"/>
      <c r="V7" s="114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4"/>
      <c r="CS7" s="94"/>
      <c r="CT7" s="94"/>
      <c r="CU7" s="94"/>
      <c r="CV7" s="94"/>
      <c r="CW7" s="94"/>
      <c r="CX7" s="94"/>
      <c r="CY7" s="94"/>
      <c r="CZ7" s="94"/>
      <c r="DA7" s="94"/>
      <c r="DB7" s="94"/>
      <c r="DC7" s="94"/>
      <c r="DD7" s="94"/>
      <c r="DE7" s="94"/>
      <c r="DF7" s="94"/>
      <c r="DG7" s="94"/>
      <c r="DH7" s="94"/>
      <c r="DI7" s="94"/>
      <c r="DJ7" s="94"/>
      <c r="DK7" s="94"/>
    </row>
    <row r="8" spans="1:115" ht="15" customHeight="1">
      <c r="A8" s="110"/>
      <c r="B8" s="110"/>
      <c r="C8" s="110"/>
      <c r="D8" s="113"/>
      <c r="E8" s="114"/>
      <c r="F8" s="114"/>
      <c r="G8" s="114"/>
      <c r="H8" s="114"/>
      <c r="I8" s="1142" t="str">
        <f>IF(MasterSheet!$A$1 = 1, MasterSheet!C6,MasterSheet!B6)</f>
        <v>MINISTARSTVO FINANSIJA</v>
      </c>
      <c r="J8" s="1142"/>
      <c r="K8" s="1142"/>
      <c r="L8" s="1142"/>
      <c r="M8" s="1142"/>
      <c r="N8" s="299"/>
      <c r="O8" s="114"/>
      <c r="P8" s="114"/>
      <c r="Q8" s="114"/>
      <c r="R8" s="114"/>
      <c r="S8" s="114"/>
      <c r="T8" s="114"/>
      <c r="U8" s="114"/>
      <c r="V8" s="114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  <c r="BH8" s="94"/>
      <c r="BI8" s="94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4"/>
      <c r="BZ8" s="94"/>
      <c r="CA8" s="94"/>
      <c r="CB8" s="94"/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/>
      <c r="CR8" s="94"/>
      <c r="CS8" s="94"/>
      <c r="CT8" s="94"/>
      <c r="CU8" s="94"/>
      <c r="CV8" s="94"/>
      <c r="CW8" s="94"/>
      <c r="CX8" s="94"/>
      <c r="CY8" s="94"/>
      <c r="CZ8" s="94"/>
      <c r="DA8" s="94"/>
      <c r="DB8" s="94"/>
      <c r="DC8" s="94"/>
      <c r="DD8" s="94"/>
      <c r="DE8" s="94"/>
      <c r="DF8" s="94"/>
      <c r="DG8" s="94"/>
      <c r="DH8" s="94"/>
      <c r="DI8" s="94"/>
      <c r="DJ8" s="94"/>
      <c r="DK8" s="94"/>
    </row>
    <row r="9" spans="1:115" ht="15" customHeight="1">
      <c r="A9" s="110"/>
      <c r="B9" s="110"/>
      <c r="C9" s="110"/>
      <c r="D9" s="111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4"/>
      <c r="BG9" s="94"/>
      <c r="BH9" s="94"/>
      <c r="BI9" s="94"/>
      <c r="BJ9" s="94"/>
      <c r="BK9" s="94"/>
      <c r="BL9" s="94"/>
      <c r="BM9" s="94"/>
      <c r="BN9" s="94"/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94"/>
      <c r="BZ9" s="94"/>
      <c r="CA9" s="94"/>
      <c r="CB9" s="94"/>
      <c r="CC9" s="94"/>
      <c r="CD9" s="94"/>
      <c r="CE9" s="94"/>
      <c r="CF9" s="94"/>
      <c r="CG9" s="94"/>
      <c r="CH9" s="94"/>
      <c r="CI9" s="94"/>
      <c r="CJ9" s="94"/>
      <c r="CK9" s="94"/>
      <c r="CL9" s="94"/>
      <c r="CM9" s="94"/>
      <c r="CN9" s="94"/>
      <c r="CO9" s="94"/>
      <c r="CP9" s="94"/>
      <c r="CQ9" s="94"/>
      <c r="CR9" s="94"/>
      <c r="CS9" s="94"/>
      <c r="CT9" s="94"/>
      <c r="CU9" s="94"/>
      <c r="CV9" s="94"/>
      <c r="CW9" s="94"/>
      <c r="CX9" s="94"/>
      <c r="CY9" s="94"/>
      <c r="CZ9" s="94"/>
      <c r="DA9" s="94"/>
      <c r="DB9" s="94"/>
      <c r="DC9" s="94"/>
      <c r="DD9" s="94"/>
      <c r="DE9" s="94"/>
      <c r="DF9" s="94"/>
      <c r="DG9" s="94"/>
      <c r="DH9" s="94"/>
      <c r="DI9" s="94"/>
      <c r="DJ9" s="94"/>
      <c r="DK9" s="94"/>
    </row>
    <row r="10" spans="1:115" ht="15" customHeight="1">
      <c r="A10" s="110"/>
      <c r="B10" s="110"/>
      <c r="C10" s="110"/>
      <c r="D10" s="111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4"/>
      <c r="BY10" s="94"/>
      <c r="BZ10" s="94"/>
      <c r="CA10" s="94"/>
      <c r="CB10" s="94"/>
      <c r="CC10" s="94"/>
      <c r="CD10" s="94"/>
      <c r="CE10" s="94"/>
      <c r="CF10" s="94"/>
      <c r="CG10" s="94"/>
      <c r="CH10" s="94"/>
      <c r="CI10" s="94"/>
      <c r="CJ10" s="94"/>
      <c r="CK10" s="94"/>
      <c r="CL10" s="94"/>
      <c r="CM10" s="94"/>
      <c r="CN10" s="94"/>
      <c r="CO10" s="94"/>
      <c r="CP10" s="94"/>
      <c r="CQ10" s="94"/>
      <c r="CR10" s="94"/>
      <c r="CS10" s="94"/>
      <c r="CT10" s="94"/>
      <c r="CU10" s="94"/>
      <c r="CV10" s="94"/>
      <c r="CW10" s="94"/>
      <c r="CX10" s="94"/>
      <c r="CY10" s="94"/>
      <c r="CZ10" s="94"/>
      <c r="DA10" s="94"/>
      <c r="DB10" s="94"/>
      <c r="DC10" s="94"/>
      <c r="DD10" s="94"/>
      <c r="DE10" s="94"/>
      <c r="DF10" s="94"/>
      <c r="DG10" s="94"/>
      <c r="DH10" s="94"/>
      <c r="DI10" s="94"/>
      <c r="DJ10" s="94"/>
      <c r="DK10" s="94"/>
    </row>
    <row r="11" spans="1:115" ht="15" customHeight="1">
      <c r="A11" s="110"/>
      <c r="B11" s="110"/>
      <c r="C11" s="110"/>
      <c r="D11" s="111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4"/>
      <c r="CA11" s="94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4"/>
      <c r="CP11" s="94"/>
      <c r="CQ11" s="94"/>
      <c r="CR11" s="94"/>
      <c r="CS11" s="94"/>
      <c r="CT11" s="94"/>
      <c r="CU11" s="94"/>
      <c r="CV11" s="94"/>
      <c r="CW11" s="94"/>
      <c r="CX11" s="94"/>
      <c r="CY11" s="94"/>
      <c r="CZ11" s="94"/>
      <c r="DA11" s="94"/>
      <c r="DB11" s="94"/>
      <c r="DC11" s="94"/>
      <c r="DD11" s="94"/>
      <c r="DE11" s="94"/>
      <c r="DF11" s="94"/>
      <c r="DG11" s="94"/>
      <c r="DH11" s="94"/>
      <c r="DI11" s="94"/>
      <c r="DJ11" s="94"/>
      <c r="DK11" s="94"/>
    </row>
    <row r="12" spans="1:115" ht="15" customHeight="1">
      <c r="A12" s="110"/>
      <c r="B12" s="110"/>
      <c r="C12" s="110"/>
      <c r="D12" s="111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/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/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4"/>
      <c r="DK12" s="94"/>
    </row>
    <row r="13" spans="1:115" ht="15" customHeight="1">
      <c r="A13" s="110"/>
      <c r="B13" s="110"/>
      <c r="C13" s="110"/>
      <c r="D13" s="111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4"/>
      <c r="BZ13" s="94"/>
      <c r="CA13" s="94"/>
      <c r="CB13" s="94"/>
      <c r="CC13" s="94"/>
      <c r="CD13" s="94"/>
      <c r="CE13" s="94"/>
      <c r="CF13" s="94"/>
      <c r="CG13" s="94"/>
      <c r="CH13" s="94"/>
      <c r="CI13" s="94"/>
      <c r="CJ13" s="94"/>
      <c r="CK13" s="94"/>
      <c r="CL13" s="94"/>
      <c r="CM13" s="94"/>
      <c r="CN13" s="94"/>
      <c r="CO13" s="94"/>
      <c r="CP13" s="94"/>
      <c r="CQ13" s="94"/>
      <c r="CR13" s="94"/>
      <c r="CS13" s="94"/>
      <c r="CT13" s="94"/>
      <c r="CU13" s="94"/>
      <c r="CV13" s="94"/>
      <c r="CW13" s="94"/>
      <c r="CX13" s="94"/>
      <c r="CY13" s="94"/>
      <c r="CZ13" s="94"/>
      <c r="DA13" s="94"/>
      <c r="DB13" s="94"/>
      <c r="DC13" s="94"/>
      <c r="DD13" s="94"/>
      <c r="DE13" s="94"/>
      <c r="DF13" s="94"/>
      <c r="DG13" s="94"/>
      <c r="DH13" s="94"/>
      <c r="DI13" s="94"/>
      <c r="DJ13" s="94"/>
      <c r="DK13" s="94"/>
    </row>
    <row r="14" spans="1:115" ht="15" customHeight="1" thickBot="1">
      <c r="A14" s="110"/>
      <c r="B14" s="110"/>
      <c r="C14" s="110"/>
      <c r="D14" s="111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4"/>
      <c r="BD14" s="94"/>
      <c r="BE14" s="94"/>
      <c r="BF14" s="94"/>
      <c r="BG14" s="94"/>
      <c r="BH14" s="94"/>
      <c r="BI14" s="94"/>
      <c r="BJ14" s="94"/>
      <c r="BK14" s="94"/>
      <c r="BL14" s="94"/>
      <c r="BM14" s="94"/>
      <c r="BN14" s="94"/>
      <c r="BO14" s="94"/>
      <c r="BP14" s="94"/>
      <c r="BQ14" s="94"/>
      <c r="BR14" s="94"/>
      <c r="BS14" s="94"/>
      <c r="BT14" s="94"/>
      <c r="BU14" s="94"/>
      <c r="BV14" s="94"/>
      <c r="BW14" s="94"/>
      <c r="BX14" s="94"/>
      <c r="BY14" s="94"/>
      <c r="BZ14" s="94"/>
      <c r="CA14" s="94"/>
      <c r="CB14" s="94"/>
      <c r="CC14" s="94"/>
      <c r="CD14" s="94"/>
      <c r="CE14" s="94"/>
      <c r="CF14" s="94"/>
      <c r="CG14" s="94"/>
      <c r="CH14" s="94"/>
      <c r="CI14" s="94"/>
      <c r="CJ14" s="94"/>
      <c r="CK14" s="94"/>
      <c r="CL14" s="94"/>
      <c r="CM14" s="94"/>
      <c r="CN14" s="94"/>
      <c r="CO14" s="94"/>
      <c r="CP14" s="94"/>
      <c r="CQ14" s="94"/>
      <c r="CR14" s="94"/>
      <c r="CS14" s="94"/>
      <c r="CT14" s="94"/>
      <c r="CU14" s="94"/>
      <c r="CV14" s="94"/>
      <c r="CW14" s="94"/>
      <c r="CX14" s="94"/>
      <c r="CY14" s="94"/>
      <c r="CZ14" s="94"/>
      <c r="DA14" s="94"/>
      <c r="DB14" s="94"/>
      <c r="DC14" s="94"/>
      <c r="DD14" s="94"/>
      <c r="DE14" s="94"/>
      <c r="DF14" s="94"/>
      <c r="DG14" s="94"/>
      <c r="DH14" s="94"/>
      <c r="DI14" s="94"/>
      <c r="DJ14" s="94"/>
      <c r="DK14" s="94"/>
    </row>
    <row r="15" spans="1:115" ht="18.75" customHeight="1" thickTop="1" thickBot="1">
      <c r="A15" s="110"/>
      <c r="B15" s="110"/>
      <c r="C15" s="110"/>
      <c r="D15" s="458" t="str">
        <f>IF(MasterSheet!$A$1=1,MasterSheet!B67,MasterSheet!B66)</f>
        <v>BDP (u mil. €)</v>
      </c>
      <c r="E15" s="1145">
        <f>+'Cental Budget_int'!E15:F15</f>
        <v>2148900000</v>
      </c>
      <c r="F15" s="1145"/>
      <c r="G15" s="1143">
        <f>+'Cental Budget_int'!G15:H15</f>
        <v>2680500000</v>
      </c>
      <c r="H15" s="1143"/>
      <c r="I15" s="1143">
        <f>+'Cental Budget_int'!I15:J15</f>
        <v>3085600000</v>
      </c>
      <c r="J15" s="1143"/>
      <c r="K15" s="1143">
        <f>+'Cental Budget_int'!K15:L15</f>
        <v>2981000000</v>
      </c>
      <c r="L15" s="1143"/>
      <c r="M15" s="1143">
        <f>+'Cental Budget_int'!M15:N15</f>
        <v>3104000000</v>
      </c>
      <c r="N15" s="1143"/>
      <c r="O15" s="1143">
        <f>+'Cental Budget_int'!O15:P15</f>
        <v>3234000000</v>
      </c>
      <c r="P15" s="1143"/>
      <c r="Q15" s="1144">
        <f>+'Cental Budget_int'!Q15:R15</f>
        <v>3149000000</v>
      </c>
      <c r="R15" s="1144"/>
      <c r="S15" s="1139">
        <f>+'Cental Budget_int'!S15:T15</f>
        <v>3517000000</v>
      </c>
      <c r="T15" s="1139"/>
      <c r="U15" s="1139">
        <f>+'Cental Budget_int'!U15:V15</f>
        <v>3517000000</v>
      </c>
      <c r="V15" s="1139"/>
      <c r="W15" s="1139">
        <f>+'Cental Budget_int'!W15:X15</f>
        <v>0</v>
      </c>
      <c r="X15" s="1139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  <c r="BQ15" s="94"/>
      <c r="BR15" s="94"/>
      <c r="BS15" s="94"/>
      <c r="BT15" s="94"/>
      <c r="BU15" s="94"/>
      <c r="BV15" s="94"/>
      <c r="BW15" s="94"/>
      <c r="BX15" s="94"/>
      <c r="BY15" s="94"/>
      <c r="BZ15" s="94"/>
      <c r="CA15" s="94"/>
      <c r="CB15" s="94"/>
      <c r="CC15" s="94"/>
      <c r="CD15" s="94"/>
      <c r="CE15" s="94"/>
      <c r="CF15" s="94"/>
      <c r="CG15" s="94"/>
      <c r="CH15" s="94"/>
      <c r="CI15" s="94"/>
      <c r="CJ15" s="94"/>
      <c r="CK15" s="94"/>
      <c r="CL15" s="94"/>
      <c r="CM15" s="94"/>
      <c r="CN15" s="94"/>
      <c r="CO15" s="94"/>
      <c r="CP15" s="94"/>
      <c r="CQ15" s="94"/>
      <c r="CR15" s="94"/>
      <c r="CS15" s="94"/>
      <c r="CT15" s="94"/>
      <c r="CU15" s="94"/>
      <c r="CV15" s="94"/>
      <c r="CW15" s="94"/>
      <c r="CX15" s="94"/>
      <c r="CY15" s="94"/>
      <c r="CZ15" s="94"/>
      <c r="DA15" s="94"/>
      <c r="DB15" s="94"/>
      <c r="DC15" s="94"/>
      <c r="DD15" s="94"/>
      <c r="DE15" s="94"/>
      <c r="DF15" s="94"/>
      <c r="DG15" s="94"/>
      <c r="DH15" s="94"/>
      <c r="DI15" s="94"/>
      <c r="DJ15" s="94"/>
      <c r="DK15" s="94"/>
    </row>
    <row r="16" spans="1:115" ht="15" customHeight="1" thickTop="1">
      <c r="A16" s="110"/>
      <c r="B16" s="110"/>
      <c r="C16" s="110"/>
      <c r="D16" s="111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4"/>
      <c r="BU16" s="94"/>
      <c r="BV16" s="94"/>
      <c r="BW16" s="94"/>
      <c r="BX16" s="94"/>
      <c r="BY16" s="94"/>
      <c r="BZ16" s="94"/>
      <c r="CA16" s="94"/>
      <c r="CB16" s="94"/>
      <c r="CC16" s="94"/>
      <c r="CD16" s="94"/>
      <c r="CE16" s="94"/>
      <c r="CF16" s="94"/>
      <c r="CG16" s="94"/>
      <c r="CH16" s="94"/>
      <c r="CI16" s="94"/>
      <c r="CJ16" s="94"/>
      <c r="CK16" s="94"/>
      <c r="CL16" s="94"/>
      <c r="CM16" s="94"/>
      <c r="CN16" s="94"/>
      <c r="CO16" s="94"/>
      <c r="CP16" s="94"/>
      <c r="CQ16" s="94"/>
      <c r="CR16" s="94"/>
      <c r="CS16" s="94"/>
      <c r="CT16" s="94"/>
      <c r="CU16" s="94"/>
      <c r="CV16" s="94"/>
      <c r="CW16" s="94"/>
      <c r="CX16" s="94"/>
      <c r="CY16" s="94"/>
      <c r="CZ16" s="94"/>
      <c r="DA16" s="94"/>
      <c r="DB16" s="94"/>
      <c r="DC16" s="94"/>
      <c r="DD16" s="94"/>
      <c r="DE16" s="94"/>
      <c r="DF16" s="94"/>
      <c r="DG16" s="94"/>
      <c r="DH16" s="94"/>
      <c r="DI16" s="94"/>
      <c r="DJ16" s="94"/>
      <c r="DK16" s="94"/>
    </row>
    <row r="17" spans="1:120" ht="14.25" thickBot="1">
      <c r="A17" s="110"/>
      <c r="B17" s="110"/>
      <c r="C17" s="115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40"/>
      <c r="P17" s="1140"/>
      <c r="Q17" s="1141" t="str">
        <f>IF(MasterSheet!$A$1=1,MasterSheet!$O$67,MasterSheet!O68)</f>
        <v>Plan prema Zakonu o Budžetu za 2013. godinu</v>
      </c>
      <c r="R17" s="1141"/>
      <c r="S17" s="1141"/>
      <c r="T17" s="1141"/>
      <c r="U17" s="1141"/>
      <c r="V17" s="1141"/>
      <c r="W17" s="1141"/>
      <c r="X17" s="114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94"/>
      <c r="AJ17" s="94"/>
      <c r="AK17" s="94"/>
      <c r="AL17" s="94"/>
      <c r="AM17" s="94"/>
      <c r="AN17" s="38"/>
      <c r="AO17" s="38"/>
      <c r="AP17" s="38"/>
      <c r="AQ17" s="38"/>
      <c r="AR17" s="38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W17" s="94"/>
      <c r="BX17" s="94"/>
      <c r="BY17" s="94"/>
      <c r="BZ17" s="94"/>
      <c r="CA17" s="94"/>
      <c r="CB17" s="94"/>
      <c r="CC17" s="94"/>
      <c r="CD17" s="94"/>
      <c r="CE17" s="94"/>
      <c r="CF17" s="94"/>
      <c r="CG17" s="94"/>
      <c r="CH17" s="94"/>
      <c r="CI17" s="94"/>
      <c r="CJ17" s="94"/>
      <c r="CK17" s="94"/>
      <c r="CL17" s="94"/>
      <c r="CM17" s="94"/>
      <c r="CN17" s="94"/>
      <c r="CO17" s="94"/>
      <c r="CP17" s="94"/>
      <c r="CQ17" s="94"/>
      <c r="CR17" s="94"/>
      <c r="CS17" s="94"/>
      <c r="CT17" s="94"/>
      <c r="CU17" s="94"/>
      <c r="CV17" s="94"/>
      <c r="CW17" s="94"/>
      <c r="CX17" s="94"/>
      <c r="CY17" s="94"/>
      <c r="CZ17" s="94"/>
      <c r="DA17" s="94"/>
      <c r="DB17" s="94"/>
      <c r="DC17" s="94"/>
      <c r="DD17" s="94"/>
      <c r="DE17" s="94"/>
      <c r="DF17" s="94"/>
      <c r="DG17" s="94"/>
      <c r="DH17" s="94"/>
      <c r="DI17" s="94"/>
      <c r="DJ17" s="94"/>
      <c r="DK17" s="94"/>
    </row>
    <row r="18" spans="1:120" ht="15.75" customHeight="1" thickTop="1">
      <c r="A18" s="110"/>
      <c r="B18" s="110"/>
      <c r="C18" s="117"/>
      <c r="D18" s="1137" t="str">
        <f>IF(MasterSheet!$A$1=1,MasterSheet!B71,MasterSheet!B70)</f>
        <v>Budžet Crne Gore</v>
      </c>
      <c r="E18" s="1135">
        <v>2006</v>
      </c>
      <c r="F18" s="1136"/>
      <c r="G18" s="1135">
        <v>2007</v>
      </c>
      <c r="H18" s="1136"/>
      <c r="I18" s="1135">
        <v>2008</v>
      </c>
      <c r="J18" s="1136"/>
      <c r="K18" s="1135">
        <v>2009</v>
      </c>
      <c r="L18" s="1136"/>
      <c r="M18" s="1135">
        <v>2010</v>
      </c>
      <c r="N18" s="1136"/>
      <c r="O18" s="1135">
        <v>2011</v>
      </c>
      <c r="P18" s="1136"/>
      <c r="Q18" s="1135">
        <v>2012</v>
      </c>
      <c r="R18" s="1136"/>
      <c r="S18" s="1135">
        <v>2013</v>
      </c>
      <c r="T18" s="1136"/>
      <c r="U18" s="1135">
        <v>2014</v>
      </c>
      <c r="V18" s="1136"/>
      <c r="W18" s="1135">
        <v>2015</v>
      </c>
      <c r="X18" s="1136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27"/>
      <c r="AJ18" s="27"/>
      <c r="AK18" s="27"/>
      <c r="AL18" s="27"/>
      <c r="AM18" s="27"/>
      <c r="AN18" s="97"/>
      <c r="AO18" s="28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4"/>
      <c r="CY18" s="94"/>
      <c r="CZ18" s="94"/>
      <c r="DA18" s="94"/>
      <c r="DB18" s="94"/>
      <c r="DC18" s="94"/>
      <c r="DD18" s="94"/>
      <c r="DE18" s="94"/>
      <c r="DF18" s="94"/>
      <c r="DG18" s="94"/>
      <c r="DH18" s="94"/>
      <c r="DI18" s="94"/>
      <c r="DJ18" s="94"/>
      <c r="DK18" s="94"/>
    </row>
    <row r="19" spans="1:120" ht="15" customHeight="1" thickBot="1">
      <c r="A19" s="110"/>
      <c r="B19" s="110"/>
      <c r="C19" s="110"/>
      <c r="D19" s="1138" t="str">
        <f>IF(MasterSheet!$A$1=1,MasterSheet!B71,MasterSheet!B70)</f>
        <v>Budžet Crne Gore</v>
      </c>
      <c r="E19" s="348" t="str">
        <f>IF(MasterSheet!$A$1=1,MasterSheet!C71,MasterSheet!C70)</f>
        <v>mil. €</v>
      </c>
      <c r="F19" s="163" t="str">
        <f>IF(MasterSheet!$A$1=1,MasterSheet!D71,MasterSheet!D70)</f>
        <v>% BDP</v>
      </c>
      <c r="G19" s="164" t="str">
        <f>IF(MasterSheet!$A$1=1,MasterSheet!E71,MasterSheet!E70)</f>
        <v>mil. €</v>
      </c>
      <c r="H19" s="349" t="str">
        <f>IF(MasterSheet!$A$1=1,MasterSheet!F71,MasterSheet!F70)</f>
        <v>% BDP</v>
      </c>
      <c r="I19" s="162" t="str">
        <f>IF(MasterSheet!$A$1=1,MasterSheet!G71,MasterSheet!G70)</f>
        <v>mil. €</v>
      </c>
      <c r="J19" s="349" t="str">
        <f>IF(MasterSheet!$A$1=1,MasterSheet!H71,MasterSheet!H70)</f>
        <v>% BDP</v>
      </c>
      <c r="K19" s="348" t="str">
        <f>IF(MasterSheet!$A$1=1,MasterSheet!I71,MasterSheet!I70)</f>
        <v>mil. €</v>
      </c>
      <c r="L19" s="164" t="str">
        <f>IF(MasterSheet!$A$1=1,MasterSheet!J71,MasterSheet!J70)</f>
        <v>% BDP</v>
      </c>
      <c r="M19" s="348" t="str">
        <f>IF(MasterSheet!$A$1=1,MasterSheet!K71,MasterSheet!K70)</f>
        <v>mil. €</v>
      </c>
      <c r="N19" s="163" t="str">
        <f>IF(MasterSheet!$A$1=1,MasterSheet!L71,MasterSheet!L70)</f>
        <v>% BDP</v>
      </c>
      <c r="O19" s="348" t="str">
        <f>IF(MasterSheet!$A$1=1,MasterSheet!M71,MasterSheet!M70)</f>
        <v>mil. €</v>
      </c>
      <c r="P19" s="164" t="str">
        <f>IF(MasterSheet!$A$1=1,MasterSheet!N71,MasterSheet!N70)</f>
        <v>% BDP</v>
      </c>
      <c r="Q19" s="348" t="str">
        <f>IF(MasterSheet!$A$1=1,MasterSheet!O71,MasterSheet!O70)</f>
        <v>mil. €</v>
      </c>
      <c r="R19" s="163" t="str">
        <f>IF(MasterSheet!$A$1=1,MasterSheet!P71,MasterSheet!P70)</f>
        <v>% BDP</v>
      </c>
      <c r="S19" s="348" t="str">
        <f>IF(MasterSheet!$A$1=1,MasterSheet!Q71,MasterSheet!Q70)</f>
        <v>mil. €</v>
      </c>
      <c r="T19" s="163" t="str">
        <f>IF(MasterSheet!$A$1=1,MasterSheet!R71,MasterSheet!R70)</f>
        <v>% BDP</v>
      </c>
      <c r="U19" s="348" t="str">
        <f>IF(MasterSheet!$A$1=1,MasterSheet!S71,MasterSheet!S70)</f>
        <v>mil. €</v>
      </c>
      <c r="V19" s="163" t="str">
        <f>IF(MasterSheet!$A$1=1,MasterSheet!T71,MasterSheet!T70)</f>
        <v>% BDP</v>
      </c>
      <c r="W19" s="348" t="str">
        <f>IF(MasterSheet!$A$1=1,MasterSheet!U71,MasterSheet!U70)</f>
        <v>mil. €</v>
      </c>
      <c r="X19" s="163" t="str">
        <f>IF(MasterSheet!$A$1=1,MasterSheet!V71,MasterSheet!V70)</f>
        <v>% BDP</v>
      </c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27"/>
      <c r="AJ19" s="27"/>
      <c r="AK19" s="27"/>
      <c r="AL19" s="27"/>
      <c r="AM19" s="27"/>
      <c r="AN19" s="98"/>
      <c r="AO19" s="28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4"/>
      <c r="CY19" s="94"/>
      <c r="CZ19" s="94"/>
      <c r="DA19" s="94"/>
      <c r="DB19" s="94"/>
      <c r="DC19" s="94"/>
      <c r="DD19" s="94"/>
      <c r="DE19" s="94"/>
      <c r="DF19" s="94"/>
      <c r="DG19" s="94"/>
      <c r="DH19" s="94"/>
      <c r="DI19" s="94"/>
      <c r="DJ19" s="94"/>
      <c r="DK19" s="94"/>
    </row>
    <row r="20" spans="1:120" ht="15" customHeight="1" thickTop="1" thickBot="1">
      <c r="A20" s="110"/>
      <c r="B20" s="110"/>
      <c r="C20" s="110"/>
      <c r="D20" s="165" t="str">
        <f>IF(MasterSheet!$A$1=1,MasterSheet!C72,MasterSheet!B72)</f>
        <v>Izvorni prihodi</v>
      </c>
      <c r="E20" s="343">
        <f>+'Cental Budget_int'!E20</f>
        <v>861248548.43999958</v>
      </c>
      <c r="F20" s="166">
        <f>+'Cental Budget_int'!F20</f>
        <v>40.07857733910371</v>
      </c>
      <c r="G20" s="343">
        <f>+'Cental Budget_int'!G20</f>
        <v>1128300449.6399999</v>
      </c>
      <c r="H20" s="167">
        <f>+'Cental Budget_int'!H20</f>
        <v>42.092909891438154</v>
      </c>
      <c r="I20" s="343">
        <f>+'Cental Budget_int'!I20</f>
        <v>1287200216.2899997</v>
      </c>
      <c r="J20" s="166">
        <f>+'Cental Budget_int'!J20</f>
        <v>41.716366874837945</v>
      </c>
      <c r="K20" s="343">
        <f>+'Cental Budget_int'!K20</f>
        <v>1169267417.6000001</v>
      </c>
      <c r="L20" s="167">
        <f>+'Cental Budget_int'!L20</f>
        <v>39.223999248574309</v>
      </c>
      <c r="M20" s="343">
        <f>+'Cental Budget_int'!M20</f>
        <v>1140357804.0200005</v>
      </c>
      <c r="N20" s="166">
        <f>+'Cental Budget_int'!N20</f>
        <v>36.738331315077332</v>
      </c>
      <c r="O20" s="343">
        <f>+'Cental Budget_int'!O20</f>
        <v>1129142807.0900002</v>
      </c>
      <c r="P20" s="167">
        <f>+'Cental Budget_int'!P20</f>
        <v>34.914743571119359</v>
      </c>
      <c r="Q20" s="488">
        <f>+'Cental Budget_int'!Q20</f>
        <v>1121018319.5799999</v>
      </c>
      <c r="R20" s="489">
        <f>+'Cental Budget_int'!R20</f>
        <v>35.59918448967926</v>
      </c>
      <c r="S20" s="488">
        <f>+'Cental Budget_int'!S20</f>
        <v>1161800821.0012336</v>
      </c>
      <c r="T20" s="489">
        <f>+'Cental Budget_int'!T20</f>
        <v>33.033858999182073</v>
      </c>
      <c r="U20" s="488">
        <f>+'Cental Budget_int'!U20</f>
        <v>1183748266.0945003</v>
      </c>
      <c r="V20" s="489">
        <f>+'Cental Budget_int'!V20</f>
        <v>33.657897813321021</v>
      </c>
      <c r="W20" s="488">
        <f>+'Cental Budget_int'!W20</f>
        <v>21947445.093266726</v>
      </c>
      <c r="X20" s="489">
        <f>+'Cental Budget_int'!X20</f>
        <v>0.62403881413894879</v>
      </c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27"/>
      <c r="AJ20" s="27"/>
      <c r="AK20" s="27"/>
      <c r="AL20" s="27"/>
      <c r="AM20" s="27"/>
      <c r="AN20" s="29"/>
      <c r="AO20" s="29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94"/>
      <c r="CG20" s="94"/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</row>
    <row r="21" spans="1:120" ht="15" customHeight="1" thickTop="1">
      <c r="A21" s="110"/>
      <c r="B21" s="110"/>
      <c r="C21" s="110"/>
      <c r="D21" s="129" t="str">
        <f>IF(MasterSheet!$A$1=1,MasterSheet!C73,MasterSheet!B73)</f>
        <v>Porezi</v>
      </c>
      <c r="E21" s="344">
        <f>+'Cental Budget_int'!E21</f>
        <v>499381748.50999969</v>
      </c>
      <c r="F21" s="135">
        <f>+'Cental Budget_int'!F21</f>
        <v>23.238947764437604</v>
      </c>
      <c r="G21" s="347">
        <f>+'Cental Budget_int'!G21</f>
        <v>708017212.35000002</v>
      </c>
      <c r="H21" s="135">
        <f>+'Cental Budget_int'!H21</f>
        <v>26.413624784555122</v>
      </c>
      <c r="I21" s="344">
        <f>+'Cental Budget_int'!I21</f>
        <v>827975111.18999994</v>
      </c>
      <c r="J21" s="136">
        <f>+'Cental Budget_int'!J21</f>
        <v>26.833520585623539</v>
      </c>
      <c r="K21" s="344">
        <f>+'Cental Budget_int'!K21</f>
        <v>712439343.42000008</v>
      </c>
      <c r="L21" s="135">
        <f>+'Cental Budget_int'!L21</f>
        <v>23.899340604495141</v>
      </c>
      <c r="M21" s="344">
        <f>+'Cental Budget_int'!M21</f>
        <v>675800345.0200001</v>
      </c>
      <c r="N21" s="136">
        <f>+'Cental Budget_int'!N21</f>
        <v>21.771918331829902</v>
      </c>
      <c r="O21" s="344">
        <f>+'Cental Budget_int'!O21</f>
        <v>704070354.97000003</v>
      </c>
      <c r="P21" s="135">
        <f>+'Cental Budget_int'!P21</f>
        <v>21.770882961348175</v>
      </c>
      <c r="Q21" s="490">
        <f>+'Cental Budget_int'!Q21</f>
        <v>687444134.69000006</v>
      </c>
      <c r="R21" s="491">
        <f>+'Cental Budget_int'!R21</f>
        <v>21.830553657986666</v>
      </c>
      <c r="S21" s="490">
        <f>+'Cental Budget_int'!S21</f>
        <v>700430529.24184442</v>
      </c>
      <c r="T21" s="491">
        <f>+'Cental Budget_int'!T21</f>
        <v>19.915568076253752</v>
      </c>
      <c r="U21" s="490">
        <f>+'Cental Budget_int'!U21</f>
        <v>732155041.72119999</v>
      </c>
      <c r="V21" s="491">
        <f>+'Cental Budget_int'!V21</f>
        <v>20.817601413738981</v>
      </c>
      <c r="W21" s="490">
        <f>+'Cental Budget_int'!W21</f>
        <v>31724512.479355574</v>
      </c>
      <c r="X21" s="491">
        <f>+'Cental Budget_int'!X21</f>
        <v>0.90203333748522851</v>
      </c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27"/>
      <c r="AJ21" s="27"/>
      <c r="AK21" s="27"/>
      <c r="AL21" s="27"/>
      <c r="AM21" s="27"/>
      <c r="AN21" s="29"/>
      <c r="AO21" s="29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94"/>
      <c r="BA21" s="94"/>
      <c r="BB21" s="94"/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4"/>
      <c r="BN21" s="94"/>
      <c r="BO21" s="94"/>
      <c r="BP21" s="94"/>
      <c r="BQ21" s="94"/>
      <c r="BR21" s="94"/>
      <c r="BS21" s="94"/>
      <c r="BT21" s="94"/>
      <c r="BU21" s="94"/>
      <c r="BV21" s="94"/>
      <c r="BW21" s="94"/>
      <c r="BX21" s="94"/>
      <c r="BY21" s="94"/>
      <c r="BZ21" s="94"/>
      <c r="CA21" s="94"/>
      <c r="CB21" s="94"/>
      <c r="CC21" s="94"/>
      <c r="CD21" s="94"/>
      <c r="CE21" s="94"/>
      <c r="CF21" s="94"/>
      <c r="CG21" s="94"/>
      <c r="CH21" s="94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</row>
    <row r="22" spans="1:120" ht="15" customHeight="1">
      <c r="A22" s="110"/>
      <c r="B22" s="110"/>
      <c r="C22" s="110"/>
      <c r="D22" s="130" t="str">
        <f>IF(MasterSheet!$A$1=1,MasterSheet!C74,MasterSheet!B74)</f>
        <v>Porez na dohodak fizičkih lica</v>
      </c>
      <c r="E22" s="345">
        <f>+'Cental Budget_int'!E22</f>
        <v>72493703.819999963</v>
      </c>
      <c r="F22" s="137">
        <f>+'Cental Budget_int'!F22</f>
        <v>3.3735261678067832</v>
      </c>
      <c r="G22" s="345">
        <f>+'Cental Budget_int'!G22</f>
        <v>85402227.900000006</v>
      </c>
      <c r="H22" s="138">
        <f>+'Cental Budget_int'!H22</f>
        <v>3.1860558813654167</v>
      </c>
      <c r="I22" s="345">
        <f>+'Cental Budget_int'!I22</f>
        <v>111918603.98999999</v>
      </c>
      <c r="J22" s="137">
        <f>+'Cental Budget_int'!J22</f>
        <v>3.6271261339771841</v>
      </c>
      <c r="K22" s="345">
        <f>+'Cental Budget_int'!K22</f>
        <v>94990513.510000005</v>
      </c>
      <c r="L22" s="138">
        <f>+'Cental Budget_int'!L22</f>
        <v>3.1865318185172762</v>
      </c>
      <c r="M22" s="345">
        <f>+'Cental Budget_int'!M22</f>
        <v>89753928.969999999</v>
      </c>
      <c r="N22" s="137">
        <f>+'Cental Budget_int'!N22</f>
        <v>2.8915569900128868</v>
      </c>
      <c r="O22" s="345">
        <f>+'Cental Budget_int'!O22</f>
        <v>81640031.710000008</v>
      </c>
      <c r="P22" s="138">
        <f>+'Cental Budget_int'!P22</f>
        <v>2.5244289335188621</v>
      </c>
      <c r="Q22" s="492">
        <f>+'Cental Budget_int'!Q22</f>
        <v>82261833.280000001</v>
      </c>
      <c r="R22" s="493">
        <f>+'Cental Budget_int'!R22</f>
        <v>2.6123160774849161</v>
      </c>
      <c r="S22" s="492">
        <f>+'Cental Budget_int'!S22</f>
        <v>90882254.340598434</v>
      </c>
      <c r="T22" s="493">
        <f>+'Cental Budget_int'!T22</f>
        <v>2.5840845703894919</v>
      </c>
      <c r="U22" s="492">
        <f>+'Cental Budget_int'!U22</f>
        <v>92005879.111999989</v>
      </c>
      <c r="V22" s="493">
        <f>+'Cental Budget_int'!V22</f>
        <v>2.6160329574068806</v>
      </c>
      <c r="W22" s="492">
        <f>+'Cental Budget_int'!W22</f>
        <v>1123624.7714015543</v>
      </c>
      <c r="X22" s="493">
        <f>+'Cental Budget_int'!X22</f>
        <v>3.1948387017388669E-2</v>
      </c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27"/>
      <c r="AJ22" s="27"/>
      <c r="AK22" s="27"/>
      <c r="AL22" s="27"/>
      <c r="AM22" s="27"/>
      <c r="AN22" s="29"/>
      <c r="AO22" s="29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4"/>
      <c r="CU22" s="94"/>
      <c r="CV22" s="94"/>
      <c r="CW22" s="94"/>
      <c r="CX22" s="94"/>
      <c r="CY22" s="94"/>
      <c r="CZ22" s="94"/>
      <c r="DA22" s="94"/>
      <c r="DB22" s="94"/>
      <c r="DC22" s="94"/>
      <c r="DD22" s="94"/>
      <c r="DE22" s="94"/>
      <c r="DF22" s="94"/>
      <c r="DG22" s="94"/>
      <c r="DH22" s="94"/>
      <c r="DI22" s="94"/>
      <c r="DJ22" s="94"/>
      <c r="DK22" s="94"/>
    </row>
    <row r="23" spans="1:120" ht="15" customHeight="1">
      <c r="A23" s="110"/>
      <c r="B23" s="110"/>
      <c r="C23" s="110"/>
      <c r="D23" s="130" t="str">
        <f>IF(MasterSheet!$A$1=1,MasterSheet!C75,MasterSheet!B75)</f>
        <v>Porez na dobit pravnih lica</v>
      </c>
      <c r="E23" s="345">
        <f>+'Cental Budget_int'!E23</f>
        <v>12681282.079999981</v>
      </c>
      <c r="F23" s="137">
        <f>+'Cental Budget_int'!F23</f>
        <v>0.59012899995346368</v>
      </c>
      <c r="G23" s="345">
        <f>+'Cental Budget_int'!G23</f>
        <v>39076661.670000002</v>
      </c>
      <c r="H23" s="138">
        <f>+'Cental Budget_int'!H23</f>
        <v>1.457812410744264</v>
      </c>
      <c r="I23" s="345">
        <f>+'Cental Budget_int'!I23</f>
        <v>62803344.119999997</v>
      </c>
      <c r="J23" s="137">
        <f>+'Cental Budget_int'!J23</f>
        <v>2.035368943479388</v>
      </c>
      <c r="K23" s="345">
        <f>+'Cental Budget_int'!K23</f>
        <v>54738222.979999997</v>
      </c>
      <c r="L23" s="138">
        <f>+'Cental Budget_int'!L23</f>
        <v>1.8362369332438777</v>
      </c>
      <c r="M23" s="345">
        <f>+'Cental Budget_int'!M23</f>
        <v>20270971.710000001</v>
      </c>
      <c r="N23" s="137">
        <f>+'Cental Budget_int'!N23</f>
        <v>0.65305965560567014</v>
      </c>
      <c r="O23" s="345">
        <f>+'Cental Budget_int'!O23</f>
        <v>36101185.260000005</v>
      </c>
      <c r="P23" s="138">
        <f>+'Cental Budget_int'!P23</f>
        <v>1.1163013376623379</v>
      </c>
      <c r="Q23" s="492">
        <f>+'Cental Budget_int'!Q23</f>
        <v>64016557.520000003</v>
      </c>
      <c r="R23" s="493">
        <f>+'Cental Budget_int'!R23</f>
        <v>2.0329170377897743</v>
      </c>
      <c r="S23" s="492">
        <f>+'Cental Budget_int'!S23</f>
        <v>41932967.183892116</v>
      </c>
      <c r="T23" s="493">
        <f>+'Cental Budget_int'!T23</f>
        <v>1.1922936361641205</v>
      </c>
      <c r="U23" s="492">
        <f>+'Cental Budget_int'!U23</f>
        <v>41387054.245600007</v>
      </c>
      <c r="V23" s="493">
        <f>+'Cental Budget_int'!V23</f>
        <v>1.1767715167927213</v>
      </c>
      <c r="W23" s="492">
        <f>+'Cental Budget_int'!W23</f>
        <v>-545912.93829210848</v>
      </c>
      <c r="X23" s="493">
        <f>+'Cental Budget_int'!X23</f>
        <v>-1.5522119371399246E-2</v>
      </c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93"/>
      <c r="AJ23" s="93"/>
      <c r="AK23" s="93"/>
      <c r="AL23" s="93"/>
      <c r="AM23" s="93"/>
      <c r="AN23" s="29"/>
      <c r="AO23" s="29"/>
      <c r="AP23" s="94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100"/>
      <c r="BD23" s="100"/>
      <c r="BE23" s="100"/>
      <c r="BF23" s="100"/>
      <c r="BG23" s="100"/>
      <c r="BH23" s="100"/>
      <c r="BI23" s="100"/>
      <c r="BJ23" s="100"/>
      <c r="BK23" s="100"/>
      <c r="BL23" s="100"/>
      <c r="BM23" s="100"/>
      <c r="BN23" s="100"/>
      <c r="BO23" s="101"/>
      <c r="BP23" s="100"/>
      <c r="BQ23" s="100"/>
      <c r="BR23" s="100"/>
      <c r="BS23" s="100"/>
      <c r="BT23" s="100"/>
      <c r="BU23" s="100"/>
      <c r="BV23" s="100"/>
      <c r="BW23" s="100"/>
      <c r="BX23" s="100"/>
      <c r="BY23" s="100"/>
      <c r="BZ23" s="100"/>
      <c r="CA23" s="100"/>
      <c r="CB23" s="100"/>
      <c r="CC23" s="100"/>
      <c r="CD23" s="100"/>
      <c r="CE23" s="100"/>
      <c r="CF23" s="100"/>
      <c r="CG23" s="100"/>
      <c r="CH23" s="100"/>
      <c r="CI23" s="100"/>
      <c r="CJ23" s="100"/>
      <c r="CK23" s="100"/>
      <c r="CL23" s="100"/>
      <c r="CM23" s="100"/>
      <c r="CN23" s="94"/>
      <c r="CO23" s="94"/>
      <c r="CP23" s="94"/>
      <c r="CQ23" s="94"/>
      <c r="CR23" s="94"/>
      <c r="CS23" s="94"/>
      <c r="CT23" s="94"/>
      <c r="CU23" s="94"/>
      <c r="CV23" s="94"/>
      <c r="CW23" s="94"/>
      <c r="CX23" s="94"/>
      <c r="CY23" s="94"/>
      <c r="CZ23" s="94"/>
      <c r="DA23" s="94"/>
      <c r="DB23" s="94"/>
      <c r="DC23" s="94"/>
      <c r="DD23" s="94"/>
      <c r="DE23" s="94"/>
      <c r="DF23" s="94"/>
      <c r="DG23" s="94"/>
      <c r="DH23" s="94"/>
      <c r="DI23" s="94"/>
      <c r="DJ23" s="94"/>
      <c r="DK23" s="94"/>
      <c r="DM23" s="96"/>
    </row>
    <row r="24" spans="1:120" ht="15" customHeight="1">
      <c r="A24" s="110"/>
      <c r="B24" s="110"/>
      <c r="C24" s="110"/>
      <c r="D24" s="130" t="str">
        <f>IF(MasterSheet!$A$1=1,MasterSheet!C76,MasterSheet!B76)</f>
        <v>Porez na promet nepokretnosti</v>
      </c>
      <c r="E24" s="345">
        <f>+'Cental Budget_int'!E24</f>
        <v>7371892.8599999985</v>
      </c>
      <c r="F24" s="137">
        <f>+'Cental Budget_int'!F24</f>
        <v>0.3430542538042719</v>
      </c>
      <c r="G24" s="345">
        <f>+'Cental Budget_int'!G24</f>
        <v>20590669.43</v>
      </c>
      <c r="H24" s="138">
        <f>+'Cental Budget_int'!H24</f>
        <v>0.76816524640925199</v>
      </c>
      <c r="I24" s="345">
        <f>+'Cental Budget_int'!I24</f>
        <v>11428331.24</v>
      </c>
      <c r="J24" s="137">
        <f>+'Cental Budget_int'!J24</f>
        <v>0.37037630412237488</v>
      </c>
      <c r="K24" s="345">
        <f>+'Cental Budget_int'!K24</f>
        <v>5206820.57</v>
      </c>
      <c r="L24" s="138">
        <f>+'Cental Budget_int'!L24</f>
        <v>0.17466690942636701</v>
      </c>
      <c r="M24" s="345">
        <f>+'Cental Budget_int'!M24</f>
        <v>4938431.08</v>
      </c>
      <c r="N24" s="137">
        <f>+'Cental Budget_int'!N24</f>
        <v>0.15909893943298969</v>
      </c>
      <c r="O24" s="345">
        <f>+'Cental Budget_int'!O24</f>
        <v>1237096.94</v>
      </c>
      <c r="P24" s="138">
        <f>+'Cental Budget_int'!P24</f>
        <v>3.8252842918985772E-2</v>
      </c>
      <c r="Q24" s="492">
        <f>+'Cental Budget_int'!Q24</f>
        <v>1441449.4</v>
      </c>
      <c r="R24" s="493">
        <f>+'Cental Budget_int'!R24</f>
        <v>4.5774830104795168E-2</v>
      </c>
      <c r="S24" s="492">
        <f>+'Cental Budget_int'!S24</f>
        <v>1521889.0598464904</v>
      </c>
      <c r="T24" s="493">
        <f>+'Cental Budget_int'!T24</f>
        <v>4.3272364510847039E-2</v>
      </c>
      <c r="U24" s="492">
        <f>+'Cental Budget_int'!U24</f>
        <v>1484692.882</v>
      </c>
      <c r="V24" s="493">
        <f>+'Cental Budget_int'!V24</f>
        <v>4.2214753539948822E-2</v>
      </c>
      <c r="W24" s="492">
        <f>+'Cental Budget_int'!W24</f>
        <v>-37196.177846490405</v>
      </c>
      <c r="X24" s="493">
        <f>+'Cental Budget_int'!X24</f>
        <v>-1.0576109708982165E-3</v>
      </c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93"/>
      <c r="AJ24" s="93"/>
      <c r="AK24" s="93"/>
      <c r="AL24" s="93"/>
      <c r="AM24" s="93"/>
      <c r="AN24" s="29"/>
      <c r="AO24" s="29"/>
      <c r="AP24" s="94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100"/>
      <c r="BD24" s="100"/>
      <c r="BE24" s="100"/>
      <c r="BF24" s="100"/>
      <c r="BG24" s="100"/>
      <c r="BH24" s="100"/>
      <c r="BI24" s="100"/>
      <c r="BJ24" s="100"/>
      <c r="BK24" s="100"/>
      <c r="BL24" s="100"/>
      <c r="BM24" s="100"/>
      <c r="BN24" s="100"/>
      <c r="BO24" s="101"/>
      <c r="BP24" s="100"/>
      <c r="BQ24" s="100"/>
      <c r="BR24" s="100"/>
      <c r="BS24" s="100"/>
      <c r="BT24" s="100"/>
      <c r="BU24" s="100"/>
      <c r="BV24" s="100"/>
      <c r="BW24" s="100"/>
      <c r="BX24" s="100"/>
      <c r="BY24" s="100"/>
      <c r="BZ24" s="100"/>
      <c r="CA24" s="100"/>
      <c r="CB24" s="100"/>
      <c r="CC24" s="100"/>
      <c r="CD24" s="100"/>
      <c r="CE24" s="100"/>
      <c r="CF24" s="100"/>
      <c r="CG24" s="100"/>
      <c r="CH24" s="100"/>
      <c r="CI24" s="100"/>
      <c r="CJ24" s="100"/>
      <c r="CK24" s="100"/>
      <c r="CL24" s="100"/>
      <c r="CM24" s="100"/>
      <c r="CN24" s="101"/>
      <c r="CO24" s="101"/>
      <c r="CP24" s="101"/>
      <c r="CQ24" s="101"/>
      <c r="CR24" s="101"/>
      <c r="CS24" s="101"/>
      <c r="CT24" s="101"/>
      <c r="CU24" s="101"/>
      <c r="CV24" s="101"/>
      <c r="CW24" s="101"/>
      <c r="CX24" s="101"/>
      <c r="CY24" s="101"/>
      <c r="CZ24" s="100"/>
      <c r="DA24" s="100"/>
      <c r="DB24" s="100"/>
      <c r="DC24" s="100"/>
      <c r="DD24" s="100"/>
      <c r="DE24" s="100"/>
      <c r="DF24" s="100"/>
      <c r="DG24" s="100"/>
      <c r="DH24" s="100"/>
      <c r="DI24" s="100"/>
      <c r="DJ24" s="100"/>
      <c r="DK24" s="100"/>
    </row>
    <row r="25" spans="1:120" ht="15" customHeight="1">
      <c r="A25" s="110"/>
      <c r="B25" s="110"/>
      <c r="C25" s="110"/>
      <c r="D25" s="130" t="str">
        <f>IF(MasterSheet!$A$1=1,MasterSheet!C77,MasterSheet!B77)</f>
        <v>Porez na dodatu vrijednost</v>
      </c>
      <c r="E25" s="345">
        <f>+'Cental Budget_int'!E25</f>
        <v>273156637.07999986</v>
      </c>
      <c r="F25" s="137">
        <f>+'Cental Budget_int'!F25</f>
        <v>12.711463403601837</v>
      </c>
      <c r="G25" s="345">
        <f>+'Cental Budget_int'!G25</f>
        <v>393174255.16000003</v>
      </c>
      <c r="H25" s="138">
        <f>+'Cental Budget_int'!H25</f>
        <v>14.667944605857116</v>
      </c>
      <c r="I25" s="345">
        <f>+'Cental Budget_int'!I25</f>
        <v>440064484.29000002</v>
      </c>
      <c r="J25" s="137">
        <f>+'Cental Budget_int'!J25</f>
        <v>14.26187724559243</v>
      </c>
      <c r="K25" s="345">
        <f>+'Cental Budget_int'!K25</f>
        <v>370776941.73000002</v>
      </c>
      <c r="L25" s="138">
        <f>+'Cental Budget_int'!L25</f>
        <v>12.438005425360618</v>
      </c>
      <c r="M25" s="345">
        <f>+'Cental Budget_int'!M25</f>
        <v>364177041.45999998</v>
      </c>
      <c r="N25" s="137">
        <f>+'Cental Budget_int'!N25</f>
        <v>11.732507778994844</v>
      </c>
      <c r="O25" s="345">
        <f>+'Cental Budget_int'!O25</f>
        <v>392235880.90999997</v>
      </c>
      <c r="P25" s="138">
        <f>+'Cental Budget_int'!P25</f>
        <v>12.12850590321583</v>
      </c>
      <c r="Q25" s="492">
        <f>+'Cental Budget_int'!Q25</f>
        <v>354714031.35000002</v>
      </c>
      <c r="R25" s="493">
        <f>+'Cental Budget_int'!R25</f>
        <v>11.264338880597016</v>
      </c>
      <c r="S25" s="492">
        <f>+'Cental Budget_int'!S25</f>
        <v>373045631.00580901</v>
      </c>
      <c r="T25" s="493">
        <f>+'Cental Budget_int'!T25</f>
        <v>10.606927239289424</v>
      </c>
      <c r="U25" s="492">
        <f>+'Cental Budget_int'!U25</f>
        <v>405808311.97700006</v>
      </c>
      <c r="V25" s="493">
        <f>+'Cental Budget_int'!V25</f>
        <v>11.538479157719648</v>
      </c>
      <c r="W25" s="492">
        <f>+'Cental Budget_int'!W25</f>
        <v>32762680.971191049</v>
      </c>
      <c r="X25" s="493">
        <f>+'Cental Budget_int'!X25</f>
        <v>0.93155191843022322</v>
      </c>
      <c r="Y25" s="120"/>
      <c r="Z25" s="119"/>
      <c r="AA25" s="119"/>
      <c r="AB25" s="119"/>
      <c r="AC25" s="119"/>
      <c r="AD25" s="119"/>
      <c r="AE25" s="120"/>
      <c r="AF25" s="120"/>
      <c r="AG25" s="120"/>
      <c r="AH25" s="120"/>
      <c r="AI25" s="102"/>
      <c r="AJ25" s="102"/>
      <c r="AK25" s="102"/>
      <c r="AL25" s="102"/>
      <c r="AM25" s="103"/>
      <c r="AN25" s="32"/>
      <c r="AO25" s="32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</row>
    <row r="26" spans="1:120" ht="15" customHeight="1">
      <c r="A26" s="110"/>
      <c r="B26" s="110"/>
      <c r="C26" s="110"/>
      <c r="D26" s="130" t="str">
        <f>IF(MasterSheet!$A$1=1,MasterSheet!C78,MasterSheet!B78)</f>
        <v>Akcize</v>
      </c>
      <c r="E26" s="345">
        <f>+'Cental Budget_int'!E26</f>
        <v>72376242.179999948</v>
      </c>
      <c r="F26" s="137">
        <f>+'Cental Budget_int'!F26</f>
        <v>3.3680600390897646</v>
      </c>
      <c r="G26" s="345">
        <f>+'Cental Budget_int'!G26</f>
        <v>94538367.25</v>
      </c>
      <c r="H26" s="138">
        <f>+'Cental Budget_int'!H26</f>
        <v>3.526893014362992</v>
      </c>
      <c r="I26" s="345">
        <f>+'Cental Budget_int'!I26</f>
        <v>120303864.65000001</v>
      </c>
      <c r="J26" s="137">
        <f>+'Cental Budget_int'!J26</f>
        <v>3.8988807573891631</v>
      </c>
      <c r="K26" s="345">
        <f>+'Cental Budget_int'!K26</f>
        <v>128684864.44</v>
      </c>
      <c r="L26" s="138">
        <f>+'Cental Budget_int'!L26</f>
        <v>4.3168354391143904</v>
      </c>
      <c r="M26" s="345">
        <f>+'Cental Budget_int'!M26</f>
        <v>134261371.03</v>
      </c>
      <c r="N26" s="137">
        <f>+'Cental Budget_int'!N26</f>
        <v>4.3254307677190722</v>
      </c>
      <c r="O26" s="345">
        <f>+'Cental Budget_int'!O26</f>
        <v>143379590.77000001</v>
      </c>
      <c r="P26" s="138">
        <f>+'Cental Budget_int'!P26</f>
        <v>4.4335062081014227</v>
      </c>
      <c r="Q26" s="492">
        <f>+'Cental Budget_int'!Q26</f>
        <v>151766097.75999999</v>
      </c>
      <c r="R26" s="493">
        <f>+'Cental Budget_int'!R26</f>
        <v>4.8195013578913937</v>
      </c>
      <c r="S26" s="492">
        <f>+'Cental Budget_int'!S26</f>
        <v>157448789.82527599</v>
      </c>
      <c r="T26" s="493">
        <f>+'Cental Budget_int'!T26</f>
        <v>4.47679243176787</v>
      </c>
      <c r="U26" s="492">
        <f>+'Cental Budget_int'!U26</f>
        <v>157610250.20399997</v>
      </c>
      <c r="V26" s="493">
        <f>+'Cental Budget_int'!V26</f>
        <v>4.4813832870059702</v>
      </c>
      <c r="W26" s="492">
        <f>+'Cental Budget_int'!W26</f>
        <v>161460.378723979</v>
      </c>
      <c r="X26" s="493">
        <f>+'Cental Budget_int'!X26</f>
        <v>4.590855238100211E-3</v>
      </c>
      <c r="Y26" s="120"/>
      <c r="Z26" s="119"/>
      <c r="AA26" s="119"/>
      <c r="AB26" s="119"/>
      <c r="AC26" s="119"/>
      <c r="AD26" s="119"/>
      <c r="AE26" s="120"/>
      <c r="AF26" s="120"/>
      <c r="AG26" s="120"/>
      <c r="AH26" s="120"/>
      <c r="AI26" s="102"/>
      <c r="AJ26" s="102"/>
      <c r="AK26" s="102"/>
      <c r="AL26" s="102"/>
      <c r="AM26" s="103"/>
      <c r="AN26" s="32"/>
      <c r="AO26" s="32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</row>
    <row r="27" spans="1:120" ht="15" customHeight="1">
      <c r="A27" s="110"/>
      <c r="B27" s="110"/>
      <c r="C27" s="110"/>
      <c r="D27" s="130" t="str">
        <f>IF(MasterSheet!$A$1=1,MasterSheet!C79,MasterSheet!B79)</f>
        <v>Porez na međunarodnu trgovinu i transakcije</v>
      </c>
      <c r="E27" s="345">
        <f>+'Cental Budget_int'!E27</f>
        <v>56766223.619999953</v>
      </c>
      <c r="F27" s="137">
        <f>+'Cental Budget_int'!F27</f>
        <v>2.6416410079575572</v>
      </c>
      <c r="G27" s="345">
        <f>+'Cental Budget_int'!G27</f>
        <v>68495722.040000007</v>
      </c>
      <c r="H27" s="138">
        <f>+'Cental Budget_int'!H27</f>
        <v>2.5553337825032645</v>
      </c>
      <c r="I27" s="345">
        <f>+'Cental Budget_int'!I27</f>
        <v>72926890</v>
      </c>
      <c r="J27" s="137">
        <f>+'Cental Budget_int'!J27</f>
        <v>2.3634589707026183</v>
      </c>
      <c r="K27" s="345">
        <f>+'Cental Budget_int'!K27</f>
        <v>49121124.340000004</v>
      </c>
      <c r="L27" s="138">
        <f>+'Cental Budget_int'!L27</f>
        <v>1.6478069218383093</v>
      </c>
      <c r="M27" s="345">
        <f>+'Cental Budget_int'!M27</f>
        <v>50811537.57</v>
      </c>
      <c r="N27" s="137">
        <f>+'Cental Budget_int'!N27</f>
        <v>1.6369696382087628</v>
      </c>
      <c r="O27" s="345">
        <f>+'Cental Budget_int'!O27</f>
        <v>45327985.280000009</v>
      </c>
      <c r="P27" s="138">
        <f>+'Cental Budget_int'!P27</f>
        <v>1.4016074607297468</v>
      </c>
      <c r="Q27" s="492">
        <f>+'Cental Budget_int'!Q27</f>
        <v>28965025.329999998</v>
      </c>
      <c r="R27" s="493">
        <f>+'Cental Budget_int'!R27</f>
        <v>0.91981661892664335</v>
      </c>
      <c r="S27" s="492">
        <f>+'Cental Budget_int'!S27</f>
        <v>31189932.243369091</v>
      </c>
      <c r="T27" s="493">
        <f>+'Cental Budget_int'!T27</f>
        <v>0.88683344450864632</v>
      </c>
      <c r="U27" s="492">
        <f>+'Cental Budget_int'!U27</f>
        <v>29544325.836599998</v>
      </c>
      <c r="V27" s="493">
        <f>+'Cental Budget_int'!V27</f>
        <v>0.84004338460619854</v>
      </c>
      <c r="W27" s="492">
        <f>+'Cental Budget_int'!W27</f>
        <v>-1645606.4067690931</v>
      </c>
      <c r="X27" s="493">
        <f>+'Cental Budget_int'!X27</f>
        <v>-4.6790059902447778E-2</v>
      </c>
      <c r="Y27" s="120"/>
      <c r="Z27" s="119"/>
      <c r="AA27" s="119"/>
      <c r="AB27" s="119"/>
      <c r="AC27" s="119"/>
      <c r="AD27" s="119"/>
      <c r="AE27" s="120"/>
      <c r="AF27" s="120"/>
      <c r="AG27" s="120"/>
      <c r="AH27" s="120"/>
      <c r="AI27" s="102"/>
      <c r="AJ27" s="102"/>
      <c r="AK27" s="102"/>
      <c r="AL27" s="102"/>
      <c r="AM27" s="103"/>
      <c r="AN27" s="37"/>
      <c r="AO27" s="37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DN27" s="5"/>
      <c r="DO27" s="5"/>
      <c r="DP27" s="96"/>
    </row>
    <row r="28" spans="1:120" ht="15" customHeight="1">
      <c r="A28" s="110"/>
      <c r="B28" s="110"/>
      <c r="C28" s="110"/>
      <c r="D28" s="130" t="str">
        <f>IF(MasterSheet!$A$1=1,MasterSheet!C80,MasterSheet!B80)</f>
        <v>Ostali republički prihodi</v>
      </c>
      <c r="E28" s="345">
        <f>+'Cental Budget_int'!E28</f>
        <v>4535766.87</v>
      </c>
      <c r="F28" s="137">
        <f>+'Cental Budget_int'!F28</f>
        <v>0.21107389222392853</v>
      </c>
      <c r="G28" s="345">
        <f>+'Cental Budget_int'!G28</f>
        <v>6739308.9000000004</v>
      </c>
      <c r="H28" s="138">
        <f>+'Cental Budget_int'!H28</f>
        <v>0.25141984331281481</v>
      </c>
      <c r="I28" s="345">
        <f>+'Cental Budget_int'!I28</f>
        <v>8529592.9000000004</v>
      </c>
      <c r="J28" s="137">
        <f>+'Cental Budget_int'!J28</f>
        <v>0.27643223036038372</v>
      </c>
      <c r="K28" s="345">
        <f>+'Cental Budget_int'!K28</f>
        <v>8920855.8499999996</v>
      </c>
      <c r="L28" s="138">
        <f>+'Cental Budget_int'!L28</f>
        <v>0.29925715699429722</v>
      </c>
      <c r="M28" s="345">
        <f>+'Cental Budget_int'!M28</f>
        <v>11587063.199999999</v>
      </c>
      <c r="N28" s="137">
        <f>+'Cental Budget_int'!N28</f>
        <v>0.37329456185567006</v>
      </c>
      <c r="O28" s="345">
        <f>+'Cental Budget_int'!O28</f>
        <v>4148584.0999999996</v>
      </c>
      <c r="P28" s="138">
        <f>+'Cental Budget_int'!P28</f>
        <v>0.12828027520098947</v>
      </c>
      <c r="Q28" s="492">
        <f>+'Cental Budget_int'!Q28</f>
        <v>4279140.05</v>
      </c>
      <c r="R28" s="493">
        <f>+'Cental Budget_int'!R28</f>
        <v>0.13588885519212449</v>
      </c>
      <c r="S28" s="492">
        <f>+'Cental Budget_int'!S28</f>
        <v>4409065.5830532741</v>
      </c>
      <c r="T28" s="493">
        <f>+'Cental Budget_int'!T28</f>
        <v>0.12536438962335156</v>
      </c>
      <c r="U28" s="492">
        <f>+'Cental Budget_int'!U28</f>
        <v>4314527.4639999997</v>
      </c>
      <c r="V28" s="493">
        <f>+'Cental Budget_int'!V28</f>
        <v>0.12267635666761445</v>
      </c>
      <c r="W28" s="492">
        <f>+'Cental Budget_int'!W28</f>
        <v>-94538.119053274393</v>
      </c>
      <c r="X28" s="493">
        <f>+'Cental Budget_int'!X28</f>
        <v>-2.6880329557371074E-3</v>
      </c>
      <c r="Y28" s="120"/>
      <c r="Z28" s="119"/>
      <c r="AA28" s="119"/>
      <c r="AB28" s="119"/>
      <c r="AC28" s="119"/>
      <c r="AD28" s="119"/>
      <c r="AE28" s="120"/>
      <c r="AF28" s="120"/>
      <c r="AG28" s="120"/>
      <c r="AH28" s="120"/>
      <c r="AI28" s="102"/>
      <c r="AJ28" s="102"/>
      <c r="AK28" s="102"/>
      <c r="AL28" s="102"/>
      <c r="AM28" s="103"/>
      <c r="AN28" s="32"/>
      <c r="AO28" s="32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DN28" s="5"/>
      <c r="DO28" s="5"/>
      <c r="DP28" s="96"/>
    </row>
    <row r="29" spans="1:120" ht="15" customHeight="1">
      <c r="A29" s="110"/>
      <c r="B29" s="110"/>
      <c r="C29" s="110"/>
      <c r="D29" s="129" t="str">
        <f>IF(MasterSheet!$A$1=1,MasterSheet!C81,MasterSheet!B81)</f>
        <v>Doprinosi</v>
      </c>
      <c r="E29" s="344">
        <f>+'Cental Budget_int'!E29</f>
        <v>255157132.13</v>
      </c>
      <c r="F29" s="136">
        <f>+'Cental Budget_int'!F29</f>
        <v>11.873848579738471</v>
      </c>
      <c r="G29" s="344">
        <f>+'Cental Budget_int'!G29</f>
        <v>306787808.32999998</v>
      </c>
      <c r="H29" s="135">
        <f>+'Cental Budget_int'!H29</f>
        <v>11.445170987875395</v>
      </c>
      <c r="I29" s="344">
        <f>+'Cental Budget_int'!I29</f>
        <v>339912631.83999997</v>
      </c>
      <c r="J29" s="136">
        <f>+'Cental Budget_int'!J29</f>
        <v>11.016095146486906</v>
      </c>
      <c r="K29" s="344">
        <f>+'Cental Budget_int'!K29</f>
        <v>307544352.32999998</v>
      </c>
      <c r="L29" s="135">
        <f>+'Cental Budget_int'!L29</f>
        <v>10.316818259979872</v>
      </c>
      <c r="M29" s="344">
        <f>+'Cental Budget_int'!M29</f>
        <v>379756996.48000008</v>
      </c>
      <c r="N29" s="136">
        <f>+'Cental Budget_int'!N29</f>
        <v>12.234439319587631</v>
      </c>
      <c r="O29" s="344">
        <f>+'Cental Budget_int'!O29</f>
        <v>353577453.33000004</v>
      </c>
      <c r="P29" s="135">
        <f>+'Cental Budget_int'!P29</f>
        <v>10.933130900742116</v>
      </c>
      <c r="Q29" s="490">
        <f>+'Cental Budget_int'!Q29</f>
        <v>362250409.59999996</v>
      </c>
      <c r="R29" s="491">
        <f>+'Cental Budget_int'!R29</f>
        <v>11.503664960304857</v>
      </c>
      <c r="S29" s="490">
        <f>+'Cental Budget_int'!S29</f>
        <v>384217730.43822622</v>
      </c>
      <c r="T29" s="491">
        <f>+'Cental Budget_int'!T29</f>
        <v>10.924587160597845</v>
      </c>
      <c r="U29" s="490">
        <f>+'Cental Budget_int'!U29</f>
        <v>376795417.792</v>
      </c>
      <c r="V29" s="491">
        <f>+'Cental Budget_int'!V29</f>
        <v>10.713546141370486</v>
      </c>
      <c r="W29" s="490">
        <f>+'Cental Budget_int'!W29</f>
        <v>-7422312.6462262273</v>
      </c>
      <c r="X29" s="491">
        <f>+'Cental Budget_int'!X29</f>
        <v>-0.21104101922735907</v>
      </c>
      <c r="Y29" s="120"/>
      <c r="Z29" s="119"/>
      <c r="AA29" s="119"/>
      <c r="AB29" s="119"/>
      <c r="AC29" s="119"/>
      <c r="AD29" s="119"/>
      <c r="AE29" s="120"/>
      <c r="AF29" s="120"/>
      <c r="AG29" s="120"/>
      <c r="AH29" s="120"/>
      <c r="AI29" s="102"/>
      <c r="AJ29" s="102"/>
      <c r="AK29" s="102"/>
      <c r="AL29" s="102"/>
      <c r="AM29" s="103"/>
      <c r="AN29" s="32"/>
      <c r="AO29" s="32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DN29" s="5"/>
      <c r="DO29" s="5"/>
      <c r="DP29" s="96"/>
    </row>
    <row r="30" spans="1:120" ht="15" customHeight="1">
      <c r="A30" s="110"/>
      <c r="B30" s="110"/>
      <c r="C30" s="110"/>
      <c r="D30" s="130" t="str">
        <f>IF(MasterSheet!$A$1=1,MasterSheet!C82,MasterSheet!B82)</f>
        <v>Doprinosi za penzijsko i invalidsko osiguranje</v>
      </c>
      <c r="E30" s="345">
        <f>+'Cental Budget_int'!E30</f>
        <v>138179769.16</v>
      </c>
      <c r="F30" s="137">
        <f>+'Cental Budget_int'!F30</f>
        <v>6.4302559058122766</v>
      </c>
      <c r="G30" s="345">
        <f>+'Cental Budget_int'!G30</f>
        <v>173517241.65000001</v>
      </c>
      <c r="H30" s="138">
        <f>+'Cental Budget_int'!H30</f>
        <v>6.473316233911584</v>
      </c>
      <c r="I30" s="345">
        <f>+'Cental Budget_int'!I30</f>
        <v>213850904.31999999</v>
      </c>
      <c r="J30" s="137">
        <f>+'Cental Budget_int'!J30</f>
        <v>6.9306100700025919</v>
      </c>
      <c r="K30" s="345">
        <f>+'Cental Budget_int'!K30</f>
        <v>199510659.24000001</v>
      </c>
      <c r="L30" s="138">
        <f>+'Cental Budget_int'!L30</f>
        <v>6.6927426782958737</v>
      </c>
      <c r="M30" s="345">
        <f>+'Cental Budget_int'!M30</f>
        <v>233496116.37</v>
      </c>
      <c r="N30" s="137">
        <f>+'Cental Budget_int'!N30</f>
        <v>7.5224264294458765</v>
      </c>
      <c r="O30" s="345">
        <f>+'Cental Budget_int'!O30</f>
        <v>213452220.68000001</v>
      </c>
      <c r="P30" s="138">
        <f>+'Cental Budget_int'!P30</f>
        <v>6.6002541954236245</v>
      </c>
      <c r="Q30" s="492">
        <f>+'Cental Budget_int'!Q30</f>
        <v>216501675.27000001</v>
      </c>
      <c r="R30" s="493">
        <f>+'Cental Budget_int'!R30</f>
        <v>6.8752516757700857</v>
      </c>
      <c r="S30" s="492">
        <f>+'Cental Budget_int'!S30</f>
        <v>226849483.25081635</v>
      </c>
      <c r="T30" s="493">
        <f>+'Cental Budget_int'!T30</f>
        <v>6.4500848237366029</v>
      </c>
      <c r="U30" s="492">
        <f>+'Cental Budget_int'!U30</f>
        <v>224831708.77540001</v>
      </c>
      <c r="V30" s="493">
        <f>+'Cental Budget_int'!V30</f>
        <v>6.3927127886096109</v>
      </c>
      <c r="W30" s="492">
        <f>+'Cental Budget_int'!W30</f>
        <v>-2017774.4754163325</v>
      </c>
      <c r="X30" s="493">
        <f>+'Cental Budget_int'!X30</f>
        <v>-5.737203512699196E-2</v>
      </c>
      <c r="Y30" s="120"/>
      <c r="Z30" s="119"/>
      <c r="AA30" s="119"/>
      <c r="AB30" s="119"/>
      <c r="AC30" s="119"/>
      <c r="AD30" s="119"/>
      <c r="AE30" s="120"/>
      <c r="AF30" s="120"/>
      <c r="AG30" s="120"/>
      <c r="AH30" s="120"/>
      <c r="AI30" s="102"/>
      <c r="AJ30" s="102"/>
      <c r="AK30" s="102"/>
      <c r="AL30" s="102"/>
      <c r="AM30" s="103"/>
      <c r="AN30" s="32"/>
      <c r="AO30" s="32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DN30" s="5"/>
      <c r="DO30" s="5"/>
      <c r="DP30" s="96"/>
    </row>
    <row r="31" spans="1:120" ht="15" customHeight="1">
      <c r="A31" s="110"/>
      <c r="B31" s="110"/>
      <c r="C31" s="110"/>
      <c r="D31" s="130" t="str">
        <f>IF(MasterSheet!$A$1=1,MasterSheet!C83,MasterSheet!B83)</f>
        <v>Doprinosi za zdravstveno osiguranje</v>
      </c>
      <c r="E31" s="345">
        <f>+'Cental Budget_int'!E31</f>
        <v>110592983</v>
      </c>
      <c r="F31" s="137">
        <f>+'Cental Budget_int'!F31</f>
        <v>5.1464927637395883</v>
      </c>
      <c r="G31" s="345">
        <f>+'Cental Budget_int'!G31</f>
        <v>125446267</v>
      </c>
      <c r="H31" s="138">
        <f>+'Cental Budget_int'!H31</f>
        <v>4.6799577317664616</v>
      </c>
      <c r="I31" s="345">
        <f>+'Cental Budget_int'!I31</f>
        <v>115860488.59999999</v>
      </c>
      <c r="J31" s="137">
        <f>+'Cental Budget_int'!J31</f>
        <v>3.7548771260046667</v>
      </c>
      <c r="K31" s="345">
        <f>+'Cental Budget_int'!K31</f>
        <v>97587762.519999996</v>
      </c>
      <c r="L31" s="138">
        <f>+'Cental Budget_int'!L31</f>
        <v>3.2736585883931566</v>
      </c>
      <c r="M31" s="345">
        <f>+'Cental Budget_int'!M31</f>
        <v>129895634.22</v>
      </c>
      <c r="N31" s="137">
        <f>+'Cental Budget_int'!N31</f>
        <v>4.1847820302835048</v>
      </c>
      <c r="O31" s="345">
        <f>+'Cental Budget_int'!O31</f>
        <v>120890439.24000001</v>
      </c>
      <c r="P31" s="138">
        <f>+'Cental Budget_int'!P31</f>
        <v>3.7381088200371062</v>
      </c>
      <c r="Q31" s="492">
        <f>+'Cental Budget_int'!Q31</f>
        <v>125738855</v>
      </c>
      <c r="R31" s="493">
        <f>+'Cental Budget_int'!R31</f>
        <v>3.9929772943791679</v>
      </c>
      <c r="S31" s="492">
        <f>+'Cental Budget_int'!S31</f>
        <v>133924915.28862785</v>
      </c>
      <c r="T31" s="493">
        <f>+'Cental Budget_int'!T31</f>
        <v>3.8079304887298222</v>
      </c>
      <c r="U31" s="492">
        <f>+'Cental Budget_int'!U31</f>
        <v>128553632.10000001</v>
      </c>
      <c r="V31" s="493">
        <f>+'Cental Budget_int'!V31</f>
        <v>3.6552070543076485</v>
      </c>
      <c r="W31" s="492">
        <f>+'Cental Budget_int'!W31</f>
        <v>-5371283.1886278391</v>
      </c>
      <c r="X31" s="493">
        <f>+'Cental Budget_int'!X31</f>
        <v>-0.15272343442217373</v>
      </c>
      <c r="Y31" s="120"/>
      <c r="Z31" s="119"/>
      <c r="AA31" s="119"/>
      <c r="AB31" s="119"/>
      <c r="AC31" s="119"/>
      <c r="AD31" s="119"/>
      <c r="AE31" s="120"/>
      <c r="AF31" s="120"/>
      <c r="AG31" s="120"/>
      <c r="AH31" s="120"/>
      <c r="AI31" s="102"/>
      <c r="AJ31" s="102"/>
      <c r="AK31" s="102"/>
      <c r="AL31" s="102"/>
      <c r="AM31" s="103"/>
      <c r="AN31" s="32"/>
      <c r="AO31" s="32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DN31" s="5"/>
      <c r="DO31" s="5"/>
      <c r="DP31" s="96"/>
    </row>
    <row r="32" spans="1:120" ht="15" customHeight="1">
      <c r="A32" s="110"/>
      <c r="B32" s="110"/>
      <c r="C32" s="110"/>
      <c r="D32" s="130" t="str">
        <f>IF(MasterSheet!$A$1=1,MasterSheet!C84,MasterSheet!B84)</f>
        <v>Doprinosi za osiguranje od nezaposlenosti</v>
      </c>
      <c r="E32" s="345">
        <f>+'Cental Budget_int'!E32</f>
        <v>6384379.9699999997</v>
      </c>
      <c r="F32" s="137">
        <f>+'Cental Budget_int'!F32</f>
        <v>0.29709991018660709</v>
      </c>
      <c r="G32" s="345">
        <f>+'Cental Budget_int'!G32</f>
        <v>7824299.6800000006</v>
      </c>
      <c r="H32" s="138">
        <f>+'Cental Budget_int'!H32</f>
        <v>0.29189702219735131</v>
      </c>
      <c r="I32" s="345">
        <f>+'Cental Budget_int'!I32</f>
        <v>10201238.92</v>
      </c>
      <c r="J32" s="137">
        <f>+'Cental Budget_int'!J32</f>
        <v>0.33060795047964742</v>
      </c>
      <c r="K32" s="345">
        <f>+'Cental Budget_int'!K32</f>
        <v>10445930.57</v>
      </c>
      <c r="L32" s="138">
        <f>+'Cental Budget_int'!L32</f>
        <v>0.35041699329084197</v>
      </c>
      <c r="M32" s="345">
        <f>+'Cental Budget_int'!M32</f>
        <v>10149691.789999999</v>
      </c>
      <c r="N32" s="137">
        <f>+'Cental Budget_int'!N32</f>
        <v>0.32698749323453608</v>
      </c>
      <c r="O32" s="345">
        <f>+'Cental Budget_int'!O32</f>
        <v>10764704.380000001</v>
      </c>
      <c r="P32" s="138">
        <f>+'Cental Budget_int'!P32</f>
        <v>0.33286037043908479</v>
      </c>
      <c r="Q32" s="492">
        <f>+'Cental Budget_int'!Q32</f>
        <v>9987592.2599999998</v>
      </c>
      <c r="R32" s="493">
        <f>+'Cental Budget_int'!R32</f>
        <v>0.31716710892346772</v>
      </c>
      <c r="S32" s="492">
        <f>+'Cental Budget_int'!S32</f>
        <v>11220074.127307795</v>
      </c>
      <c r="T32" s="493">
        <f>+'Cental Budget_int'!T32</f>
        <v>0.31902400134511788</v>
      </c>
      <c r="U32" s="492">
        <f>+'Cental Budget_int'!U32</f>
        <v>11187344.1052</v>
      </c>
      <c r="V32" s="493">
        <f>+'Cental Budget_int'!V32</f>
        <v>0.31809337802672732</v>
      </c>
      <c r="W32" s="492">
        <f>+'Cental Budget_int'!W32</f>
        <v>-32730.022107794881</v>
      </c>
      <c r="X32" s="493">
        <f>+'Cental Budget_int'!X32</f>
        <v>-9.3062331839055545E-4</v>
      </c>
      <c r="Y32" s="120"/>
      <c r="Z32" s="119"/>
      <c r="AA32" s="119"/>
      <c r="AB32" s="119"/>
      <c r="AC32" s="119"/>
      <c r="AD32" s="119"/>
      <c r="AE32" s="120"/>
      <c r="AF32" s="120"/>
      <c r="AG32" s="119"/>
      <c r="AH32" s="119"/>
      <c r="AI32" s="103"/>
      <c r="AJ32" s="102"/>
      <c r="AK32" s="102"/>
      <c r="AL32" s="102"/>
      <c r="AM32" s="103"/>
      <c r="AN32" s="37"/>
      <c r="AO32" s="37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DN32" s="5"/>
      <c r="DO32" s="5"/>
      <c r="DP32" s="96"/>
    </row>
    <row r="33" spans="1:123" ht="15" customHeight="1">
      <c r="A33" s="110"/>
      <c r="B33" s="110"/>
      <c r="C33" s="110"/>
      <c r="D33" s="130" t="str">
        <f>IF(MasterSheet!$A$1=1,MasterSheet!C85,MasterSheet!B85)</f>
        <v>Ostali doprinosi</v>
      </c>
      <c r="E33" s="345">
        <f>+'Cental Budget_int'!E33</f>
        <v>0</v>
      </c>
      <c r="F33" s="137">
        <f>+'Cental Budget_int'!F33</f>
        <v>0</v>
      </c>
      <c r="G33" s="345">
        <f>+'Cental Budget_int'!G33</f>
        <v>0</v>
      </c>
      <c r="H33" s="138">
        <f>+'Cental Budget_int'!H33</f>
        <v>0</v>
      </c>
      <c r="I33" s="345">
        <f>+'Cental Budget_int'!I33</f>
        <v>0</v>
      </c>
      <c r="J33" s="137">
        <f>+'Cental Budget_int'!J33</f>
        <v>0</v>
      </c>
      <c r="K33" s="345">
        <f>+'Cental Budget_int'!K33</f>
        <v>0</v>
      </c>
      <c r="L33" s="138">
        <f>+'Cental Budget_int'!L33</f>
        <v>0</v>
      </c>
      <c r="M33" s="345">
        <f>+'Cental Budget_int'!M33</f>
        <v>6215554.0999999996</v>
      </c>
      <c r="N33" s="137">
        <f>+'Cental Budget_int'!N33</f>
        <v>0.20024336662371134</v>
      </c>
      <c r="O33" s="345">
        <f>+'Cental Budget_int'!O33</f>
        <v>8470089.0300000012</v>
      </c>
      <c r="P33" s="138">
        <f>+'Cental Budget_int'!P33</f>
        <v>0.26190751484230057</v>
      </c>
      <c r="Q33" s="492">
        <f>+'Cental Budget_int'!Q33</f>
        <v>10022287.07</v>
      </c>
      <c r="R33" s="493">
        <f>+'Cental Budget_int'!R33</f>
        <v>0.3182688812321372</v>
      </c>
      <c r="S33" s="492">
        <f>+'Cental Budget_int'!S33</f>
        <v>12223257.771474268</v>
      </c>
      <c r="T33" s="493">
        <f>+'Cental Budget_int'!T33</f>
        <v>0.34754784678630274</v>
      </c>
      <c r="U33" s="492">
        <f>+'Cental Budget_int'!U33</f>
        <v>12222732.8114</v>
      </c>
      <c r="V33" s="493">
        <f>+'Cental Budget_int'!V33</f>
        <v>0.34753292042649986</v>
      </c>
      <c r="W33" s="492">
        <f>+'Cental Budget_int'!W33</f>
        <v>-524.96007426828146</v>
      </c>
      <c r="X33" s="493">
        <f>+'Cental Budget_int'!X33</f>
        <v>-1.4926359802880373E-5</v>
      </c>
      <c r="Y33" s="120"/>
      <c r="Z33" s="119"/>
      <c r="AA33" s="119"/>
      <c r="AB33" s="119"/>
      <c r="AC33" s="119"/>
      <c r="AD33" s="119"/>
      <c r="AE33" s="120"/>
      <c r="AF33" s="120"/>
      <c r="AG33" s="119"/>
      <c r="AH33" s="119"/>
      <c r="AI33" s="103"/>
      <c r="AJ33" s="102"/>
      <c r="AK33" s="102"/>
      <c r="AL33" s="102"/>
      <c r="AM33" s="103"/>
      <c r="AN33" s="32"/>
      <c r="AO33" s="32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DN33" s="96"/>
      <c r="DO33" s="96"/>
      <c r="DP33" s="96"/>
    </row>
    <row r="34" spans="1:123" ht="15" customHeight="1">
      <c r="A34" s="110"/>
      <c r="B34" s="110"/>
      <c r="C34" s="110"/>
      <c r="D34" s="129" t="str">
        <f>IF(MasterSheet!$A$1=1,MasterSheet!C86,MasterSheet!B86)</f>
        <v>Takse</v>
      </c>
      <c r="E34" s="344">
        <f>+'Cental Budget_int'!E34</f>
        <v>15777845.709999993</v>
      </c>
      <c r="F34" s="136">
        <f>+'Cental Budget_int'!F34</f>
        <v>0.73422894085345958</v>
      </c>
      <c r="G34" s="344">
        <f>+'Cental Budget_int'!G34</f>
        <v>21847073.970000003</v>
      </c>
      <c r="H34" s="135">
        <f>+'Cental Budget_int'!H34</f>
        <v>0.81503726804700616</v>
      </c>
      <c r="I34" s="344">
        <f>+'Cental Budget_int'!I34</f>
        <v>26594093.5</v>
      </c>
      <c r="J34" s="136">
        <f>+'Cental Budget_int'!J34</f>
        <v>0.86187754407570649</v>
      </c>
      <c r="K34" s="344">
        <f>+'Cental Budget_int'!K34</f>
        <v>22516562.169999998</v>
      </c>
      <c r="L34" s="135">
        <f>+'Cental Budget_int'!L34</f>
        <v>0.75533586615229786</v>
      </c>
      <c r="M34" s="344">
        <f>+'Cental Budget_int'!M34</f>
        <v>20544226.239999998</v>
      </c>
      <c r="N34" s="136">
        <f>+'Cental Budget_int'!N34</f>
        <v>0.66186295876288659</v>
      </c>
      <c r="O34" s="344">
        <f>+'Cental Budget_int'!O34</f>
        <v>16011669.92</v>
      </c>
      <c r="P34" s="135">
        <f>+'Cental Budget_int'!P34</f>
        <v>0.49510420284477424</v>
      </c>
      <c r="Q34" s="490">
        <f>+'Cental Budget_int'!Q34</f>
        <v>17998206.289999999</v>
      </c>
      <c r="R34" s="491">
        <f>+'Cental Budget_int'!R34</f>
        <v>0.57155307367418229</v>
      </c>
      <c r="S34" s="490">
        <f>+'Cental Budget_int'!S34</f>
        <v>29066769.356451314</v>
      </c>
      <c r="T34" s="491">
        <f>+'Cental Budget_int'!T34</f>
        <v>0.82646486654681017</v>
      </c>
      <c r="U34" s="490">
        <f>+'Cental Budget_int'!U34</f>
        <v>25685456.673299998</v>
      </c>
      <c r="V34" s="491">
        <f>+'Cental Budget_int'!V34</f>
        <v>0.73032290796986055</v>
      </c>
      <c r="W34" s="490">
        <f>+'Cental Budget_int'!W34</f>
        <v>-3381312.6831513159</v>
      </c>
      <c r="X34" s="491">
        <f>+'Cental Budget_int'!X34</f>
        <v>-9.6141958576949627E-2</v>
      </c>
      <c r="Y34" s="120"/>
      <c r="Z34" s="119"/>
      <c r="AA34" s="119"/>
      <c r="AB34" s="119"/>
      <c r="AC34" s="119"/>
      <c r="AD34" s="119"/>
      <c r="AE34" s="120"/>
      <c r="AF34" s="120"/>
      <c r="AG34" s="119"/>
      <c r="AH34" s="119"/>
      <c r="AI34" s="103"/>
      <c r="AJ34" s="102"/>
      <c r="AK34" s="102"/>
      <c r="AL34" s="102"/>
      <c r="AM34" s="103"/>
      <c r="AN34" s="32"/>
      <c r="AO34" s="32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DN34" s="96"/>
      <c r="DO34" s="96"/>
      <c r="DP34" s="96"/>
    </row>
    <row r="35" spans="1:123" ht="15" customHeight="1">
      <c r="A35" s="110"/>
      <c r="B35" s="110"/>
      <c r="C35" s="110"/>
      <c r="D35" s="130" t="str">
        <f>IF(MasterSheet!$A$1=1,MasterSheet!C87,MasterSheet!B87)</f>
        <v>Administrativne takse</v>
      </c>
      <c r="E35" s="345">
        <f>+'Cental Budget_int'!E35</f>
        <v>7506509.4799999958</v>
      </c>
      <c r="F35" s="137">
        <f>+'Cental Budget_int'!F35</f>
        <v>0.34931869700777124</v>
      </c>
      <c r="G35" s="345">
        <f>+'Cental Budget_int'!G35</f>
        <v>9153048.3600000013</v>
      </c>
      <c r="H35" s="138">
        <f>+'Cental Budget_int'!H35</f>
        <v>0.34146794851706774</v>
      </c>
      <c r="I35" s="345">
        <f>+'Cental Budget_int'!I35</f>
        <v>18319319.420000002</v>
      </c>
      <c r="J35" s="137">
        <f>+'Cental Budget_int'!J35</f>
        <v>0.59370363689395911</v>
      </c>
      <c r="K35" s="345">
        <f>+'Cental Budget_int'!K35</f>
        <v>14744246.369999999</v>
      </c>
      <c r="L35" s="138">
        <f>+'Cental Budget_int'!L35</f>
        <v>0.49460739248574298</v>
      </c>
      <c r="M35" s="345">
        <f>+'Cental Budget_int'!M35</f>
        <v>13257206.299999997</v>
      </c>
      <c r="N35" s="137">
        <f>+'Cental Budget_int'!N35</f>
        <v>0.42710071842783498</v>
      </c>
      <c r="O35" s="345">
        <f>+'Cental Budget_int'!O35</f>
        <v>10724280.77</v>
      </c>
      <c r="P35" s="138">
        <f>+'Cental Budget_int'!P35</f>
        <v>0.33161041341991337</v>
      </c>
      <c r="Q35" s="492">
        <f>+'Cental Budget_int'!Q35</f>
        <v>8544481.8000000007</v>
      </c>
      <c r="R35" s="493">
        <f>+'Cental Budget_int'!R35</f>
        <v>0.27133953000952682</v>
      </c>
      <c r="S35" s="492">
        <f>+'Cental Budget_int'!S35</f>
        <v>8766628.5488016624</v>
      </c>
      <c r="T35" s="493">
        <f>+'Cental Budget_int'!T35</f>
        <v>0.24926438864946437</v>
      </c>
      <c r="U35" s="492">
        <f>+'Cental Budget_int'!U35</f>
        <v>8758093.8450000007</v>
      </c>
      <c r="V35" s="493">
        <f>+'Cental Budget_int'!V35</f>
        <v>0.24902171865226044</v>
      </c>
      <c r="W35" s="492">
        <f>+'Cental Budget_int'!W35</f>
        <v>-8534.7038016617298</v>
      </c>
      <c r="X35" s="493">
        <f>+'Cental Budget_int'!X35</f>
        <v>-2.4266999720393145E-4</v>
      </c>
      <c r="Y35" s="120"/>
      <c r="Z35" s="120"/>
      <c r="AA35" s="120"/>
      <c r="AB35" s="120"/>
      <c r="AC35" s="120"/>
      <c r="AD35" s="120"/>
      <c r="AE35" s="120"/>
      <c r="AF35" s="120"/>
      <c r="AG35" s="119"/>
      <c r="AH35" s="119"/>
      <c r="AI35" s="103"/>
      <c r="AJ35" s="102"/>
      <c r="AK35" s="102"/>
      <c r="AL35" s="102"/>
      <c r="AM35" s="103"/>
      <c r="AN35" s="32"/>
      <c r="AO35" s="32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DN35" s="96"/>
      <c r="DO35" s="96"/>
      <c r="DP35" s="96"/>
    </row>
    <row r="36" spans="1:123" ht="15" customHeight="1">
      <c r="A36" s="110"/>
      <c r="B36" s="110"/>
      <c r="C36" s="110"/>
      <c r="D36" s="130" t="str">
        <f>IF(MasterSheet!$A$1=1,MasterSheet!C88,MasterSheet!B88)</f>
        <v>Sudske takse</v>
      </c>
      <c r="E36" s="345">
        <f>+'Cental Budget_int'!E36</f>
        <v>6027790.6899999976</v>
      </c>
      <c r="F36" s="137">
        <f>+'Cental Budget_int'!F36</f>
        <v>0.28050587230676149</v>
      </c>
      <c r="G36" s="345">
        <f>+'Cental Budget_int'!G36</f>
        <v>8663338.5800000001</v>
      </c>
      <c r="H36" s="138">
        <f>+'Cental Budget_int'!H36</f>
        <v>0.32319860399179257</v>
      </c>
      <c r="I36" s="345">
        <f>+'Cental Budget_int'!I36</f>
        <v>7688705.0099999998</v>
      </c>
      <c r="J36" s="137">
        <f>+'Cental Budget_int'!J36</f>
        <v>0.24918022459165154</v>
      </c>
      <c r="K36" s="345">
        <f>+'Cental Budget_int'!K36</f>
        <v>6834686.9299999997</v>
      </c>
      <c r="L36" s="138">
        <f>+'Cental Budget_int'!L36</f>
        <v>0.22927497249245221</v>
      </c>
      <c r="M36" s="345">
        <f>+'Cental Budget_int'!M36</f>
        <v>6236916.9700000007</v>
      </c>
      <c r="N36" s="137">
        <f>+'Cental Budget_int'!N36</f>
        <v>0.20093160341494845</v>
      </c>
      <c r="O36" s="345">
        <f>+'Cental Budget_int'!O36</f>
        <v>3918273.44</v>
      </c>
      <c r="P36" s="138">
        <f>+'Cental Budget_int'!P36</f>
        <v>0.12115873345701918</v>
      </c>
      <c r="Q36" s="492">
        <f>+'Cental Budget_int'!Q36</f>
        <v>3475076.76</v>
      </c>
      <c r="R36" s="493">
        <f>+'Cental Budget_int'!R36</f>
        <v>0.11035493045411242</v>
      </c>
      <c r="S36" s="492">
        <f>+'Cental Budget_int'!S36</f>
        <v>3555464.5495234663</v>
      </c>
      <c r="T36" s="493">
        <f>+'Cental Budget_int'!T36</f>
        <v>0.1010936749935589</v>
      </c>
      <c r="U36" s="492">
        <f>+'Cental Budget_int'!U36</f>
        <v>3579329.0628</v>
      </c>
      <c r="V36" s="493">
        <f>+'Cental Budget_int'!V36</f>
        <v>0.10177222242820586</v>
      </c>
      <c r="W36" s="492">
        <f>+'Cental Budget_int'!W36</f>
        <v>23864.513276533689</v>
      </c>
      <c r="X36" s="493">
        <f>+'Cental Budget_int'!X36</f>
        <v>6.7854743464695888E-4</v>
      </c>
      <c r="Y36" s="120"/>
      <c r="Z36" s="120"/>
      <c r="AA36" s="120"/>
      <c r="AB36" s="120"/>
      <c r="AC36" s="120"/>
      <c r="AD36" s="120"/>
      <c r="AE36" s="120"/>
      <c r="AF36" s="120"/>
      <c r="AG36" s="119"/>
      <c r="AH36" s="119"/>
      <c r="AI36" s="103"/>
      <c r="AJ36" s="102"/>
      <c r="AK36" s="102"/>
      <c r="AL36" s="102"/>
      <c r="AM36" s="103"/>
      <c r="AN36" s="32"/>
      <c r="AO36" s="32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DN36" s="5"/>
      <c r="DO36" s="5"/>
      <c r="DP36" s="5"/>
    </row>
    <row r="37" spans="1:123" ht="15" customHeight="1">
      <c r="A37" s="110"/>
      <c r="B37" s="110"/>
      <c r="C37" s="110"/>
      <c r="D37" s="130" t="str">
        <f>IF(MasterSheet!$A$1=1,MasterSheet!C89,MasterSheet!B89)</f>
        <v>Boravišne takse</v>
      </c>
      <c r="E37" s="345">
        <f>+'Cental Budget_int'!E37</f>
        <v>365979.02</v>
      </c>
      <c r="F37" s="137">
        <f>+'Cental Budget_int'!F37</f>
        <v>1.7030993531574296E-2</v>
      </c>
      <c r="G37" s="345">
        <f>+'Cental Budget_int'!G37</f>
        <v>564651.91</v>
      </c>
      <c r="H37" s="138">
        <f>+'Cental Budget_int'!H37</f>
        <v>2.1065171050177207E-2</v>
      </c>
      <c r="I37" s="345">
        <f>+'Cental Budget_int'!I37</f>
        <v>544318.97</v>
      </c>
      <c r="J37" s="137">
        <f>+'Cental Budget_int'!J37</f>
        <v>1.76406199766658E-2</v>
      </c>
      <c r="K37" s="345">
        <f>+'Cental Budget_int'!K37</f>
        <v>409061.18</v>
      </c>
      <c r="L37" s="138">
        <f>+'Cental Budget_int'!L37</f>
        <v>1.3722280442804427E-2</v>
      </c>
      <c r="M37" s="345">
        <f>+'Cental Budget_int'!M37</f>
        <v>449587.51</v>
      </c>
      <c r="N37" s="137">
        <f>+'Cental Budget_int'!N37</f>
        <v>1.4484133698453607E-2</v>
      </c>
      <c r="O37" s="345">
        <f>+'Cental Budget_int'!O37</f>
        <v>553959.80999999994</v>
      </c>
      <c r="P37" s="138">
        <f>+'Cental Budget_int'!P37</f>
        <v>1.7129245825602966E-2</v>
      </c>
      <c r="Q37" s="492">
        <f>+'Cental Budget_int'!Q37</f>
        <v>491975.95</v>
      </c>
      <c r="R37" s="493">
        <f>+'Cental Budget_int'!R37</f>
        <v>1.5623243886948239E-2</v>
      </c>
      <c r="S37" s="492">
        <f>+'Cental Budget_int'!S37</f>
        <v>502511.14882618561</v>
      </c>
      <c r="T37" s="493">
        <f>+'Cental Budget_int'!T37</f>
        <v>1.4288062235603801E-2</v>
      </c>
      <c r="U37" s="492">
        <f>+'Cental Budget_int'!U37</f>
        <v>516574.74750000006</v>
      </c>
      <c r="V37" s="493">
        <f>+'Cental Budget_int'!V37</f>
        <v>1.4687937091270972E-2</v>
      </c>
      <c r="W37" s="492">
        <f>+'Cental Budget_int'!W37</f>
        <v>14063.598673814442</v>
      </c>
      <c r="X37" s="493">
        <f>+'Cental Budget_int'!X37</f>
        <v>3.9987485566717051E-4</v>
      </c>
      <c r="Y37" s="120"/>
      <c r="Z37" s="120"/>
      <c r="AA37" s="120"/>
      <c r="AB37" s="120"/>
      <c r="AC37" s="120"/>
      <c r="AD37" s="120"/>
      <c r="AE37" s="120"/>
      <c r="AF37" s="120"/>
      <c r="AG37" s="119"/>
      <c r="AH37" s="121"/>
      <c r="AI37" s="103"/>
      <c r="AJ37" s="102"/>
      <c r="AK37" s="102"/>
      <c r="AL37" s="102"/>
      <c r="AM37" s="103"/>
      <c r="AN37" s="37"/>
      <c r="AO37" s="37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DN37" s="5"/>
      <c r="DO37" s="5"/>
      <c r="DP37" s="5"/>
    </row>
    <row r="38" spans="1:123" ht="15" customHeight="1">
      <c r="A38" s="110"/>
      <c r="B38" s="110"/>
      <c r="C38" s="110"/>
      <c r="D38" s="130" t="str">
        <f>IF(MasterSheet!$A$1=1,MasterSheet!C90,MasterSheet!B90)</f>
        <v>Ostale takse</v>
      </c>
      <c r="E38" s="345">
        <f>+'Cental Budget_int'!E38</f>
        <v>1877566.52</v>
      </c>
      <c r="F38" s="137">
        <f>+'Cental Budget_int'!F38</f>
        <v>8.7373378007352592E-2</v>
      </c>
      <c r="G38" s="345">
        <f>+'Cental Budget_int'!G38</f>
        <v>3466035.12</v>
      </c>
      <c r="H38" s="138">
        <f>+'Cental Budget_int'!H38</f>
        <v>0.12930554448796866</v>
      </c>
      <c r="I38" s="345">
        <f>+'Cental Budget_int'!I38</f>
        <v>41750.1</v>
      </c>
      <c r="J38" s="137">
        <f>+'Cental Budget_int'!J38</f>
        <v>1.3530626134301269E-3</v>
      </c>
      <c r="K38" s="345">
        <f>+'Cental Budget_int'!K38</f>
        <v>528567.68999999994</v>
      </c>
      <c r="L38" s="138">
        <f>+'Cental Budget_int'!L38</f>
        <v>1.7731220731298222E-2</v>
      </c>
      <c r="M38" s="345">
        <f>+'Cental Budget_int'!M38</f>
        <v>600515.46</v>
      </c>
      <c r="N38" s="137">
        <f>+'Cental Budget_int'!N38</f>
        <v>1.9346503221649484E-2</v>
      </c>
      <c r="O38" s="345">
        <f>+'Cental Budget_int'!O38</f>
        <v>815155.9</v>
      </c>
      <c r="P38" s="138">
        <f>+'Cental Budget_int'!P38</f>
        <v>2.5205810142238712E-2</v>
      </c>
      <c r="Q38" s="492">
        <f>+'Cental Budget_int'!Q38</f>
        <v>5486671.7800000003</v>
      </c>
      <c r="R38" s="493">
        <f>+'Cental Budget_int'!R38</f>
        <v>0.17423536932359479</v>
      </c>
      <c r="S38" s="492">
        <f>+'Cental Budget_int'!S38</f>
        <v>16242165.109299999</v>
      </c>
      <c r="T38" s="493">
        <f>+'Cental Budget_int'!T38</f>
        <v>0.46181874066818307</v>
      </c>
      <c r="U38" s="492">
        <f>+'Cental Budget_int'!U38</f>
        <v>12831459.017999999</v>
      </c>
      <c r="V38" s="493">
        <f>+'Cental Budget_int'!V38</f>
        <v>0.36484102979812338</v>
      </c>
      <c r="W38" s="492">
        <f>+'Cental Budget_int'!W38</f>
        <v>-3410706.0912999995</v>
      </c>
      <c r="X38" s="493">
        <f>+'Cental Budget_int'!X38</f>
        <v>-9.6977710870059686E-2</v>
      </c>
      <c r="Y38" s="120"/>
      <c r="Z38" s="120"/>
      <c r="AA38" s="120"/>
      <c r="AB38" s="120"/>
      <c r="AC38" s="120"/>
      <c r="AD38" s="120"/>
      <c r="AE38" s="120"/>
      <c r="AF38" s="120"/>
      <c r="AG38" s="119"/>
      <c r="AH38" s="119"/>
      <c r="AI38" s="103"/>
      <c r="AJ38" s="102"/>
      <c r="AK38" s="102"/>
      <c r="AL38" s="102"/>
      <c r="AM38" s="103"/>
      <c r="AN38" s="32"/>
      <c r="AO38" s="32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DN38" s="5"/>
      <c r="DO38" s="5"/>
      <c r="DP38" s="5"/>
    </row>
    <row r="39" spans="1:123" ht="15" customHeight="1">
      <c r="A39" s="110"/>
      <c r="B39" s="110"/>
      <c r="C39" s="110"/>
      <c r="D39" s="129" t="str">
        <f>IF(MasterSheet!$A$1=1,MasterSheet!C91,MasterSheet!B91)</f>
        <v>Naknade</v>
      </c>
      <c r="E39" s="344">
        <f>+'Cental Budget_int'!E39</f>
        <v>17868340.149999995</v>
      </c>
      <c r="F39" s="136">
        <f>+'Cental Budget_int'!F39</f>
        <v>0.83151101261110316</v>
      </c>
      <c r="G39" s="344">
        <f>+'Cental Budget_int'!G39</f>
        <v>22895117.909999996</v>
      </c>
      <c r="H39" s="135">
        <f>+'Cental Budget_int'!H39</f>
        <v>0.85413609065472851</v>
      </c>
      <c r="I39" s="344">
        <f>+'Cental Budget_int'!I39</f>
        <v>38239154.099999994</v>
      </c>
      <c r="J39" s="136">
        <f>+'Cental Budget_int'!J39</f>
        <v>1.2392777450090742</v>
      </c>
      <c r="K39" s="344">
        <f>+'Cental Budget_int'!K39</f>
        <v>28332415.080000002</v>
      </c>
      <c r="L39" s="135">
        <f>+'Cental Budget_int'!L39</f>
        <v>0.95043324656155659</v>
      </c>
      <c r="M39" s="344">
        <f>+'Cental Budget_int'!M39</f>
        <v>27428633.469999999</v>
      </c>
      <c r="N39" s="136">
        <f>+'Cental Budget_int'!N39</f>
        <v>0.88365442880154643</v>
      </c>
      <c r="O39" s="344">
        <f>+'Cental Budget_int'!O39</f>
        <v>25699255.23</v>
      </c>
      <c r="P39" s="135">
        <f>+'Cental Budget_int'!P39</f>
        <v>0.79465847959183677</v>
      </c>
      <c r="Q39" s="490">
        <f>+'Cental Budget_int'!Q39</f>
        <v>12706115.310000001</v>
      </c>
      <c r="R39" s="491">
        <f>+'Cental Budget_int'!R39</f>
        <v>0.40349683423308985</v>
      </c>
      <c r="S39" s="490">
        <f>+'Cental Budget_int'!S39</f>
        <v>13858592.542606136</v>
      </c>
      <c r="T39" s="491">
        <f>+'Cental Budget_int'!T39</f>
        <v>0.39404584994615111</v>
      </c>
      <c r="U39" s="490">
        <f>+'Cental Budget_int'!U39</f>
        <v>13002454.5624</v>
      </c>
      <c r="V39" s="491">
        <f>+'Cental Budget_int'!V39</f>
        <v>0.36970300148990615</v>
      </c>
      <c r="W39" s="490">
        <f>+'Cental Budget_int'!W39</f>
        <v>-856137.98020613566</v>
      </c>
      <c r="X39" s="491">
        <f>+'Cental Budget_int'!X39</f>
        <v>-2.4342848456244959E-2</v>
      </c>
      <c r="Y39" s="120"/>
      <c r="Z39" s="120"/>
      <c r="AA39" s="120"/>
      <c r="AB39" s="120"/>
      <c r="AC39" s="120"/>
      <c r="AD39" s="120"/>
      <c r="AE39" s="120"/>
      <c r="AF39" s="120"/>
      <c r="AG39" s="119"/>
      <c r="AH39" s="119"/>
      <c r="AI39" s="103"/>
      <c r="AJ39" s="102"/>
      <c r="AK39" s="102"/>
      <c r="AL39" s="102"/>
      <c r="AM39" s="103"/>
      <c r="AN39" s="32"/>
      <c r="AO39" s="32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DN39" s="5"/>
      <c r="DO39" s="5"/>
      <c r="DP39" s="5"/>
    </row>
    <row r="40" spans="1:123" ht="15" customHeight="1">
      <c r="A40" s="110"/>
      <c r="B40" s="110"/>
      <c r="C40" s="110"/>
      <c r="D40" s="130" t="str">
        <f>IF(MasterSheet!$A$1=1,MasterSheet!C92,MasterSheet!B92)</f>
        <v>Naknade za korišćenje dobara od opšteg interesa</v>
      </c>
      <c r="E40" s="345">
        <f>+'Cental Budget_int'!E40</f>
        <v>1274186.23</v>
      </c>
      <c r="F40" s="137">
        <f>+'Cental Budget_int'!F40</f>
        <v>5.9294812694867145E-2</v>
      </c>
      <c r="G40" s="345">
        <f>+'Cental Budget_int'!G40</f>
        <v>2986015.41</v>
      </c>
      <c r="H40" s="138">
        <f>+'Cental Budget_int'!H40</f>
        <v>0.11139770229434809</v>
      </c>
      <c r="I40" s="345">
        <f>+'Cental Budget_int'!I40</f>
        <v>2856435.93</v>
      </c>
      <c r="J40" s="137">
        <f>+'Cental Budget_int'!J40</f>
        <v>9.25731115504278E-2</v>
      </c>
      <c r="K40" s="345">
        <f>+'Cental Budget_int'!K40</f>
        <v>2890522.73</v>
      </c>
      <c r="L40" s="138">
        <f>+'Cental Budget_int'!L40</f>
        <v>9.696486850050319E-2</v>
      </c>
      <c r="M40" s="345">
        <f>+'Cental Budget_int'!M40</f>
        <v>2020524.58</v>
      </c>
      <c r="N40" s="137">
        <f>+'Cental Budget_int'!N40</f>
        <v>6.5094219716494844E-2</v>
      </c>
      <c r="O40" s="345">
        <f>+'Cental Budget_int'!O40</f>
        <v>1002041.9199999999</v>
      </c>
      <c r="P40" s="138">
        <f>+'Cental Budget_int'!P40</f>
        <v>3.0984598639455779E-2</v>
      </c>
      <c r="Q40" s="492">
        <f>+'Cental Budget_int'!Q40</f>
        <v>563371.34</v>
      </c>
      <c r="R40" s="493">
        <f>+'Cental Budget_int'!R40</f>
        <v>1.7890483963162909E-2</v>
      </c>
      <c r="S40" s="492">
        <f>+'Cental Budget_int'!S40</f>
        <v>767516.73656893231</v>
      </c>
      <c r="T40" s="493">
        <f>+'Cental Budget_int'!T40</f>
        <v>2.1823051935425997E-2</v>
      </c>
      <c r="U40" s="492">
        <f>+'Cental Budget_int'!U40</f>
        <v>569005.05339999998</v>
      </c>
      <c r="V40" s="493">
        <f>+'Cental Budget_int'!V40</f>
        <v>1.6178704958771679E-2</v>
      </c>
      <c r="W40" s="492">
        <f>+'Cental Budget_int'!W40</f>
        <v>-198511.68316893233</v>
      </c>
      <c r="X40" s="493">
        <f>+'Cental Budget_int'!X40</f>
        <v>-5.6443469766543179E-3</v>
      </c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02"/>
      <c r="AJ40" s="102"/>
      <c r="AK40" s="102"/>
      <c r="AL40" s="102"/>
      <c r="AM40" s="103"/>
      <c r="AN40" s="32"/>
      <c r="AO40" s="32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DN40" s="5"/>
      <c r="DO40" s="5"/>
      <c r="DP40" s="5"/>
    </row>
    <row r="41" spans="1:123" ht="15" customHeight="1">
      <c r="A41" s="110"/>
      <c r="B41" s="110"/>
      <c r="C41" s="110"/>
      <c r="D41" s="130" t="str">
        <f>IF(MasterSheet!$A$1=1,MasterSheet!C93,MasterSheet!B93)</f>
        <v>Naknade za korišćenje prirodnih dobara</v>
      </c>
      <c r="E41" s="345">
        <f>+'Cental Budget_int'!E41</f>
        <v>3521417.44</v>
      </c>
      <c r="F41" s="137">
        <f>+'Cental Budget_int'!F41</f>
        <v>0.16387069849690539</v>
      </c>
      <c r="G41" s="345">
        <f>+'Cental Budget_int'!G41</f>
        <v>3729314.35</v>
      </c>
      <c r="H41" s="138">
        <f>+'Cental Budget_int'!H41</f>
        <v>0.13912756388733447</v>
      </c>
      <c r="I41" s="345">
        <f>+'Cental Budget_int'!I41</f>
        <v>3925540.16</v>
      </c>
      <c r="J41" s="137">
        <f>+'Cental Budget_int'!J41</f>
        <v>0.12722129115893183</v>
      </c>
      <c r="K41" s="345">
        <f>+'Cental Budget_int'!K41</f>
        <v>3661578.93</v>
      </c>
      <c r="L41" s="138">
        <f>+'Cental Budget_int'!L41</f>
        <v>0.12283055786648776</v>
      </c>
      <c r="M41" s="345">
        <f>+'Cental Budget_int'!M41</f>
        <v>3239633.87</v>
      </c>
      <c r="N41" s="137">
        <f>+'Cental Budget_int'!N41</f>
        <v>0.10436964787371135</v>
      </c>
      <c r="O41" s="345">
        <f>+'Cental Budget_int'!O41</f>
        <v>3009556.45</v>
      </c>
      <c r="P41" s="138">
        <f>+'Cental Budget_int'!P41</f>
        <v>9.3059877860235007E-2</v>
      </c>
      <c r="Q41" s="492">
        <f>+'Cental Budget_int'!Q41</f>
        <v>1376923.26</v>
      </c>
      <c r="R41" s="493">
        <f>+'Cental Budget_int'!R41</f>
        <v>4.3725730708161319E-2</v>
      </c>
      <c r="S41" s="492">
        <f>+'Cental Budget_int'!S41</f>
        <v>1273375.6964537622</v>
      </c>
      <c r="T41" s="493">
        <f>+'Cental Budget_int'!T41</f>
        <v>3.6206303567067451E-2</v>
      </c>
      <c r="U41" s="492">
        <f>+'Cental Budget_int'!U41</f>
        <v>1445769.4230000002</v>
      </c>
      <c r="V41" s="493">
        <f>+'Cental Budget_int'!V41</f>
        <v>4.1108030224623261E-2</v>
      </c>
      <c r="W41" s="492">
        <f>+'Cental Budget_int'!W41</f>
        <v>172393.72654623794</v>
      </c>
      <c r="X41" s="493">
        <f>+'Cental Budget_int'!X41</f>
        <v>4.9017266575558105E-3</v>
      </c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02"/>
      <c r="AJ41" s="102"/>
      <c r="AK41" s="102"/>
      <c r="AL41" s="102"/>
      <c r="AM41" s="103"/>
      <c r="AN41" s="32"/>
      <c r="AO41" s="32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DN41" s="5"/>
      <c r="DO41" s="5"/>
      <c r="DP41" s="5"/>
    </row>
    <row r="42" spans="1:123" ht="15" customHeight="1">
      <c r="A42" s="110"/>
      <c r="B42" s="110"/>
      <c r="C42" s="110"/>
      <c r="D42" s="130" t="str">
        <f>IF(MasterSheet!$A$1=1,MasterSheet!C94,MasterSheet!B94)</f>
        <v>Ekološke naknade</v>
      </c>
      <c r="E42" s="345">
        <f>+'Cental Budget_int'!E42</f>
        <v>1902110.17</v>
      </c>
      <c r="F42" s="137">
        <f>+'Cental Budget_int'!F42</f>
        <v>8.851552747917539E-2</v>
      </c>
      <c r="G42" s="345">
        <f>+'Cental Budget_int'!G42</f>
        <v>2195706.9700000002</v>
      </c>
      <c r="H42" s="138">
        <f>+'Cental Budget_int'!H42</f>
        <v>8.1914082074239891E-2</v>
      </c>
      <c r="I42" s="345">
        <f>+'Cental Budget_int'!I42</f>
        <v>9210786.3699999992</v>
      </c>
      <c r="J42" s="137">
        <f>+'Cental Budget_int'!J42</f>
        <v>0.2985087623152709</v>
      </c>
      <c r="K42" s="345">
        <f>+'Cental Budget_int'!K42</f>
        <v>9651406.9600000009</v>
      </c>
      <c r="L42" s="138">
        <f>+'Cental Budget_int'!L42</f>
        <v>0.32376407111707484</v>
      </c>
      <c r="M42" s="345">
        <f>+'Cental Budget_int'!M42</f>
        <v>7609457.3499999996</v>
      </c>
      <c r="N42" s="137">
        <f>+'Cental Budget_int'!N42</f>
        <v>0.24515004349226804</v>
      </c>
      <c r="O42" s="345">
        <f>+'Cental Budget_int'!O42</f>
        <v>7452842.79</v>
      </c>
      <c r="P42" s="138">
        <f>+'Cental Budget_int'!P42</f>
        <v>0.23045277643784787</v>
      </c>
      <c r="Q42" s="492">
        <f>+'Cental Budget_int'!Q42</f>
        <v>654296.18000000005</v>
      </c>
      <c r="R42" s="493">
        <f>+'Cental Budget_int'!R42</f>
        <v>2.0777903461416322E-2</v>
      </c>
      <c r="S42" s="492">
        <f>+'Cental Budget_int'!S42</f>
        <v>906158.07444858248</v>
      </c>
      <c r="T42" s="493">
        <f>+'Cental Budget_int'!T42</f>
        <v>2.5765085995126034E-2</v>
      </c>
      <c r="U42" s="492">
        <f>+'Cental Budget_int'!U42</f>
        <v>673925.06540000008</v>
      </c>
      <c r="V42" s="493">
        <f>+'Cental Budget_int'!V42</f>
        <v>1.9161929638896787E-2</v>
      </c>
      <c r="W42" s="492">
        <f>+'Cental Budget_int'!W42</f>
        <v>-232233.0090485824</v>
      </c>
      <c r="X42" s="493">
        <f>+'Cental Budget_int'!X42</f>
        <v>-6.6031563562292464E-3</v>
      </c>
      <c r="Y42" s="120"/>
      <c r="Z42" s="120"/>
      <c r="AA42" s="120"/>
      <c r="AB42" s="120"/>
      <c r="AC42" s="120"/>
      <c r="AD42" s="120"/>
      <c r="AE42" s="120"/>
      <c r="AF42" s="120"/>
      <c r="AG42" s="120"/>
      <c r="AH42" s="120"/>
      <c r="AI42" s="102"/>
      <c r="AJ42" s="102"/>
      <c r="AK42" s="102"/>
      <c r="AL42" s="102"/>
      <c r="AM42" s="103"/>
      <c r="AN42" s="32"/>
      <c r="AO42" s="32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DN42" s="5"/>
      <c r="DO42" s="5"/>
      <c r="DP42" s="5"/>
      <c r="DQ42" s="96"/>
      <c r="DR42" s="96"/>
    </row>
    <row r="43" spans="1:123" ht="15" customHeight="1">
      <c r="A43" s="110"/>
      <c r="B43" s="110"/>
      <c r="C43" s="110"/>
      <c r="D43" s="130" t="str">
        <f>IF(MasterSheet!$A$1=1,MasterSheet!C95,MasterSheet!B95)</f>
        <v>Naknade za priređivanje igara na sreću</v>
      </c>
      <c r="E43" s="345">
        <f>+'Cental Budget_int'!E43</f>
        <v>3406245.76</v>
      </c>
      <c r="F43" s="137">
        <f>+'Cental Budget_int'!F43</f>
        <v>0.15851113406859324</v>
      </c>
      <c r="G43" s="345">
        <f>+'Cental Budget_int'!G43</f>
        <v>4400291.1100000003</v>
      </c>
      <c r="H43" s="138">
        <f>+'Cental Budget_int'!H43</f>
        <v>0.16415934004849844</v>
      </c>
      <c r="I43" s="345">
        <f>+'Cental Budget_int'!I43</f>
        <v>5175563.96</v>
      </c>
      <c r="J43" s="137">
        <f>+'Cental Budget_int'!J43</f>
        <v>0.16773282214156079</v>
      </c>
      <c r="K43" s="345">
        <f>+'Cental Budget_int'!K43</f>
        <v>4679989.66</v>
      </c>
      <c r="L43" s="138">
        <f>+'Cental Budget_int'!L43</f>
        <v>0.15699395035223079</v>
      </c>
      <c r="M43" s="345">
        <f>+'Cental Budget_int'!M43</f>
        <v>6380752.96</v>
      </c>
      <c r="N43" s="137">
        <f>+'Cental Budget_int'!N43</f>
        <v>0.20556549484536082</v>
      </c>
      <c r="O43" s="345">
        <f>+'Cental Budget_int'!O43</f>
        <v>4180845.3600000003</v>
      </c>
      <c r="P43" s="138">
        <f>+'Cental Budget_int'!P43</f>
        <v>0.12927784044526905</v>
      </c>
      <c r="Q43" s="492">
        <f>+'Cental Budget_int'!Q43</f>
        <v>3319092.83</v>
      </c>
      <c r="R43" s="493">
        <f>+'Cental Budget_int'!R43</f>
        <v>0.10540148713877422</v>
      </c>
      <c r="S43" s="492">
        <f>+'Cental Budget_int'!S43</f>
        <v>2899337.5332013476</v>
      </c>
      <c r="T43" s="493">
        <f>+'Cental Budget_int'!T43</f>
        <v>8.2437803048090633E-2</v>
      </c>
      <c r="U43" s="492">
        <f>+'Cental Budget_int'!U43</f>
        <v>3385474.6866000001</v>
      </c>
      <c r="V43" s="493">
        <f>+'Cental Budget_int'!V43</f>
        <v>9.6260298168893949E-2</v>
      </c>
      <c r="W43" s="492">
        <f>+'Cental Budget_int'!W43</f>
        <v>486137.15339865256</v>
      </c>
      <c r="X43" s="493">
        <f>+'Cental Budget_int'!X43</f>
        <v>1.3822495120803316E-2</v>
      </c>
      <c r="Y43" s="120"/>
      <c r="Z43" s="120"/>
      <c r="AA43" s="120"/>
      <c r="AB43" s="120"/>
      <c r="AC43" s="120"/>
      <c r="AD43" s="120"/>
      <c r="AE43" s="120"/>
      <c r="AF43" s="120"/>
      <c r="AG43" s="120"/>
      <c r="AH43" s="120"/>
      <c r="AI43" s="102"/>
      <c r="AJ43" s="102"/>
      <c r="AK43" s="102"/>
      <c r="AL43" s="102"/>
      <c r="AM43" s="103"/>
      <c r="AN43" s="32"/>
      <c r="AO43" s="32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DN43" s="5"/>
      <c r="DO43" s="5"/>
      <c r="DP43" s="5"/>
      <c r="DQ43" s="96"/>
      <c r="DR43" s="96"/>
    </row>
    <row r="44" spans="1:123" ht="15" customHeight="1">
      <c r="A44" s="110"/>
      <c r="B44" s="110"/>
      <c r="C44" s="110"/>
      <c r="D44" s="130" t="str">
        <f>IF(MasterSheet!$A$1=1,MasterSheet!C96,MasterSheet!B96)</f>
        <v>Naknada za puteve</v>
      </c>
      <c r="E44" s="345">
        <f>+'Cental Budget_int'!E44</f>
        <v>5372953.1699999962</v>
      </c>
      <c r="F44" s="137">
        <f>+'Cental Budget_int'!F44</f>
        <v>0.25003272232304885</v>
      </c>
      <c r="G44" s="345">
        <f>+'Cental Budget_int'!G44</f>
        <v>6458859.3499999996</v>
      </c>
      <c r="H44" s="138">
        <f>+'Cental Budget_int'!H44</f>
        <v>0.24095725983958216</v>
      </c>
      <c r="I44" s="345">
        <f>+'Cental Budget_int'!I44</f>
        <v>7089990.1699999999</v>
      </c>
      <c r="J44" s="137">
        <f>+'Cental Budget_int'!J44</f>
        <v>0.2297767102022297</v>
      </c>
      <c r="K44" s="345">
        <f>+'Cental Budget_int'!K44</f>
        <v>4037944.42</v>
      </c>
      <c r="L44" s="138">
        <f>+'Cental Budget_int'!L44</f>
        <v>0.13545603555853739</v>
      </c>
      <c r="M44" s="345">
        <f>+'Cental Budget_int'!M44</f>
        <v>3597161.86</v>
      </c>
      <c r="N44" s="137">
        <f>+'Cental Budget_int'!N44</f>
        <v>0.11588794652061854</v>
      </c>
      <c r="O44" s="345">
        <f>+'Cental Budget_int'!O44</f>
        <v>4863937.55</v>
      </c>
      <c r="P44" s="138">
        <f>+'Cental Budget_int'!P44</f>
        <v>0.15040004792826223</v>
      </c>
      <c r="Q44" s="492">
        <f>+'Cental Budget_int'!Q44</f>
        <v>3327409.68</v>
      </c>
      <c r="R44" s="493">
        <f>+'Cental Budget_int'!R44</f>
        <v>0.10566559796760877</v>
      </c>
      <c r="S44" s="492">
        <f>+'Cental Budget_int'!S44</f>
        <v>4038872.8310599797</v>
      </c>
      <c r="T44" s="493">
        <f>+'Cental Budget_int'!T44</f>
        <v>0.11483857921694568</v>
      </c>
      <c r="U44" s="492">
        <f>+'Cental Budget_int'!U44</f>
        <v>3393957.8736</v>
      </c>
      <c r="V44" s="493">
        <f>+'Cental Budget_int'!V44</f>
        <v>9.650150337219221E-2</v>
      </c>
      <c r="W44" s="492">
        <f>+'Cental Budget_int'!W44</f>
        <v>-644914.95745997969</v>
      </c>
      <c r="X44" s="493">
        <f>+'Cental Budget_int'!X44</f>
        <v>-1.833707584475347E-2</v>
      </c>
      <c r="Y44" s="120"/>
      <c r="Z44" s="120"/>
      <c r="AA44" s="120"/>
      <c r="AB44" s="120"/>
      <c r="AC44" s="120"/>
      <c r="AD44" s="120"/>
      <c r="AE44" s="120"/>
      <c r="AF44" s="120"/>
      <c r="AG44" s="120"/>
      <c r="AH44" s="120"/>
      <c r="AI44" s="102"/>
      <c r="AJ44" s="102"/>
      <c r="AK44" s="102"/>
      <c r="AL44" s="102"/>
      <c r="AM44" s="103"/>
      <c r="AN44" s="37"/>
      <c r="AO44" s="37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DN44" s="5"/>
      <c r="DO44" s="5"/>
      <c r="DP44" s="5"/>
      <c r="DQ44" s="96"/>
      <c r="DR44" s="96"/>
    </row>
    <row r="45" spans="1:123" ht="15" customHeight="1">
      <c r="A45" s="110"/>
      <c r="B45" s="110"/>
      <c r="C45" s="110"/>
      <c r="D45" s="130" t="str">
        <f>IF(MasterSheet!$A$1=1,MasterSheet!C97,MasterSheet!B97)</f>
        <v>Ostale naknade</v>
      </c>
      <c r="E45" s="345">
        <f>+'Cental Budget_int'!E45</f>
        <v>2391427.38</v>
      </c>
      <c r="F45" s="137">
        <f>+'Cental Budget_int'!F45</f>
        <v>0.11128611754851318</v>
      </c>
      <c r="G45" s="345">
        <f>+'Cental Budget_int'!G45</f>
        <v>3124930.72</v>
      </c>
      <c r="H45" s="138">
        <f>+'Cental Budget_int'!H45</f>
        <v>0.11658014251072563</v>
      </c>
      <c r="I45" s="345">
        <f>+'Cental Budget_int'!I45</f>
        <v>9980837.5099999998</v>
      </c>
      <c r="J45" s="137">
        <f>+'Cental Budget_int'!J45</f>
        <v>0.32346504764065337</v>
      </c>
      <c r="K45" s="345">
        <f>+'Cental Budget_int'!K45</f>
        <v>3410972.38</v>
      </c>
      <c r="L45" s="138">
        <f>+'Cental Budget_int'!L45</f>
        <v>0.11442376316672256</v>
      </c>
      <c r="M45" s="345">
        <f>+'Cental Budget_int'!M45</f>
        <v>4581102.8499999996</v>
      </c>
      <c r="N45" s="137">
        <f>+'Cental Budget_int'!N45</f>
        <v>0.14758707635309276</v>
      </c>
      <c r="O45" s="345">
        <f>+'Cental Budget_int'!O45</f>
        <v>5190031.1599999992</v>
      </c>
      <c r="P45" s="138">
        <f>+'Cental Budget_int'!P45</f>
        <v>0.16048333828076683</v>
      </c>
      <c r="Q45" s="492">
        <f>+'Cental Budget_int'!Q45</f>
        <v>3465022.02</v>
      </c>
      <c r="R45" s="493">
        <f>+'Cental Budget_int'!R45</f>
        <v>0.11003563099396634</v>
      </c>
      <c r="S45" s="492">
        <f>+'Cental Budget_int'!S45</f>
        <v>3973331.6708735316</v>
      </c>
      <c r="T45" s="493">
        <f>+'Cental Budget_int'!T45</f>
        <v>0.11297502618349536</v>
      </c>
      <c r="U45" s="492">
        <f>+'Cental Budget_int'!U45</f>
        <v>3534322.4604000002</v>
      </c>
      <c r="V45" s="493">
        <f>+'Cental Budget_int'!V45</f>
        <v>0.1004925351265283</v>
      </c>
      <c r="W45" s="492">
        <f>+'Cental Budget_int'!W45</f>
        <v>-439009.21047353139</v>
      </c>
      <c r="X45" s="493">
        <f>+'Cental Budget_int'!X45</f>
        <v>-1.2482491056967068E-2</v>
      </c>
      <c r="Y45" s="120"/>
      <c r="Z45" s="120"/>
      <c r="AA45" s="120"/>
      <c r="AB45" s="120"/>
      <c r="AC45" s="120"/>
      <c r="AD45" s="120"/>
      <c r="AE45" s="120"/>
      <c r="AF45" s="120"/>
      <c r="AG45" s="120"/>
      <c r="AH45" s="120"/>
      <c r="AI45" s="102"/>
      <c r="AJ45" s="102"/>
      <c r="AK45" s="102"/>
      <c r="AL45" s="102"/>
      <c r="AM45" s="103"/>
      <c r="AN45" s="32"/>
      <c r="AO45" s="32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DN45" s="96"/>
      <c r="DO45" s="96"/>
      <c r="DP45" s="96"/>
      <c r="DQ45" s="96"/>
      <c r="DR45" s="96"/>
    </row>
    <row r="46" spans="1:123" ht="15" customHeight="1">
      <c r="A46" s="110"/>
      <c r="B46" s="110"/>
      <c r="C46" s="110"/>
      <c r="D46" s="129" t="str">
        <f>IF(MasterSheet!$A$1=1,MasterSheet!C98,MasterSheet!B98)</f>
        <v>Ostali prihodi</v>
      </c>
      <c r="E46" s="344">
        <f>+'Cental Budget_int'!E46</f>
        <v>60725640.779999994</v>
      </c>
      <c r="F46" s="136">
        <f>+'Cental Budget_int'!F46</f>
        <v>2.8258942147145047</v>
      </c>
      <c r="G46" s="344">
        <f>+'Cental Budget_int'!G46</f>
        <v>58512071.479999997</v>
      </c>
      <c r="H46" s="135">
        <f>+'Cental Budget_int'!H46</f>
        <v>2.1828789957097556</v>
      </c>
      <c r="I46" s="344">
        <f>+'Cental Budget_int'!I46</f>
        <v>45480397.879999995</v>
      </c>
      <c r="J46" s="136">
        <f>+'Cental Budget_int'!J46</f>
        <v>1.4739563741249675</v>
      </c>
      <c r="K46" s="344">
        <f>+'Cental Budget_int'!K46</f>
        <v>43622195.68</v>
      </c>
      <c r="L46" s="135">
        <f>+'Cental Budget_int'!L46</f>
        <v>1.4633410157665214</v>
      </c>
      <c r="M46" s="344">
        <f>+'Cental Budget_int'!M46</f>
        <v>31858288.899999999</v>
      </c>
      <c r="N46" s="136">
        <f>+'Cental Budget_int'!N46</f>
        <v>1.0263624001288658</v>
      </c>
      <c r="O46" s="344">
        <f>+'Cental Budget_int'!O46</f>
        <v>24777629.66</v>
      </c>
      <c r="P46" s="135">
        <f>+'Cental Budget_int'!P46</f>
        <v>0.76616047186147185</v>
      </c>
      <c r="Q46" s="490">
        <f>+'Cental Budget_int'!Q46</f>
        <v>35120651.189999998</v>
      </c>
      <c r="R46" s="491">
        <f>+'Cental Budget_int'!R46</f>
        <v>1.1152953696411558</v>
      </c>
      <c r="S46" s="490">
        <f>+'Cental Budget_int'!S46</f>
        <v>29418139.413963016</v>
      </c>
      <c r="T46" s="491">
        <f>+'Cental Budget_int'!T46</f>
        <v>0.83645548518518664</v>
      </c>
      <c r="U46" s="490">
        <f>+'Cental Budget_int'!U46</f>
        <v>30418634.758100003</v>
      </c>
      <c r="V46" s="491">
        <f>+'Cental Budget_int'!V46</f>
        <v>0.86490289332101233</v>
      </c>
      <c r="W46" s="490">
        <f>+'Cental Budget_int'!W46</f>
        <v>1000495.3441369869</v>
      </c>
      <c r="X46" s="491">
        <f>+'Cental Budget_int'!X46</f>
        <v>2.8447408135825691E-2</v>
      </c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02"/>
      <c r="AJ46" s="102"/>
      <c r="AK46" s="102"/>
      <c r="AL46" s="102"/>
      <c r="AM46" s="103"/>
      <c r="AN46" s="32"/>
      <c r="AO46" s="32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DN46" s="96"/>
      <c r="DO46" s="96"/>
      <c r="DP46" s="96"/>
      <c r="DQ46" s="96"/>
      <c r="DR46" s="96"/>
    </row>
    <row r="47" spans="1:123" ht="15" customHeight="1">
      <c r="A47" s="110"/>
      <c r="B47" s="110"/>
      <c r="C47" s="110"/>
      <c r="D47" s="130" t="str">
        <f>IF(MasterSheet!$A$1=1,MasterSheet!C99,MasterSheet!B99)</f>
        <v>Prihodi od kapitala</v>
      </c>
      <c r="E47" s="345">
        <f>+'Cental Budget_int'!E47</f>
        <v>8168377.7700000005</v>
      </c>
      <c r="F47" s="137">
        <f>+'Cental Budget_int'!F47</f>
        <v>0.38011902694401789</v>
      </c>
      <c r="G47" s="345">
        <f>+'Cental Budget_int'!G47</f>
        <v>18699178.469999999</v>
      </c>
      <c r="H47" s="138">
        <f>+'Cental Budget_int'!H47</f>
        <v>0.69760039059876877</v>
      </c>
      <c r="I47" s="345">
        <f>+'Cental Budget_int'!I47</f>
        <v>13798997.720000001</v>
      </c>
      <c r="J47" s="137">
        <f>+'Cental Budget_int'!J47</f>
        <v>0.44720630412237494</v>
      </c>
      <c r="K47" s="345">
        <f>+'Cental Budget_int'!K47</f>
        <v>14050397.890000001</v>
      </c>
      <c r="L47" s="138">
        <f>+'Cental Budget_int'!L47</f>
        <v>0.47133169708151629</v>
      </c>
      <c r="M47" s="345">
        <f>+'Cental Budget_int'!M47</f>
        <v>7714681.46</v>
      </c>
      <c r="N47" s="137">
        <f>+'Cental Budget_int'!N47</f>
        <v>0.24853999548969075</v>
      </c>
      <c r="O47" s="345">
        <f>+'Cental Budget_int'!O47</f>
        <v>5467464.75</v>
      </c>
      <c r="P47" s="138">
        <f>+'Cental Budget_int'!P47</f>
        <v>0.16906198979591838</v>
      </c>
      <c r="Q47" s="492">
        <f>+'Cental Budget_int'!Q47</f>
        <v>12780311.91</v>
      </c>
      <c r="R47" s="493">
        <f>+'Cental Budget_int'!R47</f>
        <v>0.40585302985074628</v>
      </c>
      <c r="S47" s="492">
        <f>+'Cental Budget_int'!S47</f>
        <v>8815295.2540114876</v>
      </c>
      <c r="T47" s="493">
        <f>+'Cental Budget_int'!T47</f>
        <v>0.25064814483967834</v>
      </c>
      <c r="U47" s="492">
        <f>+'Cental Budget_int'!U47</f>
        <v>7631488.6924999999</v>
      </c>
      <c r="V47" s="493">
        <f>+'Cental Budget_int'!V47</f>
        <v>0.2169885894938868</v>
      </c>
      <c r="W47" s="492">
        <f>+'Cental Budget_int'!W47</f>
        <v>-1183806.5615114877</v>
      </c>
      <c r="X47" s="493">
        <f>+'Cental Budget_int'!X47</f>
        <v>-3.3659555345791542E-2</v>
      </c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02"/>
      <c r="AJ47" s="102"/>
      <c r="AK47" s="102"/>
      <c r="AL47" s="102"/>
      <c r="AM47" s="103"/>
      <c r="AN47" s="32"/>
      <c r="AO47" s="32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DN47" s="39"/>
      <c r="DO47" s="39"/>
      <c r="DP47" s="39"/>
      <c r="DQ47" s="39"/>
      <c r="DR47" s="39"/>
      <c r="DS47" s="6"/>
    </row>
    <row r="48" spans="1:123" ht="15" customHeight="1">
      <c r="A48" s="110"/>
      <c r="B48" s="110"/>
      <c r="C48" s="110"/>
      <c r="D48" s="130" t="str">
        <f>IF(MasterSheet!$A$1=1,MasterSheet!C100,MasterSheet!B100)</f>
        <v>Novčane kazne i oduzete imovinske koristi</v>
      </c>
      <c r="E48" s="345">
        <f>+'Cental Budget_int'!E48</f>
        <v>7615600.2199999951</v>
      </c>
      <c r="F48" s="137">
        <f>+'Cental Budget_int'!F48</f>
        <v>0.35439528223742356</v>
      </c>
      <c r="G48" s="345">
        <f>+'Cental Budget_int'!G48</f>
        <v>10141066.57</v>
      </c>
      <c r="H48" s="138">
        <f>+'Cental Budget_int'!H48</f>
        <v>0.37832742286886772</v>
      </c>
      <c r="I48" s="345">
        <f>+'Cental Budget_int'!I48</f>
        <v>9427789.2100000009</v>
      </c>
      <c r="J48" s="137">
        <f>+'Cental Budget_int'!J48</f>
        <v>0.30554152223230496</v>
      </c>
      <c r="K48" s="345">
        <f>+'Cental Budget_int'!K48</f>
        <v>8057798.4800000004</v>
      </c>
      <c r="L48" s="138">
        <f>+'Cental Budget_int'!L48</f>
        <v>0.27030521569942972</v>
      </c>
      <c r="M48" s="345">
        <f>+'Cental Budget_int'!M48</f>
        <v>7698309.5599999996</v>
      </c>
      <c r="N48" s="137">
        <f>+'Cental Budget_int'!N48</f>
        <v>0.24801255025773192</v>
      </c>
      <c r="O48" s="345">
        <f>+'Cental Budget_int'!O48</f>
        <v>7094815.5099999998</v>
      </c>
      <c r="P48" s="138">
        <f>+'Cental Budget_int'!P48</f>
        <v>0.21938205040197897</v>
      </c>
      <c r="Q48" s="492">
        <f>+'Cental Budget_int'!Q48</f>
        <v>8748262.1099999994</v>
      </c>
      <c r="R48" s="493">
        <f>+'Cental Budget_int'!R48</f>
        <v>0.27781080057161001</v>
      </c>
      <c r="S48" s="492">
        <f>+'Cental Budget_int'!S48</f>
        <v>8511345.516661834</v>
      </c>
      <c r="T48" s="493">
        <f>+'Cental Budget_int'!T48</f>
        <v>0.24200584352180363</v>
      </c>
      <c r="U48" s="492">
        <f>+'Cental Budget_int'!U48</f>
        <v>8923227.3521999996</v>
      </c>
      <c r="V48" s="493">
        <f>+'Cental Budget_int'!V48</f>
        <v>0.25371701314188227</v>
      </c>
      <c r="W48" s="492">
        <f>+'Cental Budget_int'!W48</f>
        <v>411881.83553816564</v>
      </c>
      <c r="X48" s="493">
        <f>+'Cental Budget_int'!X48</f>
        <v>1.1711169620078649E-2</v>
      </c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02"/>
      <c r="AJ48" s="102"/>
      <c r="AK48" s="102"/>
      <c r="AL48" s="102"/>
      <c r="AM48" s="103"/>
      <c r="AN48" s="32"/>
      <c r="AO48" s="32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DN48" s="39"/>
      <c r="DO48" s="39"/>
      <c r="DP48" s="7"/>
      <c r="DQ48" s="7"/>
      <c r="DR48" s="26"/>
      <c r="DS48" s="6"/>
    </row>
    <row r="49" spans="1:123" ht="15" customHeight="1">
      <c r="A49" s="110"/>
      <c r="B49" s="110"/>
      <c r="C49" s="110"/>
      <c r="D49" s="130" t="str">
        <f>IF(MasterSheet!$A$1=1,MasterSheet!C101,MasterSheet!B101)</f>
        <v>Prihodi koje organi ostvaruju vršenjem svoje djelatnosti</v>
      </c>
      <c r="E49" s="345">
        <f>+'Cental Budget_int'!E49</f>
        <v>28553597.170000002</v>
      </c>
      <c r="F49" s="137">
        <f>+'Cental Budget_int'!F49</f>
        <v>1.3287541146633162</v>
      </c>
      <c r="G49" s="345">
        <f>+'Cental Budget_int'!G49</f>
        <v>18195249.18</v>
      </c>
      <c r="H49" s="138">
        <f>+'Cental Budget_int'!H49</f>
        <v>0.67880056631225516</v>
      </c>
      <c r="I49" s="345">
        <f>+'Cental Budget_int'!I49</f>
        <v>5377701.7699999996</v>
      </c>
      <c r="J49" s="137">
        <f>+'Cental Budget_int'!J49</f>
        <v>0.17428382713248636</v>
      </c>
      <c r="K49" s="345">
        <f>+'Cental Budget_int'!K49</f>
        <v>2358239.02</v>
      </c>
      <c r="L49" s="138">
        <f>+'Cental Budget_int'!L49</f>
        <v>7.9108990942636709E-2</v>
      </c>
      <c r="M49" s="345">
        <f>+'Cental Budget_int'!M49</f>
        <v>2576571.9700000002</v>
      </c>
      <c r="N49" s="137">
        <f>+'Cental Budget_int'!N49</f>
        <v>8.3008117590206182E-2</v>
      </c>
      <c r="O49" s="345">
        <f>+'Cental Budget_int'!O49</f>
        <v>2308669.88</v>
      </c>
      <c r="P49" s="138">
        <f>+'Cental Budget_int'!P49</f>
        <v>7.138744217687075E-2</v>
      </c>
      <c r="Q49" s="492">
        <f>+'Cental Budget_int'!Q49</f>
        <v>2007154.91</v>
      </c>
      <c r="R49" s="493">
        <f>+'Cental Budget_int'!R49</f>
        <v>6.373943823436011E-2</v>
      </c>
      <c r="S49" s="492">
        <f>+'Cental Budget_int'!S49</f>
        <v>2107170.7859136686</v>
      </c>
      <c r="T49" s="493">
        <f>+'Cental Budget_int'!T49</f>
        <v>5.9913869374855516E-2</v>
      </c>
      <c r="U49" s="492">
        <f>+'Cental Budget_int'!U49</f>
        <v>2047298.0082</v>
      </c>
      <c r="V49" s="493">
        <f>+'Cental Budget_int'!V49</f>
        <v>5.8211487295990898E-2</v>
      </c>
      <c r="W49" s="492">
        <f>+'Cental Budget_int'!W49</f>
        <v>-59872.777713668533</v>
      </c>
      <c r="X49" s="493">
        <f>+'Cental Budget_int'!X49</f>
        <v>-1.7023820788646185E-3</v>
      </c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02"/>
      <c r="AJ49" s="102"/>
      <c r="AK49" s="102"/>
      <c r="AL49" s="102"/>
      <c r="AM49" s="103"/>
      <c r="AN49" s="37"/>
      <c r="AO49" s="37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DN49" s="8"/>
      <c r="DO49" s="8"/>
      <c r="DP49" s="9"/>
      <c r="DQ49" s="9"/>
      <c r="DR49" s="9"/>
      <c r="DS49" s="6"/>
    </row>
    <row r="50" spans="1:123" ht="15" customHeight="1">
      <c r="A50" s="110"/>
      <c r="B50" s="110"/>
      <c r="C50" s="110"/>
      <c r="D50" s="130" t="str">
        <f>IF(MasterSheet!$A$1=1,MasterSheet!C102,MasterSheet!B102)</f>
        <v>Ostali prihodi</v>
      </c>
      <c r="E50" s="345">
        <f>+'Cental Budget_int'!E50</f>
        <v>16388065.619999999</v>
      </c>
      <c r="F50" s="137">
        <f>+'Cental Budget_int'!F50</f>
        <v>0.76262579086974736</v>
      </c>
      <c r="G50" s="345">
        <f>+'Cental Budget_int'!G50</f>
        <v>11476577.26</v>
      </c>
      <c r="H50" s="138">
        <f>+'Cental Budget_int'!H50</f>
        <v>0.42815061592986386</v>
      </c>
      <c r="I50" s="345">
        <f>+'Cental Budget_int'!I50</f>
        <v>16875909.18</v>
      </c>
      <c r="J50" s="137">
        <f>+'Cental Budget_int'!J50</f>
        <v>0.5469247206378014</v>
      </c>
      <c r="K50" s="345">
        <f>+'Cental Budget_int'!K50</f>
        <v>19155760.289999999</v>
      </c>
      <c r="L50" s="138">
        <f>+'Cental Budget_int'!L50</f>
        <v>0.64259511204293862</v>
      </c>
      <c r="M50" s="345">
        <f>+'Cental Budget_int'!M50</f>
        <v>13868725.91</v>
      </c>
      <c r="N50" s="137">
        <f>+'Cental Budget_int'!N50</f>
        <v>0.44680173679123708</v>
      </c>
      <c r="O50" s="345">
        <f>+'Cental Budget_int'!O50</f>
        <v>9906679.5199999996</v>
      </c>
      <c r="P50" s="138">
        <f>+'Cental Budget_int'!P50</f>
        <v>0.30632898948670373</v>
      </c>
      <c r="Q50" s="492">
        <f>+'Cental Budget_int'!Q50</f>
        <v>11584922.26</v>
      </c>
      <c r="R50" s="493">
        <f>+'Cental Budget_int'!R50</f>
        <v>0.36789210098443953</v>
      </c>
      <c r="S50" s="492">
        <f>+'Cental Budget_int'!S50</f>
        <v>9984327.8573760279</v>
      </c>
      <c r="T50" s="493">
        <f>+'Cental Budget_int'!T50</f>
        <v>0.28388762744884927</v>
      </c>
      <c r="U50" s="492">
        <f>+'Cental Budget_int'!U50</f>
        <v>11816620.7052</v>
      </c>
      <c r="V50" s="493">
        <f>+'Cental Budget_int'!V50</f>
        <v>0.33598580338925221</v>
      </c>
      <c r="W50" s="492">
        <f>+'Cental Budget_int'!W50</f>
        <v>1832292.8478239719</v>
      </c>
      <c r="X50" s="493">
        <f>+'Cental Budget_int'!X50</f>
        <v>5.2098175940402947E-2</v>
      </c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02"/>
      <c r="AJ50" s="102"/>
      <c r="AK50" s="102"/>
      <c r="AL50" s="102"/>
      <c r="AM50" s="103"/>
      <c r="AN50" s="104"/>
      <c r="AO50" s="33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DM50" s="102"/>
      <c r="DN50" s="102"/>
      <c r="DO50" s="10"/>
      <c r="DP50" s="9"/>
      <c r="DQ50" s="9"/>
      <c r="DR50" s="9"/>
      <c r="DS50" s="6"/>
    </row>
    <row r="51" spans="1:123" ht="26.25" thickBot="1">
      <c r="A51" s="110"/>
      <c r="B51" s="111"/>
      <c r="C51" s="110"/>
      <c r="D51" s="131" t="str">
        <f>IF(MasterSheet!$A$1=1,MasterSheet!C103,MasterSheet!B103)</f>
        <v>Primici od otplate kredita i sredstva prenijeta iz prethodne godine</v>
      </c>
      <c r="E51" s="344">
        <f>+'Cental Budget_int'!E51</f>
        <v>12337841.16</v>
      </c>
      <c r="F51" s="136">
        <f>+'Cental Budget_int'!F51</f>
        <v>0.57414682674856898</v>
      </c>
      <c r="G51" s="344">
        <f>+'Cental Budget_int'!G51</f>
        <v>10241165.600000001</v>
      </c>
      <c r="H51" s="135">
        <f>+'Cental Budget_int'!H51</f>
        <v>0.38206176459615748</v>
      </c>
      <c r="I51" s="344">
        <f>+'Cental Budget_int'!I51</f>
        <v>8998827.7799999993</v>
      </c>
      <c r="J51" s="136">
        <f>+'Cental Budget_int'!J51</f>
        <v>0.29163947951775987</v>
      </c>
      <c r="K51" s="344">
        <f>+'Cental Budget_int'!K51</f>
        <v>54812548.920000002</v>
      </c>
      <c r="L51" s="135">
        <f>+'Cental Budget_int'!L51</f>
        <v>1.83873025561892</v>
      </c>
      <c r="M51" s="344">
        <f>+'Cental Budget_int'!M51</f>
        <v>4969313.91</v>
      </c>
      <c r="N51" s="136">
        <f>+'Cental Budget_int'!N51</f>
        <v>0.16009387596649485</v>
      </c>
      <c r="O51" s="344">
        <f>+'Cental Budget_int'!O51</f>
        <v>5006443.9800000004</v>
      </c>
      <c r="P51" s="135">
        <f>+'Cental Budget_int'!P51</f>
        <v>0.15480655473098331</v>
      </c>
      <c r="Q51" s="490">
        <f>+'Cental Budget_int'!Q51</f>
        <v>5498802.5</v>
      </c>
      <c r="R51" s="491">
        <f>+'Cental Budget_int'!R51</f>
        <v>0.17462059383931408</v>
      </c>
      <c r="S51" s="492">
        <f>+'Cental Budget_int'!S51</f>
        <v>4809060.008142584</v>
      </c>
      <c r="T51" s="491">
        <f>+'Cental Budget_int'!T51</f>
        <v>0.13673756065233392</v>
      </c>
      <c r="U51" s="492">
        <f>+'Cental Budget_int'!U51</f>
        <v>5691260.5874999994</v>
      </c>
      <c r="V51" s="491">
        <f>+'Cental Budget_int'!V51</f>
        <v>0.16182145543076484</v>
      </c>
      <c r="W51" s="492">
        <f>+'Cental Budget_int'!W51</f>
        <v>882200.57935741544</v>
      </c>
      <c r="X51" s="491">
        <f>+'Cental Budget_int'!X51</f>
        <v>2.5083894778430926E-2</v>
      </c>
      <c r="Y51" s="120"/>
      <c r="Z51" s="120"/>
      <c r="AA51" s="120"/>
      <c r="AB51" s="120"/>
      <c r="AC51" s="120"/>
      <c r="AD51" s="120"/>
      <c r="AE51" s="120"/>
      <c r="AF51" s="120"/>
      <c r="AG51" s="120"/>
      <c r="AH51" s="120"/>
      <c r="AI51" s="102"/>
      <c r="AJ51" s="102"/>
      <c r="AK51" s="102"/>
      <c r="AL51" s="102"/>
      <c r="AM51" s="103"/>
      <c r="AN51" s="104"/>
      <c r="AO51" s="33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DM51" s="102"/>
      <c r="DN51" s="102"/>
      <c r="DO51" s="10"/>
      <c r="DP51" s="9"/>
      <c r="DQ51" s="9"/>
      <c r="DR51" s="9"/>
      <c r="DS51" s="6"/>
    </row>
    <row r="52" spans="1:123" ht="15" customHeight="1" thickTop="1" thickBot="1">
      <c r="A52" s="110"/>
      <c r="B52" s="110"/>
      <c r="C52" s="110"/>
      <c r="D52" s="165" t="str">
        <f>IF(MasterSheet!$A$1=1,MasterSheet!C104,MasterSheet!B104)</f>
        <v>Izdaci</v>
      </c>
      <c r="E52" s="343">
        <f>E54+E69+E75+E81+E82+E83</f>
        <v>787008734.27999985</v>
      </c>
      <c r="F52" s="166">
        <f t="shared" ref="F52:F53" si="0">E52/$E$15*100</f>
        <v>36.623795164037411</v>
      </c>
      <c r="G52" s="343">
        <f>G54+G69+G75+G81+G82+G83</f>
        <v>951337553.28000009</v>
      </c>
      <c r="H52" s="167">
        <f t="shared" ref="H52:H53" si="1">G52/$G$15*100</f>
        <v>35.491048434247347</v>
      </c>
      <c r="I52" s="343">
        <f>I54+I69+I75+I81+I82+I83</f>
        <v>1272030297.74</v>
      </c>
      <c r="J52" s="166">
        <f t="shared" ref="J52:J53" si="2">I52/$I$15*100</f>
        <v>41.224730935312422</v>
      </c>
      <c r="K52" s="343">
        <f>K54+K69+K75+K81+K82+K83</f>
        <v>1270470153.3545001</v>
      </c>
      <c r="L52" s="167">
        <f t="shared" ref="L52:L53" si="3">K52/$K$15*100</f>
        <v>42.61892496995975</v>
      </c>
      <c r="M52" s="343">
        <f>M54+M69+M75+M81+M82+M83</f>
        <v>1222800016.5500002</v>
      </c>
      <c r="N52" s="166">
        <f>M52/$M$15*100</f>
        <v>39.394330430090214</v>
      </c>
      <c r="O52" s="343">
        <f>O54+O69+O75+O81+O82+O83</f>
        <v>1255707529.3200002</v>
      </c>
      <c r="P52" s="167">
        <f t="shared" ref="P52:P53" si="4">O52/$O$15*100</f>
        <v>38.828309502782936</v>
      </c>
      <c r="Q52" s="488">
        <f>Q54+Q69+Q75+Q81+Q82+Q83</f>
        <v>1258740482.3000002</v>
      </c>
      <c r="R52" s="489">
        <f t="shared" ref="R52:R53" si="5">Q52/$Q$15*100</f>
        <v>39.972705058748815</v>
      </c>
      <c r="S52" s="488">
        <f>S54+S69+S75+S81+S82+S83</f>
        <v>1257116536.9899998</v>
      </c>
      <c r="T52" s="489">
        <f t="shared" ref="T52:T53" si="6">S52/$S$15*100</f>
        <v>35.744001620415119</v>
      </c>
      <c r="U52" s="488">
        <f>U54+U69+U75+U81+U82+U83</f>
        <v>1263616536.9899998</v>
      </c>
      <c r="V52" s="489">
        <f t="shared" ref="V52:V53" si="7">U52/$U$15*100</f>
        <v>35.928818225476249</v>
      </c>
      <c r="W52" s="488">
        <f>W54+W69+W75+W81+W82+W83</f>
        <v>6500000</v>
      </c>
      <c r="X52" s="489" t="e">
        <f t="shared" ref="X52:X53" si="8">+W52/$W$15*100</f>
        <v>#DIV/0!</v>
      </c>
      <c r="Y52" s="110"/>
      <c r="Z52" s="110"/>
      <c r="AA52" s="110"/>
      <c r="AB52" s="110"/>
      <c r="AC52" s="110"/>
      <c r="AD52" s="110"/>
      <c r="AE52" s="110"/>
      <c r="AF52" s="110"/>
      <c r="AG52" s="110"/>
      <c r="AH52" s="110"/>
      <c r="AM52" s="96"/>
      <c r="AN52" s="37"/>
      <c r="AO52" s="37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DN52" s="8"/>
      <c r="DO52" s="8"/>
      <c r="DP52" s="9"/>
      <c r="DQ52" s="9"/>
      <c r="DR52" s="9"/>
      <c r="DS52" s="6"/>
    </row>
    <row r="53" spans="1:123" ht="13.5" customHeight="1" thickTop="1" thickBot="1">
      <c r="A53" s="110"/>
      <c r="B53" s="110"/>
      <c r="C53" s="110"/>
      <c r="D53" s="165" t="str">
        <f>IF(MasterSheet!$A$1=1,MasterSheet!C105,MasterSheet!B105)</f>
        <v>Tekuća budžetska potrošnja</v>
      </c>
      <c r="E53" s="343">
        <f>E52-E68-E81</f>
        <v>746866899.13999987</v>
      </c>
      <c r="F53" s="166">
        <f t="shared" si="0"/>
        <v>34.75577733445018</v>
      </c>
      <c r="G53" s="343">
        <f>G52-G68-G81</f>
        <v>868878314.29000008</v>
      </c>
      <c r="H53" s="167">
        <f t="shared" si="1"/>
        <v>32.414785088229806</v>
      </c>
      <c r="I53" s="343">
        <f>I52-I68-I81</f>
        <v>1123493415.3699999</v>
      </c>
      <c r="J53" s="166">
        <f t="shared" si="2"/>
        <v>36.410857381708581</v>
      </c>
      <c r="K53" s="343">
        <f>K52-K68-K81</f>
        <v>1131594002.7944999</v>
      </c>
      <c r="L53" s="167">
        <f t="shared" si="3"/>
        <v>37.960214786799732</v>
      </c>
      <c r="M53" s="343">
        <f>M52-M68-M81</f>
        <v>1140177767.7900002</v>
      </c>
      <c r="N53" s="166">
        <f t="shared" ref="N53" si="9">M53/$M$15*100</f>
        <v>36.732531178801551</v>
      </c>
      <c r="O53" s="343">
        <f>O52-O68-O81</f>
        <v>1171581349.0599999</v>
      </c>
      <c r="P53" s="167">
        <f t="shared" si="4"/>
        <v>36.227005227581941</v>
      </c>
      <c r="Q53" s="488">
        <f>Q52-Q81</f>
        <v>1200002509.0200002</v>
      </c>
      <c r="R53" s="489">
        <f t="shared" si="5"/>
        <v>38.107415338837733</v>
      </c>
      <c r="S53" s="488">
        <f>S52-S81</f>
        <v>1191477536.9899998</v>
      </c>
      <c r="T53" s="489">
        <f t="shared" si="6"/>
        <v>33.877666675860105</v>
      </c>
      <c r="U53" s="488">
        <f>U52-U81</f>
        <v>1197977536.9899998</v>
      </c>
      <c r="V53" s="489">
        <f t="shared" si="7"/>
        <v>34.062483280921235</v>
      </c>
      <c r="W53" s="488">
        <f>W52-W68-W81</f>
        <v>700000</v>
      </c>
      <c r="X53" s="489" t="e">
        <f t="shared" si="8"/>
        <v>#DIV/0!</v>
      </c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02"/>
      <c r="AJ53" s="102"/>
      <c r="AK53" s="102"/>
      <c r="AL53" s="102"/>
      <c r="AM53" s="103"/>
      <c r="AN53" s="35"/>
      <c r="AO53" s="35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DN53" s="11"/>
      <c r="DO53" s="11"/>
      <c r="DP53" s="9"/>
      <c r="DQ53" s="9"/>
      <c r="DR53" s="9"/>
      <c r="DS53" s="6"/>
    </row>
    <row r="54" spans="1:123" ht="15" customHeight="1" thickTop="1">
      <c r="A54" s="110"/>
      <c r="B54" s="110"/>
      <c r="C54" s="110"/>
      <c r="D54" s="129" t="str">
        <f>IF(MasterSheet!$A$1=1,MasterSheet!C106,MasterSheet!B106)</f>
        <v>Tekući izdaci</v>
      </c>
      <c r="E54" s="344">
        <f>+'Cental Budget_int'!E54</f>
        <v>436259421.93999994</v>
      </c>
      <c r="F54" s="136">
        <f>+'Cental Budget_int'!F54</f>
        <v>20.301522729768717</v>
      </c>
      <c r="G54" s="344">
        <f>+'Cental Budget_int'!G54</f>
        <v>494161800.55000007</v>
      </c>
      <c r="H54" s="135">
        <f>+'Cental Budget_int'!H54</f>
        <v>18.435433708263385</v>
      </c>
      <c r="I54" s="344">
        <f>+'Cental Budget_int'!I54</f>
        <v>563429464.72000003</v>
      </c>
      <c r="J54" s="136">
        <f>+'Cental Budget_int'!J54</f>
        <v>18.259964503500132</v>
      </c>
      <c r="K54" s="344">
        <f>+'Cental Budget_int'!K54</f>
        <v>512411835.38449979</v>
      </c>
      <c r="L54" s="135">
        <f>+'Cental Budget_int'!L54</f>
        <v>17.189259825041926</v>
      </c>
      <c r="M54" s="344">
        <f>+'Cental Budget_int'!M54</f>
        <v>545097642.15999997</v>
      </c>
      <c r="N54" s="136">
        <f>+'Cental Budget_int'!N54</f>
        <v>17.561135378865977</v>
      </c>
      <c r="O54" s="344">
        <f>+'Cental Budget_int'!O54</f>
        <v>632034765.5200001</v>
      </c>
      <c r="P54" s="135">
        <f>+'Cental Budget_int'!P54</f>
        <v>19.54343740012369</v>
      </c>
      <c r="Q54" s="490">
        <f>+'Cental Budget_int'!Q54</f>
        <v>667002984.10000014</v>
      </c>
      <c r="R54" s="491">
        <f>+'Cental Budget_int'!R54</f>
        <v>21.181422168942525</v>
      </c>
      <c r="S54" s="490">
        <f>+'Cental Budget_int'!S54</f>
        <v>592648042.07999992</v>
      </c>
      <c r="T54" s="491">
        <f>+'Cental Budget_int'!T54</f>
        <v>16.850953712823426</v>
      </c>
      <c r="U54" s="490">
        <f>+'Cental Budget_int'!U54</f>
        <v>601448042.07999992</v>
      </c>
      <c r="V54" s="491">
        <f>+'Cental Budget_int'!V54</f>
        <v>17.101166962752341</v>
      </c>
      <c r="W54" s="490">
        <f>+'Cental Budget_int'!W54</f>
        <v>8800000</v>
      </c>
      <c r="X54" s="491">
        <f>+'Cental Budget_int'!X54</f>
        <v>0.25021324992891536</v>
      </c>
      <c r="Y54" s="120"/>
      <c r="Z54" s="120"/>
      <c r="AA54" s="120"/>
      <c r="AB54" s="120"/>
      <c r="AC54" s="120"/>
      <c r="AD54" s="120"/>
      <c r="AE54" s="120"/>
      <c r="AF54" s="120"/>
      <c r="AG54" s="120"/>
      <c r="AH54" s="120"/>
      <c r="AI54" s="102"/>
      <c r="AJ54" s="102"/>
      <c r="AK54" s="102"/>
      <c r="AL54" s="102"/>
      <c r="AM54" s="103"/>
      <c r="AN54" s="34"/>
      <c r="AO54" s="34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</row>
    <row r="55" spans="1:123" ht="15" customHeight="1">
      <c r="A55" s="110"/>
      <c r="B55" s="110"/>
      <c r="C55" s="110"/>
      <c r="D55" s="129" t="str">
        <f>IF(MasterSheet!$A$1=1,MasterSheet!C107,MasterSheet!B107)</f>
        <v>Bruto zarade i doprinosi na teret poslodavca</v>
      </c>
      <c r="E55" s="344">
        <f>+'Cental Budget_int'!E55</f>
        <v>211619268.66999999</v>
      </c>
      <c r="F55" s="136">
        <f>+'Cental Budget_int'!F55</f>
        <v>9.8477950891153601</v>
      </c>
      <c r="G55" s="344">
        <f>+'Cental Budget_int'!G55</f>
        <v>256098289.82000002</v>
      </c>
      <c r="H55" s="135">
        <f>+'Cental Budget_int'!H55</f>
        <v>9.5541238507741095</v>
      </c>
      <c r="I55" s="344">
        <f>+'Cental Budget_int'!I55</f>
        <v>274699863.13999999</v>
      </c>
      <c r="J55" s="136">
        <f>+'Cental Budget_int'!J55</f>
        <v>8.9026401069484056</v>
      </c>
      <c r="K55" s="344">
        <f>+'Cental Budget_int'!K55</f>
        <v>259160937.78449979</v>
      </c>
      <c r="L55" s="135">
        <f>+'Cental Budget_int'!L55</f>
        <v>8.6937583959912725</v>
      </c>
      <c r="M55" s="344">
        <f>+'Cental Budget_int'!M55</f>
        <v>283662646.70999998</v>
      </c>
      <c r="N55" s="136">
        <f>+'Cental Budget_int'!N55</f>
        <v>9.138616195554123</v>
      </c>
      <c r="O55" s="344">
        <f>+'Cental Budget_int'!O55</f>
        <v>371258246.90999997</v>
      </c>
      <c r="P55" s="135">
        <f>+'Cental Budget_int'!P55</f>
        <v>11.479846843228199</v>
      </c>
      <c r="Q55" s="490">
        <f>+'Cental Budget_int'!Q55</f>
        <v>374653307.63</v>
      </c>
      <c r="R55" s="491">
        <f>+'Cental Budget_int'!R55</f>
        <v>11.897532792315021</v>
      </c>
      <c r="S55" s="490">
        <f>+'Cental Budget_int'!S55</f>
        <v>372128611.75</v>
      </c>
      <c r="T55" s="491">
        <f>+'Cental Budget_int'!T55</f>
        <v>10.580853333807221</v>
      </c>
      <c r="U55" s="490">
        <f>+'Cental Budget_int'!U55</f>
        <v>372128611.75</v>
      </c>
      <c r="V55" s="491">
        <f>+'Cental Budget_int'!V55</f>
        <v>10.580853333807221</v>
      </c>
      <c r="W55" s="490">
        <f>+'Cental Budget_int'!W55</f>
        <v>0</v>
      </c>
      <c r="X55" s="491">
        <f>+'Cental Budget_int'!X55</f>
        <v>0</v>
      </c>
      <c r="Y55" s="120"/>
      <c r="Z55" s="498"/>
      <c r="AA55" s="498"/>
      <c r="AB55" s="498"/>
      <c r="AC55" s="120"/>
      <c r="AD55" s="120"/>
      <c r="AE55" s="120"/>
      <c r="AF55" s="120"/>
      <c r="AG55" s="120"/>
      <c r="AH55" s="120"/>
      <c r="AI55" s="102"/>
      <c r="AJ55" s="102"/>
      <c r="AK55" s="102"/>
      <c r="AL55" s="102"/>
      <c r="AM55" s="103"/>
      <c r="AN55" s="34"/>
      <c r="AO55" s="34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DQ55" s="12"/>
    </row>
    <row r="56" spans="1:123" ht="15" customHeight="1">
      <c r="A56" s="110"/>
      <c r="B56" s="110"/>
      <c r="C56" s="110"/>
      <c r="D56" s="130" t="str">
        <f>IF(MasterSheet!$A$1=1,MasterSheet!C108,MasterSheet!B108)</f>
        <v>Neto zarade</v>
      </c>
      <c r="E56" s="345">
        <f>+'Cental Budget_int'!E56</f>
        <v>122073803.08999999</v>
      </c>
      <c r="F56" s="137">
        <f>+'Cental Budget_int'!F56</f>
        <v>5.6807577407045455</v>
      </c>
      <c r="G56" s="345">
        <f>+'Cental Budget_int'!G56</f>
        <v>147753470.87000003</v>
      </c>
      <c r="H56" s="138">
        <f>+'Cental Budget_int'!H56</f>
        <v>5.5121608233538533</v>
      </c>
      <c r="I56" s="345">
        <f>+'Cental Budget_int'!I56</f>
        <v>158140128.56</v>
      </c>
      <c r="J56" s="137">
        <f>+'Cental Budget_int'!J56</f>
        <v>5.1251013922737876</v>
      </c>
      <c r="K56" s="345">
        <f>+'Cental Budget_int'!K56</f>
        <v>149173408.38193399</v>
      </c>
      <c r="L56" s="138">
        <f>+'Cental Budget_int'!L56</f>
        <v>5.004139831665011</v>
      </c>
      <c r="M56" s="345">
        <f>+'Cental Budget_int'!M56</f>
        <v>165721016.36000001</v>
      </c>
      <c r="N56" s="137">
        <f>+'Cental Budget_int'!N56</f>
        <v>5.3389502693298976</v>
      </c>
      <c r="O56" s="345">
        <f>+'Cental Budget_int'!O56</f>
        <v>220303195.69999999</v>
      </c>
      <c r="P56" s="138">
        <f>+'Cental Budget_int'!P56</f>
        <v>6.8120963419913414</v>
      </c>
      <c r="Q56" s="492">
        <f>+'Cental Budget_int'!Q56</f>
        <v>223106865.93000001</v>
      </c>
      <c r="R56" s="493">
        <f>+'Cental Budget_int'!R56</f>
        <v>7.0850068570974907</v>
      </c>
      <c r="S56" s="492">
        <f>+'Cental Budget_int'!S56</f>
        <v>221498560.84</v>
      </c>
      <c r="T56" s="493">
        <f>+'Cental Budget_int'!T56</f>
        <v>6.2979403139038954</v>
      </c>
      <c r="U56" s="492">
        <f>+'Cental Budget_int'!U56</f>
        <v>221498560.84</v>
      </c>
      <c r="V56" s="493">
        <f>+'Cental Budget_int'!V56</f>
        <v>6.2979403139038954</v>
      </c>
      <c r="W56" s="492">
        <f>+'Cental Budget_int'!W56</f>
        <v>0</v>
      </c>
      <c r="X56" s="493">
        <f>+'Cental Budget_int'!X56</f>
        <v>0</v>
      </c>
      <c r="Y56" s="120"/>
      <c r="Z56" s="120"/>
      <c r="AA56" s="120"/>
      <c r="AB56" s="120"/>
      <c r="AC56" s="120"/>
      <c r="AD56" s="120"/>
      <c r="AE56" s="120"/>
      <c r="AF56" s="120"/>
      <c r="AG56" s="120"/>
      <c r="AH56" s="120"/>
      <c r="AI56" s="102"/>
      <c r="AJ56" s="102"/>
      <c r="AK56" s="102"/>
      <c r="AL56" s="102"/>
      <c r="AM56" s="103"/>
      <c r="AN56" s="34"/>
      <c r="AO56" s="34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</row>
    <row r="57" spans="1:123" ht="15" customHeight="1">
      <c r="A57" s="110"/>
      <c r="B57" s="110"/>
      <c r="C57" s="110"/>
      <c r="D57" s="130" t="str">
        <f>IF(MasterSheet!$A$1=1,MasterSheet!C109,MasterSheet!B109)</f>
        <v>Porez na zarade</v>
      </c>
      <c r="E57" s="345">
        <f>+'Cental Budget_int'!E57</f>
        <v>24568593.439999998</v>
      </c>
      <c r="F57" s="137">
        <f>+'Cental Budget_int'!F57</f>
        <v>1.1433102256968681</v>
      </c>
      <c r="G57" s="345">
        <f>+'Cental Budget_int'!G57</f>
        <v>26916847.73</v>
      </c>
      <c r="H57" s="138">
        <f>+'Cental Budget_int'!H57</f>
        <v>1.0041726442827832</v>
      </c>
      <c r="I57" s="345">
        <f>+'Cental Budget_int'!I57</f>
        <v>29446439.690000001</v>
      </c>
      <c r="J57" s="137">
        <f>+'Cental Budget_int'!J57</f>
        <v>0.95431811284677226</v>
      </c>
      <c r="K57" s="345">
        <f>+'Cental Budget_int'!K57</f>
        <v>27786106.092939563</v>
      </c>
      <c r="L57" s="138">
        <f>+'Cental Budget_int'!L57</f>
        <v>0.93210688000468167</v>
      </c>
      <c r="M57" s="345">
        <f>+'Cental Budget_int'!M57</f>
        <v>22646761.260000002</v>
      </c>
      <c r="N57" s="137">
        <f>+'Cental Budget_int'!N57</f>
        <v>0.72959926739690728</v>
      </c>
      <c r="O57" s="345">
        <f>+'Cental Budget_int'!O57</f>
        <v>29343979.530000001</v>
      </c>
      <c r="P57" s="138">
        <f>+'Cental Budget_int'!P57</f>
        <v>0.90735867439703155</v>
      </c>
      <c r="Q57" s="492">
        <f>+'Cental Budget_int'!Q57</f>
        <v>29398079.799999997</v>
      </c>
      <c r="R57" s="493">
        <f>+'Cental Budget_int'!R57</f>
        <v>0.93356874563353431</v>
      </c>
      <c r="S57" s="492">
        <f>+'Cental Budget_int'!S57</f>
        <v>29925458.93</v>
      </c>
      <c r="T57" s="493">
        <f>+'Cental Budget_int'!T57</f>
        <v>0.85088026528291161</v>
      </c>
      <c r="U57" s="492">
        <f>+'Cental Budget_int'!U57</f>
        <v>29925458.93</v>
      </c>
      <c r="V57" s="493">
        <f>+'Cental Budget_int'!V57</f>
        <v>0.85088026528291161</v>
      </c>
      <c r="W57" s="492">
        <f>+'Cental Budget_int'!W57</f>
        <v>0</v>
      </c>
      <c r="X57" s="493">
        <f>+'Cental Budget_int'!X57</f>
        <v>0</v>
      </c>
      <c r="Y57" s="120"/>
      <c r="Z57" s="120"/>
      <c r="AA57" s="120"/>
      <c r="AB57" s="120"/>
      <c r="AC57" s="120"/>
      <c r="AD57" s="120"/>
      <c r="AE57" s="120"/>
      <c r="AF57" s="120"/>
      <c r="AG57" s="120"/>
      <c r="AH57" s="120"/>
      <c r="AI57" s="102"/>
      <c r="AJ57" s="102"/>
      <c r="AK57" s="102"/>
      <c r="AL57" s="102"/>
      <c r="AM57" s="103"/>
      <c r="AN57" s="34"/>
      <c r="AO57" s="34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</row>
    <row r="58" spans="1:123" ht="15" customHeight="1">
      <c r="A58" s="110"/>
      <c r="B58" s="110"/>
      <c r="C58" s="110"/>
      <c r="D58" s="130" t="str">
        <f>IF(MasterSheet!$A$1=1,MasterSheet!C110,MasterSheet!B110)</f>
        <v>Doprinosi na teret zaposlenog</v>
      </c>
      <c r="E58" s="345">
        <f>+'Cental Budget_int'!E58</f>
        <v>31579861.260000002</v>
      </c>
      <c r="F58" s="137">
        <f>+'Cental Budget_int'!F58</f>
        <v>1.4695826357671367</v>
      </c>
      <c r="G58" s="345">
        <f>+'Cental Budget_int'!G58</f>
        <v>40145380.400000006</v>
      </c>
      <c r="H58" s="138">
        <f>+'Cental Budget_int'!H58</f>
        <v>1.4976825368401419</v>
      </c>
      <c r="I58" s="345">
        <f>+'Cental Budget_int'!I58</f>
        <v>42046795.229999997</v>
      </c>
      <c r="J58" s="137">
        <f>+'Cental Budget_int'!J58</f>
        <v>1.3626780927534352</v>
      </c>
      <c r="K58" s="345">
        <f>+'Cental Budget_int'!K58</f>
        <v>39675992.256736048</v>
      </c>
      <c r="L58" s="138">
        <f>+'Cental Budget_int'!L58</f>
        <v>1.33096250441919</v>
      </c>
      <c r="M58" s="345">
        <f>+'Cental Budget_int'!M58</f>
        <v>59935832.810000002</v>
      </c>
      <c r="N58" s="137">
        <f>+'Cental Budget_int'!N58</f>
        <v>1.9309224487757732</v>
      </c>
      <c r="O58" s="345">
        <f>+'Cental Budget_int'!O58</f>
        <v>76702574.069999993</v>
      </c>
      <c r="P58" s="138">
        <f>+'Cental Budget_int'!P58</f>
        <v>2.3717555371057513</v>
      </c>
      <c r="Q58" s="492">
        <f>+'Cental Budget_int'!Q58</f>
        <v>77127985.669999987</v>
      </c>
      <c r="R58" s="493">
        <f>+'Cental Budget_int'!R58</f>
        <v>2.4492850323912347</v>
      </c>
      <c r="S58" s="492">
        <f>+'Cental Budget_int'!S58</f>
        <v>75998502.739999995</v>
      </c>
      <c r="T58" s="493">
        <f>+'Cental Budget_int'!T58</f>
        <v>2.1608900409439862</v>
      </c>
      <c r="U58" s="492">
        <f>+'Cental Budget_int'!U58</f>
        <v>75998502.739999995</v>
      </c>
      <c r="V58" s="493">
        <f>+'Cental Budget_int'!V58</f>
        <v>2.1608900409439862</v>
      </c>
      <c r="W58" s="492">
        <f>+'Cental Budget_int'!W58</f>
        <v>0</v>
      </c>
      <c r="X58" s="493">
        <f>+'Cental Budget_int'!X58</f>
        <v>0</v>
      </c>
      <c r="Y58" s="120"/>
      <c r="Z58" s="120"/>
      <c r="AA58" s="120"/>
      <c r="AB58" s="120"/>
      <c r="AC58" s="120"/>
      <c r="AD58" s="120"/>
      <c r="AE58" s="120"/>
      <c r="AF58" s="120"/>
      <c r="AG58" s="120"/>
      <c r="AH58" s="120"/>
      <c r="AI58" s="102"/>
      <c r="AJ58" s="102"/>
      <c r="AK58" s="102"/>
      <c r="AL58" s="102"/>
      <c r="AM58" s="103"/>
      <c r="AN58" s="34"/>
      <c r="AO58" s="34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</row>
    <row r="59" spans="1:123" ht="15" customHeight="1">
      <c r="A59" s="110"/>
      <c r="B59" s="110"/>
      <c r="C59" s="110"/>
      <c r="D59" s="130" t="str">
        <f>IF(MasterSheet!$A$1=1,MasterSheet!C111,MasterSheet!B111)</f>
        <v>Doprinosi na teret poslodavca</v>
      </c>
      <c r="E59" s="345">
        <f>+'Cental Budget_int'!E59</f>
        <v>29479999.799999997</v>
      </c>
      <c r="F59" s="137">
        <f>+'Cental Budget_int'!F59</f>
        <v>1.3718646656428868</v>
      </c>
      <c r="G59" s="345">
        <f>+'Cental Budget_int'!G59</f>
        <v>37349335.560000002</v>
      </c>
      <c r="H59" s="138">
        <f>+'Cental Budget_int'!H59</f>
        <v>1.3933719664241748</v>
      </c>
      <c r="I59" s="345">
        <f>+'Cental Budget_int'!I59</f>
        <v>40930764.380000003</v>
      </c>
      <c r="J59" s="137">
        <f>+'Cental Budget_int'!J59</f>
        <v>1.3265090867254343</v>
      </c>
      <c r="K59" s="345">
        <f>+'Cental Budget_int'!K59</f>
        <v>38622888.658217676</v>
      </c>
      <c r="L59" s="138">
        <f>+'Cental Budget_int'!L59</f>
        <v>1.2956353122515154</v>
      </c>
      <c r="M59" s="345">
        <f>+'Cental Budget_int'!M59</f>
        <v>32139632.719999999</v>
      </c>
      <c r="N59" s="137">
        <f>+'Cental Budget_int'!N59</f>
        <v>1.0354263118556699</v>
      </c>
      <c r="O59" s="345">
        <f>+'Cental Budget_int'!O59</f>
        <v>40786208.719999999</v>
      </c>
      <c r="P59" s="138">
        <f>+'Cental Budget_int'!P59</f>
        <v>1.2611691008039578</v>
      </c>
      <c r="Q59" s="492">
        <f>+'Cental Budget_int'!Q59</f>
        <v>40846412.990000002</v>
      </c>
      <c r="R59" s="493">
        <f>+'Cental Budget_int'!R59</f>
        <v>1.2971233086694189</v>
      </c>
      <c r="S59" s="492">
        <f>+'Cental Budget_int'!S59</f>
        <v>40399381.549999997</v>
      </c>
      <c r="T59" s="493">
        <f>+'Cental Budget_int'!T59</f>
        <v>1.1486886991754335</v>
      </c>
      <c r="U59" s="492">
        <f>+'Cental Budget_int'!U59</f>
        <v>40399381.549999997</v>
      </c>
      <c r="V59" s="493">
        <f>+'Cental Budget_int'!V59</f>
        <v>1.1486886991754335</v>
      </c>
      <c r="W59" s="492">
        <f>+'Cental Budget_int'!W59</f>
        <v>0</v>
      </c>
      <c r="X59" s="493">
        <f>+'Cental Budget_int'!X59</f>
        <v>0</v>
      </c>
      <c r="Y59" s="120"/>
      <c r="Z59" s="120"/>
      <c r="AA59" s="120"/>
      <c r="AB59" s="120"/>
      <c r="AC59" s="120"/>
      <c r="AD59" s="120"/>
      <c r="AE59" s="120"/>
      <c r="AF59" s="120"/>
      <c r="AG59" s="120"/>
      <c r="AH59" s="120"/>
      <c r="AI59" s="102"/>
      <c r="AJ59" s="102"/>
      <c r="AK59" s="102"/>
      <c r="AL59" s="102"/>
      <c r="AM59" s="103"/>
      <c r="AN59" s="35"/>
      <c r="AO59" s="35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</row>
    <row r="60" spans="1:123" ht="15" customHeight="1">
      <c r="A60" s="110"/>
      <c r="B60" s="110"/>
      <c r="C60" s="110"/>
      <c r="D60" s="130" t="str">
        <f>IF(MasterSheet!$A$1=1,MasterSheet!C112,MasterSheet!B112)</f>
        <v>Prirez na porez na dohodak</v>
      </c>
      <c r="E60" s="345">
        <f>+'Cental Budget_int'!E60</f>
        <v>3917011.08</v>
      </c>
      <c r="F60" s="137">
        <f>+'Cental Budget_int'!F60</f>
        <v>0.18227982130392292</v>
      </c>
      <c r="G60" s="345">
        <f>+'Cental Budget_int'!G60</f>
        <v>3933255.26</v>
      </c>
      <c r="H60" s="138">
        <f>+'Cental Budget_int'!H60</f>
        <v>0.14673587987315798</v>
      </c>
      <c r="I60" s="345">
        <f>+'Cental Budget_int'!I60</f>
        <v>4135735.28</v>
      </c>
      <c r="J60" s="137">
        <f>+'Cental Budget_int'!J60</f>
        <v>0.13403342234897589</v>
      </c>
      <c r="K60" s="345">
        <f>+'Cental Budget_int'!K60</f>
        <v>3902542.3946725391</v>
      </c>
      <c r="L60" s="138">
        <f>+'Cental Budget_int'!L60</f>
        <v>0.13091386765087348</v>
      </c>
      <c r="M60" s="345">
        <f>+'Cental Budget_int'!M60</f>
        <v>3219403.56</v>
      </c>
      <c r="N60" s="137">
        <f>+'Cental Budget_int'!N60</f>
        <v>0.10371789819587629</v>
      </c>
      <c r="O60" s="345">
        <f>+'Cental Budget_int'!O60</f>
        <v>4122288.89</v>
      </c>
      <c r="P60" s="138">
        <f>+'Cental Budget_int'!P60</f>
        <v>0.12746718893011749</v>
      </c>
      <c r="Q60" s="492">
        <f>+'Cental Budget_int'!Q60</f>
        <v>4173963.2399999998</v>
      </c>
      <c r="R60" s="493">
        <f>+'Cental Budget_int'!R60</f>
        <v>0.13254884852334073</v>
      </c>
      <c r="S60" s="492">
        <f>+'Cental Budget_int'!S60</f>
        <v>4306707.6900000004</v>
      </c>
      <c r="T60" s="493">
        <f>+'Cental Budget_int'!T60</f>
        <v>0.12245401450099519</v>
      </c>
      <c r="U60" s="492">
        <f>+'Cental Budget_int'!U60</f>
        <v>4306707.6900000004</v>
      </c>
      <c r="V60" s="493">
        <f>+'Cental Budget_int'!V60</f>
        <v>0.12245401450099519</v>
      </c>
      <c r="W60" s="492">
        <f>+'Cental Budget_int'!W60</f>
        <v>0</v>
      </c>
      <c r="X60" s="493">
        <f>+'Cental Budget_int'!X60</f>
        <v>0</v>
      </c>
      <c r="Y60" s="120"/>
      <c r="Z60" s="120"/>
      <c r="AA60" s="120"/>
      <c r="AB60" s="120"/>
      <c r="AC60" s="120"/>
      <c r="AD60" s="120"/>
      <c r="AE60" s="120"/>
      <c r="AF60" s="120"/>
      <c r="AG60" s="120"/>
      <c r="AH60" s="120"/>
      <c r="AI60" s="102"/>
      <c r="AJ60" s="102"/>
      <c r="AK60" s="102"/>
      <c r="AL60" s="102"/>
      <c r="AM60" s="103"/>
      <c r="AN60" s="35"/>
      <c r="AO60" s="35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</row>
    <row r="61" spans="1:123" ht="15" customHeight="1">
      <c r="A61" s="110"/>
      <c r="B61" s="110"/>
      <c r="C61" s="110"/>
      <c r="D61" s="129" t="str">
        <f>IF(MasterSheet!$A$1=1,MasterSheet!C113,MasterSheet!B113)</f>
        <v>Ostala lična primanja</v>
      </c>
      <c r="E61" s="344">
        <f>+'Cental Budget_int'!E61</f>
        <v>15461447.869999999</v>
      </c>
      <c r="F61" s="136">
        <f>+'Cental Budget_int'!F61</f>
        <v>0.71950522918702586</v>
      </c>
      <c r="G61" s="344">
        <f>+'Cental Budget_int'!G61</f>
        <v>27511729.489999998</v>
      </c>
      <c r="H61" s="135">
        <f>+'Cental Budget_int'!H61</f>
        <v>1.0263655844058945</v>
      </c>
      <c r="I61" s="344">
        <f>+'Cental Budget_int'!I61</f>
        <v>21753186.010000002</v>
      </c>
      <c r="J61" s="136">
        <f>+'Cental Budget_int'!J61</f>
        <v>0.7049904721934146</v>
      </c>
      <c r="K61" s="344">
        <f>+'Cental Budget_int'!K61</f>
        <v>21646046.59</v>
      </c>
      <c r="L61" s="135">
        <f>+'Cental Budget_int'!L61</f>
        <v>0.72613373331096953</v>
      </c>
      <c r="M61" s="344">
        <f>+'Cental Budget_int'!M61</f>
        <v>18835767.040000003</v>
      </c>
      <c r="N61" s="136">
        <f>+'Cental Budget_int'!N61</f>
        <v>0.60682239175257746</v>
      </c>
      <c r="O61" s="344">
        <f>+'Cental Budget_int'!O61</f>
        <v>12829673.57</v>
      </c>
      <c r="P61" s="135">
        <f>+'Cental Budget_int'!P61</f>
        <v>0.39671223160173164</v>
      </c>
      <c r="Q61" s="490">
        <f>+'Cental Budget_int'!Q61</f>
        <v>10336327.24</v>
      </c>
      <c r="R61" s="491">
        <f>+'Cental Budget_int'!R61</f>
        <v>0.32824157637345192</v>
      </c>
      <c r="S61" s="490">
        <f>+'Cental Budget_int'!S61</f>
        <v>10477302.41</v>
      </c>
      <c r="T61" s="491">
        <f>+'Cental Budget_int'!T61</f>
        <v>0.29790453255615584</v>
      </c>
      <c r="U61" s="490">
        <f>+'Cental Budget_int'!U61</f>
        <v>10977302.41</v>
      </c>
      <c r="V61" s="491">
        <f>+'Cental Budget_int'!V61</f>
        <v>0.31212119448393516</v>
      </c>
      <c r="W61" s="490">
        <f>+'Cental Budget_int'!W61</f>
        <v>500000</v>
      </c>
      <c r="X61" s="491">
        <f>+'Cental Budget_int'!X61</f>
        <v>1.4216661927779317E-2</v>
      </c>
      <c r="Y61" s="120"/>
      <c r="Z61" s="120"/>
      <c r="AA61" s="120"/>
      <c r="AB61" s="120"/>
      <c r="AC61" s="120"/>
      <c r="AD61" s="120"/>
      <c r="AE61" s="120"/>
      <c r="AF61" s="120"/>
      <c r="AG61" s="120"/>
      <c r="AH61" s="120"/>
      <c r="AI61" s="102"/>
      <c r="AJ61" s="102"/>
      <c r="AK61" s="102"/>
      <c r="AL61" s="102"/>
      <c r="AM61" s="103"/>
      <c r="AN61" s="35"/>
      <c r="AO61" s="35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DQ61" s="105"/>
    </row>
    <row r="62" spans="1:123" ht="15" customHeight="1">
      <c r="A62" s="110"/>
      <c r="B62" s="110"/>
      <c r="C62" s="110"/>
      <c r="D62" s="129" t="str">
        <f>IF(MasterSheet!$A$1=1,MasterSheet!C114,MasterSheet!B114)</f>
        <v>Rashodi za materijal i usluge</v>
      </c>
      <c r="E62" s="344">
        <f>+'Cental Budget_int'!E62</f>
        <v>112547776.84</v>
      </c>
      <c r="F62" s="136">
        <f>+'Cental Budget_int'!F62</f>
        <v>5.2374599488110203</v>
      </c>
      <c r="G62" s="344">
        <f>+'Cental Budget_int'!G62</f>
        <v>137071242.36000001</v>
      </c>
      <c r="H62" s="135">
        <f>+'Cental Budget_int'!H62</f>
        <v>5.1136445573587022</v>
      </c>
      <c r="I62" s="344">
        <f>+'Cental Budget_int'!I62</f>
        <v>114434326.15000001</v>
      </c>
      <c r="J62" s="136">
        <f>+'Cental Budget_int'!J62</f>
        <v>3.7086571866087636</v>
      </c>
      <c r="K62" s="344">
        <f>+'Cental Budget_int'!K62</f>
        <v>109956288.45999999</v>
      </c>
      <c r="L62" s="135">
        <f>+'Cental Budget_int'!L62</f>
        <v>3.6885705622274405</v>
      </c>
      <c r="M62" s="344">
        <f>+'Cental Budget_int'!M62</f>
        <v>112683384.09</v>
      </c>
      <c r="N62" s="136">
        <f>+'Cental Budget_int'!N62</f>
        <v>3.6302636626932991</v>
      </c>
      <c r="O62" s="344">
        <f>+'Cental Budget_int'!O62</f>
        <v>104006154.47999999</v>
      </c>
      <c r="P62" s="135">
        <f>+'Cental Budget_int'!P62</f>
        <v>3.2160220927643786</v>
      </c>
      <c r="Q62" s="490">
        <f>+'Cental Budget_int'!Q62</f>
        <v>150386742.56999999</v>
      </c>
      <c r="R62" s="491">
        <f>+'Cental Budget_int'!R62</f>
        <v>4.7756983985392187</v>
      </c>
      <c r="S62" s="490">
        <f>+'Cental Budget_int'!S62</f>
        <v>81984047.560000002</v>
      </c>
      <c r="T62" s="491">
        <f>+'Cental Budget_int'!T62</f>
        <v>2.3310789752630083</v>
      </c>
      <c r="U62" s="490">
        <f>+'Cental Budget_int'!U62</f>
        <v>83484047.560000002</v>
      </c>
      <c r="V62" s="491">
        <f>+'Cental Budget_int'!V62</f>
        <v>2.3737289610463463</v>
      </c>
      <c r="W62" s="490">
        <f>+'Cental Budget_int'!W62</f>
        <v>1500000</v>
      </c>
      <c r="X62" s="491">
        <f>+'Cental Budget_int'!X62</f>
        <v>4.2649985783338007E-2</v>
      </c>
      <c r="Y62" s="120"/>
      <c r="Z62" s="120"/>
      <c r="AA62" s="120"/>
      <c r="AB62" s="120"/>
      <c r="AC62" s="120"/>
      <c r="AD62" s="120"/>
      <c r="AE62" s="120"/>
      <c r="AF62" s="120"/>
      <c r="AG62" s="120"/>
      <c r="AH62" s="120"/>
      <c r="AI62" s="102"/>
      <c r="AJ62" s="102"/>
      <c r="AK62" s="102"/>
      <c r="AL62" s="102"/>
      <c r="AM62" s="103"/>
      <c r="AN62" s="35"/>
      <c r="AO62" s="35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</row>
    <row r="63" spans="1:123" ht="15" customHeight="1">
      <c r="A63" s="110"/>
      <c r="B63" s="110"/>
      <c r="C63" s="110"/>
      <c r="D63" s="129" t="str">
        <f>IF(MasterSheet!$A$1=1,MasterSheet!C115,MasterSheet!B115)</f>
        <v>Tekuće održavanje</v>
      </c>
      <c r="E63" s="344">
        <f>+'Cental Budget_int'!E63</f>
        <v>20449366.720000003</v>
      </c>
      <c r="F63" s="136">
        <f>+'Cental Budget_int'!F63</f>
        <v>0.95162021127088292</v>
      </c>
      <c r="G63" s="344">
        <f>+'Cental Budget_int'!G63</f>
        <v>22633631.750000004</v>
      </c>
      <c r="H63" s="135">
        <f>+'Cental Budget_int'!H63</f>
        <v>0.8443809643723188</v>
      </c>
      <c r="I63" s="344">
        <f>+'Cental Budget_int'!I63</f>
        <v>22151878.379999999</v>
      </c>
      <c r="J63" s="136">
        <f>+'Cental Budget_int'!J63</f>
        <v>0.71791153681617836</v>
      </c>
      <c r="K63" s="344">
        <f>+'Cental Budget_int'!K63</f>
        <v>5130736.91</v>
      </c>
      <c r="L63" s="135">
        <f>+'Cental Budget_int'!L63</f>
        <v>0.17211462294532037</v>
      </c>
      <c r="M63" s="344">
        <f>+'Cental Budget_int'!M63</f>
        <v>28005189.850000001</v>
      </c>
      <c r="N63" s="136">
        <f>+'Cental Budget_int'!N63</f>
        <v>0.90222905444587631</v>
      </c>
      <c r="O63" s="344">
        <f>+'Cental Budget_int'!O63</f>
        <v>23542025.550000001</v>
      </c>
      <c r="P63" s="135">
        <f>+'Cental Budget_int'!P63</f>
        <v>0.72795378942486089</v>
      </c>
      <c r="Q63" s="490">
        <f>+'Cental Budget_int'!Q63</f>
        <v>22365850.899999999</v>
      </c>
      <c r="R63" s="491">
        <f>+'Cental Budget_int'!R63</f>
        <v>0.71025248967926324</v>
      </c>
      <c r="S63" s="490">
        <f>+'Cental Budget_int'!S63</f>
        <v>20466680.050000001</v>
      </c>
      <c r="T63" s="491">
        <f>+'Cental Budget_int'!T63</f>
        <v>0.58193574210975263</v>
      </c>
      <c r="U63" s="490">
        <f>+'Cental Budget_int'!U63</f>
        <v>20466680.050000001</v>
      </c>
      <c r="V63" s="491">
        <f>+'Cental Budget_int'!V63</f>
        <v>0.58193574210975263</v>
      </c>
      <c r="W63" s="490">
        <f>+'Cental Budget_int'!W63</f>
        <v>0</v>
      </c>
      <c r="X63" s="491">
        <f>+'Cental Budget_int'!X63</f>
        <v>0</v>
      </c>
      <c r="Y63" s="120"/>
      <c r="Z63" s="120"/>
      <c r="AA63" s="120"/>
      <c r="AB63" s="120"/>
      <c r="AC63" s="120"/>
      <c r="AD63" s="120"/>
      <c r="AE63" s="120"/>
      <c r="AF63" s="120"/>
      <c r="AG63" s="120"/>
      <c r="AH63" s="120"/>
      <c r="AI63" s="102"/>
      <c r="AJ63" s="102"/>
      <c r="AK63" s="102"/>
      <c r="AL63" s="102"/>
      <c r="AM63" s="103"/>
      <c r="AN63" s="35"/>
      <c r="AO63" s="35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</row>
    <row r="64" spans="1:123" ht="15" customHeight="1">
      <c r="A64" s="110"/>
      <c r="B64" s="110"/>
      <c r="C64" s="110"/>
      <c r="D64" s="129" t="str">
        <f>IF(MasterSheet!$A$1=1,MasterSheet!C116,MasterSheet!B116)</f>
        <v>Kamate</v>
      </c>
      <c r="E64" s="344">
        <f>+'Cental Budget_int'!E64</f>
        <v>23398994.059999999</v>
      </c>
      <c r="F64" s="136">
        <f>+'Cental Budget_int'!F64</f>
        <v>1.0888824077434966</v>
      </c>
      <c r="G64" s="344">
        <f>+'Cental Budget_int'!G64</f>
        <v>27098929.48</v>
      </c>
      <c r="H64" s="135">
        <f>+'Cental Budget_int'!H64</f>
        <v>1.0109654721134116</v>
      </c>
      <c r="I64" s="344">
        <f>+'Cental Budget_int'!I64</f>
        <v>22531993.84</v>
      </c>
      <c r="J64" s="136">
        <f>+'Cental Budget_int'!J64</f>
        <v>0.73023054964998702</v>
      </c>
      <c r="K64" s="344">
        <f>+'Cental Budget_int'!K64</f>
        <v>24512028.640000001</v>
      </c>
      <c r="L64" s="135">
        <f>+'Cental Budget_int'!L64</f>
        <v>0.82227536531365319</v>
      </c>
      <c r="M64" s="344">
        <f>+'Cental Budget_int'!M64</f>
        <v>30256278.469999999</v>
      </c>
      <c r="N64" s="136">
        <f>+'Cental Budget_int'!N64</f>
        <v>0.97475123936855668</v>
      </c>
      <c r="O64" s="344">
        <f>+'Cental Budget_int'!O64</f>
        <v>45092350.030000001</v>
      </c>
      <c r="P64" s="135">
        <f>+'Cental Budget_int'!P64</f>
        <v>1.3943212748917748</v>
      </c>
      <c r="Q64" s="490">
        <f>+'Cental Budget_int'!Q64</f>
        <v>56859854.539999999</v>
      </c>
      <c r="R64" s="491">
        <f>+'Cental Budget_int'!R64</f>
        <v>1.805647968879009</v>
      </c>
      <c r="S64" s="496">
        <f>+'Cental Budget_int'!S64</f>
        <v>70403607.299999997</v>
      </c>
      <c r="T64" s="497">
        <f>+'Cental Budget_int'!T64</f>
        <v>2.0018085669604777</v>
      </c>
      <c r="U64" s="496">
        <f>+'Cental Budget_int'!U64</f>
        <v>70403607.299999997</v>
      </c>
      <c r="V64" s="497">
        <f>+'Cental Budget_int'!V64</f>
        <v>2.0018085669604777</v>
      </c>
      <c r="W64" s="496">
        <f>+'Cental Budget_int'!W64</f>
        <v>0</v>
      </c>
      <c r="X64" s="497">
        <f>+'Cental Budget_int'!X64</f>
        <v>0</v>
      </c>
      <c r="Y64" s="120"/>
      <c r="Z64" s="120"/>
      <c r="AA64" s="120"/>
      <c r="AB64" s="120"/>
      <c r="AC64" s="120"/>
      <c r="AD64" s="120"/>
      <c r="AE64" s="120"/>
      <c r="AF64" s="120"/>
      <c r="AG64" s="120"/>
      <c r="AH64" s="120"/>
      <c r="AI64" s="102"/>
      <c r="AJ64" s="102"/>
      <c r="AK64" s="102"/>
      <c r="AL64" s="102"/>
      <c r="AM64" s="103"/>
      <c r="AN64" s="35"/>
      <c r="AO64" s="35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</row>
    <row r="65" spans="1:54" ht="15" customHeight="1">
      <c r="A65" s="110"/>
      <c r="B65" s="110"/>
      <c r="C65" s="110"/>
      <c r="D65" s="129" t="str">
        <f>IF(MasterSheet!$A$1=1,MasterSheet!C117,MasterSheet!B117)</f>
        <v>Renta</v>
      </c>
      <c r="E65" s="344">
        <f>+'Cental Budget_int'!E65</f>
        <v>2663918.17</v>
      </c>
      <c r="F65" s="136">
        <f>+'Cental Budget_int'!F65</f>
        <v>0.12396659546744847</v>
      </c>
      <c r="G65" s="344">
        <f>+'Cental Budget_int'!G65</f>
        <v>4927168.12</v>
      </c>
      <c r="H65" s="135">
        <f>+'Cental Budget_int'!H65</f>
        <v>0.18381526282409999</v>
      </c>
      <c r="I65" s="344">
        <f>+'Cental Budget_int'!I65</f>
        <v>8361199.96</v>
      </c>
      <c r="J65" s="136">
        <f>+'Cental Budget_int'!J65</f>
        <v>0.27097484962406015</v>
      </c>
      <c r="K65" s="344">
        <f>+'Cental Budget_int'!K65</f>
        <v>8038103.2300000004</v>
      </c>
      <c r="L65" s="135">
        <f>+'Cental Budget_int'!L65</f>
        <v>0.26964452297886615</v>
      </c>
      <c r="M65" s="344">
        <f>+'Cental Budget_int'!M65</f>
        <v>8015830.71</v>
      </c>
      <c r="N65" s="136">
        <f>+'Cental Budget_int'!N65</f>
        <v>0.25824196874999999</v>
      </c>
      <c r="O65" s="344">
        <f>+'Cental Budget_int'!O65</f>
        <v>7376287.9199999999</v>
      </c>
      <c r="P65" s="135">
        <f>+'Cental Budget_int'!P65</f>
        <v>0.22808558812615953</v>
      </c>
      <c r="Q65" s="490">
        <f>+'Cental Budget_int'!Q65</f>
        <v>7110247.5800000001</v>
      </c>
      <c r="R65" s="491">
        <f>+'Cental Budget_int'!R65</f>
        <v>0.22579382597650047</v>
      </c>
      <c r="S65" s="490">
        <f>+'Cental Budget_int'!S65</f>
        <v>7875739.4000000004</v>
      </c>
      <c r="T65" s="491">
        <f>+'Cental Budget_int'!T65</f>
        <v>0.2239334489621837</v>
      </c>
      <c r="U65" s="490">
        <f>+'Cental Budget_int'!U65</f>
        <v>7875739.4000000004</v>
      </c>
      <c r="V65" s="491">
        <f>+'Cental Budget_int'!V65</f>
        <v>0.2239334489621837</v>
      </c>
      <c r="W65" s="490">
        <f>+'Cental Budget_int'!W65</f>
        <v>0</v>
      </c>
      <c r="X65" s="491">
        <f>+'Cental Budget_int'!X65</f>
        <v>0</v>
      </c>
      <c r="Y65" s="120"/>
      <c r="Z65" s="120"/>
      <c r="AA65" s="120"/>
      <c r="AB65" s="120"/>
      <c r="AC65" s="120"/>
      <c r="AD65" s="120"/>
      <c r="AE65" s="120"/>
      <c r="AF65" s="120"/>
      <c r="AG65" s="120"/>
      <c r="AH65" s="120"/>
      <c r="AI65" s="102"/>
      <c r="AJ65" s="102"/>
      <c r="AK65" s="102"/>
      <c r="AL65" s="102"/>
      <c r="AM65" s="103"/>
      <c r="AN65" s="35"/>
      <c r="AO65" s="35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</row>
    <row r="66" spans="1:54" ht="15" customHeight="1">
      <c r="A66" s="110"/>
      <c r="B66" s="110"/>
      <c r="C66" s="110"/>
      <c r="D66" s="129" t="str">
        <f>IF(MasterSheet!$A$1=1,MasterSheet!C118,MasterSheet!B118)</f>
        <v>Subvencije</v>
      </c>
      <c r="E66" s="344">
        <f>+'Cental Budget_int'!E66</f>
        <v>6072666.8299999991</v>
      </c>
      <c r="F66" s="136">
        <f>+'Cental Budget_int'!F66</f>
        <v>0.28259420308064587</v>
      </c>
      <c r="G66" s="344">
        <f>+'Cental Budget_int'!G66</f>
        <v>13072586.5</v>
      </c>
      <c r="H66" s="135">
        <f>+'Cental Budget_int'!H66</f>
        <v>0.48769209102779337</v>
      </c>
      <c r="I66" s="344">
        <f>+'Cental Budget_int'!I66</f>
        <v>18592791.149999999</v>
      </c>
      <c r="J66" s="136">
        <f>+'Cental Budget_int'!J66</f>
        <v>0.60256647491573756</v>
      </c>
      <c r="K66" s="344">
        <f>+'Cental Budget_int'!K66</f>
        <v>49824327.469999999</v>
      </c>
      <c r="L66" s="135">
        <f>+'Cental Budget_int'!L66</f>
        <v>1.6713964263669909</v>
      </c>
      <c r="M66" s="344">
        <f>+'Cental Budget_int'!M66</f>
        <v>39035362.68</v>
      </c>
      <c r="N66" s="136">
        <f>+'Cental Budget_int'!N66</f>
        <v>1.2575825605670103</v>
      </c>
      <c r="O66" s="344">
        <f>+'Cental Budget_int'!O66</f>
        <v>45400496.520000003</v>
      </c>
      <c r="P66" s="135">
        <f>+'Cental Budget_int'!P66</f>
        <v>1.4038496141001857</v>
      </c>
      <c r="Q66" s="490">
        <f>+'Cental Budget_int'!Q66</f>
        <v>25853418.300000001</v>
      </c>
      <c r="R66" s="491">
        <f>+'Cental Budget_int'!R66</f>
        <v>0.82100407430930455</v>
      </c>
      <c r="S66" s="490">
        <f>+'Cental Budget_int'!S66</f>
        <v>14230000</v>
      </c>
      <c r="T66" s="491">
        <f>+'Cental Budget_int'!T66</f>
        <v>0.40460619846460055</v>
      </c>
      <c r="U66" s="490">
        <f>+'Cental Budget_int'!U66</f>
        <v>15230000</v>
      </c>
      <c r="V66" s="491">
        <f>+'Cental Budget_int'!V66</f>
        <v>0.43303952232015924</v>
      </c>
      <c r="W66" s="490">
        <f>+'Cental Budget_int'!W66</f>
        <v>1000000</v>
      </c>
      <c r="X66" s="491">
        <f>+'Cental Budget_int'!X66</f>
        <v>2.843332385555869E-2</v>
      </c>
      <c r="Y66" s="120"/>
      <c r="Z66" s="120"/>
      <c r="AA66" s="120"/>
      <c r="AB66" s="120"/>
      <c r="AC66" s="120"/>
      <c r="AD66" s="120"/>
      <c r="AE66" s="120"/>
      <c r="AF66" s="120"/>
      <c r="AG66" s="120"/>
      <c r="AH66" s="120"/>
      <c r="AI66" s="102"/>
      <c r="AJ66" s="102"/>
      <c r="AK66" s="102"/>
      <c r="AL66" s="102"/>
      <c r="AM66" s="103"/>
      <c r="AN66" s="37"/>
      <c r="AO66" s="37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</row>
    <row r="67" spans="1:54" ht="15" customHeight="1">
      <c r="A67" s="110"/>
      <c r="B67" s="110"/>
      <c r="C67" s="110"/>
      <c r="D67" s="129" t="str">
        <f>IF(MasterSheet!$A$1=1,MasterSheet!C119,MasterSheet!B119)</f>
        <v>Ostali izdaci</v>
      </c>
      <c r="E67" s="344">
        <f>+'Cental Budget_int'!E67</f>
        <v>3904147.64</v>
      </c>
      <c r="F67" s="136">
        <f>+'Cental Budget_int'!F67</f>
        <v>0.18168121550560754</v>
      </c>
      <c r="G67" s="344">
        <f>+'Cental Budget_int'!G67</f>
        <v>5748223.0299999993</v>
      </c>
      <c r="H67" s="135">
        <f>+'Cental Budget_int'!H67</f>
        <v>0.21444592538705462</v>
      </c>
      <c r="I67" s="344">
        <f>+'Cental Budget_int'!I67</f>
        <v>5738203.1799999997</v>
      </c>
      <c r="J67" s="136">
        <f>+'Cental Budget_int'!J67</f>
        <v>0.18596717591392273</v>
      </c>
      <c r="K67" s="344">
        <f>+'Cental Budget_int'!K67</f>
        <v>7631912.3799999999</v>
      </c>
      <c r="L67" s="135">
        <f>+'Cental Budget_int'!L67</f>
        <v>0.25601853002348207</v>
      </c>
      <c r="M67" s="344">
        <f>+'Cental Budget_int'!M67</f>
        <v>5231302.66</v>
      </c>
      <c r="N67" s="136">
        <f>+'Cental Budget_int'!N67</f>
        <v>0.16853423518041238</v>
      </c>
      <c r="O67" s="344">
        <f>+'Cental Budget_int'!O67</f>
        <v>5518538.25</v>
      </c>
      <c r="P67" s="135">
        <f>+'Cental Budget_int'!P67</f>
        <v>0.17064125695732837</v>
      </c>
      <c r="Q67" s="490">
        <f>+'Cental Budget_int'!Q67</f>
        <v>6046195.5600000005</v>
      </c>
      <c r="R67" s="491">
        <f>+'Cental Budget_int'!R67</f>
        <v>0.19200366973642427</v>
      </c>
      <c r="S67" s="490">
        <f>+'Cental Budget_int'!S67</f>
        <v>5761905.7600000016</v>
      </c>
      <c r="T67" s="491">
        <f>+'Cental Budget_int'!T67</f>
        <v>0.16383013249928921</v>
      </c>
      <c r="U67" s="490">
        <f>+'Cental Budget_int'!U67</f>
        <v>5761905.7600000016</v>
      </c>
      <c r="V67" s="491">
        <f>+'Cental Budget_int'!V67</f>
        <v>0.16383013249928921</v>
      </c>
      <c r="W67" s="490">
        <f>+'Cental Budget_int'!W67</f>
        <v>0</v>
      </c>
      <c r="X67" s="491">
        <f>+'Cental Budget_int'!X67</f>
        <v>0</v>
      </c>
      <c r="Y67" s="120"/>
      <c r="Z67" s="120"/>
      <c r="AA67" s="120"/>
      <c r="AB67" s="120"/>
      <c r="AC67" s="120"/>
      <c r="AD67" s="120"/>
      <c r="AE67" s="120"/>
      <c r="AF67" s="120"/>
      <c r="AG67" s="120"/>
      <c r="AH67" s="120"/>
      <c r="AI67" s="102"/>
      <c r="AJ67" s="102"/>
      <c r="AK67" s="102"/>
      <c r="AL67" s="102"/>
      <c r="AM67" s="103"/>
      <c r="AN67" s="37"/>
      <c r="AO67" s="37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</row>
    <row r="68" spans="1:54" ht="15" customHeight="1">
      <c r="A68" s="110"/>
      <c r="B68" s="110"/>
      <c r="C68" s="110"/>
      <c r="D68" s="129" t="str">
        <f>IF(MasterSheet!$A$1=1,MasterSheet!C120,MasterSheet!B120)</f>
        <v>Kapitalni izdaci u tekućem budžetu</v>
      </c>
      <c r="E68" s="344">
        <f>+'Cental Budget_int'!E68</f>
        <v>40141835.139999993</v>
      </c>
      <c r="F68" s="136">
        <f>+'Cental Budget_int'!F68</f>
        <v>1.8680178295872305</v>
      </c>
      <c r="G68" s="344">
        <f>+'Cental Budget_int'!G68</f>
        <v>0</v>
      </c>
      <c r="H68" s="135">
        <f>+'Cental Budget_int'!H68</f>
        <v>0</v>
      </c>
      <c r="I68" s="344">
        <f>+'Cental Budget_int'!I68</f>
        <v>75166022.909999996</v>
      </c>
      <c r="J68" s="136">
        <f>+'Cental Budget_int'!J68</f>
        <v>2.4360261508296603</v>
      </c>
      <c r="K68" s="344">
        <f>+'Cental Budget_int'!K68</f>
        <v>26511453.920000002</v>
      </c>
      <c r="L68" s="135">
        <f>+'Cental Budget_int'!L68</f>
        <v>0.88934766588393155</v>
      </c>
      <c r="M68" s="344">
        <f>+'Cental Budget_int'!M68</f>
        <v>19371879.949999999</v>
      </c>
      <c r="N68" s="136">
        <f>+'Cental Budget_int'!N68</f>
        <v>0.62409407055412369</v>
      </c>
      <c r="O68" s="344">
        <f>+'Cental Budget_int'!O68</f>
        <v>17010992.290000129</v>
      </c>
      <c r="P68" s="135">
        <f>+'Cental Budget_int'!P68</f>
        <v>0.52600470902907015</v>
      </c>
      <c r="Q68" s="490">
        <f>+'Cental Budget_int'!Q68</f>
        <v>13391039.780000195</v>
      </c>
      <c r="R68" s="491">
        <f>+'Cental Budget_int'!R68</f>
        <v>0.42524737313433458</v>
      </c>
      <c r="S68" s="490">
        <f>+'Cental Budget_int'!S68</f>
        <v>9320147.8499999996</v>
      </c>
      <c r="T68" s="491">
        <f>+'Cental Budget_int'!T68</f>
        <v>0.26500278220073925</v>
      </c>
      <c r="U68" s="490">
        <f>+'Cental Budget_int'!U68</f>
        <v>15120147.85</v>
      </c>
      <c r="V68" s="491">
        <f>+'Cental Budget_int'!V68</f>
        <v>0.42991606056297976</v>
      </c>
      <c r="W68" s="490">
        <f>+'Cental Budget_int'!W68</f>
        <v>5800000</v>
      </c>
      <c r="X68" s="491">
        <f>+'Cental Budget_int'!X68</f>
        <v>0.16491327836224051</v>
      </c>
      <c r="Y68" s="120"/>
      <c r="Z68" s="120"/>
      <c r="AA68" s="120"/>
      <c r="AB68" s="120"/>
      <c r="AC68" s="120"/>
      <c r="AD68" s="120"/>
      <c r="AE68" s="120"/>
      <c r="AF68" s="120"/>
      <c r="AG68" s="120"/>
      <c r="AH68" s="120"/>
      <c r="AI68" s="102"/>
      <c r="AJ68" s="102"/>
      <c r="AK68" s="102"/>
      <c r="AL68" s="102"/>
      <c r="AM68" s="103"/>
      <c r="AN68" s="35"/>
      <c r="AO68" s="35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</row>
    <row r="69" spans="1:54" ht="15" customHeight="1">
      <c r="A69" s="110"/>
      <c r="B69" s="110"/>
      <c r="C69" s="110"/>
      <c r="D69" s="129" t="str">
        <f>IF(MasterSheet!$A$1=1,MasterSheet!C121,MasterSheet!B121)</f>
        <v>Transferi za socijalnu zaštitu</v>
      </c>
      <c r="E69" s="344">
        <f>+'Cental Budget_int'!E69</f>
        <v>259768574.91000003</v>
      </c>
      <c r="F69" s="136">
        <f>+'Cental Budget_int'!F69</f>
        <v>12.088444083484575</v>
      </c>
      <c r="G69" s="344">
        <f>+'Cental Budget_int'!G69</f>
        <v>298508977.88999999</v>
      </c>
      <c r="H69" s="135">
        <f>+'Cental Budget_int'!H69</f>
        <v>11.136317026301063</v>
      </c>
      <c r="I69" s="344">
        <f>+'Cental Budget_int'!I69</f>
        <v>346538078.38999999</v>
      </c>
      <c r="J69" s="136">
        <f>+'Cental Budget_int'!J69</f>
        <v>11.230816644736842</v>
      </c>
      <c r="K69" s="344">
        <f>+'Cental Budget_int'!K69</f>
        <v>412466515.33000004</v>
      </c>
      <c r="L69" s="135">
        <f>+'Cental Budget_int'!L69</f>
        <v>13.836515106675614</v>
      </c>
      <c r="M69" s="344">
        <f>+'Cental Budget_int'!M69</f>
        <v>423148492.50000012</v>
      </c>
      <c r="N69" s="136">
        <f>+'Cental Budget_int'!N69</f>
        <v>13.632361227448458</v>
      </c>
      <c r="O69" s="344">
        <f>+'Cental Budget_int'!O69</f>
        <v>454762150.30000001</v>
      </c>
      <c r="P69" s="135">
        <f>+'Cental Budget_int'!P69</f>
        <v>14.061909409400124</v>
      </c>
      <c r="Q69" s="490">
        <f>+'Cental Budget_int'!Q69</f>
        <v>481633606.48000002</v>
      </c>
      <c r="R69" s="491">
        <f>+'Cental Budget_int'!R69</f>
        <v>15.294811256906954</v>
      </c>
      <c r="S69" s="490">
        <f>+'Cental Budget_int'!S69</f>
        <v>497872727.10000002</v>
      </c>
      <c r="T69" s="491">
        <f>+'Cental Budget_int'!T69</f>
        <v>14.156176488484503</v>
      </c>
      <c r="U69" s="490">
        <f>+'Cental Budget_int'!U69</f>
        <v>491872727.10000002</v>
      </c>
      <c r="V69" s="491">
        <f>+'Cental Budget_int'!V69</f>
        <v>13.985576545351153</v>
      </c>
      <c r="W69" s="490">
        <f>+'Cental Budget_int'!W69</f>
        <v>-6000000</v>
      </c>
      <c r="X69" s="491">
        <f>+'Cental Budget_int'!X69</f>
        <v>-0.17059994313335025</v>
      </c>
      <c r="Y69" s="120"/>
      <c r="Z69" s="120"/>
      <c r="AA69" s="120"/>
      <c r="AB69" s="120"/>
      <c r="AC69" s="120"/>
      <c r="AD69" s="120"/>
      <c r="AE69" s="120"/>
      <c r="AF69" s="120"/>
      <c r="AG69" s="120"/>
      <c r="AH69" s="120"/>
      <c r="AI69" s="102"/>
      <c r="AJ69" s="102"/>
      <c r="AK69" s="102"/>
      <c r="AL69" s="102"/>
      <c r="AM69" s="103"/>
      <c r="AN69" s="35"/>
      <c r="AO69" s="35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</row>
    <row r="70" spans="1:54" ht="15" customHeight="1">
      <c r="A70" s="110"/>
      <c r="B70" s="110"/>
      <c r="C70" s="110"/>
      <c r="D70" s="130" t="str">
        <f>IF(MasterSheet!$A$1=1,MasterSheet!C122,MasterSheet!B122)</f>
        <v>Prava iz oblasti socijalne zaštite</v>
      </c>
      <c r="E70" s="345">
        <f>+'Cental Budget_int'!E70</f>
        <v>34076058.170000002</v>
      </c>
      <c r="F70" s="137">
        <f>+'Cental Budget_int'!F70</f>
        <v>1.5857442491507283</v>
      </c>
      <c r="G70" s="345">
        <f>+'Cental Budget_int'!G70</f>
        <v>39187983.710000001</v>
      </c>
      <c r="H70" s="138">
        <f>+'Cental Budget_int'!H70</f>
        <v>1.4619654433874278</v>
      </c>
      <c r="I70" s="345">
        <f>+'Cental Budget_int'!I70</f>
        <v>42104253.460000001</v>
      </c>
      <c r="J70" s="137">
        <f>+'Cental Budget_int'!J70</f>
        <v>1.3645402339901478</v>
      </c>
      <c r="K70" s="345">
        <f>+'Cental Budget_int'!K70</f>
        <v>46907483.859999999</v>
      </c>
      <c r="L70" s="138">
        <f>+'Cental Budget_int'!L70</f>
        <v>1.5735486031533044</v>
      </c>
      <c r="M70" s="345">
        <f>+'Cental Budget_int'!M70</f>
        <v>51591720.359999999</v>
      </c>
      <c r="N70" s="137">
        <f>+'Cental Budget_int'!N70</f>
        <v>1.6621043930412371</v>
      </c>
      <c r="O70" s="345">
        <f>+'Cental Budget_int'!O70</f>
        <v>59330834.700000003</v>
      </c>
      <c r="P70" s="138">
        <f>+'Cental Budget_int'!P70</f>
        <v>1.8345960018552876</v>
      </c>
      <c r="Q70" s="492">
        <f>+'Cental Budget_int'!Q70</f>
        <v>65188636.469999999</v>
      </c>
      <c r="R70" s="493">
        <f>+'Cental Budget_int'!R70</f>
        <v>2.0701377094315654</v>
      </c>
      <c r="S70" s="492">
        <f>+'Cental Budget_int'!S70</f>
        <v>61009000</v>
      </c>
      <c r="T70" s="493">
        <f>+'Cental Budget_int'!T70</f>
        <v>1.7346886551037815</v>
      </c>
      <c r="U70" s="492">
        <f>+'Cental Budget_int'!U70</f>
        <v>67009000</v>
      </c>
      <c r="V70" s="493">
        <f>+'Cental Budget_int'!V70</f>
        <v>1.9052885982371339</v>
      </c>
      <c r="W70" s="492">
        <f>+'Cental Budget_int'!W70</f>
        <v>6000000</v>
      </c>
      <c r="X70" s="493">
        <f>+'Cental Budget_int'!X70</f>
        <v>0.17059994313335247</v>
      </c>
      <c r="Y70" s="120"/>
      <c r="Z70" s="120"/>
      <c r="AA70" s="120"/>
      <c r="AB70" s="120"/>
      <c r="AC70" s="120"/>
      <c r="AD70" s="120"/>
      <c r="AE70" s="120"/>
      <c r="AF70" s="120"/>
      <c r="AG70" s="120"/>
      <c r="AH70" s="120"/>
      <c r="AI70" s="102"/>
      <c r="AJ70" s="102"/>
      <c r="AK70" s="102"/>
      <c r="AL70" s="102"/>
      <c r="AM70" s="103"/>
      <c r="AN70" s="35"/>
      <c r="AO70" s="35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</row>
    <row r="71" spans="1:54" ht="15" customHeight="1">
      <c r="A71" s="110"/>
      <c r="B71" s="110"/>
      <c r="C71" s="110"/>
      <c r="D71" s="130" t="str">
        <f>IF(MasterSheet!$A$1=1,MasterSheet!C123,MasterSheet!B123)</f>
        <v>Sredstva za tehnološke viškove</v>
      </c>
      <c r="E71" s="345">
        <f>+'Cental Budget_int'!E71</f>
        <v>9796008.3399999999</v>
      </c>
      <c r="F71" s="137">
        <f>+'Cental Budget_int'!F71</f>
        <v>0.45586152636232491</v>
      </c>
      <c r="G71" s="345">
        <f>+'Cental Budget_int'!G71</f>
        <v>11417546.32</v>
      </c>
      <c r="H71" s="138">
        <f>+'Cental Budget_int'!H71</f>
        <v>0.42594837977989186</v>
      </c>
      <c r="I71" s="345">
        <f>+'Cental Budget_int'!I71</f>
        <v>30206318.57</v>
      </c>
      <c r="J71" s="137">
        <f>+'Cental Budget_int'!J71</f>
        <v>0.97894472938812538</v>
      </c>
      <c r="K71" s="345">
        <f>+'Cental Budget_int'!K71</f>
        <v>19907692.059999999</v>
      </c>
      <c r="L71" s="138">
        <f>+'Cental Budget_int'!L71</f>
        <v>0.66781925729620928</v>
      </c>
      <c r="M71" s="345">
        <f>+'Cental Budget_int'!M71</f>
        <v>20073795.120000001</v>
      </c>
      <c r="N71" s="137">
        <f>+'Cental Budget_int'!N71</f>
        <v>0.64670731701030937</v>
      </c>
      <c r="O71" s="345">
        <f>+'Cental Budget_int'!O71</f>
        <v>17323007.039999999</v>
      </c>
      <c r="P71" s="138">
        <f>+'Cental Budget_int'!P71</f>
        <v>0.5356526604823747</v>
      </c>
      <c r="Q71" s="492">
        <f>+'Cental Budget_int'!Q71</f>
        <v>16130418.140000001</v>
      </c>
      <c r="R71" s="493">
        <f>+'Cental Budget_int'!R71</f>
        <v>0.51223938202604002</v>
      </c>
      <c r="S71" s="492">
        <f>+'Cental Budget_int'!S71</f>
        <v>15360050</v>
      </c>
      <c r="T71" s="493">
        <f>+'Cental Budget_int'!T71</f>
        <v>0.43673727608757468</v>
      </c>
      <c r="U71" s="492">
        <f>+'Cental Budget_int'!U71</f>
        <v>15360050</v>
      </c>
      <c r="V71" s="493">
        <f>+'Cental Budget_int'!V71</f>
        <v>0.43673727608757468</v>
      </c>
      <c r="W71" s="492">
        <f>+'Cental Budget_int'!W71</f>
        <v>0</v>
      </c>
      <c r="X71" s="493">
        <f>+'Cental Budget_int'!X71</f>
        <v>0</v>
      </c>
      <c r="Y71" s="120"/>
      <c r="Z71" s="120"/>
      <c r="AA71" s="120"/>
      <c r="AB71" s="120"/>
      <c r="AC71" s="120"/>
      <c r="AD71" s="120"/>
      <c r="AE71" s="120"/>
      <c r="AF71" s="120"/>
      <c r="AG71" s="120"/>
      <c r="AH71" s="120"/>
      <c r="AI71" s="102"/>
      <c r="AJ71" s="102"/>
      <c r="AK71" s="102"/>
      <c r="AL71" s="102"/>
      <c r="AM71" s="103"/>
      <c r="AN71" s="35"/>
      <c r="AO71" s="35"/>
      <c r="AP71" s="96"/>
      <c r="AQ71" s="96"/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96"/>
    </row>
    <row r="72" spans="1:54" ht="15" customHeight="1">
      <c r="A72" s="110"/>
      <c r="B72" s="110"/>
      <c r="C72" s="110"/>
      <c r="D72" s="130" t="str">
        <f>IF(MasterSheet!$A$1=1,MasterSheet!C124,MasterSheet!B124)</f>
        <v>Prava iz oblasti penzijskog i invalidskog osiguranja</v>
      </c>
      <c r="E72" s="345">
        <f>+'Cental Budget_int'!E72</f>
        <v>199416686.40000001</v>
      </c>
      <c r="F72" s="137">
        <f>+'Cental Budget_int'!F72</f>
        <v>9.2799425938852451</v>
      </c>
      <c r="G72" s="345">
        <f>+'Cental Budget_int'!G72</f>
        <v>228365332.86000001</v>
      </c>
      <c r="H72" s="138">
        <f>+'Cental Budget_int'!H72</f>
        <v>8.5195050498041418</v>
      </c>
      <c r="I72" s="345">
        <f>+'Cental Budget_int'!I72</f>
        <v>250935783.35999998</v>
      </c>
      <c r="J72" s="137">
        <f>+'Cental Budget_int'!J72</f>
        <v>8.1324793673839775</v>
      </c>
      <c r="K72" s="345">
        <f>+'Cental Budget_int'!K72</f>
        <v>323500545.41000003</v>
      </c>
      <c r="L72" s="138">
        <f>+'Cental Budget_int'!L72</f>
        <v>10.852081362294532</v>
      </c>
      <c r="M72" s="345">
        <f>+'Cental Budget_int'!M72</f>
        <v>330972340.54000008</v>
      </c>
      <c r="N72" s="137">
        <f>+'Cental Budget_int'!N72</f>
        <v>10.66276870296392</v>
      </c>
      <c r="O72" s="345">
        <f>+'Cental Budget_int'!O72</f>
        <v>356875323.42000002</v>
      </c>
      <c r="P72" s="138">
        <f>+'Cental Budget_int'!P72</f>
        <v>11.035105857142858</v>
      </c>
      <c r="Q72" s="492">
        <f>+'Cental Budget_int'!Q72</f>
        <v>378962096.58999997</v>
      </c>
      <c r="R72" s="493">
        <f>+'Cental Budget_int'!R72</f>
        <v>12.034363181644967</v>
      </c>
      <c r="S72" s="492">
        <f>+'Cental Budget_int'!S72</f>
        <v>400903677.10000002</v>
      </c>
      <c r="T72" s="493">
        <f>+'Cental Budget_int'!T72</f>
        <v>11.399024085868639</v>
      </c>
      <c r="U72" s="492">
        <f>+'Cental Budget_int'!U72</f>
        <v>388903677.10000002</v>
      </c>
      <c r="V72" s="493">
        <f>+'Cental Budget_int'!V72</f>
        <v>11.057824199601935</v>
      </c>
      <c r="W72" s="492">
        <f>+'Cental Budget_int'!W72</f>
        <v>-12000000</v>
      </c>
      <c r="X72" s="493">
        <f>+'Cental Budget_int'!X72</f>
        <v>-0.34119988626670406</v>
      </c>
      <c r="Y72" s="110"/>
      <c r="Z72" s="110"/>
      <c r="AA72" s="110"/>
      <c r="AB72" s="110"/>
      <c r="AC72" s="110"/>
      <c r="AD72" s="110"/>
      <c r="AE72" s="110"/>
      <c r="AF72" s="110"/>
      <c r="AG72" s="110"/>
      <c r="AH72" s="110"/>
      <c r="AM72" s="96"/>
      <c r="AN72" s="35"/>
      <c r="AO72" s="35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</row>
    <row r="73" spans="1:54" ht="15" customHeight="1">
      <c r="A73" s="110"/>
      <c r="B73" s="110"/>
      <c r="C73" s="110"/>
      <c r="D73" s="130" t="str">
        <f>IF(MasterSheet!$A$1=1,MasterSheet!C125,MasterSheet!B125)</f>
        <v>Ostala prava iz oblasti zdravstvene zaštite</v>
      </c>
      <c r="E73" s="345">
        <f>+'Cental Budget_int'!E73</f>
        <v>10828245</v>
      </c>
      <c r="F73" s="137">
        <f>+'Cental Budget_int'!F73</f>
        <v>0.50389711014937877</v>
      </c>
      <c r="G73" s="345">
        <f>+'Cental Budget_int'!G73</f>
        <v>12762198</v>
      </c>
      <c r="H73" s="138">
        <f>+'Cental Budget_int'!H73</f>
        <v>0.47611259093452718</v>
      </c>
      <c r="I73" s="345">
        <f>+'Cental Budget_int'!I73</f>
        <v>15724080</v>
      </c>
      <c r="J73" s="137">
        <f>+'Cental Budget_int'!J73</f>
        <v>0.50959554057557688</v>
      </c>
      <c r="K73" s="345">
        <f>+'Cental Budget_int'!K73</f>
        <v>14442818</v>
      </c>
      <c r="L73" s="138">
        <f>+'Cental Budget_int'!L73</f>
        <v>0.48449573968466958</v>
      </c>
      <c r="M73" s="345">
        <f>+'Cental Budget_int'!M73</f>
        <v>12638749.91</v>
      </c>
      <c r="N73" s="137">
        <f>+'Cental Budget_int'!N73</f>
        <v>0.40717622132731957</v>
      </c>
      <c r="O73" s="345">
        <f>+'Cental Budget_int'!O73</f>
        <v>12978814.83</v>
      </c>
      <c r="P73" s="138">
        <f>+'Cental Budget_int'!P73</f>
        <v>0.40132389703153987</v>
      </c>
      <c r="Q73" s="492">
        <f>+'Cental Budget_int'!Q73</f>
        <v>13497405.869999999</v>
      </c>
      <c r="R73" s="493">
        <f>+'Cental Budget_int'!R73</f>
        <v>0.42862514671324226</v>
      </c>
      <c r="S73" s="492">
        <f>+'Cental Budget_int'!S73</f>
        <v>13600000</v>
      </c>
      <c r="T73" s="493">
        <f>+'Cental Budget_int'!T73</f>
        <v>0.38669320443559851</v>
      </c>
      <c r="U73" s="492">
        <f>+'Cental Budget_int'!U73</f>
        <v>13600000</v>
      </c>
      <c r="V73" s="493">
        <f>+'Cental Budget_int'!V73</f>
        <v>0.38669320443559851</v>
      </c>
      <c r="W73" s="492">
        <f>+'Cental Budget_int'!W73</f>
        <v>0</v>
      </c>
      <c r="X73" s="493">
        <f>+'Cental Budget_int'!X73</f>
        <v>0</v>
      </c>
      <c r="Y73" s="110"/>
      <c r="Z73" s="110"/>
      <c r="AA73" s="110"/>
      <c r="AB73" s="110"/>
      <c r="AC73" s="110"/>
      <c r="AD73" s="110"/>
      <c r="AE73" s="110"/>
      <c r="AF73" s="110"/>
      <c r="AG73" s="110"/>
      <c r="AH73" s="110"/>
      <c r="AM73" s="96"/>
      <c r="AN73" s="37"/>
      <c r="AO73" s="37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</row>
    <row r="74" spans="1:54" ht="15" customHeight="1">
      <c r="A74" s="110"/>
      <c r="B74" s="110"/>
      <c r="C74" s="110"/>
      <c r="D74" s="130" t="str">
        <f>IF(MasterSheet!$A$1=1,MasterSheet!C126,MasterSheet!B126)</f>
        <v>Ostala prava iz oblasti zdravstvenog osiguranja</v>
      </c>
      <c r="E74" s="345">
        <f>+'Cental Budget_int'!E74</f>
        <v>5651577</v>
      </c>
      <c r="F74" s="137">
        <f>+'Cental Budget_int'!F74</f>
        <v>0.26299860393689795</v>
      </c>
      <c r="G74" s="345">
        <f>+'Cental Budget_int'!G74</f>
        <v>6775917</v>
      </c>
      <c r="H74" s="138">
        <f>+'Cental Budget_int'!H74</f>
        <v>0.25278556239507555</v>
      </c>
      <c r="I74" s="345">
        <f>+'Cental Budget_int'!I74</f>
        <v>7567643</v>
      </c>
      <c r="J74" s="137">
        <f>+'Cental Budget_int'!J74</f>
        <v>0.24525677339901478</v>
      </c>
      <c r="K74" s="345">
        <f>+'Cental Budget_int'!K74</f>
        <v>7707976</v>
      </c>
      <c r="L74" s="138">
        <f>+'Cental Budget_int'!L74</f>
        <v>0.258570144246897</v>
      </c>
      <c r="M74" s="345">
        <f>+'Cental Budget_int'!M74</f>
        <v>7871886.5700000003</v>
      </c>
      <c r="N74" s="137">
        <f>+'Cental Budget_int'!N74</f>
        <v>0.25360459310567013</v>
      </c>
      <c r="O74" s="345">
        <f>+'Cental Budget_int'!O74</f>
        <v>8254170.3099999996</v>
      </c>
      <c r="P74" s="138">
        <f>+'Cental Budget_int'!P74</f>
        <v>0.25523099288806428</v>
      </c>
      <c r="Q74" s="492">
        <f>+'Cental Budget_int'!Q74</f>
        <v>7855049.4100000001</v>
      </c>
      <c r="R74" s="493">
        <f>+'Cental Budget_int'!R74</f>
        <v>0.24944583709114004</v>
      </c>
      <c r="S74" s="492">
        <f>+'Cental Budget_int'!S74</f>
        <v>7000000</v>
      </c>
      <c r="T74" s="493">
        <f>+'Cental Budget_int'!T74</f>
        <v>0.199033266988911</v>
      </c>
      <c r="U74" s="492">
        <f>+'Cental Budget_int'!U74</f>
        <v>7000000</v>
      </c>
      <c r="V74" s="493">
        <f>+'Cental Budget_int'!V74</f>
        <v>0.199033266988911</v>
      </c>
      <c r="W74" s="492">
        <f>+'Cental Budget_int'!W74</f>
        <v>0</v>
      </c>
      <c r="X74" s="493">
        <f>+'Cental Budget_int'!X74</f>
        <v>0</v>
      </c>
      <c r="Y74" s="120"/>
      <c r="Z74" s="120"/>
      <c r="AA74" s="120"/>
      <c r="AB74" s="120"/>
      <c r="AC74" s="120"/>
      <c r="AD74" s="120"/>
      <c r="AE74" s="120"/>
      <c r="AF74" s="120"/>
      <c r="AG74" s="120"/>
      <c r="AH74" s="120"/>
      <c r="AI74" s="102"/>
      <c r="AJ74" s="102"/>
      <c r="AK74" s="102"/>
      <c r="AL74" s="102"/>
      <c r="AM74" s="103"/>
      <c r="AN74" s="35"/>
      <c r="AO74" s="35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</row>
    <row r="75" spans="1:54" ht="25.5">
      <c r="A75" s="110"/>
      <c r="B75" s="110"/>
      <c r="C75" s="110"/>
      <c r="D75" s="131" t="str">
        <f>IF(MasterSheet!$A$1=1,MasterSheet!C127,MasterSheet!B127)</f>
        <v>Transferi institucijama pojedinicima nevladinom i javnom sektoru</v>
      </c>
      <c r="E75" s="344">
        <f>+'Cental Budget_int'!E75</f>
        <v>48400132.840000004</v>
      </c>
      <c r="F75" s="136">
        <f>+'Cental Budget_int'!F75</f>
        <v>2.2523213197449858</v>
      </c>
      <c r="G75" s="344">
        <f>+'Cental Budget_int'!G75</f>
        <v>57507793.979999997</v>
      </c>
      <c r="H75" s="135">
        <f>+'Cental Budget_int'!H75</f>
        <v>2.145412944599888</v>
      </c>
      <c r="I75" s="344">
        <f>+'Cental Budget_int'!I75</f>
        <v>213711795.17000002</v>
      </c>
      <c r="J75" s="136">
        <f>+'Cental Budget_int'!J75</f>
        <v>6.9261017361291159</v>
      </c>
      <c r="K75" s="344">
        <f>+'Cental Budget_int'!K75</f>
        <v>204672473.13999999</v>
      </c>
      <c r="L75" s="135">
        <f>+'Cental Budget_int'!L75</f>
        <v>6.8658998034216694</v>
      </c>
      <c r="M75" s="344">
        <f>+'Cental Budget_int'!M75</f>
        <v>174638922.39000002</v>
      </c>
      <c r="N75" s="136">
        <f>+'Cental Budget_int'!N75</f>
        <v>5.6262539429768044</v>
      </c>
      <c r="O75" s="344">
        <f>+'Cental Budget_int'!O75</f>
        <v>87914180.150000006</v>
      </c>
      <c r="P75" s="135">
        <f>+'Cental Budget_int'!P75</f>
        <v>2.7184347603586891</v>
      </c>
      <c r="Q75" s="490">
        <f>+'Cental Budget_int'!Q75</f>
        <v>31512266.289999995</v>
      </c>
      <c r="R75" s="491">
        <f>+'Cental Budget_int'!R75</f>
        <v>1.0007070908224831</v>
      </c>
      <c r="S75" s="490">
        <f>+'Cental Budget_int'!S75</f>
        <v>91880698.230000004</v>
      </c>
      <c r="T75" s="491">
        <f>+'Cental Budget_int'!T75</f>
        <v>2.6124736488484506</v>
      </c>
      <c r="U75" s="490">
        <f>+'Cental Budget_int'!U75</f>
        <v>95480698.230000004</v>
      </c>
      <c r="V75" s="491">
        <f>+'Cental Budget_int'!V75</f>
        <v>2.7148336147284615</v>
      </c>
      <c r="W75" s="490">
        <f>+'Cental Budget_int'!W75</f>
        <v>3600000</v>
      </c>
      <c r="X75" s="491">
        <f>+'Cental Budget_int'!X75</f>
        <v>0.10235996588001095</v>
      </c>
      <c r="Y75" s="120"/>
      <c r="Z75" s="120"/>
      <c r="AA75" s="120"/>
      <c r="AB75" s="120"/>
      <c r="AC75" s="120"/>
      <c r="AD75" s="120"/>
      <c r="AE75" s="120"/>
      <c r="AF75" s="120"/>
      <c r="AG75" s="120"/>
      <c r="AH75" s="120"/>
      <c r="AI75" s="102"/>
      <c r="AJ75" s="102"/>
      <c r="AK75" s="102"/>
      <c r="AL75" s="102"/>
      <c r="AM75" s="103"/>
      <c r="AN75" s="35"/>
      <c r="AO75" s="35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</row>
    <row r="76" spans="1:54" ht="15" customHeight="1">
      <c r="A76" s="110"/>
      <c r="B76" s="110"/>
      <c r="C76" s="110"/>
      <c r="D76" s="130" t="str">
        <f>IF(MasterSheet!$A$1=1,MasterSheet!C128,MasterSheet!B128)</f>
        <v>Transferi javnim institucijama</v>
      </c>
      <c r="E76" s="345">
        <f>+'Cental Budget_int'!E76</f>
        <v>24580394.890000001</v>
      </c>
      <c r="F76" s="137">
        <f>+'Cental Budget_int'!F76</f>
        <v>1.1438594113267253</v>
      </c>
      <c r="G76" s="345">
        <f>+'Cental Budget_int'!G76</f>
        <v>30859655.299999997</v>
      </c>
      <c r="H76" s="138">
        <f>+'Cental Budget_int'!H76</f>
        <v>1.1512648871479201</v>
      </c>
      <c r="I76" s="345">
        <f>+'Cental Budget_int'!I76</f>
        <v>186049189.96000001</v>
      </c>
      <c r="J76" s="137">
        <f>+'Cental Budget_int'!J76</f>
        <v>6.0295952151931553</v>
      </c>
      <c r="K76" s="345">
        <f>+'Cental Budget_int'!K76</f>
        <v>204672473.13999999</v>
      </c>
      <c r="L76" s="138">
        <f>+'Cental Budget_int'!L76</f>
        <v>6.8658998034216694</v>
      </c>
      <c r="M76" s="345">
        <f>+'Cental Budget_int'!M76</f>
        <v>153781612.11000001</v>
      </c>
      <c r="N76" s="137">
        <f>+'Cental Budget_int'!N76</f>
        <v>4.954304513853093</v>
      </c>
      <c r="O76" s="345">
        <f>+'Cental Budget_int'!O76</f>
        <v>68686902.969999999</v>
      </c>
      <c r="P76" s="138">
        <f>+'Cental Budget_int'!P76</f>
        <v>2.1238992878787877</v>
      </c>
      <c r="Q76" s="492">
        <f>+'Cental Budget_int'!Q76</f>
        <v>13467068.969999999</v>
      </c>
      <c r="R76" s="493">
        <f>+'Cental Budget_int'!R76</f>
        <v>0.42766176468720229</v>
      </c>
      <c r="S76" s="492">
        <f>+'Cental Budget_int'!S76</f>
        <v>70676472.049999997</v>
      </c>
      <c r="T76" s="493">
        <f>+'Cental Budget_int'!T76</f>
        <v>2.0095670187659938</v>
      </c>
      <c r="U76" s="492">
        <f>+'Cental Budget_int'!U76</f>
        <v>74276472.049999997</v>
      </c>
      <c r="V76" s="493">
        <f>+'Cental Budget_int'!V76</f>
        <v>2.1119269846460051</v>
      </c>
      <c r="W76" s="492">
        <f>+'Cental Budget_int'!W76</f>
        <v>3600000</v>
      </c>
      <c r="X76" s="493">
        <f>+'Cental Budget_int'!X76</f>
        <v>0.10235996588001139</v>
      </c>
      <c r="Y76" s="120"/>
      <c r="Z76" s="120"/>
      <c r="AA76" s="120"/>
      <c r="AB76" s="120"/>
      <c r="AC76" s="120"/>
      <c r="AD76" s="120"/>
      <c r="AE76" s="120"/>
      <c r="AF76" s="120"/>
      <c r="AG76" s="120"/>
      <c r="AH76" s="120"/>
      <c r="AI76" s="102"/>
      <c r="AJ76" s="102"/>
      <c r="AK76" s="102"/>
      <c r="AL76" s="102"/>
      <c r="AM76" s="103"/>
      <c r="AN76" s="35"/>
      <c r="AO76" s="35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</row>
    <row r="77" spans="1:54" ht="15" customHeight="1">
      <c r="A77" s="110"/>
      <c r="B77" s="110"/>
      <c r="C77" s="110"/>
      <c r="D77" s="130" t="str">
        <f>IF(MasterSheet!$A$1=1,MasterSheet!C129,MasterSheet!B129)</f>
        <v>Transferi nevladinim organizacijama</v>
      </c>
      <c r="E77" s="345">
        <f>+'Cental Budget_int'!E77</f>
        <v>3574431.37</v>
      </c>
      <c r="F77" s="137">
        <f>+'Cental Budget_int'!F77</f>
        <v>0.16633772488249804</v>
      </c>
      <c r="G77" s="345">
        <f>+'Cental Budget_int'!G77</f>
        <v>7039265.6799999988</v>
      </c>
      <c r="H77" s="138">
        <f>+'Cental Budget_int'!H77</f>
        <v>0.26261017272896842</v>
      </c>
      <c r="I77" s="345">
        <f>+'Cental Budget_int'!I77</f>
        <v>8424788.2100000009</v>
      </c>
      <c r="J77" s="137">
        <f>+'Cental Budget_int'!J77</f>
        <v>0.27303565627430648</v>
      </c>
      <c r="K77" s="345">
        <f>+'Cental Budget_int'!K77</f>
        <v>0</v>
      </c>
      <c r="L77" s="138">
        <f>+'Cental Budget_int'!L77</f>
        <v>0</v>
      </c>
      <c r="M77" s="345">
        <f>+'Cental Budget_int'!M77</f>
        <v>4286887.0199999996</v>
      </c>
      <c r="N77" s="137">
        <f>+'Cental Budget_int'!N77</f>
        <v>0.13810847358247422</v>
      </c>
      <c r="O77" s="345">
        <f>+'Cental Budget_int'!O77</f>
        <v>4915342.76</v>
      </c>
      <c r="P77" s="138">
        <f>+'Cental Budget_int'!P77</f>
        <v>0.15198957204700062</v>
      </c>
      <c r="Q77" s="492">
        <f>+'Cental Budget_int'!Q77</f>
        <v>4589753.04</v>
      </c>
      <c r="R77" s="493">
        <f>+'Cental Budget_int'!R77</f>
        <v>0.14575271641791043</v>
      </c>
      <c r="S77" s="492">
        <f>+'Cental Budget_int'!S77</f>
        <v>2534626.1800000002</v>
      </c>
      <c r="T77" s="493">
        <f>+'Cental Budget_int'!T77</f>
        <v>7.2067847028717658E-2</v>
      </c>
      <c r="U77" s="492">
        <f>+'Cental Budget_int'!U77</f>
        <v>2534626.1800000002</v>
      </c>
      <c r="V77" s="493">
        <f>+'Cental Budget_int'!V77</f>
        <v>7.2067847028717658E-2</v>
      </c>
      <c r="W77" s="492">
        <f>+'Cental Budget_int'!W77</f>
        <v>0</v>
      </c>
      <c r="X77" s="493">
        <f>+'Cental Budget_int'!X77</f>
        <v>0</v>
      </c>
      <c r="Y77" s="120"/>
      <c r="Z77" s="120"/>
      <c r="AA77" s="120"/>
      <c r="AB77" s="120"/>
      <c r="AC77" s="120"/>
      <c r="AD77" s="120"/>
      <c r="AE77" s="120"/>
      <c r="AF77" s="120"/>
      <c r="AG77" s="120"/>
      <c r="AH77" s="120"/>
      <c r="AI77" s="102"/>
      <c r="AJ77" s="102"/>
      <c r="AK77" s="102"/>
      <c r="AL77" s="102"/>
      <c r="AM77" s="103"/>
      <c r="AN77" s="35"/>
      <c r="AO77" s="35"/>
      <c r="AP77" s="96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</row>
    <row r="78" spans="1:54" ht="15" customHeight="1">
      <c r="A78" s="110"/>
      <c r="B78" s="110"/>
      <c r="C78" s="110"/>
      <c r="D78" s="130" t="str">
        <f>IF(MasterSheet!$A$1=1,MasterSheet!C130,MasterSheet!B130)</f>
        <v>Transferi pojedincima</v>
      </c>
      <c r="E78" s="345">
        <f>+'Cental Budget_int'!E78</f>
        <v>20245306.579999998</v>
      </c>
      <c r="F78" s="137">
        <f>+'Cental Budget_int'!F78</f>
        <v>0.94212418353576233</v>
      </c>
      <c r="G78" s="345">
        <f>+'Cental Budget_int'!G78</f>
        <v>16556151.310000001</v>
      </c>
      <c r="H78" s="138">
        <f>+'Cental Budget_int'!H78</f>
        <v>0.61765160641671335</v>
      </c>
      <c r="I78" s="345">
        <f>+'Cental Budget_int'!I78</f>
        <v>16902417.300000001</v>
      </c>
      <c r="J78" s="137">
        <f>+'Cental Budget_int'!J78</f>
        <v>0.54778381190044079</v>
      </c>
      <c r="K78" s="345">
        <f>+'Cental Budget_int'!K78</f>
        <v>0</v>
      </c>
      <c r="L78" s="138">
        <f>+'Cental Budget_int'!L78</f>
        <v>0</v>
      </c>
      <c r="M78" s="345">
        <f>+'Cental Budget_int'!M78</f>
        <v>15666835.189999999</v>
      </c>
      <c r="N78" s="137">
        <f>+'Cental Budget_int'!N78</f>
        <v>0.50473051514175249</v>
      </c>
      <c r="O78" s="345">
        <f>+'Cental Budget_int'!O78</f>
        <v>13244846.4</v>
      </c>
      <c r="P78" s="138">
        <f>+'Cental Budget_int'!P78</f>
        <v>0.40954998144712429</v>
      </c>
      <c r="Q78" s="492">
        <f>+'Cental Budget_int'!Q78</f>
        <v>12608423.289999999</v>
      </c>
      <c r="R78" s="493">
        <f>+'Cental Budget_int'!R78</f>
        <v>0.40039451540171478</v>
      </c>
      <c r="S78" s="492">
        <f>+'Cental Budget_int'!S78</f>
        <v>18419600</v>
      </c>
      <c r="T78" s="493">
        <f>+'Cental Budget_int'!T78</f>
        <v>0.52373045208984925</v>
      </c>
      <c r="U78" s="492">
        <f>+'Cental Budget_int'!U78</f>
        <v>18419600</v>
      </c>
      <c r="V78" s="493">
        <f>+'Cental Budget_int'!V78</f>
        <v>0.52373045208984925</v>
      </c>
      <c r="W78" s="492">
        <f>+'Cental Budget_int'!W78</f>
        <v>0</v>
      </c>
      <c r="X78" s="493">
        <f>+'Cental Budget_int'!X78</f>
        <v>0</v>
      </c>
      <c r="Y78" s="120"/>
      <c r="Z78" s="120"/>
      <c r="AA78" s="120"/>
      <c r="AB78" s="120"/>
      <c r="AC78" s="120"/>
      <c r="AD78" s="120"/>
      <c r="AE78" s="120"/>
      <c r="AF78" s="120"/>
      <c r="AG78" s="120"/>
      <c r="AH78" s="120"/>
      <c r="AI78" s="102"/>
      <c r="AJ78" s="102"/>
      <c r="AK78" s="102"/>
      <c r="AL78" s="102"/>
      <c r="AM78" s="103"/>
      <c r="AN78" s="35"/>
      <c r="AO78" s="35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</row>
    <row r="79" spans="1:54" ht="15" customHeight="1">
      <c r="A79" s="110"/>
      <c r="B79" s="110"/>
      <c r="C79" s="110"/>
      <c r="D79" s="130" t="str">
        <f>IF(MasterSheet!$A$1=1,MasterSheet!C131,MasterSheet!B131)</f>
        <v>Transferi opštinama</v>
      </c>
      <c r="E79" s="345">
        <f>+'Cental Budget_int'!E79</f>
        <v>0</v>
      </c>
      <c r="F79" s="137">
        <f>+'Cental Budget_int'!F79</f>
        <v>0</v>
      </c>
      <c r="G79" s="345">
        <f>+'Cental Budget_int'!G79</f>
        <v>2094166.36</v>
      </c>
      <c r="H79" s="138">
        <f>+'Cental Budget_int'!H79</f>
        <v>7.8125960082074244E-2</v>
      </c>
      <c r="I79" s="345">
        <f>+'Cental Budget_int'!I79</f>
        <v>2285399.7000000002</v>
      </c>
      <c r="J79" s="137">
        <f>+'Cental Budget_int'!J79</f>
        <v>7.4066622374902788E-2</v>
      </c>
      <c r="K79" s="345">
        <f>+'Cental Budget_int'!K79</f>
        <v>0</v>
      </c>
      <c r="L79" s="138">
        <f>+'Cental Budget_int'!L79</f>
        <v>0</v>
      </c>
      <c r="M79" s="345">
        <f>+'Cental Budget_int'!M79</f>
        <v>903588.07</v>
      </c>
      <c r="N79" s="137">
        <f>+'Cental Budget_int'!N79</f>
        <v>2.911044039948453E-2</v>
      </c>
      <c r="O79" s="345">
        <f>+'Cental Budget_int'!O79</f>
        <v>1067088.02</v>
      </c>
      <c r="P79" s="138">
        <f>+'Cental Budget_int'!P79</f>
        <v>3.2995918985776126E-2</v>
      </c>
      <c r="Q79" s="492">
        <f>+'Cental Budget_int'!Q79</f>
        <v>847020.99</v>
      </c>
      <c r="R79" s="493">
        <f>+'Cental Budget_int'!R79</f>
        <v>2.6898094315655763E-2</v>
      </c>
      <c r="S79" s="492">
        <f>+'Cental Budget_int'!S79</f>
        <v>250000</v>
      </c>
      <c r="T79" s="493">
        <f>+'Cental Budget_int'!T79</f>
        <v>7.1083309638896785E-3</v>
      </c>
      <c r="U79" s="492">
        <f>+'Cental Budget_int'!U79</f>
        <v>250000</v>
      </c>
      <c r="V79" s="493">
        <f>+'Cental Budget_int'!V79</f>
        <v>7.1083309638896785E-3</v>
      </c>
      <c r="W79" s="492">
        <f>+'Cental Budget_int'!W79</f>
        <v>0</v>
      </c>
      <c r="X79" s="493">
        <f>+'Cental Budget_int'!X79</f>
        <v>0</v>
      </c>
      <c r="Y79" s="120"/>
      <c r="Z79" s="120"/>
      <c r="AA79" s="120"/>
      <c r="AB79" s="120"/>
      <c r="AC79" s="120"/>
      <c r="AD79" s="120"/>
      <c r="AE79" s="120"/>
      <c r="AF79" s="120"/>
      <c r="AG79" s="120"/>
      <c r="AH79" s="120"/>
      <c r="AI79" s="102"/>
      <c r="AJ79" s="102"/>
      <c r="AK79" s="102"/>
      <c r="AL79" s="102"/>
      <c r="AM79" s="103"/>
      <c r="AN79" s="37"/>
      <c r="AO79" s="37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</row>
    <row r="80" spans="1:54" ht="15" customHeight="1" thickBot="1">
      <c r="A80" s="110"/>
      <c r="B80" s="110"/>
      <c r="C80" s="110"/>
      <c r="D80" s="130" t="str">
        <f>IF(MasterSheet!$A$1=1,MasterSheet!C132,MasterSheet!B132)</f>
        <v>Transferi javnim preduzećima</v>
      </c>
      <c r="E80" s="345">
        <f>+'Cental Budget_int'!E80</f>
        <v>0</v>
      </c>
      <c r="F80" s="137">
        <f>+'Cental Budget_int'!F80</f>
        <v>0</v>
      </c>
      <c r="G80" s="345">
        <f>+'Cental Budget_int'!G80</f>
        <v>958555.33</v>
      </c>
      <c r="H80" s="138">
        <f>+'Cental Budget_int'!H80</f>
        <v>3.5760318224211898E-2</v>
      </c>
      <c r="I80" s="345">
        <f>+'Cental Budget_int'!I80</f>
        <v>50000</v>
      </c>
      <c r="J80" s="137">
        <f>+'Cental Budget_int'!J80</f>
        <v>1.6204303863106039E-3</v>
      </c>
      <c r="K80" s="345">
        <f>+'Cental Budget_int'!K80</f>
        <v>0</v>
      </c>
      <c r="L80" s="138">
        <f>+'Cental Budget_int'!L80</f>
        <v>0</v>
      </c>
      <c r="M80" s="345">
        <f>+'Cental Budget_int'!M80</f>
        <v>0</v>
      </c>
      <c r="N80" s="137">
        <f>+'Cental Budget_int'!N80</f>
        <v>0</v>
      </c>
      <c r="O80" s="345">
        <f>+'Cental Budget_int'!O80</f>
        <v>0</v>
      </c>
      <c r="P80" s="138">
        <f>+'Cental Budget_int'!P80</f>
        <v>0</v>
      </c>
      <c r="Q80" s="492">
        <f>+'Cental Budget_int'!Q80</f>
        <v>0</v>
      </c>
      <c r="R80" s="493">
        <f>+'Cental Budget_int'!R80</f>
        <v>0</v>
      </c>
      <c r="S80" s="492">
        <f>+'Cental Budget_int'!S80</f>
        <v>0</v>
      </c>
      <c r="T80" s="493">
        <f>+'Cental Budget_int'!T80</f>
        <v>0</v>
      </c>
      <c r="U80" s="492">
        <f>+'Cental Budget_int'!U80</f>
        <v>0</v>
      </c>
      <c r="V80" s="493">
        <f>+'Cental Budget_int'!V80</f>
        <v>0</v>
      </c>
      <c r="W80" s="492">
        <f>+'Cental Budget_int'!W80</f>
        <v>0</v>
      </c>
      <c r="X80" s="493">
        <f>+'Cental Budget_int'!X80</f>
        <v>0</v>
      </c>
      <c r="Y80" s="120"/>
      <c r="Z80" s="120"/>
      <c r="AA80" s="120"/>
      <c r="AB80" s="120"/>
      <c r="AC80" s="120"/>
      <c r="AD80" s="120"/>
      <c r="AE80" s="120"/>
      <c r="AF80" s="120"/>
      <c r="AG80" s="120"/>
      <c r="AH80" s="120"/>
      <c r="AI80" s="102"/>
      <c r="AJ80" s="102"/>
      <c r="AK80" s="102"/>
      <c r="AL80" s="102"/>
      <c r="AM80" s="103"/>
      <c r="AN80" s="37"/>
      <c r="AO80" s="37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</row>
    <row r="81" spans="1:54" ht="15" customHeight="1" thickTop="1" thickBot="1">
      <c r="A81" s="110"/>
      <c r="B81" s="110"/>
      <c r="C81" s="110"/>
      <c r="D81" s="165" t="str">
        <f>IF(MasterSheet!$A$1=1,MasterSheet!C133,MasterSheet!B133)</f>
        <v>Kapitalni budžet</v>
      </c>
      <c r="E81" s="343">
        <f>+'Cental Budget_int'!E81</f>
        <v>0</v>
      </c>
      <c r="F81" s="166">
        <f>+'Cental Budget_int'!F81</f>
        <v>0</v>
      </c>
      <c r="G81" s="343">
        <f>+'Cental Budget_int'!G81</f>
        <v>82459238.990000024</v>
      </c>
      <c r="H81" s="167">
        <f>+'Cental Budget_int'!H81</f>
        <v>3.076263346017535</v>
      </c>
      <c r="I81" s="343">
        <f>+'Cental Budget_int'!I81</f>
        <v>73370859.459999993</v>
      </c>
      <c r="J81" s="166">
        <f>+'Cental Budget_int'!J81</f>
        <v>2.3778474027741763</v>
      </c>
      <c r="K81" s="343">
        <f>+'Cental Budget_int'!K81</f>
        <v>112364696.64</v>
      </c>
      <c r="L81" s="167">
        <f>+'Cental Budget_int'!L81</f>
        <v>3.7693625172760821</v>
      </c>
      <c r="M81" s="343">
        <f>+'Cental Budget_int'!M81</f>
        <v>63250368.810000002</v>
      </c>
      <c r="N81" s="166">
        <f>+'Cental Budget_int'!N81</f>
        <v>2.0377051807345361</v>
      </c>
      <c r="O81" s="343">
        <f>+'Cental Budget_int'!O81</f>
        <v>67115187.969999999</v>
      </c>
      <c r="P81" s="167">
        <f>+'Cental Budget_int'!P81</f>
        <v>2.0752995661719229</v>
      </c>
      <c r="Q81" s="488">
        <f>+'Cental Budget_int'!Q81</f>
        <v>58737973.279999994</v>
      </c>
      <c r="R81" s="489">
        <f>+'Cental Budget_int'!R81</f>
        <v>1.8652897199110827</v>
      </c>
      <c r="S81" s="488">
        <f>+'Cental Budget_int'!S81</f>
        <v>65639000</v>
      </c>
      <c r="T81" s="489">
        <f>+'Cental Budget_int'!T81</f>
        <v>1.8663349445550186</v>
      </c>
      <c r="U81" s="488">
        <f>+'Cental Budget_int'!U81</f>
        <v>65639000</v>
      </c>
      <c r="V81" s="489">
        <f>+'Cental Budget_int'!V81</f>
        <v>1.8663349445550186</v>
      </c>
      <c r="W81" s="488">
        <f>+'Cental Budget_int'!W81</f>
        <v>0</v>
      </c>
      <c r="X81" s="489">
        <f>+'Cental Budget_int'!X81</f>
        <v>0</v>
      </c>
      <c r="Y81" s="120"/>
      <c r="Z81" s="120"/>
      <c r="AA81" s="120"/>
      <c r="AB81" s="120"/>
      <c r="AC81" s="120"/>
      <c r="AD81" s="120"/>
      <c r="AE81" s="120"/>
      <c r="AF81" s="120"/>
      <c r="AG81" s="120"/>
      <c r="AH81" s="120"/>
      <c r="AI81" s="102"/>
      <c r="AJ81" s="102"/>
      <c r="AK81" s="102"/>
      <c r="AL81" s="102"/>
      <c r="AM81" s="103"/>
      <c r="AN81" s="37"/>
      <c r="AO81" s="37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</row>
    <row r="82" spans="1:54" ht="15" customHeight="1" thickTop="1">
      <c r="A82" s="110"/>
      <c r="B82" s="110"/>
      <c r="C82" s="110"/>
      <c r="D82" s="132" t="str">
        <f>IF(MasterSheet!$A$1=1,MasterSheet!C134,MasterSheet!B134)</f>
        <v>Pozajmice i krediti</v>
      </c>
      <c r="E82" s="344">
        <f>+'Cental Budget_int'!E82</f>
        <v>15376170.280000001</v>
      </c>
      <c r="F82" s="136">
        <f>+'Cental Budget_int'!F82</f>
        <v>0.71553679929266145</v>
      </c>
      <c r="G82" s="344">
        <f>+'Cental Budget_int'!G82</f>
        <v>7854938.71</v>
      </c>
      <c r="H82" s="135">
        <f>+'Cental Budget_int'!H82</f>
        <v>0.29304005633277375</v>
      </c>
      <c r="I82" s="344">
        <f>+'Cental Budget_int'!I82</f>
        <v>62542537.890000001</v>
      </c>
      <c r="J82" s="136">
        <f>+'Cental Budget_int'!J82</f>
        <v>2.026916576678766</v>
      </c>
      <c r="K82" s="344">
        <f>+'Cental Budget_int'!K82</f>
        <v>17652930.710000001</v>
      </c>
      <c r="L82" s="135">
        <f>+'Cental Budget_int'!L82</f>
        <v>0.59218150654142909</v>
      </c>
      <c r="M82" s="344">
        <f>+'Cental Budget_int'!M82</f>
        <v>4074638.38</v>
      </c>
      <c r="N82" s="136">
        <f>+'Cental Budget_int'!N82</f>
        <v>0.13127056636597936</v>
      </c>
      <c r="O82" s="344">
        <f>+'Cental Budget_int'!O82</f>
        <v>2091768.6</v>
      </c>
      <c r="P82" s="135">
        <f>+'Cental Budget_int'!P82</f>
        <v>6.4680538033395185E-2</v>
      </c>
      <c r="Q82" s="490">
        <f>+'Cental Budget_int'!Q82</f>
        <v>1775633.69</v>
      </c>
      <c r="R82" s="491">
        <f>+'Cental Budget_int'!R82</f>
        <v>5.6387224198158142E-2</v>
      </c>
      <c r="S82" s="490">
        <f>+'Cental Budget_int'!S82</f>
        <v>1720000</v>
      </c>
      <c r="T82" s="491">
        <f>+'Cental Budget_int'!T82</f>
        <v>4.8905317031560987E-2</v>
      </c>
      <c r="U82" s="490">
        <f>+'Cental Budget_int'!U82</f>
        <v>1820000</v>
      </c>
      <c r="V82" s="491">
        <f>+'Cental Budget_int'!V82</f>
        <v>5.1748649417116856E-2</v>
      </c>
      <c r="W82" s="490">
        <f>+'Cental Budget_int'!W82</f>
        <v>100000</v>
      </c>
      <c r="X82" s="491">
        <f>+'Cental Budget_int'!X82</f>
        <v>2.843332385555869E-3</v>
      </c>
      <c r="Y82" s="120"/>
      <c r="Z82" s="120"/>
      <c r="AA82" s="120"/>
      <c r="AB82" s="120"/>
      <c r="AC82" s="120"/>
      <c r="AD82" s="120"/>
      <c r="AE82" s="120"/>
      <c r="AF82" s="120"/>
      <c r="AG82" s="120"/>
      <c r="AH82" s="120"/>
      <c r="AI82" s="102"/>
      <c r="AJ82" s="102"/>
      <c r="AK82" s="102"/>
      <c r="AL82" s="102"/>
      <c r="AM82" s="103"/>
      <c r="AN82" s="37"/>
      <c r="AO82" s="37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</row>
    <row r="83" spans="1:54" ht="15" customHeight="1" thickBot="1">
      <c r="A83" s="110"/>
      <c r="B83" s="110"/>
      <c r="C83" s="110"/>
      <c r="D83" s="133" t="str">
        <f>IF(MasterSheet!$A$1=1,MasterSheet!C135,MasterSheet!B135)</f>
        <v>Rezerve</v>
      </c>
      <c r="E83" s="346">
        <f>+'Cental Budget_int'!E83</f>
        <v>27204434.309999999</v>
      </c>
      <c r="F83" s="139">
        <f>+'Cental Budget_int'!F83</f>
        <v>1.2659702317464749</v>
      </c>
      <c r="G83" s="346">
        <f>+'Cental Budget_int'!G83</f>
        <v>10844803.16</v>
      </c>
      <c r="H83" s="140">
        <f>+'Cental Budget_int'!H83</f>
        <v>0.40458135273269918</v>
      </c>
      <c r="I83" s="346">
        <f>+'Cental Budget_int'!I83</f>
        <v>12437562.109999999</v>
      </c>
      <c r="J83" s="139">
        <f>+'Cental Budget_int'!J83</f>
        <v>0.40308407149338865</v>
      </c>
      <c r="K83" s="346">
        <f>+'Cental Budget_int'!K83</f>
        <v>10901702.15</v>
      </c>
      <c r="L83" s="140">
        <f>+'Cental Budget_int'!L83</f>
        <v>0.36570621100301914</v>
      </c>
      <c r="M83" s="346">
        <f>+'Cental Budget_int'!M83</f>
        <v>12589952.310000001</v>
      </c>
      <c r="N83" s="139">
        <f>+'Cental Budget_int'!N83</f>
        <v>0.40560413369845366</v>
      </c>
      <c r="O83" s="346">
        <f>+'Cental Budget_int'!O83</f>
        <v>11789476.779999999</v>
      </c>
      <c r="P83" s="140">
        <f>+'Cental Budget_int'!P83</f>
        <v>0.36454782869511437</v>
      </c>
      <c r="Q83" s="494">
        <f>+'Cental Budget_int'!Q83</f>
        <v>18078018.460000001</v>
      </c>
      <c r="R83" s="495">
        <f>+'Cental Budget_int'!R83</f>
        <v>0.57408759796760878</v>
      </c>
      <c r="S83" s="494">
        <f>+'Cental Budget_int'!S83</f>
        <v>7356069.5800000001</v>
      </c>
      <c r="T83" s="495">
        <f>+'Cental Budget_int'!T83</f>
        <v>0.20915750867216376</v>
      </c>
      <c r="U83" s="494">
        <f>+'Cental Budget_int'!U83</f>
        <v>7356069.5800000001</v>
      </c>
      <c r="V83" s="495">
        <f>+'Cental Budget_int'!V83</f>
        <v>0.20915750867216376</v>
      </c>
      <c r="W83" s="494">
        <f>+'Cental Budget_int'!W83</f>
        <v>0</v>
      </c>
      <c r="X83" s="495">
        <f>+'Cental Budget_int'!X83</f>
        <v>0</v>
      </c>
      <c r="Y83" s="110"/>
      <c r="Z83" s="110"/>
      <c r="AA83" s="110"/>
      <c r="AB83" s="110"/>
      <c r="AC83" s="110"/>
      <c r="AD83" s="110"/>
      <c r="AE83" s="110"/>
      <c r="AF83" s="110"/>
      <c r="AG83" s="110"/>
      <c r="AH83" s="110"/>
      <c r="AM83" s="96"/>
      <c r="AN83" s="106"/>
      <c r="AO83" s="10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</row>
    <row r="84" spans="1:54" ht="15" customHeight="1" thickTop="1" thickBot="1">
      <c r="A84" s="110"/>
      <c r="B84" s="110"/>
      <c r="C84" s="110"/>
      <c r="D84" s="129" t="str">
        <f>IF(MasterSheet!$A$1=1,MasterSheet!C136,MasterSheet!B136)</f>
        <v>Neto povećanje obaveza</v>
      </c>
      <c r="E84" s="344">
        <f>+'Cental Budget_int'!E85</f>
        <v>0</v>
      </c>
      <c r="F84" s="136">
        <f>+'Cental Budget_int'!F85</f>
        <v>0</v>
      </c>
      <c r="G84" s="344">
        <f>+'Cental Budget_int'!G85</f>
        <v>0</v>
      </c>
      <c r="H84" s="570">
        <f>+'Cental Budget_int'!H85</f>
        <v>0</v>
      </c>
      <c r="I84" s="344">
        <f>+'Cental Budget_int'!I85</f>
        <v>0</v>
      </c>
      <c r="J84" s="136">
        <f>+'Cental Budget_int'!J85</f>
        <v>0</v>
      </c>
      <c r="K84" s="344">
        <f>+'Cental Budget_int'!K85</f>
        <v>29123695.350000001</v>
      </c>
      <c r="L84" s="135">
        <f>+'Cental Budget_int'!L85</f>
        <v>0.97697736833277427</v>
      </c>
      <c r="M84" s="344">
        <f>+'Cental Budget_int'!M85</f>
        <v>29801618.829999998</v>
      </c>
      <c r="N84" s="136">
        <f>+'Cental Budget_int'!N85</f>
        <v>0.9601036994201031</v>
      </c>
      <c r="O84" s="344">
        <f>+'Cental Budget_int'!O85</f>
        <v>29193708.800000001</v>
      </c>
      <c r="P84" s="135">
        <f>+'Cental Budget_int'!P85</f>
        <v>0.90271208410636994</v>
      </c>
      <c r="Q84" s="490">
        <f>+'Cental Budget_int'!Q85</f>
        <v>33114247.129999999</v>
      </c>
      <c r="R84" s="491">
        <f>+'Cental Budget_int'!R85</f>
        <v>1.0515797754842806</v>
      </c>
      <c r="S84" s="490">
        <f>+'Cental Budget_int'!S85</f>
        <v>0</v>
      </c>
      <c r="T84" s="491">
        <f>+'Cental Budget_int'!T85</f>
        <v>0</v>
      </c>
      <c r="U84" s="490">
        <f>+'Cental Budget_int'!U85</f>
        <v>0</v>
      </c>
      <c r="V84" s="491">
        <f>+'Cental Budget_int'!V85</f>
        <v>0</v>
      </c>
      <c r="W84" s="490">
        <f>+'Cental Budget_int'!W85</f>
        <v>0</v>
      </c>
      <c r="X84" s="491">
        <f>+'Cental Budget_int'!X85</f>
        <v>0</v>
      </c>
      <c r="Y84" s="110"/>
      <c r="Z84" s="110"/>
      <c r="AA84" s="110"/>
      <c r="AB84" s="110"/>
      <c r="AC84" s="110"/>
      <c r="AD84" s="110"/>
      <c r="AE84" s="110"/>
      <c r="AF84" s="110"/>
      <c r="AG84" s="110"/>
      <c r="AH84" s="110"/>
      <c r="AM84" s="96"/>
      <c r="AN84" s="104"/>
      <c r="AO84" s="98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96"/>
      <c r="BA84" s="96"/>
      <c r="BB84" s="96"/>
    </row>
    <row r="85" spans="1:54" ht="15" customHeight="1" thickTop="1" thickBot="1">
      <c r="A85" s="110"/>
      <c r="B85" s="110"/>
      <c r="C85" s="110"/>
      <c r="D85" s="165" t="str">
        <f>IF(MasterSheet!$A$1=1,MasterSheet!C137,MasterSheet!B137)</f>
        <v>Suficit/ Deficit</v>
      </c>
      <c r="E85" s="343">
        <f>E20-E52</f>
        <v>74239814.159999728</v>
      </c>
      <c r="F85" s="166">
        <f t="shared" ref="F85:F86" si="10">E85/$E$15*100</f>
        <v>3.4547821750663004</v>
      </c>
      <c r="G85" s="343">
        <f>G20-G52</f>
        <v>176962896.35999978</v>
      </c>
      <c r="H85" s="167">
        <f t="shared" ref="H85:H87" si="11">G85/$G$15*100</f>
        <v>6.6018614571908145</v>
      </c>
      <c r="I85" s="343">
        <f>I20-I52</f>
        <v>15169918.549999714</v>
      </c>
      <c r="J85" s="166">
        <f t="shared" ref="J85:J87" si="12">I85/$I$15*100</f>
        <v>0.4916359395255287</v>
      </c>
      <c r="K85" s="343">
        <f>K20-K52</f>
        <v>-101202735.75449991</v>
      </c>
      <c r="L85" s="167">
        <f t="shared" ref="L85:L87" si="13">K85/$K$15*100</f>
        <v>-3.3949257213854382</v>
      </c>
      <c r="M85" s="343">
        <f>M20-M52</f>
        <v>-82442212.529999733</v>
      </c>
      <c r="N85" s="166">
        <f t="shared" ref="N85:N87" si="14">M85/$M$15*100</f>
        <v>-2.6559991150128779</v>
      </c>
      <c r="O85" s="343">
        <f>O20-O52</f>
        <v>-126564722.23000002</v>
      </c>
      <c r="P85" s="167">
        <f t="shared" ref="P85:P87" si="15">O85/$O$15*100</f>
        <v>-3.9135659316635749</v>
      </c>
      <c r="Q85" s="488">
        <f>Q20-Q52</f>
        <v>-137722162.72000027</v>
      </c>
      <c r="R85" s="489">
        <f t="shared" ref="R85:R87" si="16">Q85/$Q$15*100</f>
        <v>-4.3735205690695542</v>
      </c>
      <c r="S85" s="488">
        <f>S20-S52</f>
        <v>-95315715.988766193</v>
      </c>
      <c r="T85" s="489">
        <f t="shared" ref="T85:T87" si="17">S85/$S$15*100</f>
        <v>-2.7101426212330448</v>
      </c>
      <c r="U85" s="488">
        <f>U20-U52</f>
        <v>-79868270.895499468</v>
      </c>
      <c r="V85" s="489">
        <f t="shared" ref="V85:V87" si="18">U85/$U$15*100</f>
        <v>-2.2709204121552307</v>
      </c>
      <c r="W85" s="488">
        <f>W20-W52</f>
        <v>15447445.093266726</v>
      </c>
      <c r="X85" s="489" t="e">
        <f t="shared" ref="X85:X87" si="19">+W85/$W$15*100</f>
        <v>#DIV/0!</v>
      </c>
      <c r="Y85" s="110"/>
      <c r="Z85" s="110"/>
      <c r="AA85" s="110"/>
      <c r="AB85" s="110"/>
      <c r="AC85" s="110"/>
      <c r="AD85" s="110"/>
      <c r="AE85" s="110"/>
      <c r="AF85" s="110"/>
      <c r="AG85" s="110"/>
      <c r="AH85" s="110"/>
      <c r="AM85" s="96"/>
      <c r="AN85" s="106"/>
      <c r="AO85" s="10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</row>
    <row r="86" spans="1:54" s="95" customFormat="1" ht="15" customHeight="1" thickTop="1" thickBot="1">
      <c r="A86" s="110"/>
      <c r="B86" s="110"/>
      <c r="C86" s="110"/>
      <c r="D86" s="165" t="str">
        <f>IF(MasterSheet!$A$1=1,MasterSheet!C138,MasterSheet!B138)</f>
        <v>Primarni deficit</v>
      </c>
      <c r="E86" s="343">
        <f>E85+E64</f>
        <v>97638808.219999731</v>
      </c>
      <c r="F86" s="166">
        <f t="shared" si="10"/>
        <v>4.5436645828097966</v>
      </c>
      <c r="G86" s="343">
        <f>G85+G64</f>
        <v>204061825.83999977</v>
      </c>
      <c r="H86" s="167">
        <f t="shared" si="11"/>
        <v>7.6128269293042257</v>
      </c>
      <c r="I86" s="343">
        <f>I85+I64</f>
        <v>37701912.389999717</v>
      </c>
      <c r="J86" s="166">
        <f t="shared" si="12"/>
        <v>1.2218664891755158</v>
      </c>
      <c r="K86" s="343">
        <f>K85+K64</f>
        <v>-76690707.114499912</v>
      </c>
      <c r="L86" s="167">
        <f t="shared" si="13"/>
        <v>-2.5726503560717853</v>
      </c>
      <c r="M86" s="343">
        <f>M85+M64</f>
        <v>-52185934.059999734</v>
      </c>
      <c r="N86" s="166">
        <f t="shared" si="14"/>
        <v>-1.6812478756443212</v>
      </c>
      <c r="O86" s="343">
        <f>O85+O64</f>
        <v>-81472372.200000018</v>
      </c>
      <c r="P86" s="167">
        <f t="shared" si="15"/>
        <v>-2.5192446567718001</v>
      </c>
      <c r="Q86" s="488">
        <f>Q85+Q64</f>
        <v>-80862308.180000275</v>
      </c>
      <c r="R86" s="489">
        <f t="shared" si="16"/>
        <v>-2.5678726001905452</v>
      </c>
      <c r="S86" s="488">
        <f>S85+S64</f>
        <v>-24912108.688766196</v>
      </c>
      <c r="T86" s="489">
        <f t="shared" si="17"/>
        <v>-0.70833405427256735</v>
      </c>
      <c r="U86" s="488">
        <f>U85+U64</f>
        <v>-9464663.5954994708</v>
      </c>
      <c r="V86" s="489">
        <f t="shared" si="18"/>
        <v>-0.26911184519475323</v>
      </c>
      <c r="W86" s="488">
        <f>W85+W64</f>
        <v>15447445.093266726</v>
      </c>
      <c r="X86" s="489" t="e">
        <f t="shared" si="19"/>
        <v>#DIV/0!</v>
      </c>
      <c r="Y86" s="110"/>
      <c r="Z86" s="110"/>
      <c r="AA86" s="110"/>
      <c r="AB86" s="110"/>
      <c r="AC86" s="110"/>
      <c r="AD86" s="110"/>
      <c r="AE86" s="110"/>
      <c r="AF86" s="110"/>
      <c r="AG86" s="110"/>
      <c r="AH86" s="110"/>
      <c r="AM86" s="94"/>
      <c r="AN86" s="107"/>
      <c r="AO86" s="98"/>
      <c r="AP86" s="94"/>
      <c r="AQ86" s="94"/>
      <c r="AR86" s="94"/>
      <c r="AS86" s="94"/>
      <c r="AT86" s="94"/>
      <c r="AU86" s="94"/>
      <c r="AV86" s="94"/>
      <c r="AW86" s="94"/>
      <c r="AX86" s="94"/>
      <c r="AY86" s="94"/>
      <c r="AZ86" s="94"/>
      <c r="BA86" s="94"/>
      <c r="BB86" s="94"/>
    </row>
    <row r="87" spans="1:54" s="95" customFormat="1" ht="15" customHeight="1" thickTop="1" thickBot="1">
      <c r="A87" s="110"/>
      <c r="B87" s="110"/>
      <c r="C87" s="110"/>
      <c r="D87" s="165" t="str">
        <f>IF(MasterSheet!$A$1=1,MasterSheet!C139,MasterSheet!B139)</f>
        <v>Otplata duga</v>
      </c>
      <c r="E87" s="343">
        <f>SUM(E88:E91)</f>
        <v>105096805.39999999</v>
      </c>
      <c r="F87" s="166">
        <f>E87/$E$15*100</f>
        <v>4.8907257387500573</v>
      </c>
      <c r="G87" s="343">
        <f>SUM(G88:G91)</f>
        <v>160963531.41999999</v>
      </c>
      <c r="H87" s="167">
        <f t="shared" si="11"/>
        <v>6.0049815862712181</v>
      </c>
      <c r="I87" s="343">
        <f>SUM(I88:I91)</f>
        <v>122913293.86</v>
      </c>
      <c r="J87" s="166">
        <f t="shared" si="12"/>
        <v>3.9834487250453723</v>
      </c>
      <c r="K87" s="343">
        <f>SUM(K88:K91)</f>
        <v>152990050.26000002</v>
      </c>
      <c r="L87" s="167">
        <f t="shared" si="13"/>
        <v>5.1321720986246229</v>
      </c>
      <c r="M87" s="343">
        <f>SUM(M88:M91)</f>
        <v>186013130.75999999</v>
      </c>
      <c r="N87" s="166">
        <f t="shared" si="14"/>
        <v>5.9926910682989689</v>
      </c>
      <c r="O87" s="343">
        <f>SUM(O88:O91)</f>
        <v>166682910.57999998</v>
      </c>
      <c r="P87" s="167">
        <f t="shared" si="15"/>
        <v>5.1540788676561524</v>
      </c>
      <c r="Q87" s="488">
        <f>SUM(Q88:Q91)</f>
        <v>160159317.06</v>
      </c>
      <c r="R87" s="489">
        <f t="shared" si="16"/>
        <v>5.0860373788504294</v>
      </c>
      <c r="S87" s="488">
        <f>SUM(S88:S91)</f>
        <v>118677132</v>
      </c>
      <c r="T87" s="489">
        <f t="shared" si="17"/>
        <v>3.3743853284048906</v>
      </c>
      <c r="U87" s="488">
        <f>SUM(U88:U91)</f>
        <v>118677132</v>
      </c>
      <c r="V87" s="489">
        <f t="shared" si="18"/>
        <v>3.3743853284048906</v>
      </c>
      <c r="W87" s="488">
        <f>SUM(W88:W91)</f>
        <v>0</v>
      </c>
      <c r="X87" s="489" t="e">
        <f t="shared" si="19"/>
        <v>#DIV/0!</v>
      </c>
      <c r="Y87" s="110"/>
      <c r="Z87" s="110"/>
      <c r="AA87" s="110"/>
      <c r="AB87" s="110"/>
      <c r="AC87" s="110"/>
      <c r="AD87" s="110"/>
      <c r="AE87" s="110"/>
      <c r="AF87" s="110"/>
      <c r="AG87" s="110"/>
      <c r="AH87" s="110"/>
      <c r="AM87" s="94"/>
      <c r="AN87" s="107"/>
      <c r="AO87" s="98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4"/>
      <c r="BB87" s="94"/>
    </row>
    <row r="88" spans="1:54" s="95" customFormat="1" ht="15" customHeight="1" thickTop="1">
      <c r="A88" s="110"/>
      <c r="B88" s="110"/>
      <c r="C88" s="110"/>
      <c r="D88" s="130" t="str">
        <f>IF(MasterSheet!$A$1=1,MasterSheet!C140,MasterSheet!B140)</f>
        <v>Otplata duga rezidentima</v>
      </c>
      <c r="E88" s="345">
        <f>+'Cental Budget_int'!E89</f>
        <v>34109764.159999996</v>
      </c>
      <c r="F88" s="137">
        <f>+'Cental Budget_int'!F89</f>
        <v>1.5873127721159661</v>
      </c>
      <c r="G88" s="345">
        <f>+'Cental Budget_int'!G89</f>
        <v>23247139.440000001</v>
      </c>
      <c r="H88" s="138">
        <f>+'Cental Budget_int'!H89</f>
        <v>0.86726877224398446</v>
      </c>
      <c r="I88" s="345">
        <f>+'Cental Budget_int'!I89</f>
        <v>48375025.880000003</v>
      </c>
      <c r="J88" s="137">
        <f>+'Cental Budget_int'!J89</f>
        <v>1.5677672374902776</v>
      </c>
      <c r="K88" s="345">
        <f>+'Cental Budget_int'!K89</f>
        <v>68898727.290000007</v>
      </c>
      <c r="L88" s="138">
        <f>+'Cental Budget_int'!L89</f>
        <v>2.3112622371687355</v>
      </c>
      <c r="M88" s="345">
        <f>+'Cental Budget_int'!M89</f>
        <v>56807566.530000001</v>
      </c>
      <c r="N88" s="137">
        <f>+'Cental Budget_int'!N89</f>
        <v>1.8301406742912374</v>
      </c>
      <c r="O88" s="345">
        <f>+'Cental Budget_int'!O89</f>
        <v>31950887.579999998</v>
      </c>
      <c r="P88" s="138">
        <f>+'Cental Budget_int'!P89</f>
        <v>0.98796807606679038</v>
      </c>
      <c r="Q88" s="492">
        <f>+'Cental Budget_int'!Q89</f>
        <v>77940832.650000006</v>
      </c>
      <c r="R88" s="493">
        <f>+'Cental Budget_int'!R89</f>
        <v>2.4750978929818994</v>
      </c>
      <c r="S88" s="492">
        <f>+'Cental Budget_int'!S89</f>
        <v>23800000</v>
      </c>
      <c r="T88" s="493">
        <f>+'Cental Budget_int'!T89</f>
        <v>0.67671310776229743</v>
      </c>
      <c r="U88" s="492">
        <f>+'Cental Budget_int'!U89</f>
        <v>23800000</v>
      </c>
      <c r="V88" s="493">
        <f>+'Cental Budget_int'!V89</f>
        <v>0.67671310776229743</v>
      </c>
      <c r="W88" s="492">
        <f>+'Cental Budget_int'!W89</f>
        <v>0</v>
      </c>
      <c r="X88" s="493">
        <f>+'Cental Budget_int'!X89</f>
        <v>0</v>
      </c>
      <c r="Y88" s="110"/>
      <c r="Z88" s="110"/>
      <c r="AA88" s="110"/>
      <c r="AB88" s="122"/>
      <c r="AC88" s="110"/>
      <c r="AD88" s="110"/>
      <c r="AE88" s="110"/>
      <c r="AF88" s="110"/>
      <c r="AG88" s="110"/>
      <c r="AH88" s="110"/>
      <c r="AM88" s="94"/>
      <c r="AN88" s="107"/>
      <c r="AO88" s="98"/>
      <c r="AP88" s="94"/>
      <c r="AQ88" s="94"/>
      <c r="AR88" s="94"/>
      <c r="AS88" s="94"/>
      <c r="AT88" s="94"/>
      <c r="AU88" s="94"/>
      <c r="AV88" s="94"/>
      <c r="AW88" s="94"/>
      <c r="AX88" s="94"/>
      <c r="AY88" s="94"/>
      <c r="AZ88" s="94"/>
      <c r="BA88" s="94"/>
      <c r="BB88" s="94"/>
    </row>
    <row r="89" spans="1:54" s="95" customFormat="1" ht="15" customHeight="1">
      <c r="A89" s="110"/>
      <c r="B89" s="110"/>
      <c r="C89" s="110"/>
      <c r="D89" s="130" t="str">
        <f>IF(MasterSheet!$A$1=1,MasterSheet!C141,MasterSheet!B141)</f>
        <v>Otplata duga nerezidentima</v>
      </c>
      <c r="E89" s="345">
        <f>+'Cental Budget_int'!E90</f>
        <v>14260035.939999999</v>
      </c>
      <c r="F89" s="137">
        <f>+'Cental Budget_int'!F90</f>
        <v>0.66359700032574798</v>
      </c>
      <c r="G89" s="345">
        <f>+'Cental Budget_int'!G90</f>
        <v>84151518.439999998</v>
      </c>
      <c r="H89" s="138">
        <f>+'Cental Budget_int'!H90</f>
        <v>3.1393963230740534</v>
      </c>
      <c r="I89" s="345">
        <f>+'Cental Budget_int'!I90</f>
        <v>16762329.57</v>
      </c>
      <c r="J89" s="137">
        <f>+'Cental Budget_int'!J90</f>
        <v>0.5432437636116153</v>
      </c>
      <c r="K89" s="345">
        <f>+'Cental Budget_int'!K90</f>
        <v>25402765.82</v>
      </c>
      <c r="L89" s="138">
        <f>+'Cental Budget_int'!L90</f>
        <v>0.8521558477021135</v>
      </c>
      <c r="M89" s="345">
        <f>+'Cental Budget_int'!M90</f>
        <v>45342776.32</v>
      </c>
      <c r="N89" s="137">
        <f>+'Cental Budget_int'!N90</f>
        <v>1.4607853195876288</v>
      </c>
      <c r="O89" s="345">
        <f>+'Cental Budget_int'!O90</f>
        <v>59510365.689999998</v>
      </c>
      <c r="P89" s="138">
        <f>+'Cental Budget_int'!P90</f>
        <v>1.8401473620902906</v>
      </c>
      <c r="Q89" s="492">
        <f>+'Cental Budget_int'!Q90</f>
        <v>54874811.390000001</v>
      </c>
      <c r="R89" s="493">
        <f>+'Cental Budget_int'!R90</f>
        <v>1.7426107141949827</v>
      </c>
      <c r="S89" s="492">
        <f>+'Cental Budget_int'!S90</f>
        <v>62700000</v>
      </c>
      <c r="T89" s="493">
        <f>+'Cental Budget_int'!T90</f>
        <v>1.7827694057435315</v>
      </c>
      <c r="U89" s="492">
        <f>+'Cental Budget_int'!U90</f>
        <v>62700000</v>
      </c>
      <c r="V89" s="493">
        <f>+'Cental Budget_int'!V90</f>
        <v>1.7827694057435315</v>
      </c>
      <c r="W89" s="492">
        <f>+'Cental Budget_int'!W90</f>
        <v>0</v>
      </c>
      <c r="X89" s="493">
        <f>+'Cental Budget_int'!X90</f>
        <v>0</v>
      </c>
      <c r="Y89" s="110"/>
      <c r="Z89" s="110"/>
      <c r="AA89" s="110"/>
      <c r="AB89" s="110"/>
      <c r="AC89" s="110"/>
      <c r="AD89" s="110"/>
      <c r="AE89" s="110"/>
      <c r="AF89" s="110"/>
      <c r="AG89" s="110"/>
      <c r="AH89" s="110"/>
      <c r="AM89" s="94"/>
      <c r="AN89" s="107"/>
      <c r="AO89" s="98"/>
      <c r="AP89" s="94"/>
      <c r="AQ89" s="94"/>
      <c r="AR89" s="94"/>
      <c r="AS89" s="94"/>
      <c r="AT89" s="94"/>
      <c r="AU89" s="94"/>
      <c r="AV89" s="94"/>
      <c r="AW89" s="94"/>
      <c r="AX89" s="94"/>
      <c r="AY89" s="94"/>
      <c r="AZ89" s="94"/>
      <c r="BA89" s="94"/>
      <c r="BB89" s="94"/>
    </row>
    <row r="90" spans="1:54" s="95" customFormat="1" ht="15" customHeight="1">
      <c r="A90" s="110"/>
      <c r="B90" s="110"/>
      <c r="C90" s="110"/>
      <c r="D90" s="130" t="str">
        <f>IF(MasterSheet!$A$1=1,MasterSheet!C142,MasterSheet!B142)</f>
        <v>Otplata obaveza iz prethodnog perioda</v>
      </c>
      <c r="E90" s="345">
        <f>+'Cental Budget_int'!E91</f>
        <v>55676065.859999999</v>
      </c>
      <c r="F90" s="137">
        <f>+'Cental Budget_int'!F91</f>
        <v>2.5909100404858298</v>
      </c>
      <c r="G90" s="345">
        <f>+'Cental Budget_int'!G91</f>
        <v>53564873.539999999</v>
      </c>
      <c r="H90" s="138">
        <f>+'Cental Budget_int'!H91</f>
        <v>1.9983164909531801</v>
      </c>
      <c r="I90" s="345">
        <f>+'Cental Budget_int'!I91</f>
        <v>57775938.409999996</v>
      </c>
      <c r="J90" s="137">
        <f>+'Cental Budget_int'!J91</f>
        <v>1.8724377239434791</v>
      </c>
      <c r="K90" s="345">
        <f>+'Cental Budget_int'!K91</f>
        <v>56919463.310000002</v>
      </c>
      <c r="L90" s="138">
        <f>+'Cental Budget_int'!L91</f>
        <v>1.909408363300906</v>
      </c>
      <c r="M90" s="345">
        <f>+'Cental Budget_int'!M91</f>
        <v>83862787.909999996</v>
      </c>
      <c r="N90" s="137">
        <f>+'Cental Budget_int'!N91</f>
        <v>2.7017650744201029</v>
      </c>
      <c r="O90" s="345">
        <f>+'Cental Budget_int'!O91</f>
        <v>41306493.93</v>
      </c>
      <c r="P90" s="138">
        <f>+'Cental Budget_int'!P91</f>
        <v>1.2772570788497217</v>
      </c>
      <c r="Q90" s="492">
        <f>+'Cental Budget_int'!Q91</f>
        <v>2623840.39</v>
      </c>
      <c r="R90" s="493">
        <f>+'Cental Budget_int'!R91</f>
        <v>8.3322972054620512E-2</v>
      </c>
      <c r="S90" s="492">
        <f>+'Cental Budget_int'!S91</f>
        <v>32177132</v>
      </c>
      <c r="T90" s="493">
        <f>+'Cental Budget_int'!T91</f>
        <v>0.91490281489906167</v>
      </c>
      <c r="U90" s="492">
        <f>+'Cental Budget_int'!U91</f>
        <v>32177132</v>
      </c>
      <c r="V90" s="493">
        <f>+'Cental Budget_int'!V91</f>
        <v>0.91490281489906167</v>
      </c>
      <c r="W90" s="492">
        <f>+'Cental Budget_int'!W91</f>
        <v>0</v>
      </c>
      <c r="X90" s="619">
        <f>+'Cental Budget_int'!X91</f>
        <v>0</v>
      </c>
      <c r="Y90" s="110"/>
      <c r="Z90" s="110"/>
      <c r="AA90" s="110"/>
      <c r="AB90" s="110"/>
      <c r="AC90" s="110"/>
      <c r="AD90" s="110"/>
      <c r="AE90" s="110"/>
      <c r="AF90" s="110"/>
      <c r="AG90" s="110"/>
      <c r="AH90" s="110"/>
      <c r="AM90" s="94"/>
      <c r="AN90" s="107"/>
      <c r="AO90" s="98"/>
      <c r="AP90" s="94"/>
      <c r="AQ90" s="94"/>
      <c r="AR90" s="94"/>
      <c r="AS90" s="94"/>
      <c r="AT90" s="94"/>
      <c r="AU90" s="94"/>
      <c r="AV90" s="94"/>
      <c r="AW90" s="94"/>
      <c r="AX90" s="94"/>
      <c r="AY90" s="94"/>
      <c r="AZ90" s="94"/>
      <c r="BA90" s="94"/>
      <c r="BB90" s="94"/>
    </row>
    <row r="91" spans="1:54" s="95" customFormat="1" ht="15" customHeight="1" thickBot="1">
      <c r="A91" s="110"/>
      <c r="B91" s="110"/>
      <c r="C91" s="110"/>
      <c r="D91" s="613" t="str">
        <f>IF(MasterSheet!$A$1=1,MasterSheet!C143,MasterSheet!B143)</f>
        <v>Otplata garancija</v>
      </c>
      <c r="E91" s="614">
        <f>+'Cental Budget_int'!E84</f>
        <v>1050939.44</v>
      </c>
      <c r="F91" s="615">
        <f>+'Cental Budget_int'!F84</f>
        <v>4.8905925822513845E-2</v>
      </c>
      <c r="G91" s="614">
        <f>+'Cental Budget_int'!G84</f>
        <v>0</v>
      </c>
      <c r="H91" s="616">
        <f>+'Cental Budget_int'!H84</f>
        <v>0</v>
      </c>
      <c r="I91" s="614">
        <f>+'Cental Budget_int'!I84</f>
        <v>0</v>
      </c>
      <c r="J91" s="615">
        <f>+'Cental Budget_int'!J84</f>
        <v>0</v>
      </c>
      <c r="K91" s="614">
        <f>+'Cental Budget_int'!K84</f>
        <v>1769093.84</v>
      </c>
      <c r="L91" s="616">
        <f>+'Cental Budget_int'!L84</f>
        <v>5.9345650452868166E-2</v>
      </c>
      <c r="M91" s="614">
        <f>+'Cental Budget_int'!M84</f>
        <v>0</v>
      </c>
      <c r="N91" s="615">
        <f>+'Cental Budget_int'!N84</f>
        <v>0</v>
      </c>
      <c r="O91" s="614">
        <f>+'Cental Budget_int'!O84</f>
        <v>33915163.380000003</v>
      </c>
      <c r="P91" s="616">
        <f>+'Cental Budget_int'!P84</f>
        <v>1.0487063506493508</v>
      </c>
      <c r="Q91" s="617">
        <f>+'Cental Budget_int'!Q84</f>
        <v>24719832.629999999</v>
      </c>
      <c r="R91" s="618">
        <f>+'Cental Budget_int'!R84</f>
        <v>0.78500579961892658</v>
      </c>
      <c r="S91" s="617">
        <f>+'Cental Budget_int'!S84</f>
        <v>0</v>
      </c>
      <c r="T91" s="618">
        <f>+'Cental Budget_int'!T84</f>
        <v>0</v>
      </c>
      <c r="U91" s="617">
        <f>+'Cental Budget_int'!U84</f>
        <v>0</v>
      </c>
      <c r="V91" s="618">
        <f>+'Cental Budget_int'!V84</f>
        <v>0</v>
      </c>
      <c r="W91" s="617">
        <f>+'Cental Budget_int'!W84</f>
        <v>0</v>
      </c>
      <c r="X91" s="618">
        <f>+'Cental Budget_int'!X84</f>
        <v>0</v>
      </c>
      <c r="Y91" s="110"/>
      <c r="Z91" s="110"/>
      <c r="AA91" s="110"/>
      <c r="AB91" s="110"/>
      <c r="AC91" s="110"/>
      <c r="AD91" s="110"/>
      <c r="AE91" s="110"/>
      <c r="AF91" s="110"/>
      <c r="AG91" s="110"/>
      <c r="AH91" s="110"/>
      <c r="AM91" s="94"/>
      <c r="AN91" s="107"/>
      <c r="AO91" s="98"/>
      <c r="AP91" s="94"/>
      <c r="AQ91" s="94"/>
      <c r="AR91" s="94"/>
      <c r="AS91" s="94"/>
      <c r="AT91" s="94"/>
      <c r="AU91" s="94"/>
      <c r="AV91" s="94"/>
      <c r="AW91" s="94"/>
      <c r="AX91" s="94"/>
      <c r="AY91" s="94"/>
      <c r="AZ91" s="94"/>
      <c r="BA91" s="94"/>
      <c r="BB91" s="94"/>
    </row>
    <row r="92" spans="1:54" ht="15" customHeight="1" thickTop="1" thickBot="1">
      <c r="A92" s="110"/>
      <c r="B92" s="110"/>
      <c r="C92" s="110"/>
      <c r="D92" s="165" t="str">
        <f>IF(MasterSheet!$A$1=1,MasterSheet!C144,MasterSheet!B144)</f>
        <v>Nedostajuća sredstva</v>
      </c>
      <c r="E92" s="343">
        <f>E85-E87</f>
        <v>-30856991.240000263</v>
      </c>
      <c r="F92" s="166">
        <f t="shared" ref="F92:F98" si="20">E92/$E$15*100</f>
        <v>-1.4359435636837574</v>
      </c>
      <c r="G92" s="343">
        <f>G85-G87</f>
        <v>15999364.939999789</v>
      </c>
      <c r="H92" s="167">
        <f t="shared" ref="H92:H98" si="21">G92/$G$15*100</f>
        <v>0.59687987091959671</v>
      </c>
      <c r="I92" s="343">
        <f>I85-I87</f>
        <v>-107743375.31000029</v>
      </c>
      <c r="J92" s="166">
        <f t="shared" ref="J92:J98" si="22">I92/$I$15*100</f>
        <v>-3.4918127855198433</v>
      </c>
      <c r="K92" s="343">
        <f>K85-K87</f>
        <v>-254192786.01449993</v>
      </c>
      <c r="L92" s="167">
        <f t="shared" ref="L92:L98" si="23">K92/$K$15*100</f>
        <v>-8.5270978200100611</v>
      </c>
      <c r="M92" s="343">
        <f>M85-M87</f>
        <v>-268455343.28999972</v>
      </c>
      <c r="N92" s="166">
        <f t="shared" ref="N92:N98" si="24">M92/$M$15*100</f>
        <v>-8.6486901833118459</v>
      </c>
      <c r="O92" s="343">
        <f>O85-O87</f>
        <v>-293247632.81</v>
      </c>
      <c r="P92" s="167">
        <f t="shared" ref="P92:P98" si="25">O92/$O$15*100</f>
        <v>-9.0676447993197282</v>
      </c>
      <c r="Q92" s="488">
        <f>Q85-Q87</f>
        <v>-297881479.78000027</v>
      </c>
      <c r="R92" s="489">
        <f t="shared" ref="R92:R98" si="26">Q92/$Q$15*100</f>
        <v>-9.4595579479199827</v>
      </c>
      <c r="S92" s="488">
        <f>S85-S87</f>
        <v>-213992847.98876619</v>
      </c>
      <c r="T92" s="489">
        <f t="shared" ref="T92:T98" si="27">S92/$S$15*100</f>
        <v>-6.0845279496379359</v>
      </c>
      <c r="U92" s="488">
        <f>U85-U87</f>
        <v>-198545402.89549947</v>
      </c>
      <c r="V92" s="489">
        <f t="shared" ref="V92:V98" si="28">U92/$U$15*100</f>
        <v>-5.6453057405601212</v>
      </c>
      <c r="W92" s="488">
        <f>W85-W87</f>
        <v>15447445.093266726</v>
      </c>
      <c r="X92" s="489" t="e">
        <f t="shared" ref="X92:X98" si="29">+W92/$W$15*100</f>
        <v>#DIV/0!</v>
      </c>
      <c r="Y92" s="110"/>
      <c r="Z92" s="110"/>
      <c r="AA92" s="110"/>
      <c r="AB92" s="110"/>
      <c r="AC92" s="110"/>
      <c r="AD92" s="110"/>
      <c r="AE92" s="110"/>
      <c r="AF92" s="110"/>
      <c r="AG92" s="110"/>
      <c r="AH92" s="110"/>
      <c r="AM92" s="96"/>
      <c r="AN92" s="35"/>
      <c r="AO92" s="98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</row>
    <row r="93" spans="1:54" ht="15" customHeight="1" thickTop="1" thickBot="1">
      <c r="A93" s="110"/>
      <c r="B93" s="110"/>
      <c r="C93" s="110"/>
      <c r="D93" s="165" t="str">
        <f>IF(MasterSheet!$A$1=1,MasterSheet!C145,MasterSheet!B145)</f>
        <v>Finansiranje</v>
      </c>
      <c r="E93" s="343">
        <f>SUM(E94:E98)</f>
        <v>30856991.240000263</v>
      </c>
      <c r="F93" s="166">
        <f t="shared" si="20"/>
        <v>1.4359435636837574</v>
      </c>
      <c r="G93" s="343">
        <f>SUM(G94:G98)</f>
        <v>-15999364.939999789</v>
      </c>
      <c r="H93" s="167">
        <f t="shared" si="21"/>
        <v>-0.59687987091959671</v>
      </c>
      <c r="I93" s="343">
        <f>SUM(I94:I98)</f>
        <v>107743375.31000027</v>
      </c>
      <c r="J93" s="166">
        <f t="shared" si="22"/>
        <v>3.4918127855198424</v>
      </c>
      <c r="K93" s="343">
        <f>SUM(K94:K98)</f>
        <v>254192786.01449993</v>
      </c>
      <c r="L93" s="167">
        <f t="shared" si="23"/>
        <v>8.5270978200100611</v>
      </c>
      <c r="M93" s="343">
        <f>SUM(M94:M98)</f>
        <v>268455343.28999972</v>
      </c>
      <c r="N93" s="166">
        <f t="shared" si="24"/>
        <v>8.6486901833118459</v>
      </c>
      <c r="O93" s="343">
        <f>SUM(O94:O98)</f>
        <v>293247632.81</v>
      </c>
      <c r="P93" s="167">
        <f t="shared" si="25"/>
        <v>9.0676447993197282</v>
      </c>
      <c r="Q93" s="488">
        <f>SUM(Q94:Q98)</f>
        <v>270105653.24999994</v>
      </c>
      <c r="R93" s="489">
        <f t="shared" si="26"/>
        <v>8.5775056605271498</v>
      </c>
      <c r="S93" s="488">
        <f>SUM(S94:S98)</f>
        <v>213992847.98876619</v>
      </c>
      <c r="T93" s="489">
        <f t="shared" si="27"/>
        <v>6.0845279496379359</v>
      </c>
      <c r="U93" s="488">
        <f>SUM(U94:U98)</f>
        <v>213992847.98876619</v>
      </c>
      <c r="V93" s="489">
        <f t="shared" si="28"/>
        <v>6.0845279496379359</v>
      </c>
      <c r="W93" s="488">
        <f>SUM(W94:W98)</f>
        <v>0</v>
      </c>
      <c r="X93" s="489" t="e">
        <f t="shared" si="29"/>
        <v>#DIV/0!</v>
      </c>
      <c r="Y93" s="110"/>
      <c r="Z93" s="110"/>
      <c r="AA93" s="110"/>
      <c r="AB93" s="110"/>
      <c r="AC93" s="110"/>
      <c r="AD93" s="110"/>
      <c r="AE93" s="110"/>
      <c r="AF93" s="110"/>
      <c r="AG93" s="110"/>
      <c r="AH93" s="110"/>
      <c r="AM93" s="96"/>
      <c r="AN93" s="36"/>
      <c r="AO93" s="98"/>
      <c r="AP93" s="96"/>
      <c r="AQ93" s="96"/>
      <c r="AR93" s="96"/>
      <c r="AS93" s="96"/>
      <c r="AT93" s="96"/>
      <c r="AU93" s="96"/>
      <c r="AV93" s="96"/>
      <c r="AW93" s="96"/>
      <c r="AX93" s="96"/>
      <c r="AY93" s="96"/>
      <c r="AZ93" s="96"/>
      <c r="BA93" s="96"/>
      <c r="BB93" s="96"/>
    </row>
    <row r="94" spans="1:54" ht="15" customHeight="1" thickTop="1">
      <c r="A94" s="110"/>
      <c r="B94" s="110"/>
      <c r="C94" s="110"/>
      <c r="D94" s="130" t="str">
        <f>IF(MasterSheet!$A$1=1,MasterSheet!C146,MasterSheet!B146)</f>
        <v>Pozajmice i krediti iz domaćih izvora</v>
      </c>
      <c r="E94" s="345">
        <f>+'Cental Budget_int'!E94</f>
        <v>10687379.58</v>
      </c>
      <c r="F94" s="137">
        <f>+'Cental Budget_int'!F94</f>
        <v>0.49734187630880911</v>
      </c>
      <c r="G94" s="345">
        <f>+'Cental Budget_int'!G94</f>
        <v>8315797</v>
      </c>
      <c r="H94" s="138">
        <f>+'Cental Budget_int'!H94</f>
        <v>0.31023305353478825</v>
      </c>
      <c r="I94" s="345">
        <f>+'Cental Budget_int'!I94</f>
        <v>7657882.2599999998</v>
      </c>
      <c r="J94" s="137">
        <f>+'Cental Budget_int'!J94</f>
        <v>0.24818130217785844</v>
      </c>
      <c r="K94" s="345">
        <f>+'Cental Budget_int'!K94</f>
        <v>108130460.73</v>
      </c>
      <c r="L94" s="138">
        <f>+'Cental Budget_int'!L94</f>
        <v>3.6273217286145591</v>
      </c>
      <c r="M94" s="345">
        <f>+'Cental Budget_int'!M94</f>
        <v>20068251.93</v>
      </c>
      <c r="N94" s="137">
        <f>+'Cental Budget_int'!N94</f>
        <v>0.64652873485824736</v>
      </c>
      <c r="O94" s="345">
        <f>+'Cental Budget_int'!O94</f>
        <v>47000000</v>
      </c>
      <c r="P94" s="138">
        <f>+'Cental Budget_int'!P94</f>
        <v>1.453308596165739</v>
      </c>
      <c r="Q94" s="492">
        <f>+'Cental Budget_int'!Q94</f>
        <v>63454375.850000001</v>
      </c>
      <c r="R94" s="493">
        <f>+'Cental Budget_int'!R94</f>
        <v>2.015064333121626</v>
      </c>
      <c r="S94" s="492">
        <f>+'Cental Budget_int'!S94</f>
        <v>0</v>
      </c>
      <c r="T94" s="493">
        <f>+'Cental Budget_int'!T94</f>
        <v>0</v>
      </c>
      <c r="U94" s="492">
        <f>+'Cental Budget_int'!U94</f>
        <v>0</v>
      </c>
      <c r="V94" s="493">
        <f>+'Cental Budget_int'!V94</f>
        <v>0</v>
      </c>
      <c r="W94" s="492">
        <f>+'Cental Budget_int'!W94</f>
        <v>0</v>
      </c>
      <c r="X94" s="493">
        <f>+'Cental Budget_int'!X94</f>
        <v>0</v>
      </c>
      <c r="Y94" s="110"/>
      <c r="Z94" s="110"/>
      <c r="AA94" s="110"/>
      <c r="AB94" s="110"/>
      <c r="AC94" s="110"/>
      <c r="AD94" s="110"/>
      <c r="AE94" s="110"/>
      <c r="AF94" s="110"/>
      <c r="AG94" s="110"/>
      <c r="AH94" s="110"/>
      <c r="AM94" s="96"/>
      <c r="AN94" s="36"/>
      <c r="AO94" s="98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</row>
    <row r="95" spans="1:54" ht="15" customHeight="1">
      <c r="A95" s="110"/>
      <c r="B95" s="110"/>
      <c r="C95" s="110"/>
      <c r="D95" s="130" t="str">
        <f>IF(MasterSheet!$A$1=1,MasterSheet!C147,MasterSheet!B147)</f>
        <v>Pozajmice i krediti iz inostranih izvora</v>
      </c>
      <c r="E95" s="345">
        <f>+'Cental Budget_int'!E95</f>
        <v>13153290.85</v>
      </c>
      <c r="F95" s="137">
        <f>+'Cental Budget_int'!F95</f>
        <v>0.61209413420819947</v>
      </c>
      <c r="G95" s="345">
        <f>+'Cental Budget_int'!G95</f>
        <v>1996377.48</v>
      </c>
      <c r="H95" s="138">
        <f>+'Cental Budget_int'!H95</f>
        <v>7.4477801902630106E-2</v>
      </c>
      <c r="I95" s="345">
        <f>+'Cental Budget_int'!I95</f>
        <v>2981267.98</v>
      </c>
      <c r="J95" s="137">
        <f>+'Cental Budget_int'!J95</f>
        <v>9.6618744490536687E-2</v>
      </c>
      <c r="K95" s="345">
        <f>+'Cental Budget_int'!K95</f>
        <v>148637806.47</v>
      </c>
      <c r="L95" s="138">
        <f>+'Cental Budget_int'!L95</f>
        <v>4.9861726424018791</v>
      </c>
      <c r="M95" s="345">
        <f>+'Cental Budget_int'!M95</f>
        <v>205658070.65000001</v>
      </c>
      <c r="N95" s="137">
        <f>+'Cental Budget_int'!N95</f>
        <v>6.6255821730025772</v>
      </c>
      <c r="O95" s="345">
        <f>+'Cental Budget_int'!O95</f>
        <v>187652611.97999999</v>
      </c>
      <c r="P95" s="138">
        <f>+'Cental Budget_int'!P95</f>
        <v>5.8024926400742114</v>
      </c>
      <c r="Q95" s="492">
        <f>+'Cental Budget_int'!Q95</f>
        <v>258129375.97</v>
      </c>
      <c r="R95" s="493">
        <f>+'Cental Budget_int'!R95</f>
        <v>8.1971856452842182</v>
      </c>
      <c r="S95" s="492">
        <f>+'Cental Budget_int'!S95</f>
        <v>205992847.98876619</v>
      </c>
      <c r="T95" s="493">
        <f>+'Cental Budget_int'!T95</f>
        <v>5.8570613587934659</v>
      </c>
      <c r="U95" s="492">
        <f>+'Cental Budget_int'!U95</f>
        <v>205992847.98876619</v>
      </c>
      <c r="V95" s="493">
        <f>+'Cental Budget_int'!V95</f>
        <v>5.8570613587934659</v>
      </c>
      <c r="W95" s="492">
        <f>+'Cental Budget_int'!W95</f>
        <v>0</v>
      </c>
      <c r="X95" s="493">
        <f>+'Cental Budget_int'!X95</f>
        <v>0</v>
      </c>
      <c r="Y95" s="110"/>
      <c r="Z95" s="110"/>
      <c r="AA95" s="110"/>
      <c r="AB95" s="110"/>
      <c r="AC95" s="110"/>
      <c r="AD95" s="110"/>
      <c r="AE95" s="110"/>
      <c r="AF95" s="110"/>
      <c r="AG95" s="110"/>
      <c r="AH95" s="110"/>
      <c r="AM95" s="96"/>
      <c r="AN95" s="37"/>
      <c r="AO95" s="98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</row>
    <row r="96" spans="1:54" ht="15" customHeight="1">
      <c r="A96" s="110"/>
      <c r="B96" s="110"/>
      <c r="C96" s="110"/>
      <c r="D96" s="130" t="str">
        <f>IF(MasterSheet!$A$1=1,MasterSheet!C148,MasterSheet!B148)</f>
        <v>Donacije</v>
      </c>
      <c r="E96" s="345">
        <f>+'Cental Budget_int'!E96</f>
        <v>189875.77</v>
      </c>
      <c r="F96" s="137">
        <f>+'Cental Budget_int'!F96</f>
        <v>8.8359518823584154E-3</v>
      </c>
      <c r="G96" s="345">
        <f>+'Cental Budget_int'!G96</f>
        <v>86112.85</v>
      </c>
      <c r="H96" s="138">
        <f>+'Cental Budget_int'!H96</f>
        <v>3.2125666853199033E-3</v>
      </c>
      <c r="I96" s="345">
        <f>+'Cental Budget_int'!I96</f>
        <v>2235692.06</v>
      </c>
      <c r="J96" s="137">
        <f>+'Cental Budget_int'!J96</f>
        <v>7.2455666969147001E-2</v>
      </c>
      <c r="K96" s="345">
        <f>+'Cental Budget_int'!K96</f>
        <v>6019555.9299999997</v>
      </c>
      <c r="L96" s="138">
        <f>+'Cental Budget_int'!L96</f>
        <v>0.20193075914122777</v>
      </c>
      <c r="M96" s="345">
        <f>+'Cental Budget_int'!M96</f>
        <v>5128633.8</v>
      </c>
      <c r="N96" s="137">
        <f>+'Cental Budget_int'!N96</f>
        <v>0.16522660438144329</v>
      </c>
      <c r="O96" s="345">
        <f>+'Cental Budget_int'!O96</f>
        <v>4014349.98</v>
      </c>
      <c r="P96" s="138">
        <f>+'Cental Budget_int'!P96</f>
        <v>0.12412956029684601</v>
      </c>
      <c r="Q96" s="492">
        <f>+'Cental Budget_int'!Q96</f>
        <v>5037276.03</v>
      </c>
      <c r="R96" s="493">
        <f>+'Cental Budget_int'!R96</f>
        <v>0.15996430708161322</v>
      </c>
      <c r="S96" s="492">
        <f>+'Cental Budget_int'!S96</f>
        <v>0</v>
      </c>
      <c r="T96" s="493">
        <f>+'Cental Budget_int'!T96</f>
        <v>0</v>
      </c>
      <c r="U96" s="492">
        <f>+'Cental Budget_int'!U96</f>
        <v>0</v>
      </c>
      <c r="V96" s="493">
        <f>+'Cental Budget_int'!V96</f>
        <v>0</v>
      </c>
      <c r="W96" s="492">
        <f>+'Cental Budget_int'!W96</f>
        <v>0</v>
      </c>
      <c r="X96" s="493">
        <f>+'Cental Budget_int'!X96</f>
        <v>0</v>
      </c>
      <c r="Y96" s="110"/>
      <c r="Z96" s="110"/>
      <c r="AA96" s="110"/>
      <c r="AB96" s="110"/>
      <c r="AC96" s="110"/>
      <c r="AD96" s="110"/>
      <c r="AE96" s="110"/>
      <c r="AF96" s="110"/>
      <c r="AG96" s="110"/>
      <c r="AH96" s="110"/>
      <c r="AM96" s="96"/>
      <c r="AN96" s="106"/>
      <c r="AO96" s="98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</row>
    <row r="97" spans="1:54">
      <c r="A97" s="110"/>
      <c r="B97" s="110"/>
      <c r="C97" s="110"/>
      <c r="D97" s="130" t="str">
        <f>IF(MasterSheet!$A$1=1,MasterSheet!C149,MasterSheet!B149)</f>
        <v>Prihodi od privatizacije</v>
      </c>
      <c r="E97" s="345">
        <f>+'Cental Budget_int'!E97</f>
        <v>20434516.259999998</v>
      </c>
      <c r="F97" s="137">
        <f>+'Cental Budget_int'!F97</f>
        <v>0.95092913862906592</v>
      </c>
      <c r="G97" s="345">
        <f>+'Cental Budget_int'!G97</f>
        <v>27533307.520000003</v>
      </c>
      <c r="H97" s="138">
        <f>+'Cental Budget_int'!H97</f>
        <v>1.0271705845924268</v>
      </c>
      <c r="I97" s="345">
        <f>+'Cental Budget_int'!I97</f>
        <v>24817482.77</v>
      </c>
      <c r="J97" s="137">
        <f>+'Cental Budget_int'!J97</f>
        <v>0.80430006384495722</v>
      </c>
      <c r="K97" s="345">
        <f>+'Cental Budget_int'!K97</f>
        <v>107021361.98999999</v>
      </c>
      <c r="L97" s="138">
        <f>+'Cental Budget_int'!L97</f>
        <v>3.5901161351895334</v>
      </c>
      <c r="M97" s="345">
        <f>+'Cental Budget_int'!M97</f>
        <v>2781826.52</v>
      </c>
      <c r="N97" s="137">
        <f>+'Cental Budget_int'!N97</f>
        <v>8.9620699742268051E-2</v>
      </c>
      <c r="O97" s="345">
        <f>+'Cental Budget_int'!O97</f>
        <v>3351251.94</v>
      </c>
      <c r="P97" s="138">
        <f>+'Cental Budget_int'!P97</f>
        <v>0.10362560111317255</v>
      </c>
      <c r="Q97" s="492">
        <f>+'Cental Budget_int'!Q97</f>
        <v>3484625.4</v>
      </c>
      <c r="R97" s="493">
        <f>+'Cental Budget_int'!R97</f>
        <v>0.11065815814544298</v>
      </c>
      <c r="S97" s="492">
        <f>+'Cental Budget_int'!S97</f>
        <v>8000000</v>
      </c>
      <c r="T97" s="493">
        <f>+'Cental Budget_int'!T97</f>
        <v>0.22746659084446971</v>
      </c>
      <c r="U97" s="492">
        <f>+'Cental Budget_int'!U97</f>
        <v>8000000</v>
      </c>
      <c r="V97" s="493">
        <f>+'Cental Budget_int'!V97</f>
        <v>0.22746659084446971</v>
      </c>
      <c r="W97" s="492">
        <f>+'Cental Budget_int'!W97</f>
        <v>0</v>
      </c>
      <c r="X97" s="493">
        <f>+'Cental Budget_int'!X97</f>
        <v>0</v>
      </c>
      <c r="Y97" s="110"/>
      <c r="Z97" s="110"/>
      <c r="AA97" s="110"/>
      <c r="AB97" s="110"/>
      <c r="AC97" s="110"/>
      <c r="AD97" s="110"/>
      <c r="AE97" s="110"/>
      <c r="AF97" s="110"/>
      <c r="AG97" s="110"/>
      <c r="AH97" s="110"/>
      <c r="AM97" s="96"/>
      <c r="AN97" s="35"/>
      <c r="AO97" s="96"/>
      <c r="AP97" s="96"/>
      <c r="AQ97" s="96"/>
      <c r="AR97" s="96"/>
      <c r="AS97" s="96"/>
      <c r="AT97" s="96"/>
      <c r="AU97" s="96"/>
      <c r="AV97" s="96"/>
      <c r="AW97" s="96"/>
      <c r="AX97" s="96"/>
      <c r="AY97" s="96"/>
      <c r="AZ97" s="96"/>
      <c r="BA97" s="96"/>
      <c r="BB97" s="96"/>
    </row>
    <row r="98" spans="1:54" ht="13.5" thickBot="1">
      <c r="A98" s="110"/>
      <c r="B98" s="110"/>
      <c r="C98" s="110"/>
      <c r="D98" s="134" t="str">
        <f>IF(MasterSheet!$A$1=1,MasterSheet!C150,MasterSheet!B150)</f>
        <v>Povećanje/smanjenje depozita</v>
      </c>
      <c r="E98" s="346">
        <f>-E92-SUM(E94:E97)</f>
        <v>-13608071.219999731</v>
      </c>
      <c r="F98" s="139">
        <f t="shared" si="20"/>
        <v>-0.63325753734467549</v>
      </c>
      <c r="G98" s="346">
        <f>-G92-SUM(G94:G97)</f>
        <v>-53930959.78999979</v>
      </c>
      <c r="H98" s="140">
        <f t="shared" si="21"/>
        <v>-2.011973877634762</v>
      </c>
      <c r="I98" s="346">
        <f>-I92-SUM(I94:I97)</f>
        <v>70051050.240000278</v>
      </c>
      <c r="J98" s="139">
        <f t="shared" si="22"/>
        <v>2.2702570080373441</v>
      </c>
      <c r="K98" s="346">
        <f>-K92-SUM(K94:K97)</f>
        <v>-115616399.10550007</v>
      </c>
      <c r="L98" s="140">
        <f t="shared" si="23"/>
        <v>-3.8784434453371377</v>
      </c>
      <c r="M98" s="346">
        <f>-M92-SUM(M94:M97)</f>
        <v>34818560.389999688</v>
      </c>
      <c r="N98" s="139">
        <f t="shared" si="24"/>
        <v>1.1217319713273095</v>
      </c>
      <c r="O98" s="346">
        <f>-O92-SUM(O94:O97)</f>
        <v>51229418.910000026</v>
      </c>
      <c r="P98" s="140">
        <f t="shared" si="25"/>
        <v>1.5840884016697598</v>
      </c>
      <c r="Q98" s="494">
        <v>-60000000</v>
      </c>
      <c r="R98" s="495">
        <f t="shared" si="26"/>
        <v>-1.9053667831057479</v>
      </c>
      <c r="S98" s="494">
        <v>0</v>
      </c>
      <c r="T98" s="495">
        <f t="shared" si="27"/>
        <v>0</v>
      </c>
      <c r="U98" s="494">
        <v>0</v>
      </c>
      <c r="V98" s="495">
        <f t="shared" si="28"/>
        <v>0</v>
      </c>
      <c r="W98" s="494">
        <v>0</v>
      </c>
      <c r="X98" s="495" t="e">
        <f t="shared" si="29"/>
        <v>#DIV/0!</v>
      </c>
      <c r="Y98" s="110"/>
      <c r="Z98" s="110"/>
      <c r="AA98" s="110"/>
      <c r="AB98" s="110"/>
      <c r="AC98" s="110"/>
      <c r="AD98" s="110"/>
      <c r="AE98" s="110"/>
      <c r="AF98" s="110"/>
      <c r="AG98" s="110"/>
      <c r="AH98" s="110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</row>
    <row r="99" spans="1:54" ht="13.5" thickTop="1">
      <c r="A99" s="110"/>
      <c r="B99" s="110"/>
      <c r="C99" s="110"/>
      <c r="D99" s="123" t="str">
        <f>IF(MasterSheet!$A$1=1,MasterSheet!C151,MasterSheet!B151)</f>
        <v>Izvor: Ministarstvo finansija Crne Gore</v>
      </c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1"/>
      <c r="Q99" s="111"/>
      <c r="R99" s="110"/>
      <c r="S99" s="110"/>
      <c r="T99" s="110"/>
      <c r="U99" s="110"/>
      <c r="V99" s="110"/>
      <c r="W99" s="110"/>
      <c r="X99" s="110"/>
      <c r="Y99" s="110"/>
      <c r="Z99" s="110"/>
      <c r="AA99" s="110"/>
      <c r="AB99" s="110"/>
      <c r="AC99" s="110"/>
      <c r="AD99" s="110"/>
      <c r="AE99" s="110"/>
      <c r="AF99" s="110"/>
      <c r="AG99" s="110"/>
      <c r="AH99" s="110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</row>
    <row r="100" spans="1:54">
      <c r="A100" s="110"/>
      <c r="B100" s="110"/>
      <c r="C100" s="110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11"/>
      <c r="R100" s="111"/>
      <c r="S100" s="111"/>
      <c r="T100" s="111"/>
      <c r="U100" s="111"/>
      <c r="V100" s="111"/>
      <c r="W100" s="110"/>
      <c r="X100" s="110"/>
      <c r="Y100" s="110"/>
      <c r="Z100" s="110"/>
      <c r="AA100" s="110"/>
      <c r="AB100" s="110"/>
      <c r="AC100" s="110"/>
      <c r="AD100" s="110"/>
      <c r="AE100" s="110"/>
      <c r="AF100" s="110"/>
      <c r="AG100" s="110"/>
      <c r="AH100" s="110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</row>
    <row r="101" spans="1:54">
      <c r="A101" s="110"/>
      <c r="B101" s="110"/>
      <c r="C101" s="110"/>
      <c r="D101" s="126"/>
      <c r="E101" s="126"/>
      <c r="F101" s="126"/>
      <c r="G101" s="126"/>
      <c r="H101" s="126"/>
      <c r="I101" s="126"/>
      <c r="J101" s="126"/>
      <c r="K101" s="126"/>
      <c r="L101" s="126"/>
      <c r="M101" s="126"/>
      <c r="N101" s="126"/>
      <c r="O101" s="126"/>
      <c r="P101" s="125"/>
      <c r="Q101" s="110"/>
      <c r="R101" s="110"/>
      <c r="S101" s="110"/>
      <c r="T101" s="110"/>
      <c r="U101" s="110"/>
      <c r="V101" s="110"/>
      <c r="W101" s="110"/>
      <c r="X101" s="110"/>
      <c r="Y101" s="110"/>
      <c r="Z101" s="110"/>
      <c r="AA101" s="110"/>
      <c r="AB101" s="110"/>
      <c r="AC101" s="110"/>
      <c r="AD101" s="110"/>
      <c r="AE101" s="110"/>
      <c r="AF101" s="110"/>
      <c r="AG101" s="110"/>
      <c r="AH101" s="110"/>
    </row>
    <row r="102" spans="1:54">
      <c r="A102" s="110"/>
      <c r="B102" s="110"/>
      <c r="C102" s="110"/>
      <c r="D102" s="126"/>
      <c r="E102" s="126"/>
      <c r="F102" s="126"/>
      <c r="G102" s="126"/>
      <c r="H102" s="126"/>
      <c r="I102" s="126"/>
      <c r="J102" s="126"/>
      <c r="K102" s="126"/>
      <c r="L102" s="126"/>
      <c r="M102" s="126"/>
      <c r="N102" s="126"/>
      <c r="O102" s="126"/>
      <c r="P102" s="125"/>
      <c r="Q102" s="110"/>
      <c r="R102" s="110"/>
      <c r="S102" s="110"/>
      <c r="T102" s="110"/>
      <c r="U102" s="110"/>
      <c r="V102" s="110"/>
      <c r="W102" s="110"/>
      <c r="X102" s="110"/>
      <c r="Y102" s="110"/>
      <c r="Z102" s="110"/>
      <c r="AA102" s="110"/>
      <c r="AB102" s="110"/>
      <c r="AC102" s="110"/>
      <c r="AD102" s="110"/>
      <c r="AE102" s="110"/>
      <c r="AF102" s="110"/>
      <c r="AG102" s="110"/>
      <c r="AH102" s="110"/>
    </row>
    <row r="103" spans="1:54" ht="14.25">
      <c r="A103" s="110"/>
      <c r="B103" s="110"/>
      <c r="C103" s="110"/>
      <c r="D103" s="127"/>
      <c r="E103" s="126"/>
      <c r="F103" s="126"/>
      <c r="G103" s="126"/>
      <c r="H103" s="126"/>
      <c r="I103" s="126"/>
      <c r="J103" s="126"/>
      <c r="K103" s="126"/>
      <c r="L103" s="126"/>
      <c r="M103" s="126"/>
      <c r="N103" s="126"/>
      <c r="O103" s="126"/>
      <c r="P103" s="125"/>
      <c r="Q103" s="111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110"/>
      <c r="AH103" s="110"/>
    </row>
    <row r="104" spans="1:54">
      <c r="A104" s="110"/>
      <c r="B104" s="110"/>
      <c r="C104" s="110"/>
      <c r="D104" s="126"/>
      <c r="E104" s="126"/>
      <c r="F104" s="126"/>
      <c r="G104" s="126"/>
      <c r="H104" s="126"/>
      <c r="I104" s="126"/>
      <c r="J104" s="126"/>
      <c r="K104" s="126"/>
      <c r="L104" s="126"/>
      <c r="M104" s="126"/>
      <c r="N104" s="126"/>
      <c r="O104" s="126"/>
      <c r="P104" s="125"/>
      <c r="Q104" s="111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0"/>
      <c r="AH104" s="110"/>
    </row>
    <row r="105" spans="1:54">
      <c r="A105" s="110"/>
      <c r="B105" s="110"/>
      <c r="C105" s="110"/>
      <c r="D105" s="126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1"/>
      <c r="Q105" s="111"/>
      <c r="R105" s="110"/>
      <c r="S105" s="110"/>
      <c r="T105" s="110"/>
      <c r="U105" s="110"/>
      <c r="V105" s="110"/>
      <c r="W105" s="110"/>
      <c r="X105" s="110"/>
      <c r="Y105" s="110"/>
      <c r="Z105" s="110"/>
      <c r="AA105" s="110"/>
      <c r="AB105" s="110"/>
      <c r="AC105" s="110"/>
      <c r="AD105" s="110"/>
      <c r="AE105" s="110"/>
      <c r="AF105" s="110"/>
      <c r="AG105" s="110"/>
      <c r="AH105" s="110"/>
    </row>
    <row r="106" spans="1:54">
      <c r="A106" s="110"/>
      <c r="B106" s="110"/>
      <c r="C106" s="110"/>
      <c r="D106" s="126"/>
      <c r="E106" s="126"/>
      <c r="F106" s="126"/>
      <c r="G106" s="126"/>
      <c r="H106" s="126"/>
      <c r="I106" s="126"/>
      <c r="J106" s="126"/>
      <c r="K106" s="126"/>
      <c r="L106" s="126"/>
      <c r="M106" s="126"/>
      <c r="N106" s="126"/>
      <c r="O106" s="126"/>
      <c r="P106" s="125"/>
      <c r="Q106" s="111"/>
      <c r="R106" s="110"/>
      <c r="S106" s="110"/>
      <c r="T106" s="110"/>
      <c r="U106" s="110"/>
      <c r="V106" s="110"/>
      <c r="W106" s="110"/>
      <c r="X106" s="110"/>
      <c r="Y106" s="110"/>
      <c r="Z106" s="110"/>
      <c r="AA106" s="110"/>
      <c r="AB106" s="110"/>
      <c r="AC106" s="110"/>
      <c r="AD106" s="110"/>
      <c r="AE106" s="110"/>
      <c r="AF106" s="110"/>
      <c r="AG106" s="110"/>
      <c r="AH106" s="110"/>
    </row>
    <row r="107" spans="1:54">
      <c r="A107" s="110"/>
      <c r="B107" s="110"/>
      <c r="C107" s="110"/>
      <c r="D107" s="126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1"/>
      <c r="Q107" s="111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10"/>
      <c r="AE107" s="110"/>
      <c r="AF107" s="110"/>
      <c r="AG107" s="110"/>
      <c r="AH107" s="110"/>
    </row>
    <row r="108" spans="1:54" ht="13.5" customHeight="1">
      <c r="A108" s="110"/>
      <c r="B108" s="110"/>
      <c r="C108" s="110"/>
      <c r="D108" s="126"/>
      <c r="E108" s="126"/>
      <c r="F108" s="126"/>
      <c r="G108" s="126"/>
      <c r="H108" s="126"/>
      <c r="I108" s="126"/>
      <c r="J108" s="126"/>
      <c r="K108" s="126"/>
      <c r="L108" s="126"/>
      <c r="M108" s="126"/>
      <c r="N108" s="126"/>
      <c r="O108" s="126"/>
      <c r="P108" s="125"/>
      <c r="Q108" s="111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110"/>
    </row>
    <row r="109" spans="1:54" ht="13.5" customHeight="1">
      <c r="A109" s="110"/>
      <c r="B109" s="110"/>
      <c r="C109" s="110"/>
      <c r="D109" s="126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1"/>
      <c r="Q109" s="111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0"/>
      <c r="AB109" s="110"/>
      <c r="AC109" s="110"/>
      <c r="AD109" s="110"/>
      <c r="AE109" s="110"/>
      <c r="AF109" s="110"/>
      <c r="AG109" s="110"/>
      <c r="AH109" s="110"/>
    </row>
    <row r="110" spans="1:54">
      <c r="A110" s="110"/>
      <c r="B110" s="110"/>
      <c r="C110" s="110"/>
      <c r="D110" s="126"/>
      <c r="E110" s="128"/>
      <c r="F110" s="126"/>
      <c r="G110" s="126"/>
      <c r="H110" s="126"/>
      <c r="I110" s="126"/>
      <c r="J110" s="126"/>
      <c r="K110" s="126"/>
      <c r="L110" s="126"/>
      <c r="M110" s="126"/>
      <c r="N110" s="126"/>
      <c r="O110" s="126"/>
      <c r="P110" s="125"/>
      <c r="Q110" s="111"/>
      <c r="R110" s="110"/>
      <c r="S110" s="110"/>
      <c r="T110" s="110"/>
      <c r="U110" s="110"/>
      <c r="V110" s="110"/>
      <c r="W110" s="110"/>
      <c r="X110" s="110"/>
      <c r="Y110" s="110"/>
      <c r="Z110" s="110"/>
      <c r="AA110" s="110"/>
      <c r="AB110" s="110"/>
      <c r="AC110" s="110"/>
      <c r="AD110" s="110"/>
      <c r="AE110" s="110"/>
      <c r="AF110" s="110"/>
      <c r="AG110" s="110"/>
      <c r="AH110" s="110"/>
    </row>
    <row r="111" spans="1:54">
      <c r="A111" s="110"/>
      <c r="B111" s="110"/>
      <c r="C111" s="110"/>
      <c r="D111" s="126"/>
      <c r="E111" s="128"/>
      <c r="F111" s="126"/>
      <c r="G111" s="126"/>
      <c r="H111" s="126"/>
      <c r="I111" s="126"/>
      <c r="J111" s="126"/>
      <c r="K111" s="126"/>
      <c r="L111" s="126"/>
      <c r="M111" s="126"/>
      <c r="N111" s="126"/>
      <c r="O111" s="126"/>
      <c r="P111" s="125"/>
      <c r="Q111" s="111"/>
      <c r="R111" s="110"/>
      <c r="S111" s="110"/>
      <c r="T111" s="110"/>
      <c r="U111" s="110"/>
      <c r="V111" s="110"/>
      <c r="W111" s="110"/>
      <c r="X111" s="110"/>
      <c r="Y111" s="110"/>
      <c r="Z111" s="110"/>
      <c r="AA111" s="110"/>
      <c r="AB111" s="110"/>
      <c r="AC111" s="110"/>
      <c r="AD111" s="110"/>
      <c r="AE111" s="110"/>
      <c r="AF111" s="110"/>
      <c r="AG111" s="110"/>
      <c r="AH111" s="110"/>
    </row>
    <row r="112" spans="1:54">
      <c r="A112" s="110"/>
      <c r="B112" s="110"/>
      <c r="C112" s="110"/>
      <c r="D112" s="126"/>
      <c r="E112" s="128"/>
      <c r="F112" s="126"/>
      <c r="G112" s="126"/>
      <c r="H112" s="126"/>
      <c r="I112" s="126"/>
      <c r="J112" s="126"/>
      <c r="K112" s="126"/>
      <c r="L112" s="126"/>
      <c r="M112" s="126"/>
      <c r="N112" s="126"/>
      <c r="O112" s="126"/>
      <c r="P112" s="125"/>
      <c r="Q112" s="111"/>
      <c r="R112" s="110"/>
      <c r="S112" s="110"/>
      <c r="T112" s="110"/>
      <c r="U112" s="110"/>
      <c r="V112" s="110"/>
      <c r="W112" s="110"/>
      <c r="X112" s="110"/>
      <c r="Y112" s="110"/>
      <c r="Z112" s="110"/>
      <c r="AA112" s="110"/>
      <c r="AB112" s="110"/>
      <c r="AC112" s="110"/>
      <c r="AD112" s="110"/>
      <c r="AE112" s="110"/>
      <c r="AF112" s="110"/>
      <c r="AG112" s="110"/>
      <c r="AH112" s="110"/>
    </row>
    <row r="113" spans="1:34">
      <c r="A113" s="110"/>
      <c r="B113" s="110"/>
      <c r="C113" s="110"/>
      <c r="D113" s="126"/>
      <c r="E113" s="128"/>
      <c r="F113" s="126"/>
      <c r="G113" s="126"/>
      <c r="H113" s="126"/>
      <c r="I113" s="126"/>
      <c r="J113" s="126"/>
      <c r="K113" s="126"/>
      <c r="L113" s="126"/>
      <c r="M113" s="126"/>
      <c r="N113" s="126"/>
      <c r="O113" s="126"/>
      <c r="P113" s="125"/>
      <c r="Q113" s="111"/>
      <c r="R113" s="110"/>
      <c r="S113" s="110"/>
      <c r="T113" s="110"/>
      <c r="U113" s="110"/>
      <c r="V113" s="110"/>
      <c r="W113" s="110"/>
      <c r="X113" s="110"/>
      <c r="Y113" s="110"/>
      <c r="Z113" s="110"/>
      <c r="AA113" s="110"/>
      <c r="AB113" s="110"/>
      <c r="AC113" s="110"/>
      <c r="AD113" s="110"/>
      <c r="AE113" s="110"/>
      <c r="AF113" s="110"/>
      <c r="AG113" s="110"/>
      <c r="AH113" s="110"/>
    </row>
    <row r="114" spans="1:34">
      <c r="A114" s="110"/>
      <c r="B114" s="110"/>
      <c r="C114" s="110"/>
      <c r="D114" s="126"/>
      <c r="E114" s="128"/>
      <c r="F114" s="126"/>
      <c r="G114" s="126"/>
      <c r="H114" s="126"/>
      <c r="I114" s="126"/>
      <c r="J114" s="126"/>
      <c r="K114" s="126"/>
      <c r="L114" s="126"/>
      <c r="M114" s="126"/>
      <c r="N114" s="126"/>
      <c r="O114" s="126"/>
      <c r="P114" s="125"/>
      <c r="Q114" s="111"/>
      <c r="R114" s="110"/>
      <c r="S114" s="110"/>
      <c r="T114" s="110"/>
      <c r="U114" s="110"/>
      <c r="V114" s="110"/>
      <c r="W114" s="110"/>
      <c r="X114" s="110"/>
      <c r="Y114" s="110"/>
      <c r="Z114" s="110"/>
      <c r="AA114" s="110"/>
      <c r="AB114" s="110"/>
      <c r="AC114" s="110"/>
      <c r="AD114" s="110"/>
      <c r="AE114" s="110"/>
      <c r="AF114" s="110"/>
      <c r="AG114" s="110"/>
      <c r="AH114" s="110"/>
    </row>
    <row r="115" spans="1:34">
      <c r="A115" s="110"/>
      <c r="B115" s="110"/>
      <c r="C115" s="110"/>
      <c r="D115" s="126"/>
      <c r="E115" s="128"/>
      <c r="F115" s="126"/>
      <c r="G115" s="126"/>
      <c r="H115" s="126"/>
      <c r="I115" s="126"/>
      <c r="J115" s="126"/>
      <c r="K115" s="126"/>
      <c r="L115" s="126"/>
      <c r="M115" s="126"/>
      <c r="N115" s="126"/>
      <c r="O115" s="126"/>
      <c r="P115" s="125"/>
      <c r="Q115" s="111"/>
      <c r="R115" s="110"/>
      <c r="S115" s="110"/>
      <c r="T115" s="110"/>
      <c r="U115" s="110"/>
      <c r="V115" s="110"/>
      <c r="W115" s="110"/>
      <c r="X115" s="110"/>
      <c r="Y115" s="110"/>
      <c r="Z115" s="110"/>
      <c r="AA115" s="110"/>
      <c r="AB115" s="110"/>
      <c r="AC115" s="110"/>
      <c r="AD115" s="110"/>
      <c r="AE115" s="110"/>
      <c r="AF115" s="110"/>
      <c r="AG115" s="110"/>
      <c r="AH115" s="110"/>
    </row>
    <row r="116" spans="1:34">
      <c r="A116" s="110"/>
      <c r="B116" s="110"/>
      <c r="C116" s="110"/>
      <c r="D116" s="126"/>
      <c r="E116" s="128"/>
      <c r="F116" s="126"/>
      <c r="G116" s="126"/>
      <c r="H116" s="126"/>
      <c r="I116" s="126"/>
      <c r="J116" s="126"/>
      <c r="K116" s="126"/>
      <c r="L116" s="126"/>
      <c r="M116" s="126"/>
      <c r="N116" s="126"/>
      <c r="O116" s="126"/>
      <c r="P116" s="125"/>
      <c r="Q116" s="111"/>
      <c r="R116" s="110"/>
      <c r="S116" s="110"/>
      <c r="T116" s="110"/>
      <c r="U116" s="110"/>
      <c r="V116" s="110"/>
      <c r="W116" s="110"/>
      <c r="X116" s="110"/>
      <c r="Y116" s="110"/>
      <c r="Z116" s="110"/>
      <c r="AA116" s="110"/>
      <c r="AB116" s="110"/>
      <c r="AC116" s="110"/>
      <c r="AD116" s="110"/>
      <c r="AE116" s="110"/>
      <c r="AF116" s="110"/>
      <c r="AG116" s="110"/>
      <c r="AH116" s="110"/>
    </row>
    <row r="117" spans="1:34">
      <c r="A117" s="110"/>
      <c r="B117" s="110"/>
      <c r="C117" s="110"/>
      <c r="D117" s="126"/>
      <c r="E117" s="128"/>
      <c r="F117" s="126"/>
      <c r="G117" s="126"/>
      <c r="H117" s="126"/>
      <c r="I117" s="126"/>
      <c r="J117" s="126"/>
      <c r="K117" s="126"/>
      <c r="L117" s="126"/>
      <c r="M117" s="126"/>
      <c r="N117" s="126"/>
      <c r="O117" s="126"/>
      <c r="P117" s="125"/>
      <c r="Q117" s="111"/>
      <c r="R117" s="110"/>
      <c r="S117" s="110"/>
      <c r="T117" s="110"/>
      <c r="U117" s="110"/>
      <c r="V117" s="110"/>
      <c r="W117" s="110"/>
      <c r="X117" s="110"/>
      <c r="Y117" s="110"/>
      <c r="Z117" s="110"/>
      <c r="AA117" s="110"/>
      <c r="AB117" s="110"/>
      <c r="AC117" s="110"/>
      <c r="AD117" s="110"/>
      <c r="AE117" s="110"/>
      <c r="AF117" s="110"/>
      <c r="AG117" s="110"/>
      <c r="AH117" s="110"/>
    </row>
    <row r="118" spans="1:34">
      <c r="A118" s="110"/>
      <c r="B118" s="110"/>
      <c r="C118" s="110"/>
      <c r="D118" s="126"/>
      <c r="E118" s="128"/>
      <c r="F118" s="126"/>
      <c r="G118" s="126"/>
      <c r="H118" s="126"/>
      <c r="I118" s="126"/>
      <c r="J118" s="126"/>
      <c r="K118" s="126"/>
      <c r="L118" s="126"/>
      <c r="M118" s="126"/>
      <c r="N118" s="126"/>
      <c r="O118" s="126"/>
      <c r="P118" s="125"/>
      <c r="Q118" s="111"/>
      <c r="R118" s="110"/>
      <c r="S118" s="110"/>
      <c r="T118" s="110"/>
      <c r="U118" s="110"/>
      <c r="V118" s="110"/>
      <c r="W118" s="110"/>
      <c r="X118" s="110"/>
      <c r="Y118" s="110"/>
      <c r="Z118" s="110"/>
      <c r="AA118" s="110"/>
      <c r="AB118" s="110"/>
      <c r="AC118" s="110"/>
      <c r="AD118" s="110"/>
      <c r="AE118" s="110"/>
      <c r="AF118" s="110"/>
      <c r="AG118" s="110"/>
      <c r="AH118" s="110"/>
    </row>
    <row r="119" spans="1:34">
      <c r="A119" s="110"/>
      <c r="B119" s="110"/>
      <c r="C119" s="110"/>
      <c r="D119" s="126"/>
      <c r="E119" s="128"/>
      <c r="F119" s="126"/>
      <c r="G119" s="126"/>
      <c r="H119" s="126"/>
      <c r="I119" s="126"/>
      <c r="J119" s="126"/>
      <c r="K119" s="126"/>
      <c r="L119" s="126"/>
      <c r="M119" s="126"/>
      <c r="N119" s="126"/>
      <c r="O119" s="126"/>
      <c r="P119" s="125"/>
      <c r="Q119" s="111"/>
      <c r="R119" s="110"/>
      <c r="S119" s="110"/>
      <c r="T119" s="110"/>
      <c r="U119" s="110"/>
      <c r="V119" s="110"/>
      <c r="W119" s="110"/>
      <c r="X119" s="110"/>
      <c r="Y119" s="110"/>
      <c r="Z119" s="110"/>
      <c r="AA119" s="110"/>
      <c r="AB119" s="110"/>
      <c r="AC119" s="110"/>
      <c r="AD119" s="110"/>
      <c r="AE119" s="110"/>
      <c r="AF119" s="110"/>
      <c r="AG119" s="110"/>
      <c r="AH119" s="110"/>
    </row>
    <row r="120" spans="1:34">
      <c r="A120" s="110"/>
      <c r="B120" s="110"/>
      <c r="C120" s="110"/>
      <c r="D120" s="126"/>
      <c r="E120" s="128"/>
      <c r="F120" s="126"/>
      <c r="G120" s="126"/>
      <c r="H120" s="126"/>
      <c r="I120" s="126"/>
      <c r="J120" s="126"/>
      <c r="K120" s="126"/>
      <c r="L120" s="126"/>
      <c r="M120" s="126"/>
      <c r="N120" s="126"/>
      <c r="O120" s="126"/>
      <c r="P120" s="125"/>
      <c r="Q120" s="111"/>
      <c r="R120" s="110"/>
      <c r="S120" s="110"/>
      <c r="T120" s="110"/>
      <c r="U120" s="110"/>
      <c r="V120" s="110"/>
      <c r="W120" s="110"/>
      <c r="X120" s="110"/>
      <c r="Y120" s="110"/>
      <c r="Z120" s="110"/>
      <c r="AA120" s="110"/>
      <c r="AB120" s="110"/>
      <c r="AC120" s="110"/>
      <c r="AD120" s="110"/>
      <c r="AE120" s="110"/>
      <c r="AF120" s="110"/>
      <c r="AG120" s="110"/>
      <c r="AH120" s="110"/>
    </row>
    <row r="121" spans="1:34">
      <c r="A121" s="110"/>
      <c r="B121" s="110"/>
      <c r="C121" s="110"/>
      <c r="D121" s="126"/>
      <c r="E121" s="128"/>
      <c r="F121" s="126"/>
      <c r="G121" s="126"/>
      <c r="H121" s="126"/>
      <c r="I121" s="126"/>
      <c r="J121" s="126"/>
      <c r="K121" s="126"/>
      <c r="L121" s="126"/>
      <c r="M121" s="126"/>
      <c r="N121" s="126"/>
      <c r="O121" s="126"/>
      <c r="P121" s="125"/>
      <c r="Q121" s="111"/>
      <c r="R121" s="110"/>
      <c r="S121" s="110"/>
      <c r="T121" s="110"/>
      <c r="U121" s="110"/>
      <c r="V121" s="110"/>
      <c r="W121" s="110"/>
      <c r="X121" s="110"/>
      <c r="Y121" s="110"/>
      <c r="Z121" s="110"/>
      <c r="AA121" s="110"/>
      <c r="AB121" s="110"/>
      <c r="AC121" s="110"/>
      <c r="AD121" s="110"/>
      <c r="AE121" s="110"/>
      <c r="AF121" s="110"/>
      <c r="AG121" s="110"/>
      <c r="AH121" s="110"/>
    </row>
    <row r="122" spans="1:34">
      <c r="A122" s="110"/>
      <c r="B122" s="110"/>
      <c r="C122" s="110"/>
      <c r="D122" s="126"/>
      <c r="E122" s="128"/>
      <c r="F122" s="126"/>
      <c r="G122" s="126"/>
      <c r="H122" s="126"/>
      <c r="I122" s="126"/>
      <c r="J122" s="126"/>
      <c r="K122" s="126"/>
      <c r="L122" s="126"/>
      <c r="M122" s="126"/>
      <c r="N122" s="126"/>
      <c r="O122" s="126"/>
      <c r="P122" s="125"/>
      <c r="Q122" s="111"/>
      <c r="R122" s="110"/>
      <c r="S122" s="110"/>
      <c r="T122" s="110"/>
      <c r="U122" s="110"/>
      <c r="V122" s="110"/>
      <c r="W122" s="110"/>
      <c r="X122" s="110"/>
      <c r="Y122" s="110"/>
      <c r="Z122" s="110"/>
      <c r="AA122" s="110"/>
      <c r="AB122" s="110"/>
      <c r="AC122" s="110"/>
      <c r="AD122" s="110"/>
      <c r="AE122" s="110"/>
      <c r="AF122" s="110"/>
      <c r="AG122" s="110"/>
      <c r="AH122" s="110"/>
    </row>
    <row r="123" spans="1:34">
      <c r="A123" s="110"/>
      <c r="B123" s="110"/>
      <c r="C123" s="110"/>
      <c r="D123" s="126"/>
      <c r="E123" s="128"/>
      <c r="F123" s="126"/>
      <c r="G123" s="126"/>
      <c r="H123" s="126"/>
      <c r="I123" s="126"/>
      <c r="J123" s="126"/>
      <c r="K123" s="126"/>
      <c r="L123" s="126"/>
      <c r="M123" s="126"/>
      <c r="N123" s="126"/>
      <c r="O123" s="126"/>
      <c r="P123" s="125"/>
      <c r="Q123" s="111"/>
      <c r="R123" s="110"/>
      <c r="S123" s="110"/>
      <c r="T123" s="110"/>
      <c r="U123" s="110"/>
      <c r="V123" s="110"/>
      <c r="W123" s="110"/>
      <c r="X123" s="110"/>
      <c r="Y123" s="110"/>
      <c r="Z123" s="110"/>
      <c r="AA123" s="110"/>
      <c r="AB123" s="110"/>
      <c r="AC123" s="110"/>
      <c r="AD123" s="110"/>
      <c r="AE123" s="110"/>
      <c r="AF123" s="110"/>
      <c r="AG123" s="110"/>
      <c r="AH123" s="110"/>
    </row>
    <row r="124" spans="1:34">
      <c r="A124" s="110"/>
      <c r="B124" s="110"/>
      <c r="C124" s="110"/>
      <c r="D124" s="126"/>
      <c r="E124" s="128"/>
      <c r="F124" s="126"/>
      <c r="G124" s="126"/>
      <c r="H124" s="126"/>
      <c r="I124" s="126"/>
      <c r="J124" s="126"/>
      <c r="K124" s="126"/>
      <c r="L124" s="126"/>
      <c r="M124" s="126"/>
      <c r="N124" s="126"/>
      <c r="O124" s="126"/>
      <c r="P124" s="125"/>
      <c r="Q124" s="111"/>
      <c r="R124" s="110"/>
      <c r="S124" s="110"/>
      <c r="T124" s="110"/>
      <c r="U124" s="110"/>
      <c r="V124" s="110"/>
      <c r="W124" s="110"/>
      <c r="X124" s="110"/>
      <c r="Y124" s="110"/>
      <c r="Z124" s="110"/>
      <c r="AA124" s="110"/>
      <c r="AB124" s="110"/>
      <c r="AC124" s="110"/>
      <c r="AD124" s="110"/>
      <c r="AE124" s="110"/>
      <c r="AF124" s="110"/>
      <c r="AG124" s="110"/>
      <c r="AH124" s="110"/>
    </row>
    <row r="125" spans="1:34">
      <c r="A125" s="110"/>
      <c r="B125" s="110"/>
      <c r="C125" s="110"/>
      <c r="D125" s="126"/>
      <c r="E125" s="128"/>
      <c r="F125" s="126"/>
      <c r="G125" s="126"/>
      <c r="H125" s="126"/>
      <c r="I125" s="126"/>
      <c r="J125" s="126"/>
      <c r="K125" s="126"/>
      <c r="L125" s="126"/>
      <c r="M125" s="126"/>
      <c r="N125" s="126"/>
      <c r="O125" s="126"/>
      <c r="P125" s="125"/>
      <c r="Q125" s="111"/>
      <c r="R125" s="110"/>
      <c r="S125" s="110"/>
      <c r="T125" s="110"/>
      <c r="U125" s="110"/>
      <c r="V125" s="110"/>
      <c r="W125" s="110"/>
      <c r="X125" s="110"/>
      <c r="Y125" s="110"/>
      <c r="Z125" s="110"/>
      <c r="AA125" s="110"/>
      <c r="AB125" s="110"/>
      <c r="AC125" s="110"/>
      <c r="AD125" s="110"/>
      <c r="AE125" s="110"/>
      <c r="AF125" s="110"/>
      <c r="AG125" s="110"/>
      <c r="AH125" s="110"/>
    </row>
    <row r="126" spans="1:34">
      <c r="A126" s="110"/>
      <c r="B126" s="110"/>
      <c r="C126" s="110"/>
      <c r="D126" s="110"/>
      <c r="E126" s="128"/>
      <c r="F126" s="126"/>
      <c r="G126" s="126"/>
      <c r="H126" s="126"/>
      <c r="I126" s="126"/>
      <c r="J126" s="126"/>
      <c r="K126" s="126"/>
      <c r="L126" s="126"/>
      <c r="M126" s="126"/>
      <c r="N126" s="126"/>
      <c r="O126" s="126"/>
      <c r="P126" s="125"/>
      <c r="Q126" s="111"/>
      <c r="R126" s="110"/>
      <c r="S126" s="110"/>
      <c r="T126" s="110"/>
      <c r="U126" s="110"/>
      <c r="V126" s="110"/>
      <c r="W126" s="110"/>
      <c r="X126" s="110"/>
      <c r="Y126" s="110"/>
      <c r="Z126" s="110"/>
      <c r="AA126" s="110"/>
      <c r="AB126" s="110"/>
      <c r="AC126" s="110"/>
      <c r="AD126" s="110"/>
      <c r="AE126" s="110"/>
      <c r="AF126" s="110"/>
      <c r="AG126" s="110"/>
      <c r="AH126" s="110"/>
    </row>
    <row r="127" spans="1:34">
      <c r="A127" s="110"/>
      <c r="B127" s="110"/>
      <c r="C127" s="110"/>
      <c r="D127" s="110"/>
      <c r="E127" s="128"/>
      <c r="F127" s="126"/>
      <c r="G127" s="126"/>
      <c r="H127" s="126"/>
      <c r="I127" s="126"/>
      <c r="J127" s="126"/>
      <c r="K127" s="126"/>
      <c r="L127" s="126"/>
      <c r="M127" s="126"/>
      <c r="N127" s="126"/>
      <c r="O127" s="126"/>
      <c r="P127" s="125"/>
      <c r="Q127" s="111"/>
      <c r="R127" s="110"/>
      <c r="S127" s="110"/>
      <c r="T127" s="110"/>
      <c r="U127" s="110"/>
      <c r="V127" s="110"/>
      <c r="W127" s="110"/>
      <c r="X127" s="110"/>
      <c r="Y127" s="110"/>
      <c r="Z127" s="110"/>
      <c r="AA127" s="110"/>
      <c r="AB127" s="110"/>
      <c r="AC127" s="110"/>
      <c r="AD127" s="110"/>
      <c r="AE127" s="110"/>
      <c r="AF127" s="110"/>
      <c r="AG127" s="110"/>
      <c r="AH127" s="110"/>
    </row>
    <row r="128" spans="1:34">
      <c r="A128" s="110"/>
      <c r="B128" s="110"/>
      <c r="C128" s="110"/>
      <c r="D128" s="110"/>
      <c r="E128" s="128"/>
      <c r="F128" s="126"/>
      <c r="G128" s="126"/>
      <c r="H128" s="126"/>
      <c r="I128" s="126"/>
      <c r="J128" s="126"/>
      <c r="K128" s="126"/>
      <c r="L128" s="126"/>
      <c r="M128" s="126"/>
      <c r="N128" s="126"/>
      <c r="O128" s="126"/>
      <c r="P128" s="125"/>
      <c r="Q128" s="111"/>
      <c r="R128" s="110"/>
      <c r="S128" s="110"/>
      <c r="T128" s="110"/>
      <c r="U128" s="110"/>
      <c r="V128" s="110"/>
      <c r="W128" s="110"/>
      <c r="X128" s="110"/>
      <c r="Y128" s="110"/>
      <c r="Z128" s="110"/>
      <c r="AA128" s="110"/>
      <c r="AB128" s="110"/>
      <c r="AC128" s="110"/>
      <c r="AD128" s="110"/>
      <c r="AE128" s="110"/>
      <c r="AF128" s="110"/>
      <c r="AG128" s="110"/>
      <c r="AH128" s="110"/>
    </row>
    <row r="129" spans="1:34">
      <c r="A129" s="110"/>
      <c r="B129" s="110"/>
      <c r="C129" s="110"/>
      <c r="D129" s="110"/>
      <c r="E129" s="128"/>
      <c r="F129" s="126"/>
      <c r="G129" s="126"/>
      <c r="H129" s="126"/>
      <c r="I129" s="126"/>
      <c r="J129" s="126"/>
      <c r="K129" s="126"/>
      <c r="L129" s="126"/>
      <c r="M129" s="126"/>
      <c r="N129" s="126"/>
      <c r="O129" s="126"/>
      <c r="P129" s="125"/>
      <c r="Q129" s="111"/>
      <c r="R129" s="110"/>
      <c r="S129" s="110"/>
      <c r="T129" s="110"/>
      <c r="U129" s="110"/>
      <c r="V129" s="110"/>
      <c r="W129" s="110"/>
      <c r="X129" s="110"/>
      <c r="Y129" s="110"/>
      <c r="Z129" s="110"/>
      <c r="AA129" s="110"/>
      <c r="AB129" s="110"/>
      <c r="AC129" s="110"/>
      <c r="AD129" s="110"/>
      <c r="AE129" s="110"/>
      <c r="AF129" s="110"/>
      <c r="AG129" s="110"/>
      <c r="AH129" s="110"/>
    </row>
    <row r="130" spans="1:34">
      <c r="A130" s="110"/>
      <c r="B130" s="110"/>
      <c r="C130" s="110"/>
      <c r="D130" s="110"/>
      <c r="E130" s="128"/>
      <c r="F130" s="126"/>
      <c r="G130" s="126"/>
      <c r="H130" s="126"/>
      <c r="I130" s="126"/>
      <c r="J130" s="126"/>
      <c r="K130" s="126"/>
      <c r="L130" s="126"/>
      <c r="M130" s="126"/>
      <c r="N130" s="126"/>
      <c r="O130" s="126"/>
      <c r="P130" s="125"/>
      <c r="Q130" s="111"/>
      <c r="R130" s="110"/>
      <c r="S130" s="110"/>
      <c r="T130" s="110"/>
      <c r="U130" s="110"/>
      <c r="V130" s="110"/>
      <c r="W130" s="110"/>
      <c r="X130" s="110"/>
      <c r="Y130" s="110"/>
      <c r="Z130" s="110"/>
      <c r="AA130" s="110"/>
      <c r="AB130" s="110"/>
      <c r="AC130" s="110"/>
      <c r="AD130" s="110"/>
      <c r="AE130" s="110"/>
      <c r="AF130" s="110"/>
      <c r="AG130" s="110"/>
      <c r="AH130" s="110"/>
    </row>
    <row r="131" spans="1:34">
      <c r="A131" s="110"/>
      <c r="B131" s="110"/>
      <c r="C131" s="110"/>
      <c r="D131" s="110"/>
      <c r="E131" s="128"/>
      <c r="F131" s="126"/>
      <c r="G131" s="126"/>
      <c r="H131" s="126"/>
      <c r="I131" s="126"/>
      <c r="J131" s="126"/>
      <c r="K131" s="126"/>
      <c r="L131" s="126"/>
      <c r="M131" s="126"/>
      <c r="N131" s="126"/>
      <c r="O131" s="126"/>
      <c r="P131" s="125"/>
      <c r="Q131" s="111"/>
      <c r="R131" s="110"/>
      <c r="S131" s="110"/>
      <c r="T131" s="110"/>
      <c r="U131" s="110"/>
      <c r="V131" s="110"/>
      <c r="W131" s="110"/>
      <c r="X131" s="110"/>
      <c r="Y131" s="110"/>
      <c r="Z131" s="110"/>
      <c r="AA131" s="110"/>
      <c r="AB131" s="110"/>
      <c r="AC131" s="110"/>
      <c r="AD131" s="110"/>
      <c r="AE131" s="110"/>
      <c r="AF131" s="110"/>
      <c r="AG131" s="110"/>
      <c r="AH131" s="110"/>
    </row>
    <row r="132" spans="1:34">
      <c r="A132" s="110"/>
      <c r="B132" s="110"/>
      <c r="C132" s="110"/>
      <c r="D132" s="110"/>
      <c r="E132" s="128"/>
      <c r="F132" s="126"/>
      <c r="G132" s="126"/>
      <c r="H132" s="126"/>
      <c r="I132" s="126"/>
      <c r="J132" s="126"/>
      <c r="K132" s="126"/>
      <c r="L132" s="126"/>
      <c r="M132" s="126"/>
      <c r="N132" s="126"/>
      <c r="O132" s="126"/>
      <c r="P132" s="125"/>
      <c r="Q132" s="111"/>
      <c r="R132" s="110"/>
      <c r="S132" s="110"/>
      <c r="T132" s="110"/>
      <c r="U132" s="110"/>
      <c r="V132" s="110"/>
      <c r="W132" s="110"/>
      <c r="X132" s="110"/>
      <c r="Y132" s="110"/>
      <c r="Z132" s="110"/>
      <c r="AA132" s="110"/>
      <c r="AB132" s="110"/>
      <c r="AC132" s="110"/>
      <c r="AD132" s="110"/>
      <c r="AE132" s="110"/>
      <c r="AF132" s="110"/>
      <c r="AG132" s="110"/>
      <c r="AH132" s="110"/>
    </row>
    <row r="133" spans="1:34">
      <c r="A133" s="110"/>
      <c r="B133" s="110"/>
      <c r="C133" s="110"/>
      <c r="D133" s="110"/>
      <c r="E133" s="128"/>
      <c r="F133" s="126"/>
      <c r="G133" s="126"/>
      <c r="H133" s="126"/>
      <c r="I133" s="126"/>
      <c r="J133" s="126"/>
      <c r="K133" s="126"/>
      <c r="L133" s="126"/>
      <c r="M133" s="126"/>
      <c r="N133" s="126"/>
      <c r="O133" s="126"/>
      <c r="P133" s="125"/>
      <c r="Q133" s="111"/>
      <c r="R133" s="110"/>
      <c r="S133" s="110"/>
      <c r="T133" s="110"/>
      <c r="U133" s="110"/>
      <c r="V133" s="110"/>
      <c r="W133" s="110"/>
      <c r="X133" s="110"/>
      <c r="Y133" s="110"/>
      <c r="Z133" s="110"/>
      <c r="AA133" s="110"/>
      <c r="AB133" s="110"/>
      <c r="AC133" s="110"/>
      <c r="AD133" s="110"/>
      <c r="AE133" s="110"/>
      <c r="AF133" s="110"/>
      <c r="AG133" s="110"/>
      <c r="AH133" s="110"/>
    </row>
    <row r="134" spans="1:34">
      <c r="A134" s="110"/>
      <c r="B134" s="110"/>
      <c r="C134" s="110"/>
      <c r="D134" s="110"/>
      <c r="E134" s="128"/>
      <c r="F134" s="126"/>
      <c r="G134" s="126"/>
      <c r="H134" s="126"/>
      <c r="I134" s="126"/>
      <c r="J134" s="126"/>
      <c r="K134" s="126"/>
      <c r="L134" s="126"/>
      <c r="M134" s="126"/>
      <c r="N134" s="126"/>
      <c r="O134" s="126"/>
      <c r="P134" s="125"/>
      <c r="Q134" s="111"/>
      <c r="R134" s="110"/>
      <c r="S134" s="110"/>
      <c r="T134" s="110"/>
      <c r="U134" s="110"/>
      <c r="V134" s="110"/>
      <c r="W134" s="110"/>
      <c r="X134" s="110"/>
      <c r="Y134" s="110"/>
      <c r="Z134" s="110"/>
      <c r="AA134" s="110"/>
      <c r="AB134" s="110"/>
      <c r="AC134" s="110"/>
      <c r="AD134" s="110"/>
      <c r="AE134" s="110"/>
      <c r="AF134" s="110"/>
      <c r="AG134" s="110"/>
      <c r="AH134" s="110"/>
    </row>
    <row r="135" spans="1:34">
      <c r="A135" s="110"/>
      <c r="B135" s="110"/>
      <c r="C135" s="110"/>
      <c r="D135" s="110"/>
      <c r="E135" s="128"/>
      <c r="F135" s="126"/>
      <c r="G135" s="126"/>
      <c r="H135" s="126"/>
      <c r="I135" s="126"/>
      <c r="J135" s="126"/>
      <c r="K135" s="126"/>
      <c r="L135" s="126"/>
      <c r="M135" s="126"/>
      <c r="N135" s="126"/>
      <c r="O135" s="126"/>
      <c r="P135" s="125"/>
      <c r="Q135" s="111"/>
      <c r="R135" s="110"/>
      <c r="S135" s="110"/>
      <c r="T135" s="110"/>
      <c r="U135" s="110"/>
      <c r="V135" s="110"/>
      <c r="W135" s="110"/>
      <c r="X135" s="110"/>
      <c r="Y135" s="110"/>
      <c r="Z135" s="110"/>
      <c r="AA135" s="110"/>
      <c r="AB135" s="110"/>
      <c r="AC135" s="110"/>
      <c r="AD135" s="110"/>
      <c r="AE135" s="110"/>
      <c r="AF135" s="110"/>
      <c r="AG135" s="110"/>
      <c r="AH135" s="110"/>
    </row>
    <row r="136" spans="1:34">
      <c r="A136" s="110"/>
      <c r="B136" s="110"/>
      <c r="C136" s="110"/>
      <c r="D136" s="110"/>
      <c r="E136" s="128"/>
      <c r="F136" s="126"/>
      <c r="G136" s="126"/>
      <c r="H136" s="126"/>
      <c r="I136" s="126"/>
      <c r="J136" s="126"/>
      <c r="K136" s="126"/>
      <c r="L136" s="126"/>
      <c r="M136" s="126"/>
      <c r="N136" s="126"/>
      <c r="O136" s="126"/>
      <c r="P136" s="125"/>
      <c r="Q136" s="111"/>
      <c r="R136" s="110"/>
      <c r="S136" s="110"/>
      <c r="T136" s="110"/>
      <c r="U136" s="110"/>
      <c r="V136" s="110"/>
      <c r="W136" s="110"/>
      <c r="X136" s="110"/>
      <c r="Y136" s="110"/>
      <c r="Z136" s="110"/>
      <c r="AA136" s="110"/>
      <c r="AB136" s="110"/>
      <c r="AC136" s="110"/>
      <c r="AD136" s="110"/>
      <c r="AE136" s="110"/>
      <c r="AF136" s="110"/>
      <c r="AG136" s="110"/>
      <c r="AH136" s="110"/>
    </row>
    <row r="137" spans="1:34">
      <c r="A137" s="110"/>
      <c r="B137" s="110"/>
      <c r="C137" s="110"/>
      <c r="D137" s="110"/>
      <c r="E137" s="128"/>
      <c r="F137" s="126"/>
      <c r="G137" s="126"/>
      <c r="H137" s="126"/>
      <c r="I137" s="126"/>
      <c r="J137" s="126"/>
      <c r="K137" s="126"/>
      <c r="L137" s="126"/>
      <c r="M137" s="126"/>
      <c r="N137" s="126"/>
      <c r="O137" s="126"/>
      <c r="P137" s="125"/>
      <c r="Q137" s="111"/>
      <c r="R137" s="110"/>
      <c r="S137" s="110"/>
      <c r="T137" s="110"/>
      <c r="U137" s="110"/>
      <c r="V137" s="110"/>
      <c r="W137" s="110"/>
      <c r="X137" s="110"/>
      <c r="Y137" s="110"/>
      <c r="Z137" s="110"/>
      <c r="AA137" s="110"/>
      <c r="AB137" s="110"/>
      <c r="AC137" s="110"/>
      <c r="AD137" s="110"/>
      <c r="AE137" s="110"/>
      <c r="AF137" s="110"/>
      <c r="AG137" s="110"/>
      <c r="AH137" s="110"/>
    </row>
    <row r="138" spans="1:34">
      <c r="A138" s="110"/>
      <c r="B138" s="110"/>
      <c r="C138" s="110"/>
      <c r="D138" s="110"/>
      <c r="E138" s="128"/>
      <c r="F138" s="126"/>
      <c r="G138" s="126"/>
      <c r="H138" s="126"/>
      <c r="I138" s="126"/>
      <c r="J138" s="126"/>
      <c r="K138" s="126"/>
      <c r="L138" s="126"/>
      <c r="M138" s="126"/>
      <c r="N138" s="126"/>
      <c r="O138" s="126"/>
      <c r="P138" s="125"/>
      <c r="Q138" s="111"/>
      <c r="R138" s="110"/>
      <c r="S138" s="110"/>
      <c r="T138" s="110"/>
      <c r="U138" s="110"/>
      <c r="V138" s="110"/>
      <c r="W138" s="110"/>
      <c r="X138" s="110"/>
      <c r="Y138" s="110"/>
      <c r="Z138" s="110"/>
      <c r="AA138" s="110"/>
      <c r="AB138" s="110"/>
      <c r="AC138" s="110"/>
      <c r="AD138" s="110"/>
      <c r="AE138" s="110"/>
      <c r="AF138" s="110"/>
      <c r="AG138" s="110"/>
      <c r="AH138" s="110"/>
    </row>
    <row r="139" spans="1:34">
      <c r="A139" s="110"/>
      <c r="B139" s="110"/>
      <c r="C139" s="110"/>
      <c r="D139" s="110"/>
      <c r="E139" s="128"/>
      <c r="F139" s="126"/>
      <c r="G139" s="126"/>
      <c r="H139" s="126"/>
      <c r="I139" s="126"/>
      <c r="J139" s="126"/>
      <c r="K139" s="126"/>
      <c r="L139" s="126"/>
      <c r="M139" s="126"/>
      <c r="N139" s="126"/>
      <c r="O139" s="126"/>
      <c r="P139" s="125"/>
      <c r="Q139" s="111"/>
      <c r="R139" s="110"/>
      <c r="S139" s="110"/>
      <c r="T139" s="110"/>
      <c r="U139" s="110"/>
      <c r="V139" s="110"/>
      <c r="W139" s="110"/>
      <c r="X139" s="110"/>
      <c r="Y139" s="110"/>
      <c r="Z139" s="110"/>
      <c r="AA139" s="110"/>
      <c r="AB139" s="110"/>
      <c r="AC139" s="110"/>
      <c r="AD139" s="110"/>
      <c r="AE139" s="110"/>
      <c r="AF139" s="110"/>
      <c r="AG139" s="110"/>
      <c r="AH139" s="110"/>
    </row>
    <row r="140" spans="1:34">
      <c r="A140" s="110"/>
      <c r="B140" s="110"/>
      <c r="C140" s="110"/>
      <c r="D140" s="110"/>
      <c r="E140" s="128"/>
      <c r="F140" s="126"/>
      <c r="G140" s="126"/>
      <c r="H140" s="126"/>
      <c r="I140" s="126"/>
      <c r="J140" s="126"/>
      <c r="K140" s="126"/>
      <c r="L140" s="126"/>
      <c r="M140" s="126"/>
      <c r="N140" s="126"/>
      <c r="O140" s="126"/>
      <c r="P140" s="125"/>
      <c r="Q140" s="111"/>
      <c r="R140" s="110"/>
      <c r="S140" s="110"/>
      <c r="T140" s="110"/>
      <c r="U140" s="110"/>
      <c r="V140" s="110"/>
      <c r="W140" s="110"/>
      <c r="X140" s="110"/>
      <c r="Y140" s="110"/>
      <c r="Z140" s="110"/>
      <c r="AA140" s="110"/>
      <c r="AB140" s="110"/>
      <c r="AC140" s="110"/>
      <c r="AD140" s="110"/>
      <c r="AE140" s="110"/>
      <c r="AF140" s="110"/>
      <c r="AG140" s="110"/>
      <c r="AH140" s="110"/>
    </row>
    <row r="141" spans="1:34">
      <c r="A141" s="110"/>
      <c r="B141" s="110"/>
      <c r="C141" s="110"/>
      <c r="D141" s="110"/>
      <c r="E141" s="128"/>
      <c r="F141" s="126"/>
      <c r="G141" s="126"/>
      <c r="H141" s="126"/>
      <c r="I141" s="126"/>
      <c r="J141" s="126"/>
      <c r="K141" s="126"/>
      <c r="L141" s="126"/>
      <c r="M141" s="126"/>
      <c r="N141" s="126"/>
      <c r="O141" s="126"/>
      <c r="P141" s="125"/>
      <c r="Q141" s="111"/>
      <c r="R141" s="110"/>
      <c r="S141" s="110"/>
      <c r="T141" s="110"/>
      <c r="U141" s="110"/>
      <c r="V141" s="110"/>
      <c r="W141" s="110"/>
      <c r="X141" s="110"/>
      <c r="Y141" s="110"/>
      <c r="Z141" s="110"/>
      <c r="AA141" s="110"/>
      <c r="AB141" s="110"/>
      <c r="AC141" s="110"/>
      <c r="AD141" s="110"/>
      <c r="AE141" s="110"/>
      <c r="AF141" s="110"/>
      <c r="AG141" s="110"/>
      <c r="AH141" s="110"/>
    </row>
    <row r="142" spans="1:34">
      <c r="A142" s="110"/>
      <c r="B142" s="110"/>
      <c r="C142" s="110"/>
      <c r="D142" s="110"/>
      <c r="E142" s="128"/>
      <c r="F142" s="126"/>
      <c r="G142" s="126"/>
      <c r="H142" s="126"/>
      <c r="I142" s="126"/>
      <c r="J142" s="126"/>
      <c r="K142" s="126"/>
      <c r="L142" s="126"/>
      <c r="M142" s="126"/>
      <c r="N142" s="126"/>
      <c r="O142" s="126"/>
      <c r="P142" s="125"/>
      <c r="Q142" s="111"/>
      <c r="R142" s="110"/>
      <c r="S142" s="110"/>
      <c r="T142" s="110"/>
      <c r="U142" s="110"/>
      <c r="V142" s="110"/>
      <c r="W142" s="110"/>
      <c r="X142" s="110"/>
      <c r="Y142" s="110"/>
      <c r="Z142" s="110"/>
      <c r="AA142" s="110"/>
      <c r="AB142" s="110"/>
      <c r="AC142" s="110"/>
      <c r="AD142" s="110"/>
      <c r="AE142" s="110"/>
      <c r="AF142" s="110"/>
      <c r="AG142" s="110"/>
      <c r="AH142" s="110"/>
    </row>
    <row r="143" spans="1:34">
      <c r="A143" s="110"/>
      <c r="B143" s="110"/>
      <c r="C143" s="110"/>
      <c r="D143" s="110"/>
      <c r="E143" s="128"/>
      <c r="F143" s="126"/>
      <c r="G143" s="126"/>
      <c r="H143" s="126"/>
      <c r="I143" s="126"/>
      <c r="J143" s="126"/>
      <c r="K143" s="126"/>
      <c r="L143" s="126"/>
      <c r="M143" s="126"/>
      <c r="N143" s="126"/>
      <c r="O143" s="126"/>
      <c r="P143" s="125"/>
      <c r="Q143" s="111"/>
      <c r="R143" s="110"/>
      <c r="S143" s="110"/>
      <c r="T143" s="110"/>
      <c r="U143" s="110"/>
      <c r="V143" s="110"/>
      <c r="W143" s="110"/>
      <c r="X143" s="110"/>
      <c r="Y143" s="110"/>
      <c r="Z143" s="110"/>
      <c r="AA143" s="110"/>
      <c r="AB143" s="110"/>
      <c r="AC143" s="110"/>
      <c r="AD143" s="110"/>
      <c r="AE143" s="110"/>
      <c r="AF143" s="110"/>
      <c r="AG143" s="110"/>
      <c r="AH143" s="110"/>
    </row>
    <row r="144" spans="1:34">
      <c r="A144" s="110"/>
      <c r="B144" s="110"/>
      <c r="C144" s="110"/>
      <c r="D144" s="110"/>
      <c r="E144" s="128"/>
      <c r="F144" s="126"/>
      <c r="G144" s="126"/>
      <c r="H144" s="126"/>
      <c r="I144" s="126"/>
      <c r="J144" s="126"/>
      <c r="K144" s="126"/>
      <c r="L144" s="126"/>
      <c r="M144" s="126"/>
      <c r="N144" s="126"/>
      <c r="O144" s="126"/>
      <c r="P144" s="125"/>
      <c r="Q144" s="111"/>
      <c r="R144" s="110"/>
      <c r="S144" s="110"/>
      <c r="T144" s="110"/>
      <c r="U144" s="110"/>
      <c r="V144" s="110"/>
      <c r="W144" s="110"/>
      <c r="X144" s="110"/>
      <c r="Y144" s="110"/>
      <c r="Z144" s="110"/>
      <c r="AA144" s="110"/>
      <c r="AB144" s="110"/>
      <c r="AC144" s="110"/>
      <c r="AD144" s="110"/>
      <c r="AE144" s="110"/>
      <c r="AF144" s="110"/>
      <c r="AG144" s="110"/>
      <c r="AH144" s="110"/>
    </row>
    <row r="145" spans="1:34">
      <c r="A145" s="110"/>
      <c r="B145" s="110"/>
      <c r="C145" s="110"/>
      <c r="D145" s="110"/>
      <c r="E145" s="128"/>
      <c r="F145" s="126"/>
      <c r="G145" s="126"/>
      <c r="H145" s="126"/>
      <c r="I145" s="126"/>
      <c r="J145" s="126"/>
      <c r="K145" s="126"/>
      <c r="L145" s="126"/>
      <c r="M145" s="126"/>
      <c r="N145" s="126"/>
      <c r="O145" s="126"/>
      <c r="P145" s="125"/>
      <c r="Q145" s="111"/>
      <c r="R145" s="110"/>
      <c r="S145" s="110"/>
      <c r="T145" s="110"/>
      <c r="U145" s="110"/>
      <c r="V145" s="110"/>
      <c r="W145" s="110"/>
      <c r="X145" s="110"/>
      <c r="Y145" s="110"/>
      <c r="Z145" s="110"/>
      <c r="AA145" s="110"/>
      <c r="AB145" s="110"/>
      <c r="AC145" s="110"/>
      <c r="AD145" s="110"/>
      <c r="AE145" s="110"/>
      <c r="AF145" s="110"/>
      <c r="AG145" s="110"/>
      <c r="AH145" s="110"/>
    </row>
    <row r="146" spans="1:34">
      <c r="A146" s="110"/>
      <c r="B146" s="110"/>
      <c r="C146" s="110"/>
      <c r="D146" s="110"/>
      <c r="E146" s="128"/>
      <c r="F146" s="126"/>
      <c r="G146" s="126"/>
      <c r="H146" s="126"/>
      <c r="I146" s="126"/>
      <c r="J146" s="126"/>
      <c r="K146" s="126"/>
      <c r="L146" s="126"/>
      <c r="M146" s="126"/>
      <c r="N146" s="126"/>
      <c r="O146" s="126"/>
      <c r="P146" s="125"/>
      <c r="Q146" s="111"/>
      <c r="R146" s="110"/>
      <c r="S146" s="110"/>
      <c r="T146" s="110"/>
      <c r="U146" s="110"/>
      <c r="V146" s="110"/>
      <c r="W146" s="110"/>
      <c r="X146" s="110"/>
      <c r="Y146" s="110"/>
      <c r="Z146" s="110"/>
      <c r="AA146" s="110"/>
      <c r="AB146" s="110"/>
      <c r="AC146" s="110"/>
      <c r="AD146" s="110"/>
      <c r="AE146" s="110"/>
      <c r="AF146" s="110"/>
      <c r="AG146" s="110"/>
      <c r="AH146" s="110"/>
    </row>
    <row r="147" spans="1:34">
      <c r="A147" s="110"/>
      <c r="B147" s="110"/>
      <c r="C147" s="110"/>
      <c r="D147" s="110"/>
      <c r="E147" s="128"/>
      <c r="F147" s="126"/>
      <c r="G147" s="126"/>
      <c r="H147" s="126"/>
      <c r="I147" s="126"/>
      <c r="J147" s="126"/>
      <c r="K147" s="126"/>
      <c r="L147" s="126"/>
      <c r="M147" s="126"/>
      <c r="N147" s="126"/>
      <c r="O147" s="126"/>
      <c r="P147" s="125"/>
      <c r="Q147" s="111"/>
      <c r="R147" s="110"/>
      <c r="S147" s="110"/>
      <c r="T147" s="110"/>
      <c r="U147" s="110"/>
      <c r="V147" s="110"/>
      <c r="W147" s="110"/>
      <c r="X147" s="110"/>
      <c r="Y147" s="110"/>
      <c r="Z147" s="110"/>
      <c r="AA147" s="110"/>
      <c r="AB147" s="110"/>
      <c r="AC147" s="110"/>
      <c r="AD147" s="110"/>
      <c r="AE147" s="110"/>
      <c r="AF147" s="110"/>
      <c r="AG147" s="110"/>
      <c r="AH147" s="110"/>
    </row>
    <row r="148" spans="1:34">
      <c r="A148" s="110"/>
      <c r="B148" s="110"/>
      <c r="C148" s="110"/>
      <c r="D148" s="110"/>
      <c r="E148" s="128"/>
      <c r="F148" s="126"/>
      <c r="G148" s="126"/>
      <c r="H148" s="126"/>
      <c r="I148" s="126"/>
      <c r="J148" s="126"/>
      <c r="K148" s="126"/>
      <c r="L148" s="126"/>
      <c r="M148" s="126"/>
      <c r="N148" s="126"/>
      <c r="O148" s="126"/>
      <c r="P148" s="125"/>
      <c r="Q148" s="111"/>
      <c r="R148" s="110"/>
      <c r="S148" s="110"/>
      <c r="T148" s="110"/>
      <c r="U148" s="110"/>
      <c r="V148" s="110"/>
      <c r="W148" s="110"/>
      <c r="X148" s="110"/>
      <c r="Y148" s="110"/>
      <c r="Z148" s="110"/>
      <c r="AA148" s="110"/>
      <c r="AB148" s="110"/>
      <c r="AC148" s="110"/>
      <c r="AD148" s="110"/>
      <c r="AE148" s="110"/>
      <c r="AF148" s="110"/>
      <c r="AG148" s="110"/>
      <c r="AH148" s="110"/>
    </row>
    <row r="149" spans="1:34">
      <c r="A149" s="110"/>
      <c r="B149" s="110"/>
      <c r="C149" s="110"/>
      <c r="D149" s="110"/>
      <c r="E149" s="128"/>
      <c r="F149" s="126"/>
      <c r="G149" s="126"/>
      <c r="H149" s="126"/>
      <c r="I149" s="126"/>
      <c r="J149" s="126"/>
      <c r="K149" s="126"/>
      <c r="L149" s="126"/>
      <c r="M149" s="126"/>
      <c r="N149" s="126"/>
      <c r="O149" s="126"/>
      <c r="P149" s="125"/>
      <c r="Q149" s="111"/>
      <c r="R149" s="110"/>
      <c r="S149" s="110"/>
      <c r="T149" s="110"/>
      <c r="U149" s="110"/>
      <c r="V149" s="110"/>
      <c r="W149" s="110"/>
      <c r="X149" s="110"/>
      <c r="Y149" s="110"/>
      <c r="Z149" s="110"/>
      <c r="AA149" s="110"/>
      <c r="AB149" s="110"/>
      <c r="AC149" s="110"/>
      <c r="AD149" s="110"/>
      <c r="AE149" s="110"/>
      <c r="AF149" s="110"/>
      <c r="AG149" s="110"/>
      <c r="AH149" s="110"/>
    </row>
    <row r="150" spans="1:34">
      <c r="A150" s="110"/>
      <c r="B150" s="110"/>
      <c r="C150" s="110"/>
      <c r="D150" s="110"/>
      <c r="E150" s="128"/>
      <c r="F150" s="126"/>
      <c r="G150" s="126"/>
      <c r="H150" s="126"/>
      <c r="I150" s="126"/>
      <c r="J150" s="126"/>
      <c r="K150" s="126"/>
      <c r="L150" s="126"/>
      <c r="M150" s="126"/>
      <c r="N150" s="126"/>
      <c r="O150" s="126"/>
      <c r="P150" s="125"/>
      <c r="Q150" s="111"/>
      <c r="R150" s="110"/>
      <c r="S150" s="110"/>
      <c r="T150" s="110"/>
      <c r="U150" s="110"/>
      <c r="V150" s="110"/>
      <c r="W150" s="110"/>
      <c r="X150" s="110"/>
      <c r="Y150" s="110"/>
      <c r="Z150" s="110"/>
      <c r="AA150" s="110"/>
      <c r="AB150" s="110"/>
      <c r="AC150" s="110"/>
      <c r="AD150" s="110"/>
      <c r="AE150" s="110"/>
      <c r="AF150" s="110"/>
      <c r="AG150" s="110"/>
      <c r="AH150" s="110"/>
    </row>
    <row r="151" spans="1:34">
      <c r="A151" s="110"/>
      <c r="B151" s="110"/>
      <c r="E151" s="109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108"/>
    </row>
    <row r="152" spans="1:34">
      <c r="E152" s="109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108"/>
    </row>
    <row r="153" spans="1:34">
      <c r="E153" s="109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108"/>
    </row>
    <row r="154" spans="1:34">
      <c r="E154" s="109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108"/>
    </row>
    <row r="155" spans="1:34">
      <c r="E155" s="109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108"/>
    </row>
    <row r="156" spans="1:34">
      <c r="E156" s="109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108"/>
    </row>
    <row r="157" spans="1:34">
      <c r="E157" s="109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108"/>
    </row>
    <row r="158" spans="1:34">
      <c r="E158" s="109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108"/>
    </row>
    <row r="159" spans="1:34">
      <c r="E159" s="109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108"/>
    </row>
    <row r="160" spans="1:34">
      <c r="E160" s="109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108"/>
    </row>
    <row r="161" spans="5:16">
      <c r="E161" s="109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108"/>
    </row>
    <row r="162" spans="5:16">
      <c r="E162" s="109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108"/>
    </row>
    <row r="163" spans="5:16">
      <c r="E163" s="109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108"/>
    </row>
    <row r="164" spans="5:16">
      <c r="E164" s="109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108"/>
    </row>
    <row r="165" spans="5:16">
      <c r="E165" s="109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108"/>
    </row>
    <row r="166" spans="5:16">
      <c r="E166" s="109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108"/>
    </row>
    <row r="167" spans="5:16">
      <c r="E167" s="109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108"/>
    </row>
    <row r="168" spans="5:16">
      <c r="E168" s="109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108"/>
    </row>
    <row r="169" spans="5:16">
      <c r="E169" s="109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108"/>
    </row>
    <row r="170" spans="5:16">
      <c r="E170" s="109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108"/>
    </row>
    <row r="171" spans="5:16">
      <c r="E171" s="109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108"/>
    </row>
    <row r="172" spans="5:16">
      <c r="E172" s="109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108"/>
    </row>
    <row r="173" spans="5:16">
      <c r="E173" s="109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108"/>
    </row>
    <row r="174" spans="5:16">
      <c r="E174" s="109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108"/>
    </row>
    <row r="175" spans="5:16">
      <c r="E175" s="109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108"/>
    </row>
    <row r="176" spans="5:16">
      <c r="E176" s="109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108"/>
    </row>
    <row r="177" spans="4:16">
      <c r="E177" s="109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108"/>
    </row>
    <row r="178" spans="4:16">
      <c r="E178" s="109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108"/>
    </row>
    <row r="179" spans="4:16">
      <c r="E179" s="109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108"/>
    </row>
    <row r="180" spans="4:16">
      <c r="E180" s="109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108"/>
    </row>
    <row r="181" spans="4:16">
      <c r="E181" s="109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108"/>
    </row>
    <row r="182" spans="4:16">
      <c r="E182" s="109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108"/>
    </row>
    <row r="183" spans="4:16">
      <c r="E183" s="109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108"/>
    </row>
    <row r="184" spans="4:16">
      <c r="E184" s="109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108"/>
    </row>
    <row r="185" spans="4:16">
      <c r="E185" s="109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108"/>
    </row>
    <row r="186" spans="4:16">
      <c r="E186" s="109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108"/>
    </row>
    <row r="187" spans="4:16">
      <c r="E187" s="109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108"/>
    </row>
    <row r="188" spans="4:16">
      <c r="E188" s="109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108"/>
    </row>
    <row r="189" spans="4:16">
      <c r="E189" s="109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108"/>
    </row>
    <row r="190" spans="4:16">
      <c r="E190" s="109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108"/>
    </row>
    <row r="191" spans="4:16"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108"/>
    </row>
    <row r="192" spans="4:16"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108"/>
    </row>
    <row r="193" spans="6:16"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108"/>
    </row>
    <row r="194" spans="6:16"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108"/>
    </row>
    <row r="195" spans="6:16"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108"/>
    </row>
    <row r="196" spans="6:16"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108"/>
    </row>
    <row r="197" spans="6:16"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108"/>
    </row>
    <row r="198" spans="6:16"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108"/>
    </row>
    <row r="199" spans="6:16"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108"/>
    </row>
    <row r="200" spans="6:16"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108"/>
    </row>
    <row r="201" spans="6:16"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108"/>
    </row>
    <row r="202" spans="6:16"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108"/>
    </row>
    <row r="203" spans="6:16"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108"/>
    </row>
    <row r="204" spans="6:16"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108"/>
    </row>
    <row r="205" spans="6:16"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108"/>
    </row>
    <row r="206" spans="6:16"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108"/>
    </row>
    <row r="207" spans="6:16"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108"/>
    </row>
    <row r="208" spans="6:16"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108"/>
    </row>
  </sheetData>
  <sheetProtection sheet="1" objects="1" scenarios="1" formatCells="0" formatColumns="0" formatRows="0" sort="0" autoFilter="0"/>
  <mergeCells count="25">
    <mergeCell ref="E15:F15"/>
    <mergeCell ref="G15:H15"/>
    <mergeCell ref="I15:J15"/>
    <mergeCell ref="K15:L15"/>
    <mergeCell ref="M15:N15"/>
    <mergeCell ref="W15:X15"/>
    <mergeCell ref="O17:P17"/>
    <mergeCell ref="Q17:X17"/>
    <mergeCell ref="J7:L7"/>
    <mergeCell ref="I8:M8"/>
    <mergeCell ref="O15:P15"/>
    <mergeCell ref="Q15:R15"/>
    <mergeCell ref="S15:T15"/>
    <mergeCell ref="U15:V15"/>
    <mergeCell ref="O18:P18"/>
    <mergeCell ref="Q18:R18"/>
    <mergeCell ref="S18:T18"/>
    <mergeCell ref="U18:V18"/>
    <mergeCell ref="W18:X18"/>
    <mergeCell ref="M18:N18"/>
    <mergeCell ref="D18:D19"/>
    <mergeCell ref="E18:F18"/>
    <mergeCell ref="G18:H18"/>
    <mergeCell ref="I18:J18"/>
    <mergeCell ref="K18:L18"/>
  </mergeCells>
  <printOptions horizontalCentered="1" verticalCentered="1"/>
  <pageMargins left="0" right="0" top="0.19685039370078741" bottom="0.19685039370078741" header="0" footer="0"/>
  <pageSetup paperSize="9" scale="24" orientation="portrait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7">
    <tabColor theme="4" tint="0.79998168889431442"/>
    <pageSetUpPr fitToPage="1"/>
  </sheetPr>
  <dimension ref="A1:AK154"/>
  <sheetViews>
    <sheetView tabSelected="1" topLeftCell="A23" zoomScale="70" zoomScaleNormal="70" workbookViewId="0">
      <pane ySplit="3" topLeftCell="A26" activePane="bottomLeft" state="frozen"/>
      <selection activeCell="D23" sqref="D23"/>
      <selection pane="bottomLeft" activeCell="P74" sqref="P74"/>
    </sheetView>
  </sheetViews>
  <sheetFormatPr defaultRowHeight="12.75"/>
  <cols>
    <col min="1" max="3" width="9.140625" customWidth="1"/>
    <col min="4" max="4" width="49.42578125" customWidth="1"/>
    <col min="5" max="6" width="14.28515625" customWidth="1"/>
    <col min="7" max="7" width="15.42578125" customWidth="1"/>
    <col min="8" max="8" width="15.85546875" customWidth="1"/>
    <col min="9" max="10" width="14.28515625" customWidth="1"/>
    <col min="11" max="11" width="15.7109375" customWidth="1"/>
    <col min="12" max="12" width="10.140625" customWidth="1"/>
    <col min="13" max="13" width="10.7109375" customWidth="1"/>
    <col min="14" max="15" width="14.28515625" customWidth="1"/>
    <col min="16" max="16" width="10.42578125" customWidth="1"/>
    <col min="17" max="17" width="11" customWidth="1"/>
    <col min="18" max="18" width="12" customWidth="1"/>
    <col min="19" max="20" width="11.7109375" customWidth="1"/>
    <col min="21" max="21" width="15.7109375" customWidth="1"/>
  </cols>
  <sheetData>
    <row r="1" spans="1:37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</row>
    <row r="2" spans="1:3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</row>
    <row r="3" spans="1:3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</row>
    <row r="4" spans="1:3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</row>
    <row r="5" spans="1:37">
      <c r="A5" s="69"/>
      <c r="B5" s="69"/>
      <c r="C5" s="69"/>
      <c r="D5" s="70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</row>
    <row r="6" spans="1:37">
      <c r="A6" s="69"/>
      <c r="B6" s="69"/>
      <c r="C6" s="69"/>
      <c r="D6" s="70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</row>
    <row r="7" spans="1:37">
      <c r="A7" s="69"/>
      <c r="B7" s="69"/>
      <c r="C7" s="69"/>
      <c r="D7" s="70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</row>
    <row r="8" spans="1:37" ht="15">
      <c r="A8" s="69"/>
      <c r="B8" s="69"/>
      <c r="C8" s="69"/>
      <c r="D8" s="70"/>
      <c r="E8" s="69"/>
      <c r="F8" s="76"/>
      <c r="G8" s="76"/>
      <c r="H8" s="76"/>
      <c r="I8" s="1152" t="str">
        <f>IF(MasterSheet!$A$1=1, MasterSheet!C5,MasterSheet!B5)</f>
        <v>CRNA GORA</v>
      </c>
      <c r="J8" s="1152"/>
      <c r="K8" s="1152"/>
      <c r="L8" s="1152"/>
      <c r="M8" s="76"/>
      <c r="N8" s="76"/>
      <c r="O8" s="76"/>
      <c r="P8" s="76"/>
      <c r="Q8" s="76"/>
      <c r="R8" s="76"/>
      <c r="S8" s="76"/>
      <c r="T8" s="76"/>
      <c r="U8" s="76"/>
      <c r="V8" s="69"/>
      <c r="W8" s="69"/>
      <c r="X8" s="69"/>
      <c r="Y8" s="69"/>
      <c r="Z8" s="69"/>
      <c r="AA8" s="70"/>
      <c r="AB8" s="69"/>
      <c r="AC8" s="69"/>
      <c r="AD8" s="69"/>
      <c r="AE8" s="69"/>
      <c r="AF8" s="69"/>
      <c r="AG8" s="69"/>
      <c r="AH8" s="69"/>
      <c r="AI8" s="69"/>
      <c r="AJ8" s="69"/>
      <c r="AK8" s="69"/>
    </row>
    <row r="9" spans="1:37" ht="15">
      <c r="A9" s="69"/>
      <c r="B9" s="69"/>
      <c r="C9" s="69"/>
      <c r="D9" s="1"/>
      <c r="E9" s="69"/>
      <c r="F9" s="69"/>
      <c r="G9" s="69"/>
      <c r="H9" s="1152" t="str">
        <f>IF(MasterSheet!$A$1=1, MasterSheet!C6,MasterSheet!B6)</f>
        <v>MINISTARSTVO FINANSIJA</v>
      </c>
      <c r="I9" s="1152"/>
      <c r="J9" s="1152"/>
      <c r="K9" s="1152"/>
      <c r="L9" s="1152"/>
      <c r="M9" s="1152"/>
      <c r="N9" s="637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69"/>
      <c r="AA9" s="70"/>
      <c r="AB9" s="69"/>
      <c r="AC9" s="69"/>
      <c r="AD9" s="69"/>
      <c r="AE9" s="69"/>
      <c r="AF9" s="69"/>
      <c r="AG9" s="69"/>
      <c r="AH9" s="69"/>
      <c r="AI9" s="69"/>
      <c r="AJ9" s="69"/>
      <c r="AK9" s="69"/>
    </row>
    <row r="10" spans="1:37">
      <c r="A10" s="69"/>
      <c r="B10" s="69"/>
      <c r="C10" s="69"/>
      <c r="D10" s="213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69"/>
      <c r="X10" s="69"/>
      <c r="Y10" s="69"/>
      <c r="Z10" s="69"/>
      <c r="AA10" s="70"/>
      <c r="AB10" s="69"/>
      <c r="AC10" s="69"/>
      <c r="AD10" s="69"/>
      <c r="AE10" s="69"/>
      <c r="AF10" s="69"/>
      <c r="AG10" s="69"/>
      <c r="AH10" s="69"/>
      <c r="AI10" s="69"/>
      <c r="AJ10" s="69"/>
      <c r="AK10" s="69"/>
    </row>
    <row r="11" spans="1:37">
      <c r="A11" s="69"/>
      <c r="B11" s="69"/>
      <c r="C11" s="69"/>
      <c r="D11" s="70"/>
      <c r="E11" s="72"/>
      <c r="F11" s="213"/>
      <c r="G11" s="213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213"/>
      <c r="S11" s="213"/>
      <c r="T11" s="213"/>
      <c r="U11" s="72"/>
      <c r="V11" s="72"/>
      <c r="W11" s="69"/>
      <c r="X11" s="69"/>
      <c r="Y11" s="69"/>
      <c r="Z11" s="69"/>
      <c r="AA11" s="70"/>
      <c r="AB11" s="69"/>
      <c r="AC11" s="69"/>
      <c r="AD11" s="69"/>
      <c r="AE11" s="69"/>
      <c r="AF11" s="69"/>
      <c r="AG11" s="69"/>
      <c r="AH11" s="69"/>
      <c r="AI11" s="69"/>
      <c r="AJ11" s="69"/>
      <c r="AK11" s="69"/>
    </row>
    <row r="12" spans="1:37">
      <c r="A12" s="69"/>
      <c r="B12" s="69"/>
      <c r="C12" s="69"/>
      <c r="D12" s="213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213"/>
      <c r="Q12" s="213"/>
      <c r="R12" s="213"/>
      <c r="S12" s="213"/>
      <c r="T12" s="213"/>
      <c r="U12" s="72"/>
      <c r="V12" s="72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</row>
    <row r="13" spans="1:37" ht="13.5" thickBot="1">
      <c r="A13" s="69"/>
      <c r="B13" s="69"/>
      <c r="C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70"/>
      <c r="Q13" s="70"/>
      <c r="R13" s="213"/>
      <c r="S13" s="213"/>
      <c r="T13" s="213"/>
      <c r="U13" s="213"/>
      <c r="V13" s="213"/>
      <c r="W13" s="70"/>
      <c r="X13" s="70"/>
      <c r="Y13" s="70"/>
      <c r="Z13" s="70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</row>
    <row r="14" spans="1:37" ht="16.5" thickTop="1" thickBot="1">
      <c r="B14" s="413"/>
      <c r="C14" s="413"/>
      <c r="D14" s="72"/>
      <c r="E14" s="436">
        <v>2006</v>
      </c>
      <c r="F14" s="437">
        <v>2007</v>
      </c>
      <c r="G14" s="437">
        <v>2008</v>
      </c>
      <c r="H14" s="437">
        <v>2009</v>
      </c>
      <c r="I14" s="437">
        <v>2010</v>
      </c>
      <c r="J14" s="437">
        <v>2011</v>
      </c>
      <c r="K14" s="437">
        <v>2012</v>
      </c>
      <c r="L14" s="436">
        <v>2013</v>
      </c>
      <c r="M14" s="436">
        <v>2014</v>
      </c>
      <c r="N14" s="487">
        <v>2015</v>
      </c>
      <c r="O14" s="487">
        <v>2016</v>
      </c>
      <c r="P14" s="70"/>
      <c r="Q14" s="654"/>
      <c r="R14" s="70"/>
      <c r="S14" s="70"/>
      <c r="T14" s="433"/>
      <c r="U14" s="70"/>
      <c r="V14" s="434"/>
      <c r="W14" s="70"/>
      <c r="X14" s="412"/>
      <c r="Y14" s="70"/>
      <c r="Z14" s="412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</row>
    <row r="15" spans="1:37" ht="16.5" thickTop="1" thickBot="1">
      <c r="A15" s="408"/>
      <c r="B15" s="236"/>
      <c r="C15" s="236"/>
      <c r="D15" s="435" t="str">
        <f>IF(MasterSheet!$A$1=1,MasterSheet!B67,MasterSheet!B66)</f>
        <v>BDP (u mil. €)</v>
      </c>
      <c r="E15" s="528">
        <f>+'Cental Budget_int'!E15</f>
        <v>2148900000</v>
      </c>
      <c r="F15" s="529">
        <f>+'Cental Budget_int'!G15</f>
        <v>2680500000</v>
      </c>
      <c r="G15" s="529">
        <f>+'Cental Budget_int'!I15</f>
        <v>3085600000</v>
      </c>
      <c r="H15" s="529">
        <f>+'Cental Budget_int'!K15</f>
        <v>2981000000</v>
      </c>
      <c r="I15" s="529">
        <f>+'Cental Budget_int'!M15</f>
        <v>3104000000</v>
      </c>
      <c r="J15" s="529">
        <f>+'Cental Budget_int'!O15</f>
        <v>3234000000</v>
      </c>
      <c r="K15" s="530">
        <f>+'Cental Budget_int'!Q15</f>
        <v>3149000000</v>
      </c>
      <c r="L15" s="531">
        <f>+'Cental Budget_int'!S15</f>
        <v>3517000000</v>
      </c>
      <c r="M15" s="531">
        <v>3735000000</v>
      </c>
      <c r="N15" s="531">
        <v>3982000000</v>
      </c>
      <c r="O15" s="531">
        <v>4265000000</v>
      </c>
      <c r="P15" s="70"/>
      <c r="Q15" s="655">
        <v>4265000000</v>
      </c>
      <c r="R15" s="70"/>
      <c r="S15" s="409"/>
      <c r="T15" s="410"/>
      <c r="U15" s="410"/>
      <c r="V15" s="410"/>
      <c r="W15" s="410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</row>
    <row r="16" spans="1:37" ht="17.25" customHeight="1" thickTop="1">
      <c r="A16" s="69"/>
      <c r="B16" s="69"/>
      <c r="C16" s="69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213"/>
      <c r="Q16" s="213"/>
      <c r="R16" s="213"/>
      <c r="S16" s="72"/>
      <c r="T16" s="72"/>
      <c r="U16" s="72"/>
      <c r="V16" s="72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</row>
    <row r="17" spans="1:37" ht="17.25" customHeight="1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70"/>
      <c r="Q17" s="70"/>
      <c r="R17" s="70"/>
      <c r="S17" s="69"/>
      <c r="T17" s="69"/>
      <c r="U17" s="69"/>
      <c r="V17" s="72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</row>
    <row r="18" spans="1:37" ht="15" customHeight="1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72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</row>
    <row r="19" spans="1:37" ht="15" customHeight="1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70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72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</row>
    <row r="20" spans="1:37" ht="15" customHeight="1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70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72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</row>
    <row r="21" spans="1:37" ht="15" customHeight="1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72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</row>
    <row r="22" spans="1:37" ht="15" customHeight="1">
      <c r="A22" s="69"/>
      <c r="B22" s="69"/>
      <c r="C22" s="69"/>
      <c r="D22" s="69"/>
      <c r="E22" s="69"/>
      <c r="F22" s="69">
        <f>+F26/'Monthly plan for 2013'!Q19*100</f>
        <v>75.703573422510601</v>
      </c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72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</row>
    <row r="23" spans="1:37" ht="15" customHeight="1" thickBot="1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70"/>
      <c r="U23" s="70"/>
      <c r="V23" s="72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</row>
    <row r="24" spans="1:37" ht="21" customHeight="1" thickTop="1">
      <c r="A24" s="69"/>
      <c r="B24" s="69"/>
      <c r="C24" s="69"/>
      <c r="D24" s="1266" t="str">
        <f>IF(MasterSheet!$A$1=1,MasterSheet!B430,MasterSheet!B429)</f>
        <v>Analitika ostvarenja</v>
      </c>
      <c r="E24" s="1263" t="s">
        <v>436</v>
      </c>
      <c r="F24" s="1264"/>
      <c r="G24" s="1264"/>
      <c r="H24" s="1264"/>
      <c r="I24" s="1264"/>
      <c r="J24" s="1264"/>
      <c r="K24" s="1265"/>
      <c r="L24" s="1263" t="str">
        <f>IF(MasterSheet!$A$1=1,MasterSheet!G430,MasterSheet!J429)</f>
        <v xml:space="preserve">  Sep 2013</v>
      </c>
      <c r="M24" s="1264"/>
      <c r="N24" s="1264"/>
      <c r="O24" s="1264"/>
      <c r="P24" s="1264"/>
      <c r="Q24" s="1264"/>
      <c r="R24" s="1265"/>
      <c r="S24" s="444"/>
      <c r="T24" s="444"/>
      <c r="U24" s="444"/>
      <c r="V24" s="72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</row>
    <row r="25" spans="1:37" ht="51.75" thickBot="1">
      <c r="A25" s="69"/>
      <c r="B25" s="69"/>
      <c r="C25" s="69"/>
      <c r="D25" s="1267"/>
      <c r="E25" s="722" t="s">
        <v>338</v>
      </c>
      <c r="F25" s="732" t="str">
        <f>IF(MasterSheet!$A$1=1,MasterSheet!$C$430,MasterSheet!$C$429)</f>
        <v>Ostvarenje</v>
      </c>
      <c r="G25" s="723" t="s">
        <v>398</v>
      </c>
      <c r="H25" s="724" t="str">
        <f>+CONCATENATE(E24," / ", E24, " plan")</f>
        <v>Jan- Sep 2013 / Jan- Sep 2013 plan</v>
      </c>
      <c r="I25" s="725" t="str">
        <f>+CONCATENATE(LEFT(E24,8)," 2012")</f>
        <v>Jan- Sep 2012</v>
      </c>
      <c r="J25" s="723" t="s">
        <v>399</v>
      </c>
      <c r="K25" s="724" t="str">
        <f>+CONCATENATE(E24, " / ", I25)</f>
        <v>Jan- Sep 2013 / Jan- Sep 2012</v>
      </c>
      <c r="L25" s="726" t="s">
        <v>338</v>
      </c>
      <c r="M25" s="725" t="str">
        <f>IF(MasterSheet!$A$1=1,MasterSheet!$C$430,MasterSheet!$C$429)</f>
        <v>Ostvarenje</v>
      </c>
      <c r="N25" s="723" t="s">
        <v>398</v>
      </c>
      <c r="O25" s="727" t="str">
        <f>+CONCATENATE(L24," /    ", L24, " plan")</f>
        <v xml:space="preserve">  Sep 2013 /      Sep 2013 plan</v>
      </c>
      <c r="P25" s="725" t="str">
        <f>+CONCATENATE(LEFT(L24,5)," 2012")</f>
        <v xml:space="preserve">  Sep 2012</v>
      </c>
      <c r="Q25" s="723" t="s">
        <v>399</v>
      </c>
      <c r="R25" s="727" t="str">
        <f>+CONCATENATE(L24, "  / ", P25)</f>
        <v xml:space="preserve">  Sep 2013  /   Sep 2012</v>
      </c>
      <c r="S25" s="445"/>
      <c r="T25" s="445"/>
      <c r="U25" s="445"/>
      <c r="V25" s="72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</row>
    <row r="26" spans="1:37" ht="15" customHeight="1" thickTop="1" thickBot="1">
      <c r="A26" s="69"/>
      <c r="B26" s="69"/>
      <c r="C26" s="69"/>
      <c r="D26" s="879" t="str">
        <f>IF(MasterSheet!$A$1=1,MasterSheet!C337,MasterSheet!B337)</f>
        <v>Izvorni prihodi</v>
      </c>
      <c r="E26" s="1006">
        <f>SUM('Monthly plan for 2013'!E19:M19)</f>
        <v>838468901.1467464</v>
      </c>
      <c r="F26" s="1006">
        <f>'Execution for 2013'!Q25</f>
        <v>879524737.54999995</v>
      </c>
      <c r="G26" s="720">
        <f>+F26-E26</f>
        <v>41055836.403253555</v>
      </c>
      <c r="H26" s="950">
        <f>+F26/E26*100</f>
        <v>104.8965246471399</v>
      </c>
      <c r="I26" s="1006">
        <f>SUM('Execution for 2012_int'!E19:M19)</f>
        <v>809547437.19999993</v>
      </c>
      <c r="J26" s="720">
        <f>+F26-I26</f>
        <v>69977300.350000024</v>
      </c>
      <c r="K26" s="950">
        <f>F26/I26*100</f>
        <v>108.64400245549935</v>
      </c>
      <c r="L26" s="1006">
        <f>SUM('Monthly plan for 2013'!M19)</f>
        <v>99189777.327771991</v>
      </c>
      <c r="M26" s="1006">
        <f>'Execution for 2013'!M25</f>
        <v>116396766.78000002</v>
      </c>
      <c r="N26" s="720">
        <f>+M26-L26</f>
        <v>17206989.452228025</v>
      </c>
      <c r="O26" s="721">
        <f t="shared" ref="O26:O57" si="0">+M26/L26*100</f>
        <v>117.34754318014812</v>
      </c>
      <c r="P26" s="1006">
        <f>+'Execution for 2012_int'!M19</f>
        <v>95844316.429999992</v>
      </c>
      <c r="Q26" s="720">
        <f>+M26-P26</f>
        <v>20552450.350000024</v>
      </c>
      <c r="R26" s="721">
        <f t="shared" ref="R26:R57" si="1">M26/P26*100</f>
        <v>121.44357758032582</v>
      </c>
      <c r="S26" s="439"/>
      <c r="T26" s="439"/>
      <c r="U26" s="439"/>
      <c r="V26" s="72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</row>
    <row r="27" spans="1:37" ht="15" customHeight="1" thickTop="1">
      <c r="A27" s="69"/>
      <c r="B27" s="69"/>
      <c r="C27" s="69"/>
      <c r="D27" s="875" t="str">
        <f>IF(MasterSheet!$A$1=1,MasterSheet!C338,MasterSheet!B338)</f>
        <v>Porezi</v>
      </c>
      <c r="E27" s="1007">
        <f>SUM('Monthly plan for 2013'!E20:M20)</f>
        <v>523490623.35839748</v>
      </c>
      <c r="F27" s="1007">
        <f>'Execution for 2013'!Q26</f>
        <v>560089808.13</v>
      </c>
      <c r="G27" s="650">
        <f t="shared" ref="G27:G91" si="2">+F27-E27</f>
        <v>36599184.771602511</v>
      </c>
      <c r="H27" s="885">
        <f t="shared" ref="H27:H92" si="3">+F27/E27*100</f>
        <v>106.9913735105329</v>
      </c>
      <c r="I27" s="1007">
        <f>SUM('Execution for 2012_int'!E20:M20)</f>
        <v>519325619.05000001</v>
      </c>
      <c r="J27" s="650">
        <f t="shared" ref="J27:J91" si="4">+F27-I27</f>
        <v>40764189.079999983</v>
      </c>
      <c r="K27" s="965">
        <f t="shared" ref="K27:K88" si="5">F27/I27*100</f>
        <v>107.849446972127</v>
      </c>
      <c r="L27" s="1007">
        <f>SUM('Monthly plan for 2013'!M20)</f>
        <v>65790416.568190843</v>
      </c>
      <c r="M27" s="1007">
        <f>'Execution for 2013'!M26</f>
        <v>71970399.340000018</v>
      </c>
      <c r="N27" s="889">
        <f t="shared" ref="N27:N91" si="6">+M27-L27</f>
        <v>6179982.7718091756</v>
      </c>
      <c r="O27" s="453">
        <f t="shared" si="0"/>
        <v>109.39343918791533</v>
      </c>
      <c r="P27" s="1007">
        <f>+'Execution for 2012_int'!M20</f>
        <v>65062594.769999996</v>
      </c>
      <c r="Q27" s="650">
        <f t="shared" ref="Q27:Q91" si="7">+M27-P27</f>
        <v>6907804.5700000226</v>
      </c>
      <c r="R27" s="453">
        <f t="shared" si="1"/>
        <v>110.61716735156277</v>
      </c>
      <c r="S27" s="439"/>
      <c r="T27" s="439"/>
      <c r="U27" s="439"/>
      <c r="V27" s="72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</row>
    <row r="28" spans="1:37" ht="15" customHeight="1">
      <c r="A28" s="69"/>
      <c r="B28" s="69"/>
      <c r="C28" s="69"/>
      <c r="D28" s="876" t="str">
        <f>IF(MasterSheet!$A$1=1,MasterSheet!C339,MasterSheet!B339)</f>
        <v>Porez na dohodak fizičkih lica</v>
      </c>
      <c r="E28" s="1008">
        <f>SUM('Monthly plan for 2013'!E21:M21)</f>
        <v>61641311.768541314</v>
      </c>
      <c r="F28" s="1008">
        <f>'Execution for 2013'!Q27</f>
        <v>62502113.580000006</v>
      </c>
      <c r="G28" s="651">
        <f t="shared" si="2"/>
        <v>860801.81145869195</v>
      </c>
      <c r="H28" s="883">
        <f t="shared" si="3"/>
        <v>101.39646900229987</v>
      </c>
      <c r="I28" s="1008">
        <f>SUM('Execution for 2012_int'!E21:M21)</f>
        <v>56481626.18</v>
      </c>
      <c r="J28" s="890">
        <f t="shared" si="4"/>
        <v>6020487.400000006</v>
      </c>
      <c r="K28" s="953">
        <f t="shared" si="5"/>
        <v>110.65919628590979</v>
      </c>
      <c r="L28" s="1008">
        <f>SUM('Monthly plan for 2013'!M21)</f>
        <v>6815248.5982489977</v>
      </c>
      <c r="M28" s="1008">
        <f>'Execution for 2013'!M27</f>
        <v>9021711.1099999994</v>
      </c>
      <c r="N28" s="890">
        <f t="shared" si="6"/>
        <v>2206462.5117510017</v>
      </c>
      <c r="O28" s="454">
        <f t="shared" si="0"/>
        <v>132.37537824105047</v>
      </c>
      <c r="P28" s="1008">
        <f>+'Execution for 2012_int'!M21</f>
        <v>6244778.2599999998</v>
      </c>
      <c r="Q28" s="651">
        <f t="shared" si="7"/>
        <v>2776932.8499999996</v>
      </c>
      <c r="R28" s="454">
        <f t="shared" si="1"/>
        <v>144.46807771842325</v>
      </c>
      <c r="S28" s="440"/>
      <c r="T28" s="440"/>
      <c r="U28" s="440"/>
      <c r="V28" s="72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</row>
    <row r="29" spans="1:37" ht="15" customHeight="1">
      <c r="A29" s="69"/>
      <c r="B29" s="69"/>
      <c r="C29" s="69"/>
      <c r="D29" s="876" t="str">
        <f>IF(MasterSheet!$A$1=1,MasterSheet!C340,MasterSheet!B340)</f>
        <v>Porez na dobit pravnih lica</v>
      </c>
      <c r="E29" s="1008">
        <f>SUM('Monthly plan for 2013'!E22:M22)</f>
        <v>36088903.263582081</v>
      </c>
      <c r="F29" s="1008">
        <f>'Execution for 2013'!Q28</f>
        <v>37175665.120000005</v>
      </c>
      <c r="G29" s="651">
        <f t="shared" si="2"/>
        <v>1086761.8564179242</v>
      </c>
      <c r="H29" s="883">
        <f t="shared" si="3"/>
        <v>103.01134630908719</v>
      </c>
      <c r="I29" s="1008">
        <f>SUM('Execution for 2012_int'!E22:M22)</f>
        <v>59859296.400000006</v>
      </c>
      <c r="J29" s="890">
        <f t="shared" si="4"/>
        <v>-22683631.280000001</v>
      </c>
      <c r="K29" s="953">
        <f t="shared" si="5"/>
        <v>62.105082010285706</v>
      </c>
      <c r="L29" s="1008">
        <f>SUM('Monthly plan for 2013'!M22)</f>
        <v>2644519.6751525379</v>
      </c>
      <c r="M29" s="1008">
        <f>'Execution for 2013'!M28</f>
        <v>2334594.66</v>
      </c>
      <c r="N29" s="890">
        <f t="shared" si="6"/>
        <v>-309925.01515253773</v>
      </c>
      <c r="O29" s="454">
        <f t="shared" si="0"/>
        <v>88.28047988961697</v>
      </c>
      <c r="P29" s="1008">
        <f>+'Execution for 2012_int'!M22</f>
        <v>3273538.66</v>
      </c>
      <c r="Q29" s="651">
        <f t="shared" si="7"/>
        <v>-938944</v>
      </c>
      <c r="R29" s="454">
        <f t="shared" si="1"/>
        <v>71.317155606770811</v>
      </c>
      <c r="S29" s="440"/>
      <c r="T29" s="440"/>
      <c r="U29" s="440"/>
      <c r="V29" s="72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</row>
    <row r="30" spans="1:37" ht="15" customHeight="1">
      <c r="A30" s="69"/>
      <c r="B30" s="69"/>
      <c r="C30" s="69"/>
      <c r="D30" s="876" t="str">
        <f>IF(MasterSheet!$A$1=1,MasterSheet!C341,MasterSheet!B341)</f>
        <v>Porez na imovinu</v>
      </c>
      <c r="E30" s="1008">
        <f>SUM('Monthly plan for 2013'!E23:M23)</f>
        <v>1096925.0207030571</v>
      </c>
      <c r="F30" s="1008">
        <f>'Execution for 2013'!Q29</f>
        <v>1017523.69</v>
      </c>
      <c r="G30" s="651">
        <f t="shared" si="2"/>
        <v>-79401.330703057116</v>
      </c>
      <c r="H30" s="883">
        <f t="shared" si="3"/>
        <v>92.761462342050876</v>
      </c>
      <c r="I30" s="1008">
        <f>SUM('Execution for 2012_int'!E23:M23)</f>
        <v>1043136.87</v>
      </c>
      <c r="J30" s="890">
        <f t="shared" si="4"/>
        <v>-25613.180000000051</v>
      </c>
      <c r="K30" s="953">
        <f t="shared" si="5"/>
        <v>97.544600259407943</v>
      </c>
      <c r="L30" s="1008">
        <f>SUM('Monthly plan for 2013'!M23)</f>
        <v>170229.34291973972</v>
      </c>
      <c r="M30" s="1008">
        <f>'Execution for 2013'!M29</f>
        <v>100652.07</v>
      </c>
      <c r="N30" s="890">
        <f t="shared" si="6"/>
        <v>-69577.272919739713</v>
      </c>
      <c r="O30" s="454">
        <f t="shared" si="0"/>
        <v>59.127332734554329</v>
      </c>
      <c r="P30" s="1008">
        <f>+'Execution for 2012_int'!M23</f>
        <v>161882.07999999999</v>
      </c>
      <c r="Q30" s="651">
        <f t="shared" si="7"/>
        <v>-61230.00999999998</v>
      </c>
      <c r="R30" s="454">
        <f t="shared" si="1"/>
        <v>62.17616551504652</v>
      </c>
      <c r="S30" s="440"/>
      <c r="T30" s="440"/>
      <c r="U30" s="440"/>
      <c r="V30" s="72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</row>
    <row r="31" spans="1:37" ht="15" customHeight="1">
      <c r="A31" s="69"/>
      <c r="B31" s="69"/>
      <c r="C31" s="69"/>
      <c r="D31" s="876" t="str">
        <f>IF(MasterSheet!$A$1=1,MasterSheet!C342,MasterSheet!B342)</f>
        <v>Porez na dodatu vrijednost</v>
      </c>
      <c r="E31" s="1008">
        <f>SUM('Monthly plan for 2013'!E24:M24)</f>
        <v>278773814.51461613</v>
      </c>
      <c r="F31" s="1008">
        <f>'Execution for 2013'!Q30</f>
        <v>317837900.14999998</v>
      </c>
      <c r="G31" s="651">
        <f t="shared" si="2"/>
        <v>39064085.635383844</v>
      </c>
      <c r="H31" s="883">
        <f t="shared" si="3"/>
        <v>114.01282459164963</v>
      </c>
      <c r="I31" s="1008">
        <f>SUM('Execution for 2012_int'!E24:M24)</f>
        <v>265964744.53999999</v>
      </c>
      <c r="J31" s="890">
        <f t="shared" si="4"/>
        <v>51873155.609999985</v>
      </c>
      <c r="K31" s="953">
        <f t="shared" si="5"/>
        <v>119.50377133620374</v>
      </c>
      <c r="L31" s="1008">
        <f>SUM('Monthly plan for 2013'!M24)</f>
        <v>35212221.435317017</v>
      </c>
      <c r="M31" s="1008">
        <f>'Execution for 2013'!M30</f>
        <v>40694228.75</v>
      </c>
      <c r="N31" s="890">
        <f t="shared" si="6"/>
        <v>5482007.3146829829</v>
      </c>
      <c r="O31" s="454">
        <f t="shared" si="0"/>
        <v>115.56847904286056</v>
      </c>
      <c r="P31" s="1008">
        <f>+'Execution for 2012_int'!M24</f>
        <v>33594293.979999997</v>
      </c>
      <c r="Q31" s="651">
        <f t="shared" si="7"/>
        <v>7099934.7700000033</v>
      </c>
      <c r="R31" s="454">
        <f t="shared" si="1"/>
        <v>121.13434732168169</v>
      </c>
      <c r="S31" s="440"/>
      <c r="T31" s="440"/>
      <c r="U31" s="440"/>
      <c r="V31" s="72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</row>
    <row r="32" spans="1:37" ht="15" customHeight="1">
      <c r="A32" s="69"/>
      <c r="B32" s="69"/>
      <c r="C32" s="69"/>
      <c r="D32" s="876" t="str">
        <f>IF(MasterSheet!$A$1=1,MasterSheet!C343,MasterSheet!B343)</f>
        <v xml:space="preserve">Akcize </v>
      </c>
      <c r="E32" s="1008">
        <f>SUM('Monthly plan for 2013'!E25:M25)</f>
        <v>117715001.38357115</v>
      </c>
      <c r="F32" s="1008">
        <f>'Execution for 2013'!Q31</f>
        <v>120627783.31</v>
      </c>
      <c r="G32" s="651">
        <f t="shared" si="2"/>
        <v>2912781.9264288545</v>
      </c>
      <c r="H32" s="883">
        <f t="shared" si="3"/>
        <v>102.47443562179271</v>
      </c>
      <c r="I32" s="1008">
        <f>SUM('Execution for 2012_int'!E25:M25)</f>
        <v>109603356.23</v>
      </c>
      <c r="J32" s="890">
        <f t="shared" si="4"/>
        <v>11024427.079999998</v>
      </c>
      <c r="K32" s="953">
        <f t="shared" si="5"/>
        <v>110.05847581607402</v>
      </c>
      <c r="L32" s="1008">
        <f>SUM('Monthly plan for 2013'!M25)</f>
        <v>18432656.2065273</v>
      </c>
      <c r="M32" s="1008">
        <f>'Execution for 2013'!M31</f>
        <v>17250832.809999999</v>
      </c>
      <c r="N32" s="890">
        <f t="shared" si="6"/>
        <v>-1181823.3965273015</v>
      </c>
      <c r="O32" s="454">
        <f t="shared" si="0"/>
        <v>93.588425980034287</v>
      </c>
      <c r="P32" s="1008">
        <f>+'Execution for 2012_int'!M25</f>
        <v>19430036.780000001</v>
      </c>
      <c r="Q32" s="651">
        <f t="shared" si="7"/>
        <v>-2179203.9700000025</v>
      </c>
      <c r="R32" s="454">
        <f t="shared" si="1"/>
        <v>88.784354889934477</v>
      </c>
      <c r="S32" s="440"/>
      <c r="T32" s="440"/>
      <c r="U32" s="440"/>
      <c r="V32" s="72"/>
      <c r="W32" s="481"/>
      <c r="X32" s="481"/>
      <c r="Y32" s="481"/>
      <c r="Z32" s="481"/>
      <c r="AA32" s="481"/>
      <c r="AB32" s="481"/>
      <c r="AC32" s="481"/>
      <c r="AD32" s="481"/>
      <c r="AE32" s="481"/>
      <c r="AF32" s="481"/>
      <c r="AG32" s="69"/>
      <c r="AH32" s="69"/>
      <c r="AI32" s="69"/>
      <c r="AJ32" s="69"/>
      <c r="AK32" s="69"/>
    </row>
    <row r="33" spans="1:37" ht="15" customHeight="1">
      <c r="A33" s="69"/>
      <c r="B33" s="69"/>
      <c r="C33" s="69"/>
      <c r="D33" s="876" t="str">
        <f>IF(MasterSheet!$A$1=1,MasterSheet!C344,MasterSheet!B344)</f>
        <v>Porez na međ. trgov. i transakcije</v>
      </c>
      <c r="E33" s="1008">
        <f>SUM('Monthly plan for 2013'!E26:M26)</f>
        <v>24859843.807504643</v>
      </c>
      <c r="F33" s="1008">
        <f>'Execution for 2013'!Q32</f>
        <v>17062970.809999999</v>
      </c>
      <c r="G33" s="651">
        <f t="shared" si="2"/>
        <v>-7796872.9975046441</v>
      </c>
      <c r="H33" s="883">
        <f t="shared" si="3"/>
        <v>68.63667745510557</v>
      </c>
      <c r="I33" s="1008">
        <f>SUM('Execution for 2012_int'!E26:M26)</f>
        <v>23151380.700000003</v>
      </c>
      <c r="J33" s="890">
        <f t="shared" si="4"/>
        <v>-6088409.8900000043</v>
      </c>
      <c r="K33" s="953">
        <f t="shared" si="5"/>
        <v>73.701741728086205</v>
      </c>
      <c r="L33" s="1008">
        <f>SUM('Monthly plan for 2013'!M26)</f>
        <v>2137547.6737522222</v>
      </c>
      <c r="M33" s="1008">
        <f>'Execution for 2013'!M32</f>
        <v>2039547.65</v>
      </c>
      <c r="N33" s="890">
        <f t="shared" si="6"/>
        <v>-98000.023752222303</v>
      </c>
      <c r="O33" s="454">
        <f t="shared" si="0"/>
        <v>95.415305821919077</v>
      </c>
      <c r="P33" s="1008">
        <f>+'Execution for 2012_int'!M26</f>
        <v>1990647.26</v>
      </c>
      <c r="Q33" s="651">
        <f t="shared" si="7"/>
        <v>48900.389999999898</v>
      </c>
      <c r="R33" s="454">
        <f t="shared" si="1"/>
        <v>102.45650703580705</v>
      </c>
      <c r="S33" s="440"/>
      <c r="T33" s="440"/>
      <c r="U33" s="440"/>
      <c r="V33" s="72"/>
      <c r="W33" s="482"/>
      <c r="X33" s="482"/>
      <c r="Y33" s="483"/>
      <c r="Z33" s="482"/>
      <c r="AA33" s="483"/>
      <c r="AB33" s="482"/>
      <c r="AC33" s="482"/>
      <c r="AD33" s="483"/>
      <c r="AE33" s="482"/>
      <c r="AF33" s="483"/>
      <c r="AG33" s="69"/>
      <c r="AH33" s="69"/>
      <c r="AI33" s="69"/>
      <c r="AJ33" s="69"/>
      <c r="AK33" s="69"/>
    </row>
    <row r="34" spans="1:37" ht="15" customHeight="1">
      <c r="A34" s="69"/>
      <c r="B34" s="69"/>
      <c r="C34" s="69"/>
      <c r="D34" s="876" t="str">
        <f>IF(MasterSheet!$A$1=1,MasterSheet!C345,MasterSheet!B345)</f>
        <v>Ostali republički porezi</v>
      </c>
      <c r="E34" s="1008">
        <f>SUM('Monthly plan for 2013'!E27:M27)</f>
        <v>3314823.5998791177</v>
      </c>
      <c r="F34" s="1008">
        <f>'Execution for 2013'!Q33</f>
        <v>3865851.4699999997</v>
      </c>
      <c r="G34" s="651">
        <f t="shared" si="2"/>
        <v>551027.87012088206</v>
      </c>
      <c r="H34" s="883">
        <f t="shared" si="3"/>
        <v>116.62314308794521</v>
      </c>
      <c r="I34" s="1008">
        <f>SUM('Execution for 2012_int'!E27:M27)</f>
        <v>3222078.13</v>
      </c>
      <c r="J34" s="890">
        <f t="shared" si="4"/>
        <v>643773.33999999985</v>
      </c>
      <c r="K34" s="953">
        <f t="shared" si="5"/>
        <v>119.98006609479701</v>
      </c>
      <c r="L34" s="1008">
        <f>SUM('Monthly plan for 2013'!M27)</f>
        <v>377993.63627302414</v>
      </c>
      <c r="M34" s="1008">
        <f>'Execution for 2013'!M33</f>
        <v>528832.29</v>
      </c>
      <c r="N34" s="890">
        <f t="shared" si="6"/>
        <v>150838.6537269759</v>
      </c>
      <c r="O34" s="454">
        <f t="shared" si="0"/>
        <v>139.90507756009558</v>
      </c>
      <c r="P34" s="1008">
        <f>+'Execution for 2012_int'!M27</f>
        <v>367417.75</v>
      </c>
      <c r="Q34" s="651">
        <f t="shared" si="7"/>
        <v>161414.54000000004</v>
      </c>
      <c r="R34" s="454">
        <f t="shared" si="1"/>
        <v>143.93215624449283</v>
      </c>
      <c r="S34" s="440"/>
      <c r="T34" s="440"/>
      <c r="U34" s="440"/>
      <c r="V34" s="72"/>
      <c r="W34" s="484"/>
      <c r="X34" s="484"/>
      <c r="Y34" s="483"/>
      <c r="Z34" s="484"/>
      <c r="AA34" s="483"/>
      <c r="AB34" s="484"/>
      <c r="AC34" s="484"/>
      <c r="AD34" s="483"/>
      <c r="AE34" s="484"/>
      <c r="AF34" s="483"/>
      <c r="AG34" s="69"/>
      <c r="AH34" s="69"/>
      <c r="AI34" s="69"/>
      <c r="AJ34" s="69"/>
      <c r="AK34" s="69"/>
    </row>
    <row r="35" spans="1:37" ht="15" customHeight="1">
      <c r="A35" s="69"/>
      <c r="B35" s="69"/>
      <c r="C35" s="69"/>
      <c r="D35" s="877" t="str">
        <f>IF(MasterSheet!$A$1=1,MasterSheet!C346,MasterSheet!B346)</f>
        <v>Doprinosi</v>
      </c>
      <c r="E35" s="1007">
        <f>SUM('Monthly plan for 2013'!E28:M28)</f>
        <v>261380903.56898412</v>
      </c>
      <c r="F35" s="1007">
        <f>'Execution for 2013'!Q34</f>
        <v>264287645.53</v>
      </c>
      <c r="G35" s="650">
        <f t="shared" si="2"/>
        <v>2906741.9610158801</v>
      </c>
      <c r="H35" s="885">
        <f t="shared" si="3"/>
        <v>101.11207128039051</v>
      </c>
      <c r="I35" s="1007">
        <f>SUM('Execution for 2012_int'!E28:M28)</f>
        <v>249314746.11000001</v>
      </c>
      <c r="J35" s="889">
        <f t="shared" si="4"/>
        <v>14972899.419999987</v>
      </c>
      <c r="K35" s="966">
        <f t="shared" si="5"/>
        <v>106.00562126934673</v>
      </c>
      <c r="L35" s="1007">
        <f>SUM('Monthly plan for 2013'!M28)</f>
        <v>27897944.753825549</v>
      </c>
      <c r="M35" s="1007">
        <f>'Execution for 2013'!M34</f>
        <v>38355351.649999999</v>
      </c>
      <c r="N35" s="889">
        <f t="shared" si="6"/>
        <v>10457406.896174449</v>
      </c>
      <c r="O35" s="453">
        <f t="shared" si="0"/>
        <v>137.48450643390302</v>
      </c>
      <c r="P35" s="1007">
        <f>+'Execution for 2012_int'!M28</f>
        <v>26633440.359999999</v>
      </c>
      <c r="Q35" s="650">
        <f t="shared" si="7"/>
        <v>11721911.289999999</v>
      </c>
      <c r="R35" s="453">
        <f t="shared" si="1"/>
        <v>144.01200570244316</v>
      </c>
      <c r="S35" s="439"/>
      <c r="T35" s="439"/>
      <c r="U35" s="439"/>
      <c r="V35" s="72"/>
      <c r="W35" s="485"/>
      <c r="X35" s="485"/>
      <c r="Y35" s="486"/>
      <c r="Z35" s="485"/>
      <c r="AA35" s="486"/>
      <c r="AB35" s="485"/>
      <c r="AC35" s="485"/>
      <c r="AD35" s="486"/>
      <c r="AE35" s="485"/>
      <c r="AF35" s="486"/>
      <c r="AG35" s="69"/>
      <c r="AH35" s="69"/>
      <c r="AI35" s="69"/>
      <c r="AJ35" s="69"/>
      <c r="AK35" s="69"/>
    </row>
    <row r="36" spans="1:37" ht="15" customHeight="1">
      <c r="A36" s="69"/>
      <c r="B36" s="69"/>
      <c r="C36" s="69"/>
      <c r="D36" s="876" t="str">
        <f>IF(MasterSheet!$A$1=1,MasterSheet!C347,MasterSheet!B347)</f>
        <v>Doprinosi za PIO</v>
      </c>
      <c r="E36" s="1008">
        <f>SUM('Monthly plan for 2013'!E29:M29)</f>
        <v>153089151.13115627</v>
      </c>
      <c r="F36" s="1008">
        <f>'Execution for 2013'!Q35</f>
        <v>160485071.53999999</v>
      </c>
      <c r="G36" s="651">
        <f t="shared" si="2"/>
        <v>7395920.4088437259</v>
      </c>
      <c r="H36" s="883">
        <f t="shared" si="3"/>
        <v>104.83111987635716</v>
      </c>
      <c r="I36" s="1008">
        <f>SUM('Execution for 2012_int'!E29:M29)</f>
        <v>147885577.14000002</v>
      </c>
      <c r="J36" s="890">
        <f t="shared" si="4"/>
        <v>12599494.399999976</v>
      </c>
      <c r="K36" s="953">
        <f t="shared" si="5"/>
        <v>108.51975875110004</v>
      </c>
      <c r="L36" s="1008">
        <f>SUM('Monthly plan for 2013'!M29)</f>
        <v>16438117.212416081</v>
      </c>
      <c r="M36" s="1008">
        <f>'Execution for 2013'!M35</f>
        <v>24404439.25</v>
      </c>
      <c r="N36" s="890">
        <f t="shared" si="6"/>
        <v>7966322.0375839192</v>
      </c>
      <c r="O36" s="454">
        <f t="shared" si="0"/>
        <v>148.4624968580147</v>
      </c>
      <c r="P36" s="1008">
        <f>+'Execution for 2012_int'!M29</f>
        <v>15879377.689999999</v>
      </c>
      <c r="Q36" s="651">
        <f t="shared" si="7"/>
        <v>8525061.5600000005</v>
      </c>
      <c r="R36" s="454">
        <f t="shared" si="1"/>
        <v>153.68637062753811</v>
      </c>
      <c r="S36" s="440"/>
      <c r="T36" s="440"/>
      <c r="U36" s="440"/>
      <c r="V36" s="72"/>
      <c r="W36" s="485"/>
      <c r="X36" s="485"/>
      <c r="Y36" s="486"/>
      <c r="Z36" s="485"/>
      <c r="AA36" s="486"/>
      <c r="AB36" s="485"/>
      <c r="AC36" s="485"/>
      <c r="AD36" s="486"/>
      <c r="AE36" s="485"/>
      <c r="AF36" s="486"/>
      <c r="AG36" s="69"/>
      <c r="AH36" s="69"/>
      <c r="AI36" s="69"/>
      <c r="AJ36" s="69"/>
      <c r="AK36" s="69"/>
    </row>
    <row r="37" spans="1:37" ht="15" customHeight="1">
      <c r="A37" s="69"/>
      <c r="B37" s="69"/>
      <c r="C37" s="69"/>
      <c r="D37" s="876" t="str">
        <f>IF(MasterSheet!$A$1=1,MasterSheet!C348,MasterSheet!B348)</f>
        <v>Doprinosi za zdravstvo</v>
      </c>
      <c r="E37" s="1008">
        <f>SUM('Monthly plan for 2013'!E30:M30)</f>
        <v>91884733.455667749</v>
      </c>
      <c r="F37" s="1008">
        <f>'Execution for 2013'!Q36</f>
        <v>89104436.180000007</v>
      </c>
      <c r="G37" s="651">
        <f t="shared" si="2"/>
        <v>-2780297.2756677419</v>
      </c>
      <c r="H37" s="883">
        <f t="shared" si="3"/>
        <v>96.974146660599317</v>
      </c>
      <c r="I37" s="1008">
        <f>SUM('Execution for 2012_int'!E30:M30)</f>
        <v>87280586.319999993</v>
      </c>
      <c r="J37" s="890">
        <f t="shared" si="4"/>
        <v>1823849.8600000143</v>
      </c>
      <c r="K37" s="953">
        <f t="shared" si="5"/>
        <v>102.08963978921173</v>
      </c>
      <c r="L37" s="1008">
        <f>SUM('Monthly plan for 2013'!M30)</f>
        <v>9887757.094026586</v>
      </c>
      <c r="M37" s="1008">
        <f>'Execution for 2013'!M36</f>
        <v>12078523.4</v>
      </c>
      <c r="N37" s="890">
        <f t="shared" si="6"/>
        <v>2190766.3059734143</v>
      </c>
      <c r="O37" s="454">
        <f t="shared" si="0"/>
        <v>122.15635239762214</v>
      </c>
      <c r="P37" s="1008">
        <f>+'Execution for 2012_int'!M30</f>
        <v>9392302.7699999996</v>
      </c>
      <c r="Q37" s="651">
        <f t="shared" si="7"/>
        <v>2686220.6300000008</v>
      </c>
      <c r="R37" s="454">
        <f t="shared" si="1"/>
        <v>128.60023463660127</v>
      </c>
      <c r="S37" s="440"/>
      <c r="T37" s="440"/>
      <c r="U37" s="440"/>
      <c r="V37" s="72"/>
      <c r="W37" s="485"/>
      <c r="X37" s="485"/>
      <c r="Y37" s="486"/>
      <c r="Z37" s="485"/>
      <c r="AA37" s="486"/>
      <c r="AB37" s="485"/>
      <c r="AC37" s="485"/>
      <c r="AD37" s="486"/>
      <c r="AE37" s="485"/>
      <c r="AF37" s="486"/>
      <c r="AG37" s="69"/>
      <c r="AH37" s="69"/>
      <c r="AI37" s="69"/>
      <c r="AJ37" s="69"/>
      <c r="AK37" s="69"/>
    </row>
    <row r="38" spans="1:37" ht="15" customHeight="1">
      <c r="A38" s="69"/>
      <c r="B38" s="69"/>
      <c r="C38" s="69"/>
      <c r="D38" s="876" t="str">
        <f>IF(MasterSheet!$A$1=1,MasterSheet!C349,MasterSheet!B349)</f>
        <v>Doprinosi za nezaposlene</v>
      </c>
      <c r="E38" s="1008">
        <f>SUM('Monthly plan for 2013'!E31:M31)</f>
        <v>7721455.3559293663</v>
      </c>
      <c r="F38" s="1008">
        <f>'Execution for 2013'!Q37</f>
        <v>7126338.6999999993</v>
      </c>
      <c r="G38" s="651">
        <f t="shared" si="2"/>
        <v>-595116.65592936706</v>
      </c>
      <c r="H38" s="883">
        <f t="shared" si="3"/>
        <v>92.292687990841358</v>
      </c>
      <c r="I38" s="1008">
        <f>SUM('Execution for 2012_int'!E31:M31)</f>
        <v>6954328.0899999999</v>
      </c>
      <c r="J38" s="890">
        <f t="shared" si="4"/>
        <v>172010.6099999994</v>
      </c>
      <c r="K38" s="953">
        <f t="shared" si="5"/>
        <v>102.47343248368368</v>
      </c>
      <c r="L38" s="1008">
        <f>SUM('Monthly plan for 2013'!M31)</f>
        <v>823964.48361802031</v>
      </c>
      <c r="M38" s="1008">
        <f>'Execution for 2013'!M37</f>
        <v>974818.93</v>
      </c>
      <c r="N38" s="890">
        <f t="shared" si="6"/>
        <v>150854.44638197974</v>
      </c>
      <c r="O38" s="454">
        <f t="shared" si="0"/>
        <v>118.30836757909506</v>
      </c>
      <c r="P38" s="1008">
        <f>+'Execution for 2012_int'!M31</f>
        <v>742103.54</v>
      </c>
      <c r="Q38" s="651">
        <f t="shared" si="7"/>
        <v>232715.39</v>
      </c>
      <c r="R38" s="454">
        <f t="shared" si="1"/>
        <v>131.35888423332409</v>
      </c>
      <c r="S38" s="440"/>
      <c r="T38" s="440"/>
      <c r="U38" s="440"/>
      <c r="V38" s="72"/>
      <c r="W38" s="485"/>
      <c r="X38" s="485"/>
      <c r="Y38" s="486"/>
      <c r="Z38" s="485"/>
      <c r="AA38" s="486"/>
      <c r="AB38" s="485"/>
      <c r="AC38" s="485"/>
      <c r="AD38" s="486"/>
      <c r="AE38" s="485"/>
      <c r="AF38" s="486"/>
      <c r="AG38" s="69"/>
      <c r="AH38" s="69"/>
      <c r="AI38" s="69"/>
      <c r="AJ38" s="69"/>
      <c r="AK38" s="69"/>
    </row>
    <row r="39" spans="1:37" ht="15" customHeight="1">
      <c r="A39" s="69"/>
      <c r="B39" s="69"/>
      <c r="C39" s="69"/>
      <c r="D39" s="876" t="str">
        <f>IF(MasterSheet!$A$1=1,MasterSheet!C350,MasterSheet!B350)</f>
        <v>Ostali doprinosi</v>
      </c>
      <c r="E39" s="1008">
        <f>SUM('Monthly plan for 2013'!E32:M32)</f>
        <v>8685563.6262307484</v>
      </c>
      <c r="F39" s="1008">
        <f>'Execution for 2013'!Q38</f>
        <v>7571799.1100000003</v>
      </c>
      <c r="G39" s="651">
        <f t="shared" si="2"/>
        <v>-1113764.516230748</v>
      </c>
      <c r="H39" s="883">
        <f t="shared" si="3"/>
        <v>87.176830840693682</v>
      </c>
      <c r="I39" s="1008">
        <f>SUM('Execution for 2012_int'!E32:M32)</f>
        <v>7194254.5599999996</v>
      </c>
      <c r="J39" s="890">
        <f t="shared" si="4"/>
        <v>377544.55000000075</v>
      </c>
      <c r="K39" s="953">
        <f t="shared" si="5"/>
        <v>105.24786198279867</v>
      </c>
      <c r="L39" s="1008">
        <f>SUM('Monthly plan for 2013'!M32)</f>
        <v>748105.96376486088</v>
      </c>
      <c r="M39" s="1008">
        <f>'Execution for 2013'!M38</f>
        <v>897570.07</v>
      </c>
      <c r="N39" s="890">
        <f t="shared" si="6"/>
        <v>149464.10623513907</v>
      </c>
      <c r="O39" s="454">
        <f t="shared" si="0"/>
        <v>119.97900210325253</v>
      </c>
      <c r="P39" s="1008">
        <f>+'Execution for 2012_int'!M32</f>
        <v>619656.36</v>
      </c>
      <c r="Q39" s="651">
        <f t="shared" si="7"/>
        <v>277913.70999999996</v>
      </c>
      <c r="R39" s="454">
        <f t="shared" si="1"/>
        <v>144.84965021580672</v>
      </c>
      <c r="S39" s="440"/>
      <c r="T39" s="440"/>
      <c r="U39" s="440"/>
      <c r="V39" s="72"/>
      <c r="W39" s="485"/>
      <c r="X39" s="485"/>
      <c r="Y39" s="486"/>
      <c r="Z39" s="485"/>
      <c r="AA39" s="486"/>
      <c r="AB39" s="485"/>
      <c r="AC39" s="485"/>
      <c r="AD39" s="486"/>
      <c r="AE39" s="485"/>
      <c r="AF39" s="486"/>
      <c r="AG39" s="69"/>
      <c r="AH39" s="69"/>
      <c r="AI39" s="69"/>
      <c r="AJ39" s="69"/>
      <c r="AK39" s="69"/>
    </row>
    <row r="40" spans="1:37" ht="15" customHeight="1">
      <c r="A40" s="69"/>
      <c r="B40" s="69"/>
      <c r="C40" s="69"/>
      <c r="D40" s="877" t="str">
        <f>IF(MasterSheet!$A$1=1,MasterSheet!C351,MasterSheet!B351)</f>
        <v>Takse</v>
      </c>
      <c r="E40" s="1007">
        <f>SUM('Monthly plan for 2013'!E33:M33)</f>
        <v>22109876.902363595</v>
      </c>
      <c r="F40" s="1007">
        <f>'Execution for 2013'!Q39</f>
        <v>18058549.129999999</v>
      </c>
      <c r="G40" s="650">
        <f t="shared" si="2"/>
        <v>-4051327.7723635957</v>
      </c>
      <c r="H40" s="885">
        <f t="shared" si="3"/>
        <v>81.676389288578534</v>
      </c>
      <c r="I40" s="1007">
        <f>SUM('Execution for 2012_int'!E33:M33)</f>
        <v>9874213.9200000018</v>
      </c>
      <c r="J40" s="889">
        <f t="shared" si="4"/>
        <v>8184335.2099999972</v>
      </c>
      <c r="K40" s="966">
        <f t="shared" si="5"/>
        <v>182.8859418715125</v>
      </c>
      <c r="L40" s="1007">
        <f>SUM('Monthly plan for 2013'!M33)</f>
        <v>2302181.1067919475</v>
      </c>
      <c r="M40" s="1007">
        <f>'Execution for 2013'!M39</f>
        <v>1703660.69</v>
      </c>
      <c r="N40" s="889">
        <f t="shared" si="6"/>
        <v>-598520.41679194756</v>
      </c>
      <c r="O40" s="453">
        <f t="shared" si="0"/>
        <v>74.002027250324531</v>
      </c>
      <c r="P40" s="1007">
        <f>+'Execution for 2012_int'!M33</f>
        <v>1133050.1499999999</v>
      </c>
      <c r="Q40" s="650">
        <f t="shared" si="7"/>
        <v>570610.54</v>
      </c>
      <c r="R40" s="453">
        <f t="shared" si="1"/>
        <v>150.36057230123487</v>
      </c>
      <c r="S40" s="439"/>
      <c r="T40" s="439"/>
      <c r="U40" s="439"/>
      <c r="V40" s="72"/>
      <c r="W40" s="485"/>
      <c r="X40" s="485"/>
      <c r="Y40" s="486"/>
      <c r="Z40" s="485"/>
      <c r="AA40" s="486"/>
      <c r="AB40" s="485"/>
      <c r="AC40" s="485"/>
      <c r="AD40" s="486"/>
      <c r="AE40" s="485"/>
      <c r="AF40" s="486"/>
      <c r="AG40" s="69"/>
      <c r="AH40" s="69"/>
      <c r="AI40" s="69"/>
      <c r="AJ40" s="69"/>
      <c r="AK40" s="69"/>
    </row>
    <row r="41" spans="1:37" ht="15" customHeight="1">
      <c r="A41" s="69"/>
      <c r="B41" s="69"/>
      <c r="C41" s="69"/>
      <c r="D41" s="876" t="str">
        <f>IF(MasterSheet!$A$1=1,MasterSheet!C352,MasterSheet!B352)</f>
        <v>Administrativne takse</v>
      </c>
      <c r="E41" s="1008">
        <f>SUM('Monthly plan for 2013'!E34:M34)</f>
        <v>6550550.5465112664</v>
      </c>
      <c r="F41" s="1008">
        <f>'Execution for 2013'!Q40</f>
        <v>5808174.71</v>
      </c>
      <c r="G41" s="651">
        <f t="shared" si="2"/>
        <v>-742375.83651126642</v>
      </c>
      <c r="H41" s="883">
        <f t="shared" si="3"/>
        <v>88.666970337223859</v>
      </c>
      <c r="I41" s="1008">
        <f>SUM('Execution for 2012_int'!E34:M34)</f>
        <v>6362756.4399999995</v>
      </c>
      <c r="J41" s="890">
        <f t="shared" si="4"/>
        <v>-554581.72999999952</v>
      </c>
      <c r="K41" s="953">
        <f t="shared" si="5"/>
        <v>91.283939040734367</v>
      </c>
      <c r="L41" s="1008">
        <f>SUM('Monthly plan for 2013'!M34)</f>
        <v>653046.97944805818</v>
      </c>
      <c r="M41" s="1008">
        <f>'Execution for 2013'!M40</f>
        <v>649765.01</v>
      </c>
      <c r="N41" s="890">
        <f t="shared" si="6"/>
        <v>-3281.9694480581675</v>
      </c>
      <c r="O41" s="454">
        <f t="shared" si="0"/>
        <v>99.497437466010169</v>
      </c>
      <c r="P41" s="1008">
        <f>+'Execution for 2012_int'!M34</f>
        <v>626373.48</v>
      </c>
      <c r="Q41" s="651">
        <f t="shared" si="7"/>
        <v>23391.530000000028</v>
      </c>
      <c r="R41" s="454">
        <f t="shared" si="1"/>
        <v>103.73443811829326</v>
      </c>
      <c r="S41" s="440"/>
      <c r="T41" s="440"/>
      <c r="U41" s="440"/>
      <c r="V41" s="72"/>
      <c r="W41" s="485"/>
      <c r="X41" s="485"/>
      <c r="Y41" s="486"/>
      <c r="Z41" s="485"/>
      <c r="AA41" s="486"/>
      <c r="AB41" s="485"/>
      <c r="AC41" s="485"/>
      <c r="AD41" s="486"/>
      <c r="AE41" s="485"/>
      <c r="AF41" s="486"/>
      <c r="AG41" s="69"/>
      <c r="AH41" s="69"/>
      <c r="AI41" s="69"/>
      <c r="AJ41" s="69"/>
      <c r="AK41" s="69"/>
    </row>
    <row r="42" spans="1:37" ht="15" customHeight="1">
      <c r="A42" s="69"/>
      <c r="B42" s="69"/>
      <c r="C42" s="69"/>
      <c r="D42" s="876" t="str">
        <f>IF(MasterSheet!$A$1=1,MasterSheet!C353,MasterSheet!B353)</f>
        <v>Sudske takse</v>
      </c>
      <c r="E42" s="1008">
        <f>SUM('Monthly plan for 2013'!E35:M35)</f>
        <v>2559907.9648269503</v>
      </c>
      <c r="F42" s="1008">
        <f>'Execution for 2013'!Q41</f>
        <v>2626200.63</v>
      </c>
      <c r="G42" s="651">
        <f t="shared" si="2"/>
        <v>66292.665173049551</v>
      </c>
      <c r="H42" s="883">
        <f t="shared" si="3"/>
        <v>102.58965033446157</v>
      </c>
      <c r="I42" s="1008">
        <f>SUM('Execution for 2012_int'!E35:M35)</f>
        <v>2510697.67</v>
      </c>
      <c r="J42" s="890">
        <f t="shared" si="4"/>
        <v>115502.95999999996</v>
      </c>
      <c r="K42" s="953">
        <f t="shared" si="5"/>
        <v>104.6004328350693</v>
      </c>
      <c r="L42" s="1008">
        <f>SUM('Monthly plan for 2013'!M35)</f>
        <v>285816.36008690012</v>
      </c>
      <c r="M42" s="1008">
        <f>'Execution for 2013'!M41</f>
        <v>283408.96999999997</v>
      </c>
      <c r="N42" s="890">
        <f t="shared" si="6"/>
        <v>-2407.3900869001518</v>
      </c>
      <c r="O42" s="454">
        <f t="shared" si="0"/>
        <v>99.157714384800016</v>
      </c>
      <c r="P42" s="1008">
        <f>+'Execution for 2012_int'!M35</f>
        <v>280321.98</v>
      </c>
      <c r="Q42" s="651">
        <f t="shared" si="7"/>
        <v>3086.9899999999907</v>
      </c>
      <c r="R42" s="454">
        <f t="shared" si="1"/>
        <v>101.10123009262419</v>
      </c>
      <c r="S42" s="440"/>
      <c r="T42" s="440"/>
      <c r="U42" s="440"/>
      <c r="V42" s="72"/>
      <c r="W42" s="484"/>
      <c r="X42" s="484"/>
      <c r="Y42" s="483"/>
      <c r="Z42" s="484"/>
      <c r="AA42" s="483"/>
      <c r="AB42" s="484"/>
      <c r="AC42" s="484"/>
      <c r="AD42" s="483"/>
      <c r="AE42" s="484"/>
      <c r="AF42" s="483"/>
      <c r="AG42" s="69"/>
      <c r="AH42" s="69"/>
      <c r="AI42" s="69"/>
      <c r="AJ42" s="69"/>
      <c r="AK42" s="69"/>
    </row>
    <row r="43" spans="1:37" ht="15" customHeight="1">
      <c r="A43" s="69"/>
      <c r="B43" s="69"/>
      <c r="C43" s="69"/>
      <c r="D43" s="876" t="str">
        <f>IF(MasterSheet!$A$1=1,MasterSheet!C354,MasterSheet!B354)</f>
        <v>Boravišne takse</v>
      </c>
      <c r="E43" s="1008">
        <f>SUM('Monthly plan for 2013'!E36:M36)</f>
        <v>425275.56890899525</v>
      </c>
      <c r="F43" s="1008">
        <f>'Execution for 2013'!Q42</f>
        <v>674007.22</v>
      </c>
      <c r="G43" s="651">
        <f t="shared" si="2"/>
        <v>248731.65109100472</v>
      </c>
      <c r="H43" s="883">
        <f t="shared" si="3"/>
        <v>158.48717144253138</v>
      </c>
      <c r="I43" s="1008">
        <f>SUM('Execution for 2012_int'!E36:M36)</f>
        <v>416467.17</v>
      </c>
      <c r="J43" s="890">
        <f t="shared" si="4"/>
        <v>257540.05</v>
      </c>
      <c r="K43" s="953">
        <f t="shared" si="5"/>
        <v>161.83922012388155</v>
      </c>
      <c r="L43" s="1008">
        <f>SUM('Monthly plan for 2013'!M36)</f>
        <v>77479.696104075862</v>
      </c>
      <c r="M43" s="1008">
        <f>'Execution for 2013'!M42</f>
        <v>111463.85</v>
      </c>
      <c r="N43" s="890">
        <f t="shared" si="6"/>
        <v>33984.153895924144</v>
      </c>
      <c r="O43" s="454">
        <f t="shared" si="0"/>
        <v>143.86201237840993</v>
      </c>
      <c r="P43" s="1008">
        <f>+'Execution for 2012_int'!M36</f>
        <v>75874.92</v>
      </c>
      <c r="Q43" s="651">
        <f t="shared" si="7"/>
        <v>35588.930000000008</v>
      </c>
      <c r="R43" s="454">
        <f t="shared" si="1"/>
        <v>146.9047347924716</v>
      </c>
      <c r="S43" s="440"/>
      <c r="T43" s="440"/>
      <c r="U43" s="440"/>
      <c r="V43" s="72"/>
      <c r="W43" s="485"/>
      <c r="X43" s="485"/>
      <c r="Y43" s="486"/>
      <c r="Z43" s="485"/>
      <c r="AA43" s="486"/>
      <c r="AB43" s="485"/>
      <c r="AC43" s="485"/>
      <c r="AD43" s="486"/>
      <c r="AE43" s="485"/>
      <c r="AF43" s="486"/>
      <c r="AG43" s="69"/>
      <c r="AH43" s="69"/>
      <c r="AI43" s="69"/>
      <c r="AJ43" s="69"/>
      <c r="AK43" s="69"/>
    </row>
    <row r="44" spans="1:37" ht="15" customHeight="1">
      <c r="A44" s="69"/>
      <c r="B44" s="69"/>
      <c r="C44" s="69"/>
      <c r="D44" s="876" t="str">
        <f>IF(MasterSheet!$A$1=1,MasterSheet!C355,MasterSheet!B355)</f>
        <v>Ostale takse</v>
      </c>
      <c r="E44" s="1008">
        <f>SUM('Monthly plan for 2013'!E37:M37)</f>
        <v>12574142.822116386</v>
      </c>
      <c r="F44" s="1008">
        <f>'Execution for 2013'!Q43</f>
        <v>8950166.5700000003</v>
      </c>
      <c r="G44" s="651">
        <f t="shared" si="2"/>
        <v>-3623976.2521163858</v>
      </c>
      <c r="H44" s="883">
        <f t="shared" si="3"/>
        <v>71.179138781991142</v>
      </c>
      <c r="I44" s="1008">
        <f>SUM('Execution for 2012_int'!E37:M37)</f>
        <v>584292.64</v>
      </c>
      <c r="J44" s="890">
        <f t="shared" si="4"/>
        <v>8365873.9300000006</v>
      </c>
      <c r="K44" s="953">
        <f t="shared" si="5"/>
        <v>1531.7951925596735</v>
      </c>
      <c r="L44" s="1008">
        <f>SUM('Monthly plan for 2013'!M37)</f>
        <v>1285838.0711529134</v>
      </c>
      <c r="M44" s="1008">
        <f>'Execution for 2013'!M43</f>
        <v>659022.86</v>
      </c>
      <c r="N44" s="890">
        <f t="shared" si="6"/>
        <v>-626815.2111529134</v>
      </c>
      <c r="O44" s="454">
        <f t="shared" si="0"/>
        <v>51.252399099453029</v>
      </c>
      <c r="P44" s="1008">
        <f>+'Execution for 2012_int'!M37</f>
        <v>150479.76999999999</v>
      </c>
      <c r="Q44" s="651">
        <f t="shared" si="7"/>
        <v>508543.08999999997</v>
      </c>
      <c r="R44" s="454">
        <f t="shared" si="1"/>
        <v>437.94781185537437</v>
      </c>
      <c r="S44" s="440"/>
      <c r="T44" s="440"/>
      <c r="U44" s="440"/>
      <c r="V44" s="72"/>
      <c r="W44" s="485"/>
      <c r="X44" s="485"/>
      <c r="Y44" s="486"/>
      <c r="Z44" s="485"/>
      <c r="AA44" s="486"/>
      <c r="AB44" s="485"/>
      <c r="AC44" s="485"/>
      <c r="AD44" s="486"/>
      <c r="AE44" s="485"/>
      <c r="AF44" s="486"/>
      <c r="AG44" s="69"/>
      <c r="AH44" s="69"/>
      <c r="AI44" s="69"/>
      <c r="AJ44" s="69"/>
      <c r="AK44" s="69"/>
    </row>
    <row r="45" spans="1:37" ht="15" customHeight="1">
      <c r="A45" s="69"/>
      <c r="B45" s="69"/>
      <c r="C45" s="69"/>
      <c r="D45" s="877" t="str">
        <f>IF(MasterSheet!$A$1=1,MasterSheet!C356,MasterSheet!B356)</f>
        <v>Naknade</v>
      </c>
      <c r="E45" s="1007">
        <f>SUM('Monthly plan for 2013'!E38:M38)</f>
        <v>10737974.053225081</v>
      </c>
      <c r="F45" s="1007">
        <f>'Execution for 2013'!Q44</f>
        <v>9711148.7699999996</v>
      </c>
      <c r="G45" s="650">
        <f t="shared" si="2"/>
        <v>-1026825.2832250819</v>
      </c>
      <c r="H45" s="885">
        <f t="shared" si="3"/>
        <v>90.437439333198228</v>
      </c>
      <c r="I45" s="1007">
        <f>SUM('Execution for 2012_int'!E38:M38)</f>
        <v>9423527.2699999996</v>
      </c>
      <c r="J45" s="889">
        <f t="shared" si="4"/>
        <v>287621.5</v>
      </c>
      <c r="K45" s="966">
        <f t="shared" si="5"/>
        <v>103.05216392714911</v>
      </c>
      <c r="L45" s="1007">
        <f>SUM('Monthly plan for 2013'!M38)</f>
        <v>1345127.7045627646</v>
      </c>
      <c r="M45" s="1007">
        <f>'Execution for 2013'!M44</f>
        <v>1326309.73</v>
      </c>
      <c r="N45" s="889">
        <f t="shared" si="6"/>
        <v>-18817.974562764633</v>
      </c>
      <c r="O45" s="453">
        <f t="shared" si="0"/>
        <v>98.601026913732227</v>
      </c>
      <c r="P45" s="1007">
        <f>+'Execution for 2012_int'!M38</f>
        <v>1163836.81</v>
      </c>
      <c r="Q45" s="650">
        <f t="shared" si="7"/>
        <v>162472.91999999993</v>
      </c>
      <c r="R45" s="453">
        <f t="shared" si="1"/>
        <v>113.96011181327043</v>
      </c>
      <c r="S45" s="439"/>
      <c r="T45" s="439"/>
      <c r="U45" s="439"/>
      <c r="V45" s="72"/>
      <c r="W45" s="485"/>
      <c r="X45" s="485"/>
      <c r="Y45" s="486"/>
      <c r="Z45" s="485"/>
      <c r="AA45" s="486"/>
      <c r="AB45" s="485"/>
      <c r="AC45" s="485"/>
      <c r="AD45" s="486"/>
      <c r="AE45" s="485"/>
      <c r="AF45" s="486"/>
      <c r="AG45" s="69"/>
      <c r="AH45" s="69"/>
      <c r="AI45" s="69"/>
      <c r="AJ45" s="69"/>
      <c r="AK45" s="69"/>
    </row>
    <row r="46" spans="1:37" ht="15" customHeight="1">
      <c r="A46" s="69"/>
      <c r="B46" s="69"/>
      <c r="C46" s="69"/>
      <c r="D46" s="876" t="str">
        <f>IF(MasterSheet!$A$1=1,MasterSheet!C357,MasterSheet!B357)</f>
        <v>Nakn. za koriš. dob. od opš. int.</v>
      </c>
      <c r="E46" s="1008">
        <f>SUM('Monthly plan for 2013'!E39:M39)</f>
        <v>469383.20036473265</v>
      </c>
      <c r="F46" s="1008">
        <f>'Execution for 2013'!Q45</f>
        <v>390193.05</v>
      </c>
      <c r="G46" s="651">
        <f t="shared" si="2"/>
        <v>-79190.150364732661</v>
      </c>
      <c r="H46" s="883">
        <f t="shared" si="3"/>
        <v>83.128891212297702</v>
      </c>
      <c r="I46" s="1008">
        <f>SUM('Execution for 2012_int'!E39:M39)</f>
        <v>344944.1</v>
      </c>
      <c r="J46" s="890">
        <f t="shared" si="4"/>
        <v>45248.950000000012</v>
      </c>
      <c r="K46" s="953">
        <f t="shared" si="5"/>
        <v>113.11776313901296</v>
      </c>
      <c r="L46" s="1008">
        <f>SUM('Monthly plan for 2013'!M39)</f>
        <v>111262.34960854963</v>
      </c>
      <c r="M46" s="1008">
        <f>'Execution for 2013'!M45</f>
        <v>75343.27</v>
      </c>
      <c r="N46" s="890">
        <f t="shared" si="6"/>
        <v>-35919.079608549626</v>
      </c>
      <c r="O46" s="454">
        <f t="shared" si="0"/>
        <v>67.716770556327049</v>
      </c>
      <c r="P46" s="1008">
        <f>+'Execution for 2012_int'!M39</f>
        <v>81765.37</v>
      </c>
      <c r="Q46" s="651">
        <f t="shared" si="7"/>
        <v>-6422.0999999999913</v>
      </c>
      <c r="R46" s="454">
        <f t="shared" si="1"/>
        <v>92.145696888548301</v>
      </c>
      <c r="S46" s="440"/>
      <c r="T46" s="440"/>
      <c r="U46" s="440"/>
      <c r="V46" s="72"/>
      <c r="W46" s="485"/>
      <c r="X46" s="485"/>
      <c r="Y46" s="486"/>
      <c r="Z46" s="485"/>
      <c r="AA46" s="486"/>
      <c r="AB46" s="485"/>
      <c r="AC46" s="485"/>
      <c r="AD46" s="486"/>
      <c r="AE46" s="485"/>
      <c r="AF46" s="486"/>
      <c r="AG46" s="69"/>
      <c r="AH46" s="69"/>
      <c r="AI46" s="69"/>
      <c r="AJ46" s="69"/>
      <c r="AK46" s="69"/>
    </row>
    <row r="47" spans="1:37" ht="15" customHeight="1">
      <c r="A47" s="69"/>
      <c r="B47" s="69"/>
      <c r="C47" s="69"/>
      <c r="D47" s="876" t="str">
        <f>IF(MasterSheet!$A$1=1,MasterSheet!C358,MasterSheet!B358)</f>
        <v>Naknada za kor. prirodnih dobara</v>
      </c>
      <c r="E47" s="1008">
        <f>SUM('Monthly plan for 2013'!E40:M40)</f>
        <v>869077.83677584352</v>
      </c>
      <c r="F47" s="1008">
        <f>'Execution for 2013'!Q46</f>
        <v>1564141.32</v>
      </c>
      <c r="G47" s="651">
        <f t="shared" si="2"/>
        <v>695063.48322415655</v>
      </c>
      <c r="H47" s="883">
        <f t="shared" si="3"/>
        <v>179.97712676723461</v>
      </c>
      <c r="I47" s="1008">
        <f>SUM('Execution for 2012_int'!E40:M40)</f>
        <v>949355.41</v>
      </c>
      <c r="J47" s="890">
        <f t="shared" si="4"/>
        <v>614785.91</v>
      </c>
      <c r="K47" s="953">
        <f t="shared" si="5"/>
        <v>164.75824580806886</v>
      </c>
      <c r="L47" s="1008">
        <f>SUM('Monthly plan for 2013'!M40)</f>
        <v>118685.96121228721</v>
      </c>
      <c r="M47" s="1008">
        <f>'Execution for 2013'!M46</f>
        <v>339587.75</v>
      </c>
      <c r="N47" s="890">
        <f t="shared" si="6"/>
        <v>220901.78878771281</v>
      </c>
      <c r="O47" s="454">
        <f t="shared" si="0"/>
        <v>286.12293023654047</v>
      </c>
      <c r="P47" s="1008">
        <f>+'Execution for 2012_int'!M40</f>
        <v>129649.1</v>
      </c>
      <c r="Q47" s="651">
        <f t="shared" si="7"/>
        <v>209938.65</v>
      </c>
      <c r="R47" s="454">
        <f t="shared" si="1"/>
        <v>261.92835121878977</v>
      </c>
      <c r="S47" s="440"/>
      <c r="T47" s="440"/>
      <c r="U47" s="440"/>
      <c r="V47" s="72"/>
      <c r="W47" s="484"/>
      <c r="X47" s="484"/>
      <c r="Y47" s="483"/>
      <c r="Z47" s="484"/>
      <c r="AA47" s="483"/>
      <c r="AB47" s="484"/>
      <c r="AC47" s="484"/>
      <c r="AD47" s="483"/>
      <c r="AE47" s="484"/>
      <c r="AF47" s="483"/>
      <c r="AG47" s="69"/>
      <c r="AH47" s="69"/>
      <c r="AI47" s="69"/>
      <c r="AJ47" s="69"/>
      <c r="AK47" s="69"/>
    </row>
    <row r="48" spans="1:37" ht="15" customHeight="1">
      <c r="A48" s="69"/>
      <c r="B48" s="69"/>
      <c r="C48" s="69"/>
      <c r="D48" s="876" t="str">
        <f>IF(MasterSheet!$A$1=1,MasterSheet!C359,MasterSheet!B359)</f>
        <v>Ekološke naknade</v>
      </c>
      <c r="E48" s="1008">
        <f>SUM('Monthly plan for 2013'!E41:M41)</f>
        <v>756069.70865930256</v>
      </c>
      <c r="F48" s="1008">
        <f>'Execution for 2013'!Q47</f>
        <v>268013.98</v>
      </c>
      <c r="G48" s="651">
        <f t="shared" si="2"/>
        <v>-488055.72865930258</v>
      </c>
      <c r="H48" s="883">
        <f t="shared" si="3"/>
        <v>35.448316065360515</v>
      </c>
      <c r="I48" s="1008">
        <f>SUM('Execution for 2012_int'!E41:M41)</f>
        <v>545924.09</v>
      </c>
      <c r="J48" s="890">
        <f t="shared" si="4"/>
        <v>-277910.11</v>
      </c>
      <c r="K48" s="953">
        <f t="shared" si="5"/>
        <v>49.093634977712739</v>
      </c>
      <c r="L48" s="1008">
        <f>SUM('Monthly plan for 2013'!M41)</f>
        <v>84724.058721427253</v>
      </c>
      <c r="M48" s="1008">
        <f>'Execution for 2013'!M47</f>
        <v>13918.49</v>
      </c>
      <c r="N48" s="890">
        <f t="shared" si="6"/>
        <v>-70805.568721427248</v>
      </c>
      <c r="O48" s="454">
        <f t="shared" si="0"/>
        <v>16.428025533767219</v>
      </c>
      <c r="P48" s="1008">
        <f>+'Execution for 2012_int'!M41</f>
        <v>61175.45</v>
      </c>
      <c r="Q48" s="651">
        <f t="shared" si="7"/>
        <v>-47256.959999999999</v>
      </c>
      <c r="R48" s="454">
        <f t="shared" si="1"/>
        <v>22.751757445184303</v>
      </c>
      <c r="S48" s="440"/>
      <c r="T48" s="440"/>
      <c r="U48" s="440"/>
      <c r="V48" s="72"/>
      <c r="W48" s="485"/>
      <c r="X48" s="485"/>
      <c r="Y48" s="486"/>
      <c r="Z48" s="485"/>
      <c r="AA48" s="486"/>
      <c r="AB48" s="485"/>
      <c r="AC48" s="485"/>
      <c r="AD48" s="486"/>
      <c r="AE48" s="485"/>
      <c r="AF48" s="486"/>
      <c r="AG48" s="69"/>
      <c r="AH48" s="69"/>
      <c r="AI48" s="69"/>
      <c r="AJ48" s="69"/>
      <c r="AK48" s="69"/>
    </row>
    <row r="49" spans="1:37" ht="13.5">
      <c r="A49" s="69"/>
      <c r="B49" s="69"/>
      <c r="C49" s="69"/>
      <c r="D49" s="876" t="str">
        <f>IF(MasterSheet!$A$1=1,MasterSheet!C360,MasterSheet!B360)</f>
        <v>Naknade za priređ.  igara na sreću</v>
      </c>
      <c r="E49" s="1008">
        <f>SUM('Monthly plan for 2013'!E42:M42)</f>
        <v>2026892.4311584807</v>
      </c>
      <c r="F49" s="1008">
        <f>'Execution for 2013'!Q48</f>
        <v>2345626.87</v>
      </c>
      <c r="G49" s="651">
        <f t="shared" si="2"/>
        <v>318734.43884151941</v>
      </c>
      <c r="H49" s="883">
        <f t="shared" si="3"/>
        <v>115.72527648442326</v>
      </c>
      <c r="I49" s="1008">
        <f>SUM('Execution for 2012_int'!E42:M42)</f>
        <v>2328885.1800000002</v>
      </c>
      <c r="J49" s="890">
        <f t="shared" si="4"/>
        <v>16741.689999999944</v>
      </c>
      <c r="K49" s="953">
        <f t="shared" si="5"/>
        <v>100.71887142156145</v>
      </c>
      <c r="L49" s="1008">
        <f>SUM('Monthly plan for 2013'!M42)</f>
        <v>163486.81222208266</v>
      </c>
      <c r="M49" s="1008">
        <f>'Execution for 2013'!M48</f>
        <v>298987.89</v>
      </c>
      <c r="N49" s="890">
        <f t="shared" si="6"/>
        <v>135501.07777791735</v>
      </c>
      <c r="O49" s="454">
        <f t="shared" si="0"/>
        <v>182.88196212049868</v>
      </c>
      <c r="P49" s="1008">
        <f>+'Execution for 2012_int'!M42</f>
        <v>187845.2</v>
      </c>
      <c r="Q49" s="651">
        <f t="shared" si="7"/>
        <v>111142.69</v>
      </c>
      <c r="R49" s="454">
        <f t="shared" si="1"/>
        <v>159.16717062772966</v>
      </c>
      <c r="S49" s="440"/>
      <c r="T49" s="440"/>
      <c r="U49" s="440"/>
      <c r="V49" s="72"/>
      <c r="W49" s="485"/>
      <c r="X49" s="485"/>
      <c r="Y49" s="486"/>
      <c r="Z49" s="485"/>
      <c r="AA49" s="486"/>
      <c r="AB49" s="485"/>
      <c r="AC49" s="485"/>
      <c r="AD49" s="486"/>
      <c r="AE49" s="485"/>
      <c r="AF49" s="486"/>
      <c r="AG49" s="69"/>
      <c r="AH49" s="69"/>
      <c r="AI49" s="69"/>
      <c r="AJ49" s="69"/>
      <c r="AK49" s="69"/>
    </row>
    <row r="50" spans="1:37" ht="13.5">
      <c r="A50" s="69"/>
      <c r="B50" s="69"/>
      <c r="C50" s="69"/>
      <c r="D50" s="876" t="str">
        <f>IF(MasterSheet!$A$1=1,MasterSheet!C361,MasterSheet!B361)</f>
        <v>Naknade za puteve</v>
      </c>
      <c r="E50" s="1008">
        <f>SUM('Monthly plan for 2013'!E43:M43)</f>
        <v>3354138.6778354542</v>
      </c>
      <c r="F50" s="1008">
        <f>'Execution for 2013'!Q49</f>
        <v>2621425.4699999997</v>
      </c>
      <c r="G50" s="651">
        <f t="shared" si="2"/>
        <v>-732713.20783545449</v>
      </c>
      <c r="H50" s="883">
        <f>+F50/E50*100</f>
        <v>78.154951890411979</v>
      </c>
      <c r="I50" s="1008">
        <f>SUM('Execution for 2012_int'!E43:M43)</f>
        <v>2776782.59</v>
      </c>
      <c r="J50" s="890">
        <f t="shared" si="4"/>
        <v>-155357.12000000011</v>
      </c>
      <c r="K50" s="953">
        <f t="shared" si="5"/>
        <v>94.40513922265697</v>
      </c>
      <c r="L50" s="1008">
        <f>SUM('Monthly plan for 2013'!M43)</f>
        <v>657472.1958811942</v>
      </c>
      <c r="M50" s="1008">
        <f>'Execution for 2013'!M49</f>
        <v>273601.76</v>
      </c>
      <c r="N50" s="890">
        <f t="shared" si="6"/>
        <v>-383870.43588119419</v>
      </c>
      <c r="O50" s="454">
        <f t="shared" si="0"/>
        <v>41.614194746790488</v>
      </c>
      <c r="P50" s="1008">
        <f>+'Execution for 2012_int'!M43</f>
        <v>544299.9</v>
      </c>
      <c r="Q50" s="651">
        <f t="shared" si="7"/>
        <v>-270698.14</v>
      </c>
      <c r="R50" s="454">
        <f t="shared" si="1"/>
        <v>50.266729793630319</v>
      </c>
      <c r="S50" s="440"/>
      <c r="T50" s="440"/>
      <c r="U50" s="440"/>
      <c r="V50" s="72"/>
      <c r="W50" s="485"/>
      <c r="X50" s="485"/>
      <c r="Y50" s="486"/>
      <c r="Z50" s="485"/>
      <c r="AA50" s="486"/>
      <c r="AB50" s="485"/>
      <c r="AC50" s="485"/>
      <c r="AD50" s="486"/>
      <c r="AE50" s="485"/>
      <c r="AF50" s="486"/>
      <c r="AG50" s="69"/>
      <c r="AH50" s="69"/>
      <c r="AI50" s="69"/>
      <c r="AJ50" s="69"/>
      <c r="AK50" s="69"/>
    </row>
    <row r="51" spans="1:37" ht="13.5">
      <c r="A51" s="69"/>
      <c r="B51" s="69"/>
      <c r="C51" s="69"/>
      <c r="D51" s="876" t="str">
        <f>IF(MasterSheet!$A$1=1,MasterSheet!C362,MasterSheet!B362)</f>
        <v>Ostale naknade</v>
      </c>
      <c r="E51" s="1008">
        <f>SUM('Monthly plan for 2013'!E44:M44)</f>
        <v>3262412.1984312665</v>
      </c>
      <c r="F51" s="1008">
        <f>'Execution for 2013'!Q50</f>
        <v>2521748.08</v>
      </c>
      <c r="G51" s="651">
        <f t="shared" si="2"/>
        <v>-740664.1184312664</v>
      </c>
      <c r="H51" s="883">
        <f t="shared" si="3"/>
        <v>77.297040552159075</v>
      </c>
      <c r="I51" s="1008">
        <f>SUM('Execution for 2012_int'!E44:M44)</f>
        <v>2477635.9000000004</v>
      </c>
      <c r="J51" s="890">
        <f t="shared" si="4"/>
        <v>44112.179999999702</v>
      </c>
      <c r="K51" s="953">
        <f t="shared" si="5"/>
        <v>101.78041414398298</v>
      </c>
      <c r="L51" s="1008">
        <f>SUM('Monthly plan for 2013'!M44)</f>
        <v>209496.32691722366</v>
      </c>
      <c r="M51" s="1008">
        <f>'Execution for 2013'!M50</f>
        <v>324870.57</v>
      </c>
      <c r="N51" s="890">
        <f t="shared" si="6"/>
        <v>115374.24308277635</v>
      </c>
      <c r="O51" s="454">
        <f t="shared" si="0"/>
        <v>155.07220330806234</v>
      </c>
      <c r="P51" s="1008">
        <f>+'Execution for 2012_int'!M44</f>
        <v>159101.79</v>
      </c>
      <c r="Q51" s="651">
        <f t="shared" si="7"/>
        <v>165768.78</v>
      </c>
      <c r="R51" s="454">
        <f t="shared" si="1"/>
        <v>204.19039282964698</v>
      </c>
      <c r="S51" s="440"/>
      <c r="T51" s="440"/>
      <c r="U51" s="440"/>
      <c r="V51" s="72"/>
      <c r="W51" s="485"/>
      <c r="X51" s="485"/>
      <c r="Y51" s="486"/>
      <c r="Z51" s="485"/>
      <c r="AA51" s="486"/>
      <c r="AB51" s="485"/>
      <c r="AC51" s="485"/>
      <c r="AD51" s="486"/>
      <c r="AE51" s="485"/>
      <c r="AF51" s="486"/>
      <c r="AG51" s="69"/>
      <c r="AH51" s="69"/>
      <c r="AI51" s="69"/>
      <c r="AJ51" s="69"/>
      <c r="AK51" s="69"/>
    </row>
    <row r="52" spans="1:37">
      <c r="A52" s="69"/>
      <c r="B52" s="69"/>
      <c r="C52" s="69"/>
      <c r="D52" s="877" t="str">
        <f>IF(MasterSheet!$A$1=1,MasterSheet!C363,MasterSheet!B363)</f>
        <v>Ostali prihodi</v>
      </c>
      <c r="E52" s="1007">
        <f>SUM('Monthly plan for 2013'!E45:M45)</f>
        <v>17059283.304861322</v>
      </c>
      <c r="F52" s="1007">
        <f>'Execution for 2013'!Q51</f>
        <v>21341127.890000001</v>
      </c>
      <c r="G52" s="650">
        <f t="shared" si="2"/>
        <v>4281844.5851386786</v>
      </c>
      <c r="H52" s="885">
        <f t="shared" si="3"/>
        <v>125.0997917592382</v>
      </c>
      <c r="I52" s="1007">
        <f>SUM('Execution for 2012_int'!E45:M45)</f>
        <v>18393396.240000002</v>
      </c>
      <c r="J52" s="889">
        <f t="shared" si="4"/>
        <v>2947731.6499999985</v>
      </c>
      <c r="K52" s="966">
        <f t="shared" si="5"/>
        <v>116.02603244956788</v>
      </c>
      <c r="L52" s="1007">
        <f>SUM('Monthly plan for 2013'!M45)</f>
        <v>1476812.0861061718</v>
      </c>
      <c r="M52" s="1007">
        <f>'Execution for 2013'!M51</f>
        <v>2639562.8600000003</v>
      </c>
      <c r="N52" s="889">
        <f t="shared" si="6"/>
        <v>1162750.7738938285</v>
      </c>
      <c r="O52" s="453">
        <f t="shared" si="0"/>
        <v>178.73383383254864</v>
      </c>
      <c r="P52" s="1007">
        <f>+'Execution for 2012_int'!M45</f>
        <v>1522592.85</v>
      </c>
      <c r="Q52" s="650">
        <f t="shared" si="7"/>
        <v>1116970.0100000002</v>
      </c>
      <c r="R52" s="453">
        <f t="shared" si="1"/>
        <v>173.35973040987287</v>
      </c>
      <c r="S52" s="439"/>
      <c r="T52" s="439"/>
      <c r="U52" s="439"/>
      <c r="V52" s="69"/>
      <c r="W52" s="484"/>
      <c r="X52" s="484"/>
      <c r="Y52" s="483"/>
      <c r="Z52" s="484"/>
      <c r="AA52" s="483"/>
      <c r="AB52" s="484"/>
      <c r="AC52" s="484"/>
      <c r="AD52" s="483"/>
      <c r="AE52" s="484"/>
      <c r="AF52" s="483"/>
      <c r="AG52" s="69"/>
      <c r="AH52" s="69"/>
      <c r="AI52" s="69"/>
      <c r="AJ52" s="69"/>
      <c r="AK52" s="69"/>
    </row>
    <row r="53" spans="1:37" ht="13.5">
      <c r="A53" s="69"/>
      <c r="B53" s="69"/>
      <c r="C53" s="69"/>
      <c r="D53" s="876" t="str">
        <f>IF(MasterSheet!$A$1=1,MasterSheet!C364,MasterSheet!B364)</f>
        <v>Prihodi od kapitala</v>
      </c>
      <c r="E53" s="1008">
        <f>SUM('Monthly plan for 2013'!E46:M46)</f>
        <v>2395859.1718041697</v>
      </c>
      <c r="F53" s="1008">
        <f>'Execution for 2013'!Q52</f>
        <v>2054672.4300000004</v>
      </c>
      <c r="G53" s="651">
        <f t="shared" si="2"/>
        <v>-341186.74180416926</v>
      </c>
      <c r="H53" s="883">
        <f t="shared" si="3"/>
        <v>85.759315663481033</v>
      </c>
      <c r="I53" s="1008">
        <f>SUM('Execution for 2012_int'!E46:M46)</f>
        <v>3433800.16</v>
      </c>
      <c r="J53" s="890">
        <f t="shared" si="4"/>
        <v>-1379127.7299999997</v>
      </c>
      <c r="K53" s="953">
        <f t="shared" si="5"/>
        <v>59.836692127127179</v>
      </c>
      <c r="L53" s="1008">
        <f>SUM('Monthly plan for 2013'!M46)</f>
        <v>39016.234769396273</v>
      </c>
      <c r="M53" s="1008">
        <f>'Execution for 2013'!M52</f>
        <v>31884.59</v>
      </c>
      <c r="N53" s="890">
        <f t="shared" si="6"/>
        <v>-7131.6447693962727</v>
      </c>
      <c r="O53" s="454">
        <f t="shared" si="0"/>
        <v>81.721340330384152</v>
      </c>
      <c r="P53" s="1008">
        <f>+'Execution for 2012_int'!M46</f>
        <v>55918.96</v>
      </c>
      <c r="Q53" s="651">
        <f t="shared" si="7"/>
        <v>-24034.37</v>
      </c>
      <c r="R53" s="454">
        <f t="shared" si="1"/>
        <v>57.019282905118409</v>
      </c>
      <c r="S53" s="440"/>
      <c r="T53" s="440"/>
      <c r="U53" s="440"/>
      <c r="V53" s="69"/>
      <c r="W53" s="485"/>
      <c r="X53" s="485"/>
      <c r="Y53" s="486"/>
      <c r="Z53" s="485"/>
      <c r="AA53" s="486"/>
      <c r="AB53" s="485"/>
      <c r="AC53" s="485"/>
      <c r="AD53" s="486"/>
      <c r="AE53" s="485"/>
      <c r="AF53" s="486"/>
      <c r="AG53" s="69"/>
      <c r="AH53" s="69"/>
      <c r="AI53" s="69"/>
      <c r="AJ53" s="69"/>
      <c r="AK53" s="69"/>
    </row>
    <row r="54" spans="1:37" ht="13.5">
      <c r="A54" s="69"/>
      <c r="B54" s="69"/>
      <c r="C54" s="69"/>
      <c r="D54" s="876" t="str">
        <f>IF(MasterSheet!$A$1=1,MasterSheet!C365,MasterSheet!B365)</f>
        <v>Novčane kazne i oduzete imovinske koristi</v>
      </c>
      <c r="E54" s="1008">
        <f>SUM('Monthly plan for 2013'!E47:M47)</f>
        <v>6281931.1350708343</v>
      </c>
      <c r="F54" s="1008">
        <f>'Execution for 2013'!Q53</f>
        <v>8241476.8399999999</v>
      </c>
      <c r="G54" s="651">
        <f t="shared" si="2"/>
        <v>1959545.7049291655</v>
      </c>
      <c r="H54" s="883">
        <f t="shared" si="3"/>
        <v>131.19336495093671</v>
      </c>
      <c r="I54" s="1008">
        <f>SUM('Execution for 2012_int'!E47:M47)</f>
        <v>6476376.4399999995</v>
      </c>
      <c r="J54" s="890">
        <f t="shared" si="4"/>
        <v>1765100.4000000004</v>
      </c>
      <c r="K54" s="953">
        <f t="shared" si="5"/>
        <v>127.25444415334202</v>
      </c>
      <c r="L54" s="1008">
        <f>SUM('Monthly plan for 2013'!M47)</f>
        <v>721846.04987347173</v>
      </c>
      <c r="M54" s="1008">
        <f>'Execution for 2013'!M53</f>
        <v>1195519.1200000001</v>
      </c>
      <c r="N54" s="890">
        <f t="shared" si="6"/>
        <v>473673.07012652839</v>
      </c>
      <c r="O54" s="454">
        <f t="shared" si="0"/>
        <v>165.61968029187884</v>
      </c>
      <c r="P54" s="1008">
        <f>+'Execution for 2012_int'!M47</f>
        <v>744189.43</v>
      </c>
      <c r="Q54" s="651">
        <f t="shared" si="7"/>
        <v>451329.69000000006</v>
      </c>
      <c r="R54" s="454">
        <f t="shared" si="1"/>
        <v>160.64715135768591</v>
      </c>
      <c r="S54" s="440"/>
      <c r="T54" s="440"/>
      <c r="U54" s="440"/>
      <c r="V54" s="388"/>
      <c r="W54" s="485"/>
      <c r="X54" s="485"/>
      <c r="Y54" s="486"/>
      <c r="Z54" s="485"/>
      <c r="AA54" s="486"/>
      <c r="AB54" s="485"/>
      <c r="AC54" s="485"/>
      <c r="AD54" s="486"/>
      <c r="AE54" s="485"/>
      <c r="AF54" s="486"/>
      <c r="AG54" s="69"/>
      <c r="AH54" s="69"/>
      <c r="AI54" s="69"/>
      <c r="AJ54" s="69"/>
      <c r="AK54" s="69"/>
    </row>
    <row r="55" spans="1:37" ht="13.5">
      <c r="A55" s="69"/>
      <c r="B55" s="69"/>
      <c r="C55" s="69"/>
      <c r="D55" s="876" t="str">
        <f>IF(MasterSheet!$A$1=1,MasterSheet!C366,MasterSheet!B366)</f>
        <v>Prihodi koje organi ostvaruju vršenjem svoje djel.</v>
      </c>
      <c r="E55" s="1008">
        <f>SUM('Monthly plan for 2013'!E48:M48)</f>
        <v>1529390.1988403359</v>
      </c>
      <c r="F55" s="1008">
        <f>'Execution for 2013'!Q54</f>
        <v>2643750.5100000007</v>
      </c>
      <c r="G55" s="651">
        <f t="shared" si="2"/>
        <v>1114360.3111596648</v>
      </c>
      <c r="H55" s="883">
        <f t="shared" si="3"/>
        <v>172.86304776927636</v>
      </c>
      <c r="I55" s="1008">
        <f>SUM('Execution for 2012_int'!E48:M48)</f>
        <v>1460129.32</v>
      </c>
      <c r="J55" s="890">
        <f t="shared" si="4"/>
        <v>1183621.1900000006</v>
      </c>
      <c r="K55" s="953">
        <f t="shared" si="5"/>
        <v>181.06276435843372</v>
      </c>
      <c r="L55" s="1008">
        <f>SUM('Monthly plan for 2013'!M48)</f>
        <v>151132.44421843963</v>
      </c>
      <c r="M55" s="1008">
        <f>'Execution for 2013'!M54</f>
        <v>170264.2</v>
      </c>
      <c r="N55" s="890">
        <f t="shared" si="6"/>
        <v>19131.75578156038</v>
      </c>
      <c r="O55" s="454">
        <f t="shared" si="0"/>
        <v>112.65893361316135</v>
      </c>
      <c r="P55" s="1008">
        <f>+'Execution for 2012_int'!M48</f>
        <v>144288.17000000001</v>
      </c>
      <c r="Q55" s="651">
        <f t="shared" si="7"/>
        <v>25976.03</v>
      </c>
      <c r="R55" s="454">
        <f t="shared" si="1"/>
        <v>118.0028827034122</v>
      </c>
      <c r="S55" s="440"/>
      <c r="T55" s="440"/>
      <c r="U55" s="440"/>
      <c r="V55" s="388"/>
      <c r="W55" s="485"/>
      <c r="X55" s="485"/>
      <c r="Y55" s="486"/>
      <c r="Z55" s="485"/>
      <c r="AA55" s="486"/>
      <c r="AB55" s="485"/>
      <c r="AC55" s="485"/>
      <c r="AD55" s="486"/>
      <c r="AE55" s="485"/>
      <c r="AF55" s="486"/>
      <c r="AG55" s="69"/>
      <c r="AH55" s="69"/>
      <c r="AI55" s="69"/>
      <c r="AJ55" s="69"/>
      <c r="AK55" s="69"/>
    </row>
    <row r="56" spans="1:37" ht="13.5">
      <c r="A56" s="69"/>
      <c r="B56" s="69"/>
      <c r="C56" s="69"/>
      <c r="D56" s="876" t="str">
        <f>IF(MasterSheet!$A$1=1,MasterSheet!C367,MasterSheet!B367)</f>
        <v>Ostali prihodi</v>
      </c>
      <c r="E56" s="1008">
        <f>SUM('Monthly plan for 2013'!E49:M49)</f>
        <v>6852102.7991459854</v>
      </c>
      <c r="F56" s="1008">
        <f>'Execution for 2013'!Q55</f>
        <v>8401228.1099999994</v>
      </c>
      <c r="G56" s="651">
        <f t="shared" si="2"/>
        <v>1549125.310854014</v>
      </c>
      <c r="H56" s="883">
        <f t="shared" si="3"/>
        <v>122.60802787499175</v>
      </c>
      <c r="I56" s="1008">
        <f>SUM('Execution for 2012_int'!E49:M49)</f>
        <v>7023090.3200000003</v>
      </c>
      <c r="J56" s="890">
        <f t="shared" si="4"/>
        <v>1378137.7899999991</v>
      </c>
      <c r="K56" s="953">
        <f t="shared" si="5"/>
        <v>119.62295410149302</v>
      </c>
      <c r="L56" s="1008">
        <f>SUM('Monthly plan for 2013'!M49)</f>
        <v>564817.35724486422</v>
      </c>
      <c r="M56" s="1008">
        <f>'Execution for 2013'!M55</f>
        <v>1241894.95</v>
      </c>
      <c r="N56" s="890">
        <f t="shared" si="6"/>
        <v>677077.59275513573</v>
      </c>
      <c r="O56" s="454">
        <f t="shared" si="0"/>
        <v>219.87549321392464</v>
      </c>
      <c r="P56" s="1008">
        <f>+'Execution for 2012_int'!M49</f>
        <v>578196.29</v>
      </c>
      <c r="Q56" s="651">
        <f t="shared" si="7"/>
        <v>663698.65999999992</v>
      </c>
      <c r="R56" s="454">
        <f t="shared" si="1"/>
        <v>214.78777561855333</v>
      </c>
      <c r="S56" s="440"/>
      <c r="T56" s="440"/>
      <c r="U56" s="440"/>
      <c r="V56" s="388"/>
      <c r="W56" s="485"/>
      <c r="X56" s="485"/>
      <c r="Y56" s="486"/>
      <c r="Z56" s="485"/>
      <c r="AA56" s="486"/>
      <c r="AB56" s="485"/>
      <c r="AC56" s="485"/>
      <c r="AD56" s="486"/>
      <c r="AE56" s="485"/>
      <c r="AF56" s="486"/>
      <c r="AG56" s="69"/>
      <c r="AH56" s="69"/>
      <c r="AI56" s="69"/>
      <c r="AJ56" s="69"/>
      <c r="AK56" s="69"/>
    </row>
    <row r="57" spans="1:37" ht="27" thickBot="1">
      <c r="A57" s="69"/>
      <c r="B57" s="69"/>
      <c r="C57" s="69"/>
      <c r="D57" s="878" t="str">
        <f>IF(MasterSheet!$A$1=1,MasterSheet!C368,MasterSheet!B368)</f>
        <v>Primici od otplate kredita i sredstva prenijeta iz prethodne godine</v>
      </c>
      <c r="E57" s="423">
        <f>SUM('Monthly plan for 2013'!E50:M50)</f>
        <v>3690239.9589146962</v>
      </c>
      <c r="F57" s="423">
        <f>'Execution for 2013'!Q56</f>
        <v>6036458.1000000006</v>
      </c>
      <c r="G57" s="652">
        <f t="shared" si="2"/>
        <v>2346218.1410853043</v>
      </c>
      <c r="H57" s="886">
        <f t="shared" si="3"/>
        <v>163.57901294243558</v>
      </c>
      <c r="I57" s="423">
        <f>SUM('Execution for 2012_int'!E50:M50)</f>
        <v>3215934.6099999994</v>
      </c>
      <c r="J57" s="891">
        <f t="shared" si="4"/>
        <v>2820523.4900000012</v>
      </c>
      <c r="K57" s="955">
        <f t="shared" si="5"/>
        <v>187.7046281112041</v>
      </c>
      <c r="L57" s="423">
        <f>SUM('Monthly plan for 2013'!M50)</f>
        <v>377295.10829472088</v>
      </c>
      <c r="M57" s="423">
        <f>'Execution for 2013'!M56</f>
        <v>401482.51</v>
      </c>
      <c r="N57" s="892">
        <f t="shared" si="6"/>
        <v>24187.401705279131</v>
      </c>
      <c r="O57" s="455">
        <f t="shared" si="0"/>
        <v>106.41073821884417</v>
      </c>
      <c r="P57" s="423">
        <f>+'Execution for 2012_int'!M50</f>
        <v>328801.49</v>
      </c>
      <c r="Q57" s="652">
        <f t="shared" si="7"/>
        <v>72681.020000000019</v>
      </c>
      <c r="R57" s="455">
        <f t="shared" si="1"/>
        <v>122.10483291909657</v>
      </c>
      <c r="S57" s="388"/>
      <c r="T57" s="388"/>
      <c r="U57" s="388"/>
      <c r="V57" s="388"/>
      <c r="W57" s="485"/>
      <c r="X57" s="485"/>
      <c r="Y57" s="486"/>
      <c r="Z57" s="485"/>
      <c r="AA57" s="486"/>
      <c r="AB57" s="485"/>
      <c r="AC57" s="485"/>
      <c r="AD57" s="486"/>
      <c r="AE57" s="485"/>
      <c r="AF57" s="486"/>
      <c r="AG57" s="69"/>
      <c r="AH57" s="69"/>
      <c r="AI57" s="69"/>
      <c r="AJ57" s="69"/>
      <c r="AK57" s="69"/>
    </row>
    <row r="58" spans="1:37" ht="15" thickTop="1" thickBot="1">
      <c r="A58" s="69"/>
      <c r="B58" s="69"/>
      <c r="C58" s="69"/>
      <c r="D58" s="879" t="str">
        <f>IF(MasterSheet!$A$1=1,MasterSheet!C369,MasterSheet!B369)</f>
        <v>Izdaci</v>
      </c>
      <c r="E58" s="1006">
        <f>SUM('Monthly plan for 2013'!E51:M51)</f>
        <v>941115952.31000006</v>
      </c>
      <c r="F58" s="1009">
        <f>'Execution for 2013'!Q57</f>
        <v>1017682513.406523</v>
      </c>
      <c r="G58" s="720">
        <f t="shared" si="2"/>
        <v>76566561.096522927</v>
      </c>
      <c r="H58" s="887">
        <f>+F58/E58*100</f>
        <v>108.13572024877358</v>
      </c>
      <c r="I58" s="1006">
        <f>SUM('Execution for 2012_int'!E51:M51)</f>
        <v>941638293.62749994</v>
      </c>
      <c r="J58" s="719">
        <f t="shared" si="4"/>
        <v>76044219.779023051</v>
      </c>
      <c r="K58" s="967">
        <f t="shared" si="5"/>
        <v>108.07573569316895</v>
      </c>
      <c r="L58" s="1009">
        <f>SUM('Monthly plan for 2013'!M51)</f>
        <v>105000904.38000001</v>
      </c>
      <c r="M58" s="1069">
        <f>'Execution for 2013'!M57</f>
        <v>117295575.88090232</v>
      </c>
      <c r="N58" s="1006">
        <f t="shared" si="6"/>
        <v>12294671.50090231</v>
      </c>
      <c r="O58" s="887">
        <f t="shared" ref="O58:O79" si="8">+M58/L58*100</f>
        <v>111.70911010100227</v>
      </c>
      <c r="P58" s="1009">
        <f>+'Execution for 2012_int'!M51</f>
        <v>117749702.32083333</v>
      </c>
      <c r="Q58" s="719">
        <f t="shared" si="7"/>
        <v>-454126.43993100524</v>
      </c>
      <c r="R58" s="728">
        <f t="shared" ref="R58:R84" si="9">M58/P58*100</f>
        <v>99.614329012320013</v>
      </c>
      <c r="S58" s="442"/>
      <c r="T58" s="442"/>
      <c r="U58" s="442"/>
      <c r="V58" s="388"/>
      <c r="W58" s="485"/>
      <c r="X58" s="485"/>
      <c r="Y58" s="486"/>
      <c r="Z58" s="485"/>
      <c r="AA58" s="486"/>
      <c r="AB58" s="485"/>
      <c r="AC58" s="485"/>
      <c r="AD58" s="486"/>
      <c r="AE58" s="485"/>
      <c r="AF58" s="486"/>
      <c r="AG58" s="69"/>
      <c r="AH58" s="69"/>
      <c r="AI58" s="69"/>
      <c r="AJ58" s="69"/>
      <c r="AK58" s="69"/>
    </row>
    <row r="59" spans="1:37" ht="15" thickTop="1" thickBot="1">
      <c r="A59" s="69"/>
      <c r="B59" s="69"/>
      <c r="C59" s="69"/>
      <c r="D59" s="879" t="str">
        <f>IF(MasterSheet!$A$1=1,MasterSheet!C370,MasterSheet!B370)</f>
        <v>Tekuća budžetska potrošnja</v>
      </c>
      <c r="E59" s="1048">
        <f>SUM('Monthly plan for 2013'!E52:M52)</f>
        <v>891886702.28000021</v>
      </c>
      <c r="F59" s="1062">
        <f>'Execution for 2013'!Q58</f>
        <v>985291186.16652322</v>
      </c>
      <c r="G59" s="1063">
        <f t="shared" si="2"/>
        <v>93404483.886523008</v>
      </c>
      <c r="H59" s="1064">
        <f t="shared" si="3"/>
        <v>110.47268488786139</v>
      </c>
      <c r="I59" s="1048">
        <f>SUM('Execution for 2012_int'!E52:M52)</f>
        <v>899053447.05749989</v>
      </c>
      <c r="J59" s="1063">
        <f t="shared" si="4"/>
        <v>86237739.109023333</v>
      </c>
      <c r="K59" s="1065">
        <f t="shared" si="5"/>
        <v>109.59205922531854</v>
      </c>
      <c r="L59" s="1060">
        <f>SUM('Monthly plan for 2013'!M52)</f>
        <v>99530987.710000008</v>
      </c>
      <c r="M59" s="1069">
        <f>'Execution for 2013'!M58</f>
        <v>113354219.31090233</v>
      </c>
      <c r="N59" s="1063">
        <f t="shared" si="6"/>
        <v>13823231.600902319</v>
      </c>
      <c r="O59" s="1067">
        <f t="shared" si="8"/>
        <v>113.88836976196659</v>
      </c>
      <c r="P59" s="1009">
        <f>+'Execution for 2012_int'!M52</f>
        <v>112736761.20083332</v>
      </c>
      <c r="Q59" s="1066">
        <f t="shared" si="7"/>
        <v>617458.11006900668</v>
      </c>
      <c r="R59" s="1068">
        <f t="shared" si="9"/>
        <v>100.5476989967532</v>
      </c>
      <c r="S59" s="442"/>
      <c r="T59" s="442"/>
      <c r="U59" s="442"/>
      <c r="V59" s="388"/>
      <c r="W59" s="485"/>
      <c r="X59" s="485"/>
      <c r="Y59" s="486"/>
      <c r="Z59" s="485"/>
      <c r="AA59" s="486"/>
      <c r="AB59" s="485"/>
      <c r="AC59" s="485"/>
      <c r="AD59" s="486"/>
      <c r="AE59" s="485"/>
      <c r="AF59" s="486"/>
      <c r="AG59" s="69"/>
      <c r="AH59" s="69"/>
      <c r="AI59" s="69"/>
      <c r="AJ59" s="69"/>
      <c r="AK59" s="69"/>
    </row>
    <row r="60" spans="1:37" ht="13.5" thickTop="1">
      <c r="A60" s="69"/>
      <c r="B60" s="69"/>
      <c r="C60" s="69"/>
      <c r="D60" s="877" t="str">
        <f>IF(MasterSheet!$A$1=1,MasterSheet!C371,MasterSheet!B371)</f>
        <v>Tekući izdaci</v>
      </c>
      <c r="E60" s="1008">
        <f>SUM('Monthly plan for 2013'!E53:M53)</f>
        <v>442647914.60000002</v>
      </c>
      <c r="F60" s="1010">
        <f>'Execution for 2013'!Q59</f>
        <v>446210601.47652304</v>
      </c>
      <c r="G60" s="653">
        <f t="shared" si="2"/>
        <v>3562686.8765230179</v>
      </c>
      <c r="H60" s="888">
        <f t="shared" si="3"/>
        <v>100.80485793765513</v>
      </c>
      <c r="I60" s="1008">
        <f>SUM('Execution for 2012_int'!E53:M53)</f>
        <v>486832698.69749993</v>
      </c>
      <c r="J60" s="947">
        <f t="shared" si="4"/>
        <v>-40622097.220976889</v>
      </c>
      <c r="K60" s="1058">
        <f t="shared" si="5"/>
        <v>91.655840429441255</v>
      </c>
      <c r="L60" s="1010">
        <f>SUM('Monthly plan for 2013'!M53)</f>
        <v>49667418.630000003</v>
      </c>
      <c r="M60" s="1070">
        <f>'Execution for 2013'!M59</f>
        <v>62567234.230902329</v>
      </c>
      <c r="N60" s="653">
        <f t="shared" si="6"/>
        <v>12899815.600902326</v>
      </c>
      <c r="O60" s="456">
        <f t="shared" si="8"/>
        <v>125.97238986185324</v>
      </c>
      <c r="P60" s="1070">
        <f>+'Execution for 2012_int'!M53</f>
        <v>67358343.820833325</v>
      </c>
      <c r="Q60" s="892">
        <f t="shared" si="7"/>
        <v>-4791109.5899309963</v>
      </c>
      <c r="R60" s="456">
        <f t="shared" si="9"/>
        <v>92.88713273195242</v>
      </c>
      <c r="S60" s="388"/>
      <c r="T60" s="388"/>
      <c r="U60" s="388"/>
      <c r="V60" s="69"/>
      <c r="W60" s="484"/>
      <c r="X60" s="484"/>
      <c r="Y60" s="483"/>
      <c r="Z60" s="484"/>
      <c r="AA60" s="483"/>
      <c r="AB60" s="484"/>
      <c r="AC60" s="484"/>
      <c r="AD60" s="483"/>
      <c r="AE60" s="484"/>
      <c r="AF60" s="483"/>
      <c r="AG60" s="69"/>
      <c r="AH60" s="69"/>
      <c r="AI60" s="69"/>
      <c r="AJ60" s="69"/>
      <c r="AK60" s="69"/>
    </row>
    <row r="61" spans="1:37" ht="13.5">
      <c r="A61" s="69"/>
      <c r="B61" s="69"/>
      <c r="C61" s="69"/>
      <c r="D61" s="877" t="str">
        <f>IF(MasterSheet!$A$1=1,MasterSheet!C372,MasterSheet!B372)</f>
        <v>Bruto zarade i doprinosi na teret poslodavca</v>
      </c>
      <c r="E61" s="1008">
        <f>SUM('Monthly plan for 2013'!E54:M54)</f>
        <v>279096458.76999992</v>
      </c>
      <c r="F61" s="1011">
        <f>'Execution for 2013'!Q60</f>
        <v>280454570.73652303</v>
      </c>
      <c r="G61" s="653">
        <f t="shared" si="2"/>
        <v>1358111.9665231109</v>
      </c>
      <c r="H61" s="888">
        <f t="shared" si="3"/>
        <v>100.48661024668976</v>
      </c>
      <c r="I61" s="1008">
        <f>SUM('Execution for 2012_int'!E54:M54)</f>
        <v>280991753.8574999</v>
      </c>
      <c r="J61" s="948">
        <f t="shared" si="4"/>
        <v>-537183.12097686529</v>
      </c>
      <c r="K61" s="1058">
        <f t="shared" si="5"/>
        <v>99.808826019410773</v>
      </c>
      <c r="L61" s="1011">
        <f>SUM('Monthly plan for 2013'!M54)</f>
        <v>31010717.639999997</v>
      </c>
      <c r="M61" s="1071">
        <f>'Execution for 2013'!M60</f>
        <v>29273565.85090233</v>
      </c>
      <c r="N61" s="653">
        <f t="shared" si="6"/>
        <v>-1737151.7890976667</v>
      </c>
      <c r="O61" s="456">
        <f t="shared" si="8"/>
        <v>94.398221256070016</v>
      </c>
      <c r="P61" s="1071">
        <f>+'Execution for 2012_int'!M54</f>
        <v>31221305.984166659</v>
      </c>
      <c r="Q61" s="892">
        <f t="shared" si="7"/>
        <v>-1947740.1332643293</v>
      </c>
      <c r="R61" s="456">
        <f t="shared" si="9"/>
        <v>93.76150333284555</v>
      </c>
      <c r="S61" s="388"/>
      <c r="T61" s="388"/>
      <c r="U61" s="388"/>
      <c r="V61" s="69"/>
      <c r="W61" s="485"/>
      <c r="X61" s="485"/>
      <c r="Y61" s="486"/>
      <c r="Z61" s="485"/>
      <c r="AA61" s="486"/>
      <c r="AB61" s="485"/>
      <c r="AC61" s="485"/>
      <c r="AD61" s="486"/>
      <c r="AE61" s="485"/>
      <c r="AF61" s="486"/>
      <c r="AG61" s="69"/>
      <c r="AH61" s="69"/>
      <c r="AI61" s="69"/>
      <c r="AJ61" s="69"/>
      <c r="AK61" s="69"/>
    </row>
    <row r="62" spans="1:37" ht="13.5" hidden="1">
      <c r="A62" s="69"/>
      <c r="B62" s="69"/>
      <c r="C62" s="69"/>
      <c r="D62" s="380" t="str">
        <f>IF(MasterSheet!$A$1=1,MasterSheet!C373,MasterSheet!B373)</f>
        <v>Neto zarade</v>
      </c>
      <c r="E62" s="1008">
        <f>SUM('Monthly plan for 2013'!E55:M55)</f>
        <v>166123920.60000002</v>
      </c>
      <c r="F62" s="1008">
        <f>'Execution for 2013'!Q61</f>
        <v>166851717.65000001</v>
      </c>
      <c r="G62" s="651">
        <f t="shared" si="2"/>
        <v>727797.04999998212</v>
      </c>
      <c r="H62" s="883">
        <f t="shared" si="3"/>
        <v>100.43810490829456</v>
      </c>
      <c r="I62" s="1008">
        <f>SUM('Execution for 2012_int'!E55:M55)</f>
        <v>167331922.58249998</v>
      </c>
      <c r="J62" s="949">
        <f t="shared" si="4"/>
        <v>-480204.93249997497</v>
      </c>
      <c r="K62" s="1059">
        <f t="shared" si="5"/>
        <v>99.713022521292544</v>
      </c>
      <c r="L62" s="386">
        <f>SUM('Monthly plan for 2013'!M55)</f>
        <v>18458213.399999999</v>
      </c>
      <c r="M62" s="1071">
        <f>'Execution for 2013'!M61</f>
        <v>17729850.41</v>
      </c>
      <c r="N62" s="651">
        <f t="shared" si="6"/>
        <v>-728362.98999999836</v>
      </c>
      <c r="O62" s="454">
        <f t="shared" si="8"/>
        <v>96.053989764794906</v>
      </c>
      <c r="P62" s="1071">
        <f>+'Execution for 2012_int'!M55</f>
        <v>18592435.842499997</v>
      </c>
      <c r="Q62" s="890">
        <f t="shared" si="7"/>
        <v>-862585.43249999732</v>
      </c>
      <c r="R62" s="454">
        <f t="shared" si="9"/>
        <v>95.360557165251933</v>
      </c>
      <c r="S62" s="440"/>
      <c r="T62" s="440"/>
      <c r="U62" s="441"/>
      <c r="V62" s="69"/>
      <c r="W62" s="485"/>
      <c r="X62" s="485"/>
      <c r="Y62" s="486"/>
      <c r="Z62" s="485"/>
      <c r="AA62" s="486"/>
      <c r="AB62" s="485"/>
      <c r="AC62" s="485"/>
      <c r="AD62" s="486"/>
      <c r="AE62" s="485"/>
      <c r="AF62" s="486"/>
      <c r="AG62" s="69"/>
      <c r="AH62" s="69"/>
      <c r="AI62" s="69"/>
      <c r="AJ62" s="69"/>
      <c r="AK62" s="69"/>
    </row>
    <row r="63" spans="1:37" ht="14.25" hidden="1" thickTop="1">
      <c r="A63" s="69"/>
      <c r="B63" s="69"/>
      <c r="C63" s="69"/>
      <c r="D63" s="380" t="str">
        <f>IF(MasterSheet!$A$1=1,MasterSheet!C374,MasterSheet!B374)</f>
        <v>Porez na zarade</v>
      </c>
      <c r="E63" s="1008">
        <f>SUM('Monthly plan for 2013'!E56:M56)</f>
        <v>22444094.25</v>
      </c>
      <c r="F63" s="1008">
        <f>'Execution for 2013'!Q62</f>
        <v>22929682.262000669</v>
      </c>
      <c r="G63" s="651">
        <f t="shared" si="2"/>
        <v>485588.01200066879</v>
      </c>
      <c r="H63" s="883">
        <f t="shared" si="3"/>
        <v>102.16354470174562</v>
      </c>
      <c r="I63" s="1008">
        <f>SUM('Execution for 2012_int'!E56:M56)</f>
        <v>22048559.849999998</v>
      </c>
      <c r="J63" s="949">
        <f t="shared" si="4"/>
        <v>881122.41200067103</v>
      </c>
      <c r="K63" s="1059">
        <f t="shared" si="5"/>
        <v>103.99628101787641</v>
      </c>
      <c r="L63" s="1061">
        <f>SUM('Monthly plan for 2013'!M56)</f>
        <v>2493788.25</v>
      </c>
      <c r="M63" s="1071">
        <f>'Execution for 2013'!M62</f>
        <v>2297825.3632970974</v>
      </c>
      <c r="N63" s="651">
        <f t="shared" si="6"/>
        <v>-195962.88670290262</v>
      </c>
      <c r="O63" s="454">
        <f t="shared" si="8"/>
        <v>92.141959659048737</v>
      </c>
      <c r="P63" s="1071">
        <f>+'Execution for 2012_int'!M56</f>
        <v>2449839.9833333329</v>
      </c>
      <c r="Q63" s="890">
        <f t="shared" si="7"/>
        <v>-152014.62003623554</v>
      </c>
      <c r="R63" s="454">
        <f t="shared" si="9"/>
        <v>93.794916359010543</v>
      </c>
      <c r="S63" s="440"/>
      <c r="T63" s="440"/>
      <c r="U63" s="441"/>
      <c r="V63" s="69"/>
      <c r="W63" s="485"/>
      <c r="X63" s="485"/>
      <c r="Y63" s="486"/>
      <c r="Z63" s="485"/>
      <c r="AA63" s="486"/>
      <c r="AB63" s="485"/>
      <c r="AC63" s="485"/>
      <c r="AD63" s="486"/>
      <c r="AE63" s="485"/>
      <c r="AF63" s="486"/>
      <c r="AG63" s="69"/>
      <c r="AH63" s="69"/>
      <c r="AI63" s="69"/>
      <c r="AJ63" s="69"/>
      <c r="AK63" s="69"/>
    </row>
    <row r="64" spans="1:37" ht="14.25" hidden="1" thickTop="1">
      <c r="A64" s="69"/>
      <c r="B64" s="69"/>
      <c r="C64" s="69"/>
      <c r="D64" s="380" t="str">
        <f>IF(MasterSheet!$A$1=1,MasterSheet!C375,MasterSheet!B375)</f>
        <v>Doprinosi na teret zaposlenog</v>
      </c>
      <c r="E64" s="1008">
        <f>SUM('Monthly plan for 2013'!E57:M57)</f>
        <v>57000144.420000009</v>
      </c>
      <c r="F64" s="1008">
        <f>'Execution for 2013'!Q63</f>
        <v>56391039.617873736</v>
      </c>
      <c r="G64" s="651">
        <f t="shared" si="2"/>
        <v>-609104.80212627351</v>
      </c>
      <c r="H64" s="883">
        <f t="shared" si="3"/>
        <v>98.931397791489545</v>
      </c>
      <c r="I64" s="1008">
        <f>SUM('Execution for 2012_int'!E57:M57)</f>
        <v>57845989.25249996</v>
      </c>
      <c r="J64" s="949">
        <f t="shared" si="4"/>
        <v>-1454949.6346262246</v>
      </c>
      <c r="K64" s="1059">
        <f t="shared" si="5"/>
        <v>97.4847873579008</v>
      </c>
      <c r="L64" s="1061">
        <f>SUM('Monthly plan for 2013'!M57)</f>
        <v>6333349.3799999999</v>
      </c>
      <c r="M64" s="1071">
        <f>'Execution for 2013'!M63</f>
        <v>5996143.9065586086</v>
      </c>
      <c r="N64" s="651">
        <f t="shared" si="6"/>
        <v>-337205.47344139125</v>
      </c>
      <c r="O64" s="454">
        <f t="shared" si="8"/>
        <v>94.675716540978343</v>
      </c>
      <c r="P64" s="1071">
        <f>+'Execution for 2012_int'!M57</f>
        <v>6427332.1391666634</v>
      </c>
      <c r="Q64" s="890">
        <f t="shared" si="7"/>
        <v>-431188.23260805476</v>
      </c>
      <c r="R64" s="454">
        <f t="shared" si="9"/>
        <v>93.291334207228942</v>
      </c>
      <c r="S64" s="440"/>
      <c r="T64" s="440"/>
      <c r="U64" s="441"/>
      <c r="V64" s="69"/>
      <c r="W64" s="485"/>
      <c r="X64" s="485"/>
      <c r="Y64" s="486"/>
      <c r="Z64" s="485"/>
      <c r="AA64" s="486"/>
      <c r="AB64" s="485"/>
      <c r="AC64" s="485"/>
      <c r="AD64" s="486"/>
      <c r="AE64" s="485"/>
      <c r="AF64" s="486"/>
      <c r="AG64" s="69"/>
      <c r="AH64" s="69"/>
      <c r="AI64" s="69"/>
      <c r="AJ64" s="69"/>
      <c r="AK64" s="69"/>
    </row>
    <row r="65" spans="1:37" ht="13.5" hidden="1" thickTop="1">
      <c r="A65" s="69"/>
      <c r="B65" s="69"/>
      <c r="C65" s="69"/>
      <c r="D65" s="380" t="str">
        <f>IF(MasterSheet!$A$1=1,MasterSheet!C376,MasterSheet!B376)</f>
        <v>Doprinosi na teret poslodavca</v>
      </c>
      <c r="E65" s="1008">
        <f>SUM('Monthly plan for 2013'!E58:M58)</f>
        <v>30298268.799999997</v>
      </c>
      <c r="F65" s="1008">
        <f>'Execution for 2013'!Q64</f>
        <v>29736201.056389879</v>
      </c>
      <c r="G65" s="651">
        <f t="shared" si="2"/>
        <v>-562067.74361011758</v>
      </c>
      <c r="H65" s="883">
        <f t="shared" si="3"/>
        <v>98.144884952601259</v>
      </c>
      <c r="I65" s="1008">
        <f>SUM('Execution for 2012_int'!E58:M58)</f>
        <v>30634809.742499977</v>
      </c>
      <c r="J65" s="949">
        <f t="shared" si="4"/>
        <v>-898608.68611009791</v>
      </c>
      <c r="K65" s="1059">
        <f t="shared" si="5"/>
        <v>97.066707142419588</v>
      </c>
      <c r="L65" s="1061">
        <f>SUM('Monthly plan for 2013'!M58)</f>
        <v>3366474.31</v>
      </c>
      <c r="M65" s="1071">
        <f>'Execution for 2013'!M64</f>
        <v>3140195.6795707671</v>
      </c>
      <c r="N65" s="651">
        <f t="shared" si="6"/>
        <v>-226278.63042923296</v>
      </c>
      <c r="O65" s="454">
        <f t="shared" si="8"/>
        <v>93.278468522481234</v>
      </c>
      <c r="P65" s="1071">
        <f>+'Execution for 2012_int'!M58</f>
        <v>3403867.7491666647</v>
      </c>
      <c r="Q65" s="890">
        <f t="shared" si="7"/>
        <v>-263672.06959589757</v>
      </c>
      <c r="R65" s="454">
        <f t="shared" si="9"/>
        <v>92.253751055385464</v>
      </c>
      <c r="S65" s="440"/>
      <c r="T65" s="440"/>
      <c r="U65" s="441"/>
      <c r="V65" s="69"/>
      <c r="W65" s="484"/>
      <c r="X65" s="484"/>
      <c r="Y65" s="483"/>
      <c r="Z65" s="484"/>
      <c r="AA65" s="483"/>
      <c r="AB65" s="484"/>
      <c r="AC65" s="484"/>
      <c r="AD65" s="483"/>
      <c r="AE65" s="484"/>
      <c r="AF65" s="483"/>
      <c r="AG65" s="69"/>
      <c r="AH65" s="69"/>
      <c r="AI65" s="69"/>
      <c r="AJ65" s="69"/>
      <c r="AK65" s="69"/>
    </row>
    <row r="66" spans="1:37" ht="13.5" hidden="1" thickTop="1">
      <c r="A66" s="69"/>
      <c r="B66" s="69"/>
      <c r="C66" s="69"/>
      <c r="D66" s="380" t="str">
        <f>IF(MasterSheet!$A$1=1,MasterSheet!C377,MasterSheet!B377)</f>
        <v>Prirez na porez na dohodak</v>
      </c>
      <c r="E66" s="1008">
        <f>SUM('Monthly plan for 2013'!E59:M59)</f>
        <v>3230030.6999999993</v>
      </c>
      <c r="F66" s="1008">
        <f>'Execution for 2013'!Q65</f>
        <v>4545930.1502588037</v>
      </c>
      <c r="G66" s="651">
        <f t="shared" si="2"/>
        <v>1315899.4502588045</v>
      </c>
      <c r="H66" s="883">
        <f t="shared" si="3"/>
        <v>140.73953384587969</v>
      </c>
      <c r="I66" s="1008">
        <f>SUM('Execution for 2012_int'!E59:M59)</f>
        <v>3130472.4299999978</v>
      </c>
      <c r="J66" s="949">
        <f t="shared" si="4"/>
        <v>1415457.7202588059</v>
      </c>
      <c r="K66" s="1059">
        <f t="shared" si="5"/>
        <v>145.2154667357606</v>
      </c>
      <c r="L66" s="1061">
        <f>SUM('Monthly plan for 2013'!M59)</f>
        <v>358892.3</v>
      </c>
      <c r="M66" s="1071">
        <f>'Execution for 2013'!M65</f>
        <v>109550.49147585621</v>
      </c>
      <c r="N66" s="651">
        <f t="shared" si="6"/>
        <v>-249341.80852414377</v>
      </c>
      <c r="O66" s="454">
        <f t="shared" si="8"/>
        <v>30.524614620000545</v>
      </c>
      <c r="P66" s="1071">
        <f>+'Execution for 2012_int'!M59</f>
        <v>347830.26999999979</v>
      </c>
      <c r="Q66" s="890">
        <f t="shared" si="7"/>
        <v>-238279.77852414356</v>
      </c>
      <c r="R66" s="454">
        <f t="shared" si="9"/>
        <v>31.495387527904423</v>
      </c>
      <c r="S66" s="440"/>
      <c r="T66" s="440"/>
      <c r="U66" s="441"/>
      <c r="V66" s="69"/>
      <c r="W66" s="70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</row>
    <row r="67" spans="1:37">
      <c r="A67" s="69"/>
      <c r="B67" s="69"/>
      <c r="C67" s="69"/>
      <c r="D67" s="877" t="str">
        <f>IF(MasterSheet!$A$1=1,MasterSheet!C378,MasterSheet!B378)</f>
        <v>Ostala lična primanja</v>
      </c>
      <c r="E67" s="1008">
        <f>SUM('Monthly plan for 2013'!E60:M60)</f>
        <v>7858726.7700000014</v>
      </c>
      <c r="F67" s="1011">
        <f>'Execution for 2013'!Q66</f>
        <v>8478214.5499999989</v>
      </c>
      <c r="G67" s="653">
        <f t="shared" si="2"/>
        <v>619487.77999999747</v>
      </c>
      <c r="H67" s="888">
        <f t="shared" si="3"/>
        <v>107.88280084205037</v>
      </c>
      <c r="I67" s="1008">
        <f>SUM('Execution for 2012_int'!E60:M60)</f>
        <v>7107272.8099999996</v>
      </c>
      <c r="J67" s="948">
        <f t="shared" si="4"/>
        <v>1370941.7399999993</v>
      </c>
      <c r="K67" s="1058">
        <f t="shared" si="5"/>
        <v>119.2892798215241</v>
      </c>
      <c r="L67" s="1011">
        <f>SUM('Monthly plan for 2013'!M60)</f>
        <v>875858.53</v>
      </c>
      <c r="M67" s="1071">
        <f>'Execution for 2013'!M66</f>
        <v>545320.31000000006</v>
      </c>
      <c r="N67" s="653">
        <f t="shared" si="6"/>
        <v>-330538.21999999997</v>
      </c>
      <c r="O67" s="456">
        <f t="shared" si="8"/>
        <v>62.261231845284428</v>
      </c>
      <c r="P67" s="1071">
        <f>+'Execution for 2012_int'!M60</f>
        <v>990756.55</v>
      </c>
      <c r="Q67" s="892">
        <f t="shared" si="7"/>
        <v>-445436.24</v>
      </c>
      <c r="R67" s="456">
        <f t="shared" si="9"/>
        <v>55.040797863006816</v>
      </c>
      <c r="S67" s="388"/>
      <c r="T67" s="388"/>
      <c r="U67" s="441"/>
      <c r="V67" s="69"/>
      <c r="W67" s="70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</row>
    <row r="68" spans="1:37">
      <c r="A68" s="69"/>
      <c r="B68" s="69"/>
      <c r="C68" s="69"/>
      <c r="D68" s="877" t="str">
        <f>IF(MasterSheet!$A$1=1,MasterSheet!C379,MasterSheet!B379)</f>
        <v>Rashodi za materijal i usluge</v>
      </c>
      <c r="E68" s="1008">
        <f>SUM('Monthly plan for 2013'!E61:M61)</f>
        <v>59921742.719999999</v>
      </c>
      <c r="F68" s="1011">
        <f>'Execution for 2013'!Q67</f>
        <v>57088647.940000005</v>
      </c>
      <c r="G68" s="653">
        <f t="shared" si="2"/>
        <v>-2833094.7799999937</v>
      </c>
      <c r="H68" s="888">
        <f t="shared" si="3"/>
        <v>95.272008704355656</v>
      </c>
      <c r="I68" s="1008">
        <f>SUM('Execution for 2012_int'!E61:M61)</f>
        <v>104128259.26999998</v>
      </c>
      <c r="J68" s="948">
        <f t="shared" si="4"/>
        <v>-47039611.329999976</v>
      </c>
      <c r="K68" s="1058">
        <f t="shared" si="5"/>
        <v>54.825316720191843</v>
      </c>
      <c r="L68" s="386">
        <f>SUM('Monthly plan for 2013'!M61)</f>
        <v>7018477.7200000007</v>
      </c>
      <c r="M68" s="1071">
        <f>'Execution for 2013'!M67</f>
        <v>6864500.29</v>
      </c>
      <c r="N68" s="653">
        <f t="shared" si="6"/>
        <v>-153977.43000000063</v>
      </c>
      <c r="O68" s="456">
        <f t="shared" si="8"/>
        <v>97.806113574155489</v>
      </c>
      <c r="P68" s="1071">
        <f>+'Execution for 2012_int'!M61</f>
        <v>12758943.556666665</v>
      </c>
      <c r="Q68" s="892">
        <f t="shared" si="7"/>
        <v>-5894443.2666666647</v>
      </c>
      <c r="R68" s="456">
        <f t="shared" si="9"/>
        <v>53.80147862174087</v>
      </c>
      <c r="S68" s="388"/>
      <c r="T68" s="388"/>
      <c r="U68" s="441"/>
      <c r="V68" s="69"/>
      <c r="W68" s="70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</row>
    <row r="69" spans="1:37">
      <c r="A69" s="69"/>
      <c r="B69" s="69"/>
      <c r="C69" s="69"/>
      <c r="D69" s="877" t="str">
        <f>IF(MasterSheet!$A$1=1,MasterSheet!C380,MasterSheet!B380)</f>
        <v>Tekuće održavanje</v>
      </c>
      <c r="E69" s="1008">
        <f>SUM('Monthly plan for 2013'!E62:M62)</f>
        <v>15351302.470000001</v>
      </c>
      <c r="F69" s="1011">
        <f>'Execution for 2013'!Q68</f>
        <v>12856334.289999999</v>
      </c>
      <c r="G69" s="653">
        <f t="shared" si="2"/>
        <v>-2494968.1800000016</v>
      </c>
      <c r="H69" s="888">
        <f t="shared" si="3"/>
        <v>83.747514682381208</v>
      </c>
      <c r="I69" s="1008">
        <f>SUM('Execution for 2012_int'!E62:M62)</f>
        <v>14057196.999999998</v>
      </c>
      <c r="J69" s="948">
        <f t="shared" si="4"/>
        <v>-1200862.709999999</v>
      </c>
      <c r="K69" s="1058">
        <f t="shared" si="5"/>
        <v>91.457310372757817</v>
      </c>
      <c r="L69" s="386">
        <f>SUM('Monthly plan for 2013'!M62)</f>
        <v>1705125.83</v>
      </c>
      <c r="M69" s="1071">
        <f>'Execution for 2013'!M68</f>
        <v>2633936.0100000002</v>
      </c>
      <c r="N69" s="653">
        <f t="shared" si="6"/>
        <v>928810.18000000017</v>
      </c>
      <c r="O69" s="456">
        <f t="shared" si="8"/>
        <v>154.4716503414883</v>
      </c>
      <c r="P69" s="1071">
        <f>+'Execution for 2012_int'!M62</f>
        <v>2144478.7599999998</v>
      </c>
      <c r="Q69" s="892">
        <f t="shared" si="7"/>
        <v>489457.25000000047</v>
      </c>
      <c r="R69" s="456">
        <f t="shared" si="9"/>
        <v>122.82406611478869</v>
      </c>
      <c r="S69" s="388"/>
      <c r="T69" s="388"/>
      <c r="U69" s="441"/>
      <c r="V69" s="69"/>
      <c r="W69" s="70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69"/>
      <c r="AI69" s="69"/>
      <c r="AJ69" s="69"/>
      <c r="AK69" s="69"/>
    </row>
    <row r="70" spans="1:37">
      <c r="A70" s="69"/>
      <c r="B70" s="69"/>
      <c r="C70" s="69"/>
      <c r="D70" s="877" t="str">
        <f>IF(MasterSheet!$A$1=1,MasterSheet!C381,MasterSheet!B381)</f>
        <v>Kamate</v>
      </c>
      <c r="E70" s="1008">
        <f>SUM('Monthly plan for 2013'!E63:M63)</f>
        <v>52802705.520000003</v>
      </c>
      <c r="F70" s="1011">
        <f>'Execution for 2013'!Q69</f>
        <v>60805084.590000004</v>
      </c>
      <c r="G70" s="653">
        <f t="shared" si="2"/>
        <v>8002379.0700000003</v>
      </c>
      <c r="H70" s="888">
        <f t="shared" si="3"/>
        <v>115.15524439740868</v>
      </c>
      <c r="I70" s="1008">
        <f>SUM('Execution for 2012_int'!E63:M63)</f>
        <v>51633428.799999997</v>
      </c>
      <c r="J70" s="948">
        <f t="shared" si="4"/>
        <v>9171655.7900000066</v>
      </c>
      <c r="K70" s="1058">
        <f t="shared" si="5"/>
        <v>117.76301904242317</v>
      </c>
      <c r="L70" s="386">
        <f>SUM('Monthly plan for 2013'!M63)</f>
        <v>5866967.2800000003</v>
      </c>
      <c r="M70" s="1071">
        <f>'Execution for 2013'!M69</f>
        <v>18770054</v>
      </c>
      <c r="N70" s="653">
        <f t="shared" si="6"/>
        <v>12903086.719999999</v>
      </c>
      <c r="O70" s="456">
        <f t="shared" si="8"/>
        <v>319.92770888608055</v>
      </c>
      <c r="P70" s="1071">
        <f>+'Execution for 2012_int'!M63</f>
        <v>18250226.710000001</v>
      </c>
      <c r="Q70" s="892">
        <f t="shared" si="7"/>
        <v>519827.28999999911</v>
      </c>
      <c r="R70" s="456">
        <f t="shared" si="9"/>
        <v>102.84833332900554</v>
      </c>
      <c r="S70" s="388"/>
      <c r="T70" s="388"/>
      <c r="U70" s="441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</row>
    <row r="71" spans="1:37">
      <c r="A71" s="69"/>
      <c r="B71" s="69"/>
      <c r="C71" s="69"/>
      <c r="D71" s="877" t="str">
        <f>IF(MasterSheet!$A$1=1,MasterSheet!C382,MasterSheet!B382)</f>
        <v>Renta</v>
      </c>
      <c r="E71" s="1008">
        <f>SUM('Monthly plan for 2013'!E64:M64)</f>
        <v>5896054.5500000007</v>
      </c>
      <c r="F71" s="1011">
        <f>'Execution for 2013'!Q70</f>
        <v>5792219.5999999996</v>
      </c>
      <c r="G71" s="653">
        <f t="shared" si="2"/>
        <v>-103834.95000000112</v>
      </c>
      <c r="H71" s="888">
        <f t="shared" si="3"/>
        <v>98.238907915124344</v>
      </c>
      <c r="I71" s="1008">
        <f>SUM('Execution for 2012_int'!E64:M64)</f>
        <v>5069914.32</v>
      </c>
      <c r="J71" s="948">
        <f t="shared" si="4"/>
        <v>722305.27999999933</v>
      </c>
      <c r="K71" s="1058">
        <f t="shared" si="5"/>
        <v>114.24689322954869</v>
      </c>
      <c r="L71" s="386">
        <f>SUM('Monthly plan for 2013'!M64)</f>
        <v>659894.94999999995</v>
      </c>
      <c r="M71" s="1071">
        <f>'Execution for 2013'!M70</f>
        <v>872287.29000000015</v>
      </c>
      <c r="N71" s="653">
        <f t="shared" si="6"/>
        <v>212392.3400000002</v>
      </c>
      <c r="O71" s="456">
        <f t="shared" si="8"/>
        <v>132.18578047915054</v>
      </c>
      <c r="P71" s="1071">
        <f>+'Execution for 2012_int'!M64</f>
        <v>504512.69</v>
      </c>
      <c r="Q71" s="892">
        <f t="shared" si="7"/>
        <v>367774.60000000015</v>
      </c>
      <c r="R71" s="456">
        <f t="shared" si="9"/>
        <v>172.89699690209977</v>
      </c>
      <c r="S71" s="388"/>
      <c r="T71" s="388"/>
      <c r="U71" s="441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</row>
    <row r="72" spans="1:37">
      <c r="A72" s="69"/>
      <c r="B72" s="69"/>
      <c r="C72" s="69"/>
      <c r="D72" s="877" t="str">
        <f>IF(MasterSheet!$A$1=1,MasterSheet!C383,MasterSheet!B383)</f>
        <v>Subvencije</v>
      </c>
      <c r="E72" s="1008">
        <f>SUM('Monthly plan for 2013'!E65:M65)</f>
        <v>10745000.07</v>
      </c>
      <c r="F72" s="1011">
        <f>'Execution for 2013'!Q71</f>
        <v>10106105.279999999</v>
      </c>
      <c r="G72" s="653">
        <f t="shared" si="2"/>
        <v>-638894.79000000097</v>
      </c>
      <c r="H72" s="888">
        <f t="shared" si="3"/>
        <v>94.054027121099864</v>
      </c>
      <c r="I72" s="1008">
        <f>SUM('Execution for 2012_int'!E65:M65)</f>
        <v>19492061.369999997</v>
      </c>
      <c r="J72" s="948">
        <f t="shared" si="4"/>
        <v>-9385956.089999998</v>
      </c>
      <c r="K72" s="1058">
        <f t="shared" si="5"/>
        <v>51.847288432788275</v>
      </c>
      <c r="L72" s="386">
        <f>SUM('Monthly plan for 2013'!M65)</f>
        <v>1161666.67</v>
      </c>
      <c r="M72" s="1071">
        <f>'Execution for 2013'!M71</f>
        <v>1191416.1400000001</v>
      </c>
      <c r="N72" s="653">
        <f t="shared" si="6"/>
        <v>29749.470000000205</v>
      </c>
      <c r="O72" s="456">
        <f t="shared" si="8"/>
        <v>102.56092997830437</v>
      </c>
      <c r="P72" s="1071">
        <f>+'Execution for 2012_int'!M65</f>
        <v>860528.81</v>
      </c>
      <c r="Q72" s="892">
        <f t="shared" si="7"/>
        <v>330887.33000000007</v>
      </c>
      <c r="R72" s="456">
        <f t="shared" si="9"/>
        <v>138.4516272035099</v>
      </c>
      <c r="S72" s="388"/>
      <c r="T72" s="388"/>
      <c r="U72" s="441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</row>
    <row r="73" spans="1:37">
      <c r="A73" s="69"/>
      <c r="B73" s="69"/>
      <c r="C73" s="69"/>
      <c r="D73" s="877" t="str">
        <f>IF(MasterSheet!$A$1=1,MasterSheet!C384,MasterSheet!B384)</f>
        <v>Ostali izdaci</v>
      </c>
      <c r="E73" s="1008">
        <f>SUM('Monthly plan for 2013'!E66:M66)</f>
        <v>4321429.3800000018</v>
      </c>
      <c r="F73" s="1011">
        <f>'Execution for 2013'!Q72</f>
        <v>4277187.0000000009</v>
      </c>
      <c r="G73" s="653">
        <f t="shared" si="2"/>
        <v>-44242.38000000082</v>
      </c>
      <c r="H73" s="888">
        <f t="shared" si="3"/>
        <v>98.976209579988534</v>
      </c>
      <c r="I73" s="1008">
        <f>SUM('Execution for 2012_int'!E66:M66)</f>
        <v>4352811.2699999996</v>
      </c>
      <c r="J73" s="948">
        <f t="shared" si="4"/>
        <v>-75624.269999998622</v>
      </c>
      <c r="K73" s="1058">
        <f t="shared" si="5"/>
        <v>98.262633840313541</v>
      </c>
      <c r="L73" s="386">
        <f>SUM('Monthly plan for 2013'!M66)</f>
        <v>480158.81999999989</v>
      </c>
      <c r="M73" s="1071">
        <f>'Execution for 2013'!M72</f>
        <v>445627.79</v>
      </c>
      <c r="N73" s="653">
        <f t="shared" si="6"/>
        <v>-34531.029999999912</v>
      </c>
      <c r="O73" s="456">
        <f t="shared" si="8"/>
        <v>92.808414932375939</v>
      </c>
      <c r="P73" s="1071">
        <f>+'Execution for 2012_int'!M66</f>
        <v>627590.76</v>
      </c>
      <c r="Q73" s="892">
        <f t="shared" si="7"/>
        <v>-181962.97000000003</v>
      </c>
      <c r="R73" s="456">
        <f t="shared" si="9"/>
        <v>71.006110733688928</v>
      </c>
      <c r="S73" s="388"/>
      <c r="T73" s="388"/>
      <c r="U73" s="441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</row>
    <row r="74" spans="1:37">
      <c r="A74" s="69"/>
      <c r="B74" s="69"/>
      <c r="C74" s="69"/>
      <c r="D74" s="877" t="str">
        <f>IF(MasterSheet!$A$1=1,MasterSheet!C385,MasterSheet!B385)</f>
        <v>Kapitalni izdaci u tekućem budžetu</v>
      </c>
      <c r="E74" s="1008">
        <f>SUM('Monthly plan for 2013'!E67:M67)</f>
        <v>6654494.3499999987</v>
      </c>
      <c r="F74" s="1011">
        <f>'Execution for 2013'!Q73</f>
        <v>6352237.4899999993</v>
      </c>
      <c r="G74" s="653">
        <f t="shared" si="2"/>
        <v>-302256.8599999994</v>
      </c>
      <c r="H74" s="888">
        <f t="shared" si="3"/>
        <v>95.457853833777776</v>
      </c>
      <c r="I74" s="1008" t="s">
        <v>378</v>
      </c>
      <c r="J74" s="948" t="s">
        <v>378</v>
      </c>
      <c r="K74" s="1058" t="s">
        <v>378</v>
      </c>
      <c r="L74" s="386">
        <f>SUM('Monthly plan for 2013'!M67)</f>
        <v>888551.19000000006</v>
      </c>
      <c r="M74" s="1071">
        <f>'Execution for 2013'!M73</f>
        <v>1970526.5499999998</v>
      </c>
      <c r="N74" s="653">
        <f t="shared" si="6"/>
        <v>1081975.3599999999</v>
      </c>
      <c r="O74" s="456">
        <f t="shared" si="8"/>
        <v>221.76848921894975</v>
      </c>
      <c r="P74" s="1280" t="s">
        <v>378</v>
      </c>
      <c r="Q74" s="892" t="s">
        <v>378</v>
      </c>
      <c r="R74" s="456" t="s">
        <v>378</v>
      </c>
      <c r="S74" s="388"/>
      <c r="T74" s="388"/>
      <c r="U74" s="441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</row>
    <row r="75" spans="1:37">
      <c r="A75" s="69"/>
      <c r="B75" s="69"/>
      <c r="C75" s="69"/>
      <c r="D75" s="877" t="str">
        <f>IF(MasterSheet!$A$1=1,MasterSheet!C386,MasterSheet!B386)</f>
        <v>Transferi za socijalnu zaštitu</v>
      </c>
      <c r="E75" s="1008">
        <f>SUM('Monthly plan for 2013'!E68:M68)</f>
        <v>373404545.27999997</v>
      </c>
      <c r="F75" s="1011">
        <f>'Execution for 2013'!Q74</f>
        <v>358576607.17000002</v>
      </c>
      <c r="G75" s="653">
        <f t="shared" si="2"/>
        <v>-14827938.109999955</v>
      </c>
      <c r="H75" s="888">
        <f t="shared" si="3"/>
        <v>96.028988319121524</v>
      </c>
      <c r="I75" s="1008">
        <f>SUM('Execution for 2012_int'!E67:M67)</f>
        <v>358285378.01000005</v>
      </c>
      <c r="J75" s="948">
        <f t="shared" si="4"/>
        <v>291229.15999996662</v>
      </c>
      <c r="K75" s="1058">
        <f t="shared" si="5"/>
        <v>100.0812841321121</v>
      </c>
      <c r="L75" s="386">
        <f>SUM('Monthly plan for 2013'!M68)</f>
        <v>41489393.919999994</v>
      </c>
      <c r="M75" s="1071">
        <f>'Execution for 2013'!M74</f>
        <v>40001044.439999998</v>
      </c>
      <c r="N75" s="653">
        <f t="shared" si="6"/>
        <v>-1488349.4799999967</v>
      </c>
      <c r="O75" s="456">
        <f t="shared" si="8"/>
        <v>96.412698910787086</v>
      </c>
      <c r="P75" s="1071">
        <f>+'Execution for 2012_int'!M67</f>
        <v>40349549.839999996</v>
      </c>
      <c r="Q75" s="892">
        <f t="shared" si="7"/>
        <v>-348505.39999999851</v>
      </c>
      <c r="R75" s="456">
        <f t="shared" si="9"/>
        <v>99.136284292186787</v>
      </c>
      <c r="S75" s="388"/>
      <c r="T75" s="388"/>
      <c r="U75" s="388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</row>
    <row r="76" spans="1:37">
      <c r="A76" s="69"/>
      <c r="B76" s="69"/>
      <c r="C76" s="69"/>
      <c r="D76" s="876" t="str">
        <f>IF(MasterSheet!$A$1=1,MasterSheet!C387,MasterSheet!B387)</f>
        <v>Prava iz oblasti socijalne zaštite</v>
      </c>
      <c r="E76" s="1008">
        <f>SUM('Monthly plan for 2013'!E69:M69)</f>
        <v>45756749.969999991</v>
      </c>
      <c r="F76" s="1008">
        <f>'Execution for 2013'!Q75</f>
        <v>48299455.719999999</v>
      </c>
      <c r="G76" s="651">
        <f t="shared" si="2"/>
        <v>2542705.7500000075</v>
      </c>
      <c r="H76" s="883">
        <f t="shared" si="3"/>
        <v>105.55700689333729</v>
      </c>
      <c r="I76" s="1008">
        <f>SUM('Execution for 2012_int'!E68:M68)</f>
        <v>47821624.140000008</v>
      </c>
      <c r="J76" s="949">
        <f t="shared" si="4"/>
        <v>477831.57999999076</v>
      </c>
      <c r="K76" s="1059">
        <f t="shared" si="5"/>
        <v>100.99919563292354</v>
      </c>
      <c r="L76" s="1072">
        <f>SUM('Monthly plan for 2013'!M69)</f>
        <v>5084083.33</v>
      </c>
      <c r="M76" s="192">
        <f>'Execution for 2013'!M75</f>
        <v>4825112.1500000004</v>
      </c>
      <c r="N76" s="651">
        <f t="shared" si="6"/>
        <v>-258971.1799999997</v>
      </c>
      <c r="O76" s="454">
        <f t="shared" si="8"/>
        <v>94.90623651914062</v>
      </c>
      <c r="P76" s="1071">
        <f>+'Execution for 2012_int'!M68</f>
        <v>5945077.8899999997</v>
      </c>
      <c r="Q76" s="890">
        <f t="shared" si="7"/>
        <v>-1119965.7399999993</v>
      </c>
      <c r="R76" s="454">
        <f t="shared" si="9"/>
        <v>81.161462293305647</v>
      </c>
      <c r="S76" s="440"/>
      <c r="T76" s="440"/>
      <c r="U76" s="441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</row>
    <row r="77" spans="1:37">
      <c r="A77" s="69"/>
      <c r="B77" s="69"/>
      <c r="C77" s="69"/>
      <c r="D77" s="876" t="str">
        <f>IF(MasterSheet!$A$1=1,MasterSheet!C388,MasterSheet!B388)</f>
        <v>Sredstva za tehnološke viškove</v>
      </c>
      <c r="E77" s="1008">
        <f>SUM('Monthly plan for 2013'!E70:M70)</f>
        <v>11520037.529999999</v>
      </c>
      <c r="F77" s="1008">
        <f>'Execution for 2013'!Q76</f>
        <v>9073203.1300000008</v>
      </c>
      <c r="G77" s="651">
        <f t="shared" si="2"/>
        <v>-2446834.3999999985</v>
      </c>
      <c r="H77" s="883">
        <f t="shared" si="3"/>
        <v>78.760187250883035</v>
      </c>
      <c r="I77" s="1008">
        <f>SUM('Execution for 2012_int'!E69:M69)</f>
        <v>12027688.76</v>
      </c>
      <c r="J77" s="949">
        <f t="shared" si="4"/>
        <v>-2954485.629999999</v>
      </c>
      <c r="K77" s="1059">
        <f t="shared" si="5"/>
        <v>75.435965388249713</v>
      </c>
      <c r="L77" s="1072">
        <f>SUM('Monthly plan for 2013'!M70)</f>
        <v>1280004.17</v>
      </c>
      <c r="M77" s="192">
        <f>'Execution for 2013'!M76</f>
        <v>976049.14999999991</v>
      </c>
      <c r="N77" s="651">
        <f t="shared" si="6"/>
        <v>-303955.02</v>
      </c>
      <c r="O77" s="454">
        <f t="shared" si="8"/>
        <v>76.253591423846686</v>
      </c>
      <c r="P77" s="1071">
        <f>+'Execution for 2012_int'!M69</f>
        <v>1170345.77</v>
      </c>
      <c r="Q77" s="890">
        <f t="shared" si="7"/>
        <v>-194296.62000000011</v>
      </c>
      <c r="R77" s="454">
        <f t="shared" si="9"/>
        <v>83.398357564021424</v>
      </c>
      <c r="S77" s="440"/>
      <c r="T77" s="440"/>
      <c r="U77" s="441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</row>
    <row r="78" spans="1:37">
      <c r="A78" s="69"/>
      <c r="B78" s="69"/>
      <c r="C78" s="69"/>
      <c r="D78" s="876" t="str">
        <f>IF(MasterSheet!$A$1=1,MasterSheet!C389,MasterSheet!B389)</f>
        <v>Prava iz oblasti penzijskog i invalidskog osiguranja</v>
      </c>
      <c r="E78" s="1008">
        <f>SUM('Monthly plan for 2013'!E71:M71)</f>
        <v>300677757.83999997</v>
      </c>
      <c r="F78" s="1008">
        <f>'Execution for 2013'!Q77</f>
        <v>285277953.88999999</v>
      </c>
      <c r="G78" s="651">
        <f t="shared" si="2"/>
        <v>-15399803.949999988</v>
      </c>
      <c r="H78" s="883">
        <f t="shared" si="3"/>
        <v>94.878302917838482</v>
      </c>
      <c r="I78" s="1008">
        <f>SUM('Execution for 2012_int'!E70:M70)</f>
        <v>283667828.17999995</v>
      </c>
      <c r="J78" s="949">
        <f t="shared" si="4"/>
        <v>1610125.7100000381</v>
      </c>
      <c r="K78" s="1059">
        <f t="shared" si="5"/>
        <v>100.56760955950857</v>
      </c>
      <c r="L78" s="1072">
        <f>SUM('Monthly plan for 2013'!M71)</f>
        <v>33408639.759999998</v>
      </c>
      <c r="M78" s="192">
        <f>'Execution for 2013'!M77</f>
        <v>31691801.060000002</v>
      </c>
      <c r="N78" s="651">
        <f t="shared" si="6"/>
        <v>-1716838.6999999955</v>
      </c>
      <c r="O78" s="454">
        <f t="shared" si="8"/>
        <v>94.861093680157666</v>
      </c>
      <c r="P78" s="1071">
        <f>+'Execution for 2012_int'!M70</f>
        <v>31593887.719999995</v>
      </c>
      <c r="Q78" s="890">
        <f t="shared" si="7"/>
        <v>97913.340000007302</v>
      </c>
      <c r="R78" s="454">
        <f t="shared" si="9"/>
        <v>100.30991228704667</v>
      </c>
      <c r="S78" s="440"/>
      <c r="T78" s="440"/>
      <c r="U78" s="441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</row>
    <row r="79" spans="1:37">
      <c r="A79" s="69"/>
      <c r="B79" s="69"/>
      <c r="C79" s="69"/>
      <c r="D79" s="876" t="str">
        <f>IF(MasterSheet!$A$1=1,MasterSheet!C390,MasterSheet!B390)</f>
        <v>Ostala prava iz oblasti zdravstvene zaštite</v>
      </c>
      <c r="E79" s="1008">
        <f>SUM('Monthly plan for 2013'!E72:M72)</f>
        <v>10199999.970000001</v>
      </c>
      <c r="F79" s="1008">
        <f>'Execution for 2013'!Q78</f>
        <v>10432934.17</v>
      </c>
      <c r="G79" s="651">
        <f t="shared" si="2"/>
        <v>232934.19999999925</v>
      </c>
      <c r="H79" s="883">
        <f t="shared" si="3"/>
        <v>102.28366863416764</v>
      </c>
      <c r="I79" s="1008">
        <f>SUM('Execution for 2012_int'!E71:M71)</f>
        <v>9492132.4900000002</v>
      </c>
      <c r="J79" s="949">
        <f t="shared" si="4"/>
        <v>940801.6799999997</v>
      </c>
      <c r="K79" s="1059">
        <f t="shared" si="5"/>
        <v>109.91138378010565</v>
      </c>
      <c r="L79" s="1072">
        <f>SUM('Monthly plan for 2013'!M72)</f>
        <v>1133333.33</v>
      </c>
      <c r="M79" s="192">
        <f>'Execution for 2013'!M78</f>
        <v>1786629.01</v>
      </c>
      <c r="N79" s="651">
        <f t="shared" si="6"/>
        <v>653295.67999999993</v>
      </c>
      <c r="O79" s="454">
        <f t="shared" si="8"/>
        <v>157.64373664012862</v>
      </c>
      <c r="P79" s="1071">
        <f>+'Execution for 2012_int'!M71</f>
        <v>1120011.27</v>
      </c>
      <c r="Q79" s="890">
        <f t="shared" si="7"/>
        <v>666617.74</v>
      </c>
      <c r="R79" s="454">
        <f t="shared" si="9"/>
        <v>159.51884216307931</v>
      </c>
      <c r="S79" s="440"/>
      <c r="T79" s="1082"/>
      <c r="U79" s="441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</row>
    <row r="80" spans="1:37">
      <c r="A80" s="69"/>
      <c r="B80" s="69"/>
      <c r="C80" s="69"/>
      <c r="D80" s="876" t="str">
        <f>IF(MasterSheet!$A$1=1,MasterSheet!C391,MasterSheet!B391)</f>
        <v>Ostala prava iz oblasti zdravstvenog osiguranja</v>
      </c>
      <c r="E80" s="1008">
        <f>SUM('Monthly plan for 2013'!E73:M73)</f>
        <v>5249999.9700000007</v>
      </c>
      <c r="F80" s="1008">
        <f>'Execution for 2013'!Q79</f>
        <v>5493060.2600000007</v>
      </c>
      <c r="G80" s="651">
        <f t="shared" si="2"/>
        <v>243060.29000000004</v>
      </c>
      <c r="H80" s="883">
        <f t="shared" si="3"/>
        <v>104.62971983597936</v>
      </c>
      <c r="I80" s="1008">
        <f>SUM('Execution for 2012_int'!E72:M72)</f>
        <v>5276104.4400000004</v>
      </c>
      <c r="J80" s="949">
        <f t="shared" si="4"/>
        <v>216955.8200000003</v>
      </c>
      <c r="K80" s="1059">
        <f t="shared" si="5"/>
        <v>104.11204559097015</v>
      </c>
      <c r="L80" s="1072">
        <f>SUM('Monthly plan for 2013'!M73)</f>
        <v>583333.33000000007</v>
      </c>
      <c r="M80" s="192">
        <f>'Execution for 2013'!M79</f>
        <v>721453.07</v>
      </c>
      <c r="N80" s="651">
        <f t="shared" si="6"/>
        <v>138119.73999999987</v>
      </c>
      <c r="O80" s="454">
        <f t="shared" ref="O80:O92" si="10">+M80/L80*100</f>
        <v>123.67766984958666</v>
      </c>
      <c r="P80" s="1071">
        <f>+'Execution for 2012_int'!M72</f>
        <v>520227.19</v>
      </c>
      <c r="Q80" s="890">
        <f t="shared" si="7"/>
        <v>201225.87999999995</v>
      </c>
      <c r="R80" s="454">
        <f t="shared" si="9"/>
        <v>138.68038500640461</v>
      </c>
      <c r="S80" s="440"/>
      <c r="T80" s="440"/>
      <c r="U80" s="441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</row>
    <row r="81" spans="1:37" ht="25.5">
      <c r="A81" s="69"/>
      <c r="B81" s="69"/>
      <c r="C81" s="69"/>
      <c r="D81" s="880" t="str">
        <f>IF(MasterSheet!$A$1=1,MasterSheet!C392,MasterSheet!B392)</f>
        <v>Transferi institucijama pojedinicima nevladinom i javnom sektoru</v>
      </c>
      <c r="E81" s="1007">
        <f>SUM('Monthly plan for 2013'!E74:M74)</f>
        <v>69027190.230000004</v>
      </c>
      <c r="F81" s="1011">
        <f>'Execution for 2013'!Q80</f>
        <v>64405546.029999994</v>
      </c>
      <c r="G81" s="653">
        <f t="shared" si="2"/>
        <v>-4621644.2000000104</v>
      </c>
      <c r="H81" s="888">
        <f t="shared" si="3"/>
        <v>93.304603324283377</v>
      </c>
      <c r="I81" s="1007">
        <f>SUM('Execution for 2012_int'!E73:M73)</f>
        <v>20265765.52</v>
      </c>
      <c r="J81" s="948">
        <f t="shared" si="4"/>
        <v>44139780.50999999</v>
      </c>
      <c r="K81" s="1058">
        <f t="shared" si="5"/>
        <v>317.80465419102507</v>
      </c>
      <c r="L81" s="386">
        <f>SUM('Monthly plan for 2013'!M74)</f>
        <v>7617836.0300000003</v>
      </c>
      <c r="M81" s="1071">
        <f>'Execution for 2013'!M80</f>
        <v>8245712.2599999998</v>
      </c>
      <c r="N81" s="653">
        <f t="shared" si="6"/>
        <v>627876.22999999952</v>
      </c>
      <c r="O81" s="456">
        <f t="shared" si="10"/>
        <v>108.24218619995682</v>
      </c>
      <c r="P81" s="1071">
        <f>+'Execution for 2012_int'!M73</f>
        <v>2677803.0700000003</v>
      </c>
      <c r="Q81" s="892">
        <f t="shared" si="7"/>
        <v>5567909.1899999995</v>
      </c>
      <c r="R81" s="456">
        <f t="shared" si="9"/>
        <v>307.92825478387397</v>
      </c>
      <c r="S81" s="388"/>
      <c r="T81" s="388"/>
      <c r="U81" s="388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</row>
    <row r="82" spans="1:37">
      <c r="A82" s="69"/>
      <c r="B82" s="69"/>
      <c r="C82" s="69"/>
      <c r="D82" s="380" t="str">
        <f>IF(MasterSheet!$A$1=1,MasterSheet!C393,MasterSheet!B393)</f>
        <v>Transferi javnim institucijama</v>
      </c>
      <c r="E82" s="1008">
        <f>SUM('Monthly plan for 2013'!E75:M75)</f>
        <v>53124020.579999998</v>
      </c>
      <c r="F82" s="1008">
        <f>'Execution for 2013'!Q81</f>
        <v>49971341.899999999</v>
      </c>
      <c r="G82" s="651">
        <f t="shared" si="2"/>
        <v>-3152678.6799999997</v>
      </c>
      <c r="H82" s="451">
        <f t="shared" si="3"/>
        <v>94.065436603669056</v>
      </c>
      <c r="I82" s="1008">
        <f>SUM('Execution for 2012_int'!E74:M74)</f>
        <v>7972144.5599999996</v>
      </c>
      <c r="J82" s="651">
        <f t="shared" si="4"/>
        <v>41999197.339999996</v>
      </c>
      <c r="K82" s="953">
        <f t="shared" si="5"/>
        <v>626.8243321970067</v>
      </c>
      <c r="L82" s="1072">
        <f>SUM('Monthly plan for 2013'!M75)</f>
        <v>5850817.1800000006</v>
      </c>
      <c r="M82" s="192">
        <f>'Execution for 2013'!M81</f>
        <v>6729541.9399999995</v>
      </c>
      <c r="N82" s="890">
        <f t="shared" si="6"/>
        <v>878724.75999999885</v>
      </c>
      <c r="O82" s="454">
        <f t="shared" si="10"/>
        <v>115.01883810356897</v>
      </c>
      <c r="P82" s="1071">
        <f>+'Execution for 2012_int'!M74</f>
        <v>1185849.8700000001</v>
      </c>
      <c r="Q82" s="651">
        <f t="shared" si="7"/>
        <v>5543692.0699999994</v>
      </c>
      <c r="R82" s="454">
        <f t="shared" si="9"/>
        <v>567.48683878508155</v>
      </c>
      <c r="S82" s="440"/>
      <c r="T82" s="440"/>
      <c r="U82" s="441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/>
      <c r="AI82" s="69"/>
      <c r="AJ82" s="69"/>
      <c r="AK82" s="69"/>
    </row>
    <row r="83" spans="1:37">
      <c r="A83" s="69"/>
      <c r="B83" s="69"/>
      <c r="C83" s="69"/>
      <c r="D83" s="380" t="str">
        <f>IF(MasterSheet!$A$1=1,MasterSheet!C394,MasterSheet!B394)</f>
        <v>Transferi nevladinim organizacijama</v>
      </c>
      <c r="E83" s="1008">
        <f>SUM('Monthly plan for 2013'!E76:M76)</f>
        <v>1900969.6500000004</v>
      </c>
      <c r="F83" s="1008">
        <f>'Execution for 2013'!Q82</f>
        <v>452533.35999999993</v>
      </c>
      <c r="G83" s="651">
        <f t="shared" si="2"/>
        <v>-1448436.2900000005</v>
      </c>
      <c r="H83" s="451">
        <f t="shared" si="3"/>
        <v>23.805396367059299</v>
      </c>
      <c r="I83" s="1008">
        <f>SUM('Execution for 2012_int'!E75:M75)</f>
        <v>3501655.9100000006</v>
      </c>
      <c r="J83" s="651">
        <f t="shared" si="4"/>
        <v>-3049122.5500000007</v>
      </c>
      <c r="K83" s="953">
        <f t="shared" si="5"/>
        <v>12.923410284478804</v>
      </c>
      <c r="L83" s="1072">
        <f>SUM('Monthly plan for 2013'!M76)</f>
        <v>211218.85</v>
      </c>
      <c r="M83" s="192">
        <f>'Execution for 2013'!M82</f>
        <v>136466.66999999998</v>
      </c>
      <c r="N83" s="890">
        <f t="shared" si="6"/>
        <v>-74752.180000000022</v>
      </c>
      <c r="O83" s="454">
        <f t="shared" si="10"/>
        <v>64.609134080599333</v>
      </c>
      <c r="P83" s="1071">
        <f>+'Execution for 2012_int'!M75</f>
        <v>434992.39</v>
      </c>
      <c r="Q83" s="651">
        <f t="shared" si="7"/>
        <v>-298525.72000000003</v>
      </c>
      <c r="R83" s="454">
        <f t="shared" si="9"/>
        <v>31.372197109011491</v>
      </c>
      <c r="S83" s="440"/>
      <c r="T83" s="440"/>
      <c r="U83" s="441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</row>
    <row r="84" spans="1:37">
      <c r="A84" s="69"/>
      <c r="B84" s="69"/>
      <c r="C84" s="69"/>
      <c r="D84" s="380" t="str">
        <f>IF(MasterSheet!$A$1=1,MasterSheet!C395,MasterSheet!B395)</f>
        <v>Transferi pojedincima</v>
      </c>
      <c r="E84" s="1008">
        <f>SUM('Monthly plan for 2013'!E77:M77)</f>
        <v>13814700.029999999</v>
      </c>
      <c r="F84" s="1008">
        <f>'Execution for 2013'!Q83</f>
        <v>13950870.770000001</v>
      </c>
      <c r="G84" s="651">
        <f t="shared" si="2"/>
        <v>136170.74000000209</v>
      </c>
      <c r="H84" s="451">
        <f t="shared" si="3"/>
        <v>100.98569451167447</v>
      </c>
      <c r="I84" s="1008">
        <f>SUM('Execution for 2012_int'!E76:M76)</f>
        <v>7961999.0600000005</v>
      </c>
      <c r="J84" s="651">
        <f t="shared" si="4"/>
        <v>5988871.7100000009</v>
      </c>
      <c r="K84" s="953">
        <f t="shared" si="5"/>
        <v>175.21819162334842</v>
      </c>
      <c r="L84" s="1072">
        <f>SUM('Monthly plan for 2013'!M77)</f>
        <v>1534966.67</v>
      </c>
      <c r="M84" s="192">
        <f>'Execution for 2013'!M83</f>
        <v>1376703.6500000001</v>
      </c>
      <c r="N84" s="890">
        <f t="shared" si="6"/>
        <v>-158263.01999999979</v>
      </c>
      <c r="O84" s="454">
        <f t="shared" si="10"/>
        <v>89.689481661513867</v>
      </c>
      <c r="P84" s="1071">
        <f>+'Execution for 2012_int'!M76</f>
        <v>1047260.81</v>
      </c>
      <c r="Q84" s="651">
        <f t="shared" si="7"/>
        <v>329442.84000000008</v>
      </c>
      <c r="R84" s="454">
        <f t="shared" si="9"/>
        <v>131.45757359143423</v>
      </c>
      <c r="S84" s="440"/>
      <c r="T84" s="440"/>
      <c r="U84" s="441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</row>
    <row r="85" spans="1:37">
      <c r="A85" s="69"/>
      <c r="B85" s="69"/>
      <c r="C85" s="69"/>
      <c r="D85" s="380" t="str">
        <f>IF(MasterSheet!$A$1=1,MasterSheet!C396,MasterSheet!B396)</f>
        <v>Transferi opštinama</v>
      </c>
      <c r="E85" s="1008">
        <f>SUM('Monthly plan for 2013'!E78:M78)</f>
        <v>187499.97000000003</v>
      </c>
      <c r="F85" s="1008">
        <f>'Execution for 2013'!Q84</f>
        <v>30800</v>
      </c>
      <c r="G85" s="651">
        <f t="shared" si="2"/>
        <v>-156699.97000000003</v>
      </c>
      <c r="H85" s="451">
        <f t="shared" si="3"/>
        <v>16.426669294933752</v>
      </c>
      <c r="I85" s="1008">
        <f>SUM('Execution for 2012_int'!E77:M77)</f>
        <v>829965.99</v>
      </c>
      <c r="J85" s="651">
        <f t="shared" si="4"/>
        <v>-799165.99</v>
      </c>
      <c r="K85" s="953">
        <f t="shared" si="5"/>
        <v>3.7109954348852296</v>
      </c>
      <c r="L85" s="1072">
        <f>SUM('Monthly plan for 2013'!M78)</f>
        <v>20833.330000000002</v>
      </c>
      <c r="M85" s="192">
        <f>'Execution for 2013'!M84</f>
        <v>3000</v>
      </c>
      <c r="N85" s="890">
        <f t="shared" si="6"/>
        <v>-17833.330000000002</v>
      </c>
      <c r="O85" s="454">
        <f t="shared" si="10"/>
        <v>14.400002304000367</v>
      </c>
      <c r="P85" s="1071">
        <f>+'Execution for 2012_int'!M77</f>
        <v>9700</v>
      </c>
      <c r="Q85" s="651">
        <f t="shared" si="7"/>
        <v>-6700</v>
      </c>
      <c r="R85" s="454" t="s">
        <v>378</v>
      </c>
      <c r="S85" s="440"/>
      <c r="T85" s="440"/>
      <c r="U85" s="441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</row>
    <row r="86" spans="1:37" ht="13.5" thickBot="1">
      <c r="A86" s="69"/>
      <c r="B86" s="69"/>
      <c r="C86" s="69"/>
      <c r="D86" s="881" t="str">
        <f>IF(MasterSheet!$A$1=1,MasterSheet!C397,MasterSheet!B397)</f>
        <v>Transferi javnim preduzećima</v>
      </c>
      <c r="E86" s="1008">
        <f>SUM('Monthly plan for 2013'!E79:M79)</f>
        <v>0</v>
      </c>
      <c r="F86" s="1008">
        <f>'Execution for 2013'!Q85</f>
        <v>0</v>
      </c>
      <c r="G86" s="651">
        <f t="shared" si="2"/>
        <v>0</v>
      </c>
      <c r="H86" s="451"/>
      <c r="I86" s="1008">
        <f>SUM('Execution for 2012_int'!E78:M78)</f>
        <v>0</v>
      </c>
      <c r="J86" s="651">
        <f t="shared" si="4"/>
        <v>0</v>
      </c>
      <c r="K86" s="953"/>
      <c r="L86" s="1072">
        <f>SUM('Monthly plan for 2013'!M79)</f>
        <v>0</v>
      </c>
      <c r="M86" s="192">
        <f>'Execution for 2013'!M85</f>
        <v>0</v>
      </c>
      <c r="N86" s="890">
        <f t="shared" si="6"/>
        <v>0</v>
      </c>
      <c r="O86" s="454"/>
      <c r="P86" s="1071">
        <f>+'Execution for 2012_int'!M78</f>
        <v>0</v>
      </c>
      <c r="Q86" s="651">
        <f t="shared" si="7"/>
        <v>0</v>
      </c>
      <c r="R86" s="454"/>
      <c r="S86" s="440"/>
      <c r="T86" s="440"/>
      <c r="U86" s="441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</row>
    <row r="87" spans="1:37" ht="14.25" thickTop="1" thickBot="1">
      <c r="A87" s="69"/>
      <c r="B87" s="69"/>
      <c r="C87" s="69"/>
      <c r="D87" s="882" t="str">
        <f>IF(MasterSheet!$A$1=1,MasterSheet!C398,MasterSheet!B398)</f>
        <v>Kapitalni budžet</v>
      </c>
      <c r="E87" s="1074">
        <f>SUM('Monthly plan for 2013'!E80:M80)</f>
        <v>49229250.030000009</v>
      </c>
      <c r="F87" s="1049">
        <f>'Execution for 2013'!Q86</f>
        <v>32391327.240000002</v>
      </c>
      <c r="G87" s="1050">
        <f t="shared" si="2"/>
        <v>-16837922.790000007</v>
      </c>
      <c r="H87" s="1051">
        <f t="shared" si="3"/>
        <v>65.796913867793876</v>
      </c>
      <c r="I87" s="1056">
        <f>SUM('Execution for 2012_int'!E79:M79)</f>
        <v>42584846.57</v>
      </c>
      <c r="J87" s="1050">
        <f t="shared" si="4"/>
        <v>-10193519.329999998</v>
      </c>
      <c r="K87" s="1052">
        <f t="shared" si="5"/>
        <v>76.06303614774302</v>
      </c>
      <c r="L87" s="1089">
        <f>SUM('Monthly plan for 2013'!M80)</f>
        <v>5469916.6699999999</v>
      </c>
      <c r="M87" s="1012">
        <f>'Execution for 2013'!M86</f>
        <v>3941356.57</v>
      </c>
      <c r="N87" s="1053">
        <f t="shared" si="6"/>
        <v>-1528560.1</v>
      </c>
      <c r="O87" s="1054">
        <f t="shared" si="10"/>
        <v>72.05514832824683</v>
      </c>
      <c r="P87" s="1012">
        <f>+'Execution for 2012_int'!M79</f>
        <v>5012941.12</v>
      </c>
      <c r="Q87" s="952">
        <f t="shared" si="7"/>
        <v>-1071584.5500000003</v>
      </c>
      <c r="R87" s="1057">
        <f>M87/P87*100</f>
        <v>78.623635818806505</v>
      </c>
      <c r="S87" s="388"/>
      <c r="T87" s="388"/>
      <c r="U87" s="442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</row>
    <row r="88" spans="1:37" ht="13.5" thickTop="1">
      <c r="A88" s="69"/>
      <c r="B88" s="69"/>
      <c r="C88" s="69"/>
      <c r="D88" s="380" t="str">
        <f>IF(MasterSheet!$A$1=1,MasterSheet!C399,MasterSheet!B399)</f>
        <v>Pozajmice i krediti</v>
      </c>
      <c r="E88" s="1008">
        <f>SUM('Monthly plan for 2013'!E81:M81)</f>
        <v>1290000.06</v>
      </c>
      <c r="F88" s="1008">
        <f>'Execution for 2013'!Q87</f>
        <v>1320472.3899999999</v>
      </c>
      <c r="G88" s="651">
        <f t="shared" si="2"/>
        <v>30472.329999999842</v>
      </c>
      <c r="H88" s="883">
        <f t="shared" si="3"/>
        <v>102.36219601416141</v>
      </c>
      <c r="I88" s="1008">
        <f>SUM('Execution for 2012_int'!E80:M80)</f>
        <v>1202659.8</v>
      </c>
      <c r="J88" s="951">
        <f t="shared" si="4"/>
        <v>117812.58999999985</v>
      </c>
      <c r="K88" s="953">
        <f t="shared" si="5"/>
        <v>109.79600299270001</v>
      </c>
      <c r="L88" s="1072">
        <f>SUM('Monthly plan for 2013'!M81)</f>
        <v>143333.34</v>
      </c>
      <c r="M88" s="192">
        <f>'Execution for 2013'!M87</f>
        <v>17507.28</v>
      </c>
      <c r="N88" s="890">
        <f t="shared" si="6"/>
        <v>-125826.06</v>
      </c>
      <c r="O88" s="454">
        <f t="shared" si="10"/>
        <v>12.2143808272381</v>
      </c>
      <c r="P88" s="1071">
        <f>+'Execution for 2012_int'!M80</f>
        <v>214389</v>
      </c>
      <c r="Q88" s="651">
        <f t="shared" si="7"/>
        <v>-196881.72</v>
      </c>
      <c r="R88" s="454">
        <f>M88/P88*100</f>
        <v>8.1661279263395024</v>
      </c>
      <c r="S88" s="440"/>
      <c r="T88" s="440"/>
      <c r="U88" s="441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</row>
    <row r="89" spans="1:37">
      <c r="A89" s="69"/>
      <c r="B89" s="69"/>
      <c r="C89" s="69"/>
      <c r="D89" s="70" t="str">
        <f>IF(MasterSheet!$A$1=1,MasterSheet!C400,MasterSheet!B400)</f>
        <v>Rezerve</v>
      </c>
      <c r="E89" s="1008">
        <f>SUM('Monthly plan for 2013'!E82:M82)</f>
        <v>5517052.1099999994</v>
      </c>
      <c r="F89" s="1008">
        <f>'Execution for 2013'!Q88</f>
        <v>11675664.719999999</v>
      </c>
      <c r="G89" s="651">
        <f t="shared" si="2"/>
        <v>6158612.6099999994</v>
      </c>
      <c r="H89" s="883">
        <f t="shared" si="3"/>
        <v>211.6286829851966</v>
      </c>
      <c r="I89" s="1008">
        <f>SUM('Execution for 2012_int'!E81:M81)</f>
        <v>9039204.8499999996</v>
      </c>
      <c r="J89" s="949">
        <f t="shared" si="4"/>
        <v>2636459.8699999992</v>
      </c>
      <c r="K89" s="953" t="s">
        <v>378</v>
      </c>
      <c r="L89" s="1072">
        <f>SUM('Monthly plan for 2013'!M82)</f>
        <v>613005.78999999992</v>
      </c>
      <c r="M89" s="192">
        <f>'Execution for 2013'!M88</f>
        <v>2522721.1</v>
      </c>
      <c r="N89" s="890">
        <f t="shared" si="6"/>
        <v>1909715.31</v>
      </c>
      <c r="O89" s="454">
        <f t="shared" si="10"/>
        <v>411.53299710268652</v>
      </c>
      <c r="P89" s="1071">
        <f>+'Execution for 2012_int'!M81</f>
        <v>2136675.4700000002</v>
      </c>
      <c r="Q89" s="651">
        <f t="shared" si="7"/>
        <v>386045.62999999989</v>
      </c>
      <c r="R89" s="1059" t="s">
        <v>378</v>
      </c>
      <c r="S89" s="440"/>
      <c r="T89" s="440"/>
      <c r="U89" s="441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</row>
    <row r="90" spans="1:37" ht="13.5" thickBot="1">
      <c r="A90" s="69"/>
      <c r="B90" s="69"/>
      <c r="C90" s="69"/>
      <c r="D90" s="881" t="str">
        <f>IF(MasterSheet!$A$1=1,MasterSheet!C408,MasterSheet!B408)</f>
        <v>Otplata garancija</v>
      </c>
      <c r="E90" s="1008">
        <f>SUM('Monthly plan for 2013'!E83:M83)</f>
        <v>0</v>
      </c>
      <c r="F90" s="1008">
        <f>'Execution for 2013'!Q89</f>
        <v>103102294.38</v>
      </c>
      <c r="G90" s="651">
        <f t="shared" si="2"/>
        <v>103102294.38</v>
      </c>
      <c r="H90" s="451" t="s">
        <v>378</v>
      </c>
      <c r="I90" s="1008">
        <f>SUM('Execution for 2012_int'!E82:M82)</f>
        <v>23427740.18</v>
      </c>
      <c r="J90" s="651">
        <f t="shared" si="4"/>
        <v>79674554.199999988</v>
      </c>
      <c r="K90" s="953" t="s">
        <v>378</v>
      </c>
      <c r="L90" s="1072">
        <f>SUM('Monthly plan for 2013'!M83)</f>
        <v>0</v>
      </c>
      <c r="M90" s="192">
        <f>'Execution for 2013'!M89</f>
        <v>0</v>
      </c>
      <c r="N90" s="890">
        <f t="shared" si="6"/>
        <v>0</v>
      </c>
      <c r="O90" s="454" t="s">
        <v>378</v>
      </c>
      <c r="P90" s="1071">
        <f>+'Execution for 2012_int'!M82</f>
        <v>0</v>
      </c>
      <c r="Q90" s="651">
        <f t="shared" si="7"/>
        <v>0</v>
      </c>
      <c r="R90" s="457" t="s">
        <v>378</v>
      </c>
      <c r="S90" s="440"/>
      <c r="T90" s="440"/>
      <c r="U90" s="440"/>
      <c r="V90" s="70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</row>
    <row r="91" spans="1:37" ht="14.25" thickTop="1" thickBot="1">
      <c r="A91" s="69"/>
      <c r="B91" s="69"/>
      <c r="C91" s="69"/>
      <c r="D91" s="882" t="str">
        <f>IF(MasterSheet!$A$1=1,MasterSheet!C402,MasterSheet!B402)</f>
        <v>Suficit/ Deficit</v>
      </c>
      <c r="E91" s="1074">
        <f>SUM('Monthly plan for 2013'!E84:M84)</f>
        <v>-102647051.16325378</v>
      </c>
      <c r="F91" s="1012">
        <f>'Execution for 2013'!Q90</f>
        <v>-138157775.85652304</v>
      </c>
      <c r="G91" s="636">
        <f t="shared" si="2"/>
        <v>-35510724.693269253</v>
      </c>
      <c r="H91" s="649">
        <f>+F91/E91*100</f>
        <v>134.59497792760908</v>
      </c>
      <c r="I91" s="1056">
        <f>SUM('Execution for 2012_int'!E84:M84)</f>
        <v>-132090856.42749992</v>
      </c>
      <c r="J91" s="636">
        <f t="shared" si="4"/>
        <v>-6066919.4290231168</v>
      </c>
      <c r="K91" s="954">
        <f t="shared" ref="K91:K102" si="11">F91/I91*100</f>
        <v>104.59298969899029</v>
      </c>
      <c r="L91" s="1089">
        <f>SUM('Monthly plan for 2013'!M84)</f>
        <v>-5811127.0522280186</v>
      </c>
      <c r="M91" s="1012">
        <f>'Execution for 2013'!M90</f>
        <v>-898809.10090230405</v>
      </c>
      <c r="N91" s="893">
        <f t="shared" si="6"/>
        <v>4912317.9513257146</v>
      </c>
      <c r="O91" s="894">
        <f t="shared" si="10"/>
        <v>15.467035788826811</v>
      </c>
      <c r="P91" s="1012">
        <f>+'Execution for 2012_int'!M84</f>
        <v>-21905385.890833333</v>
      </c>
      <c r="Q91" s="893">
        <f t="shared" si="7"/>
        <v>21006576.789931029</v>
      </c>
      <c r="R91" s="447">
        <f>M91/P91*100</f>
        <v>4.1031420554815492</v>
      </c>
      <c r="S91" s="442"/>
      <c r="T91" s="442"/>
      <c r="U91" s="442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</row>
    <row r="92" spans="1:37" ht="14.25" thickTop="1" thickBot="1">
      <c r="A92" s="69"/>
      <c r="B92" s="69"/>
      <c r="C92" s="69"/>
      <c r="D92" s="882" t="str">
        <f>IF(MasterSheet!$A$1=1,MasterSheet!C403,MasterSheet!B403)</f>
        <v>Primarni deficit</v>
      </c>
      <c r="E92" s="1074">
        <f>SUM('Monthly plan for 2013'!E85:M85)</f>
        <v>-49844345.643253773</v>
      </c>
      <c r="F92" s="1012">
        <f>'Execution for 2013'!Q91</f>
        <v>-77352691.266523048</v>
      </c>
      <c r="G92" s="636">
        <f t="shared" ref="G92:G103" si="12">+F92-E92</f>
        <v>-27508345.623269275</v>
      </c>
      <c r="H92" s="649">
        <f t="shared" si="3"/>
        <v>155.18849784918868</v>
      </c>
      <c r="I92" s="1056">
        <f>SUM('Execution for 2012_int'!E85:M85)</f>
        <v>-80457427.627499908</v>
      </c>
      <c r="J92" s="636">
        <f t="shared" ref="J92:J103" si="13">+F92-I92</f>
        <v>3104736.3609768599</v>
      </c>
      <c r="K92" s="954">
        <f t="shared" si="11"/>
        <v>96.141143891212749</v>
      </c>
      <c r="L92" s="1087">
        <f>SUM('Monthly plan for 2013'!M85)</f>
        <v>55840.227771981619</v>
      </c>
      <c r="M92" s="1083">
        <f>'Execution for 2013'!M91</f>
        <v>17871244.899097696</v>
      </c>
      <c r="N92" s="893">
        <f t="shared" ref="N92:N103" si="14">+M92-L92</f>
        <v>17815404.671325713</v>
      </c>
      <c r="O92" s="894">
        <f t="shared" si="10"/>
        <v>32004.247855279646</v>
      </c>
      <c r="P92" s="1083">
        <f>+'Execution for 2012_int'!M85</f>
        <v>-3655159.1808333322</v>
      </c>
      <c r="Q92" s="893">
        <f t="shared" ref="Q92:Q103" si="15">+M92-P92</f>
        <v>21526404.079931028</v>
      </c>
      <c r="R92" s="447">
        <f>M92/P92*100</f>
        <v>-488.93205507463745</v>
      </c>
      <c r="S92" s="442"/>
      <c r="T92" s="442"/>
      <c r="U92" s="442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</row>
    <row r="93" spans="1:37" ht="14.25" thickTop="1" thickBot="1">
      <c r="A93" s="69"/>
      <c r="B93" s="69"/>
      <c r="C93" s="69"/>
      <c r="D93" s="882" t="str">
        <f>IF(MasterSheet!$A$1=1,MasterSheet!C404,MasterSheet!B404)</f>
        <v>Otplata duga</v>
      </c>
      <c r="E93" s="1075">
        <f>SUM('Monthly plan for 2013'!E86:M86)</f>
        <v>88883100.430000007</v>
      </c>
      <c r="F93" s="1012">
        <f>'Execution for 2013'!Q92</f>
        <v>176628882.72</v>
      </c>
      <c r="G93" s="636">
        <f t="shared" si="12"/>
        <v>87745782.289999992</v>
      </c>
      <c r="H93" s="884">
        <f t="shared" ref="H93:H102" si="16">+F93/E93*100</f>
        <v>198.72043376693895</v>
      </c>
      <c r="I93" s="1055">
        <f>SUM('Execution for 2012_int'!E86:M86)</f>
        <v>115568927.77</v>
      </c>
      <c r="J93" s="893">
        <f t="shared" si="13"/>
        <v>61059954.950000003</v>
      </c>
      <c r="K93" s="954">
        <f t="shared" si="11"/>
        <v>152.83423159512108</v>
      </c>
      <c r="L93" s="1089">
        <f>SUM('Monthly plan for 2013'!M86)</f>
        <v>12730233.93</v>
      </c>
      <c r="M93" s="1012">
        <f>'Execution for 2013'!M92</f>
        <v>43588488.289999999</v>
      </c>
      <c r="N93" s="893">
        <f t="shared" si="14"/>
        <v>30858254.359999999</v>
      </c>
      <c r="O93" s="894">
        <f t="shared" ref="O93:O98" si="17">+M93/L93*100</f>
        <v>342.40131430169248</v>
      </c>
      <c r="P93" s="1012">
        <f>+'Execution for 2012_int'!M86</f>
        <v>11778486.48</v>
      </c>
      <c r="Q93" s="893">
        <f t="shared" si="15"/>
        <v>31810001.809999999</v>
      </c>
      <c r="R93" s="447">
        <f>M93/P93*100</f>
        <v>370.06867023206871</v>
      </c>
      <c r="S93" s="442"/>
      <c r="T93" s="442"/>
      <c r="U93" s="442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</row>
    <row r="94" spans="1:37" ht="13.5" thickTop="1">
      <c r="A94" s="69"/>
      <c r="B94" s="69"/>
      <c r="C94" s="69"/>
      <c r="D94" s="380" t="str">
        <f>IF(MasterSheet!$A$1=1,MasterSheet!C405,MasterSheet!B405)</f>
        <v>Otplata duga rezidentima</v>
      </c>
      <c r="E94" s="1008">
        <f>SUM('Monthly plan for 2013'!E87:M87)</f>
        <v>19049460.089999996</v>
      </c>
      <c r="F94" s="1008">
        <f>'Execution for 2013'!Q93</f>
        <v>88760319.829999998</v>
      </c>
      <c r="G94" s="651">
        <f t="shared" si="12"/>
        <v>69710859.74000001</v>
      </c>
      <c r="H94" s="883">
        <f t="shared" si="16"/>
        <v>465.94664316284053</v>
      </c>
      <c r="I94" s="1008">
        <f>SUM('Execution for 2012_int'!E87:M87)</f>
        <v>73224519.359999999</v>
      </c>
      <c r="J94" s="890">
        <f t="shared" si="13"/>
        <v>15535800.469999999</v>
      </c>
      <c r="K94" s="1059">
        <f t="shared" si="11"/>
        <v>121.21666431652491</v>
      </c>
      <c r="L94" s="1072">
        <f>SUM('Monthly plan for 2013'!M87)</f>
        <v>3220262.59</v>
      </c>
      <c r="M94" s="192">
        <f>'Execution for 2013'!M93</f>
        <v>24394432.170000002</v>
      </c>
      <c r="N94" s="890">
        <f t="shared" si="14"/>
        <v>21174169.580000002</v>
      </c>
      <c r="O94" s="454" t="s">
        <v>378</v>
      </c>
      <c r="P94" s="1071">
        <f>+'Execution for 2012_int'!M87</f>
        <v>8131951.3399999999</v>
      </c>
      <c r="Q94" s="651">
        <f t="shared" si="15"/>
        <v>16262480.830000002</v>
      </c>
      <c r="R94" s="454">
        <f>M94/P94*100</f>
        <v>299.98251526674784</v>
      </c>
      <c r="S94" s="440"/>
      <c r="T94" s="440"/>
      <c r="U94" s="440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</row>
    <row r="95" spans="1:37">
      <c r="A95" s="69"/>
      <c r="B95" s="69"/>
      <c r="C95" s="69"/>
      <c r="D95" s="380" t="str">
        <f>IF(MasterSheet!$A$1=1,MasterSheet!C406,MasterSheet!B406)</f>
        <v>Otplata duga nerezidentima</v>
      </c>
      <c r="E95" s="1008">
        <f>SUM('Monthly plan for 2013'!E88:M88)</f>
        <v>43163569.029999994</v>
      </c>
      <c r="F95" s="1008">
        <f>'Execution for 2013'!Q94</f>
        <v>39872375.340000004</v>
      </c>
      <c r="G95" s="651">
        <f t="shared" si="12"/>
        <v>-3291193.6899999902</v>
      </c>
      <c r="H95" s="883">
        <f t="shared" si="16"/>
        <v>92.375065908677499</v>
      </c>
      <c r="I95" s="1008">
        <f>SUM('Execution for 2012_int'!E88:M88)</f>
        <v>39724408.409999996</v>
      </c>
      <c r="J95" s="890">
        <f t="shared" si="13"/>
        <v>147966.93000000715</v>
      </c>
      <c r="K95" s="953">
        <f t="shared" si="11"/>
        <v>100.3724836590965</v>
      </c>
      <c r="L95" s="1072">
        <f>SUM('Monthly plan for 2013'!M88)</f>
        <v>7411877.0099999998</v>
      </c>
      <c r="M95" s="192">
        <f>'Execution for 2013'!M94</f>
        <v>12179630.32</v>
      </c>
      <c r="N95" s="890">
        <f t="shared" si="14"/>
        <v>4767753.3100000005</v>
      </c>
      <c r="O95" s="454">
        <f t="shared" si="17"/>
        <v>164.32585569846091</v>
      </c>
      <c r="P95" s="1071">
        <f>+'Execution for 2012_int'!M88</f>
        <v>3646535.14</v>
      </c>
      <c r="Q95" s="651">
        <f t="shared" si="15"/>
        <v>8533095.1799999997</v>
      </c>
      <c r="R95" s="454">
        <f>M95/P95*100</f>
        <v>334.0055656230424</v>
      </c>
      <c r="S95" s="440"/>
      <c r="T95" s="440"/>
      <c r="U95" s="441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</row>
    <row r="96" spans="1:37" ht="13.5" thickBot="1">
      <c r="A96" s="69"/>
      <c r="B96" s="69"/>
      <c r="C96" s="69"/>
      <c r="D96" s="380" t="str">
        <f>IF(MasterSheet!$A$1=1,MasterSheet!C407,MasterSheet!B407)</f>
        <v>Otplata obaveza iz prethodnog perioda</v>
      </c>
      <c r="E96" s="1008">
        <f>SUM('Monthly plan for 2013'!E89:M89)</f>
        <v>26670071.309999995</v>
      </c>
      <c r="F96" s="1008">
        <f>'Execution for 2013'!Q95</f>
        <v>47996187.549999997</v>
      </c>
      <c r="G96" s="651">
        <f t="shared" si="12"/>
        <v>21326116.240000002</v>
      </c>
      <c r="H96" s="883">
        <f t="shared" si="16"/>
        <v>179.96272672883231</v>
      </c>
      <c r="I96" s="1008">
        <f>SUM('Execution for 2012_int'!E89:M89)</f>
        <v>2620000</v>
      </c>
      <c r="J96" s="890">
        <f t="shared" si="13"/>
        <v>45376187.549999997</v>
      </c>
      <c r="K96" s="953">
        <f t="shared" si="11"/>
        <v>1831.9155553435114</v>
      </c>
      <c r="L96" s="1072">
        <f>SUM('Monthly plan for 2013'!M89)</f>
        <v>2098094.33</v>
      </c>
      <c r="M96" s="192">
        <f>'Execution for 2013'!M95</f>
        <v>7014425.7999999998</v>
      </c>
      <c r="N96" s="890">
        <f t="shared" si="14"/>
        <v>4916331.47</v>
      </c>
      <c r="O96" s="454">
        <f t="shared" si="17"/>
        <v>334.32366217776297</v>
      </c>
      <c r="P96" s="1071">
        <f>+'Execution for 2012_int'!M89</f>
        <v>0</v>
      </c>
      <c r="Q96" s="651">
        <f t="shared" si="15"/>
        <v>7014425.7999999998</v>
      </c>
      <c r="R96" s="454" t="s">
        <v>378</v>
      </c>
      <c r="S96" s="440"/>
      <c r="T96" s="440"/>
      <c r="U96" s="440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</row>
    <row r="97" spans="1:37" ht="14.25" thickTop="1" thickBot="1">
      <c r="A97" s="69"/>
      <c r="B97" s="69"/>
      <c r="C97" s="69"/>
      <c r="D97" s="882" t="str">
        <f>IF(MasterSheet!$A$1=1,MasterSheet!C409,MasterSheet!B409)</f>
        <v>Nedostajuća sredstva</v>
      </c>
      <c r="E97" s="1074">
        <f>SUM('Monthly plan for 2013'!E90:M90)</f>
        <v>-191530151.59325379</v>
      </c>
      <c r="F97" s="1012">
        <f>'Execution for 2013'!Q96</f>
        <v>-314786658.57652301</v>
      </c>
      <c r="G97" s="636">
        <f t="shared" si="12"/>
        <v>-123256506.98326921</v>
      </c>
      <c r="H97" s="884">
        <f t="shared" si="16"/>
        <v>164.35357877491006</v>
      </c>
      <c r="I97" s="1056">
        <f>SUM('Execution for 2012_int'!E90:M90)</f>
        <v>-247659784.1974999</v>
      </c>
      <c r="J97" s="893">
        <f t="shared" si="13"/>
        <v>-67126874.379023105</v>
      </c>
      <c r="K97" s="954">
        <f t="shared" si="11"/>
        <v>127.10447099699149</v>
      </c>
      <c r="L97" s="1089">
        <f>SUM('Monthly plan for 2013'!M90)</f>
        <v>-18541360.982228018</v>
      </c>
      <c r="M97" s="1012">
        <f>'Execution for 2013'!M96</f>
        <v>-44487297.390902303</v>
      </c>
      <c r="N97" s="893">
        <f t="shared" si="14"/>
        <v>-25945936.408674285</v>
      </c>
      <c r="O97" s="894">
        <f t="shared" si="17"/>
        <v>239.93544720661868</v>
      </c>
      <c r="P97" s="1012">
        <f>+'Execution for 2012_int'!M90</f>
        <v>-33683872.370833337</v>
      </c>
      <c r="Q97" s="893">
        <f t="shared" si="15"/>
        <v>-10803425.020068966</v>
      </c>
      <c r="R97" s="447">
        <f>M97/P97*100</f>
        <v>132.0729900087841</v>
      </c>
      <c r="S97" s="442"/>
      <c r="T97" s="442"/>
      <c r="U97" s="442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</row>
    <row r="98" spans="1:37" ht="14.25" thickTop="1" thickBot="1">
      <c r="A98" s="69"/>
      <c r="B98" s="69"/>
      <c r="C98" s="69"/>
      <c r="D98" s="882" t="str">
        <f>IF(MasterSheet!$A$1=1,MasterSheet!C410,MasterSheet!B410)</f>
        <v>Finansiranje</v>
      </c>
      <c r="E98" s="1075">
        <f>SUM('Monthly plan for 2013'!E91:M91)</f>
        <v>191530151.59325379</v>
      </c>
      <c r="F98" s="1012">
        <f>'Execution for 2013'!Q97</f>
        <v>314786658.57652301</v>
      </c>
      <c r="G98" s="636">
        <f t="shared" si="12"/>
        <v>123256506.98326921</v>
      </c>
      <c r="H98" s="884">
        <f t="shared" si="16"/>
        <v>164.35357877491006</v>
      </c>
      <c r="I98" s="1055">
        <f>SUM('Execution for 2012_int'!E91:M91)</f>
        <v>247659784.1974999</v>
      </c>
      <c r="J98" s="893">
        <f t="shared" si="13"/>
        <v>67126874.379023105</v>
      </c>
      <c r="K98" s="954">
        <f t="shared" si="11"/>
        <v>127.10447099699149</v>
      </c>
      <c r="L98" s="1088">
        <f>SUM('Monthly plan for 2013'!M91)</f>
        <v>18541360.982228018</v>
      </c>
      <c r="M98" s="1086">
        <f>'Execution for 2013'!M97</f>
        <v>44487297.390902303</v>
      </c>
      <c r="N98" s="893">
        <f t="shared" si="14"/>
        <v>25945936.408674285</v>
      </c>
      <c r="O98" s="894">
        <f t="shared" si="17"/>
        <v>239.93544720661868</v>
      </c>
      <c r="P98" s="1086">
        <f>+'Execution for 2012_int'!M91</f>
        <v>33683872.370833337</v>
      </c>
      <c r="Q98" s="893">
        <f t="shared" si="15"/>
        <v>10803425.020068966</v>
      </c>
      <c r="R98" s="447">
        <f>M98/P98*100</f>
        <v>132.0729900087841</v>
      </c>
      <c r="S98" s="442"/>
      <c r="T98" s="442"/>
      <c r="U98" s="442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</row>
    <row r="99" spans="1:37" ht="13.5" thickTop="1">
      <c r="A99" s="69"/>
      <c r="B99" s="69"/>
      <c r="C99" s="69"/>
      <c r="D99" s="380" t="str">
        <f>IF(MasterSheet!$A$1=1,MasterSheet!C411,MasterSheet!B411)</f>
        <v>Pozajmice i krediti iz domaćih izvora</v>
      </c>
      <c r="E99" s="1008">
        <f>SUM('Monthly plan for 2013'!E92:M92)</f>
        <v>0</v>
      </c>
      <c r="F99" s="1008">
        <f>'Execution for 2013'!Q98</f>
        <v>82834751.849999994</v>
      </c>
      <c r="G99" s="651">
        <f t="shared" si="12"/>
        <v>82834751.849999994</v>
      </c>
      <c r="H99" s="883" t="s">
        <v>378</v>
      </c>
      <c r="I99" s="1008">
        <f>SUM('Execution for 2012_int'!E92:M92)</f>
        <v>42636176</v>
      </c>
      <c r="J99" s="890">
        <f t="shared" si="13"/>
        <v>40198575.849999994</v>
      </c>
      <c r="K99" s="953">
        <f t="shared" si="11"/>
        <v>194.28278898651698</v>
      </c>
      <c r="L99" s="1072">
        <f>SUM('Monthly plan for 2013'!M92)</f>
        <v>0</v>
      </c>
      <c r="M99" s="192">
        <f>'Execution for 2013'!M98</f>
        <v>16000000</v>
      </c>
      <c r="N99" s="890">
        <f t="shared" si="14"/>
        <v>16000000</v>
      </c>
      <c r="O99" s="454" t="s">
        <v>378</v>
      </c>
      <c r="P99" s="1071">
        <f>+'Execution for 2012_int'!M92</f>
        <v>0</v>
      </c>
      <c r="Q99" s="651">
        <f t="shared" si="15"/>
        <v>16000000</v>
      </c>
      <c r="R99" s="454" t="s">
        <v>378</v>
      </c>
      <c r="S99" s="440"/>
      <c r="T99" s="440"/>
      <c r="U99" s="440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</row>
    <row r="100" spans="1:37">
      <c r="A100" s="69"/>
      <c r="B100" s="69"/>
      <c r="C100" s="69"/>
      <c r="D100" s="380" t="str">
        <f>IF(MasterSheet!$A$1=1,MasterSheet!C412,MasterSheet!B412)</f>
        <v>Pozajmice i krediti iz inostranih izvora</v>
      </c>
      <c r="E100" s="1008">
        <f>SUM('Monthly plan for 2013'!E93:M93)</f>
        <v>200000000</v>
      </c>
      <c r="F100" s="1008">
        <f>'Execution for 2013'!Q99</f>
        <v>145667552.33000001</v>
      </c>
      <c r="G100" s="651">
        <f t="shared" si="12"/>
        <v>-54332447.669999987</v>
      </c>
      <c r="H100" s="883">
        <f t="shared" si="16"/>
        <v>72.833776165000003</v>
      </c>
      <c r="I100" s="1008">
        <f>SUM('Execution for 2012_int'!E93:M93)</f>
        <v>253226669.08000001</v>
      </c>
      <c r="J100" s="890">
        <f t="shared" si="13"/>
        <v>-107559116.75</v>
      </c>
      <c r="K100" s="953">
        <f t="shared" si="11"/>
        <v>57.524569927498568</v>
      </c>
      <c r="L100" s="1072">
        <f>SUM('Monthly plan for 2013'!M93)</f>
        <v>0</v>
      </c>
      <c r="M100" s="192">
        <f>'Execution for 2013'!M99</f>
        <v>107867.28</v>
      </c>
      <c r="N100" s="890">
        <f t="shared" si="14"/>
        <v>107867.28</v>
      </c>
      <c r="O100" s="454" t="s">
        <v>378</v>
      </c>
      <c r="P100" s="1071">
        <f>+'Execution for 2012_int'!M93</f>
        <v>703927.59</v>
      </c>
      <c r="Q100" s="651">
        <f t="shared" si="15"/>
        <v>-596060.30999999994</v>
      </c>
      <c r="R100" s="454" t="s">
        <v>378</v>
      </c>
      <c r="S100" s="440"/>
      <c r="T100" s="440"/>
      <c r="U100" s="440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</row>
    <row r="101" spans="1:37">
      <c r="A101" s="69"/>
      <c r="B101" s="69"/>
      <c r="C101" s="69"/>
      <c r="D101" s="380" t="str">
        <f>IF(MasterSheet!$A$1=1,MasterSheet!C413,MasterSheet!B413)</f>
        <v>Donacije</v>
      </c>
      <c r="E101" s="1008">
        <f>SUM('Monthly plan for 2013'!E94:M94)</f>
        <v>0</v>
      </c>
      <c r="F101" s="1008">
        <f>'Execution for 2013'!Q100</f>
        <v>3259861.15</v>
      </c>
      <c r="G101" s="651">
        <f t="shared" si="12"/>
        <v>3259861.15</v>
      </c>
      <c r="H101" s="883" t="s">
        <v>378</v>
      </c>
      <c r="I101" s="1008">
        <f>SUM('Execution for 2012_int'!E94:M94)</f>
        <v>3532987.327</v>
      </c>
      <c r="J101" s="890">
        <f t="shared" si="13"/>
        <v>-273126.17700000014</v>
      </c>
      <c r="K101" s="953">
        <f t="shared" si="11"/>
        <v>92.269256815253769</v>
      </c>
      <c r="L101" s="1072">
        <f>SUM('Monthly plan for 2013'!M94)</f>
        <v>0</v>
      </c>
      <c r="M101" s="192">
        <f>'Execution for 2013'!M100</f>
        <v>707740.43</v>
      </c>
      <c r="N101" s="890">
        <f t="shared" si="14"/>
        <v>707740.43</v>
      </c>
      <c r="O101" s="454" t="s">
        <v>378</v>
      </c>
      <c r="P101" s="1071">
        <f>+'Execution for 2012_int'!M94</f>
        <v>301806.81</v>
      </c>
      <c r="Q101" s="651">
        <f t="shared" si="15"/>
        <v>405933.62000000005</v>
      </c>
      <c r="R101" s="454" t="s">
        <v>378</v>
      </c>
      <c r="S101" s="440"/>
      <c r="T101" s="440"/>
      <c r="U101" s="440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</row>
    <row r="102" spans="1:37">
      <c r="A102" s="69"/>
      <c r="B102" s="69"/>
      <c r="C102" s="69"/>
      <c r="D102" s="380" t="str">
        <f>IF(MasterSheet!$A$1=1,MasterSheet!C414,MasterSheet!B414)</f>
        <v>Prihodi od privatizacije</v>
      </c>
      <c r="E102" s="1008">
        <f>SUM('Monthly plan for 2013'!E95:M95)</f>
        <v>8000000</v>
      </c>
      <c r="F102" s="1008">
        <f>'Execution for 2013'!Q101</f>
        <v>2424894.7199999997</v>
      </c>
      <c r="G102" s="651">
        <f t="shared" si="12"/>
        <v>-5575105.2800000003</v>
      </c>
      <c r="H102" s="883">
        <f t="shared" si="16"/>
        <v>30.311183999999997</v>
      </c>
      <c r="I102" s="1008">
        <f>SUM('Execution for 2012_int'!E95:M95)</f>
        <v>1442301.66</v>
      </c>
      <c r="J102" s="890">
        <f t="shared" si="13"/>
        <v>982593.05999999982</v>
      </c>
      <c r="K102" s="953">
        <f t="shared" si="11"/>
        <v>168.12673709326523</v>
      </c>
      <c r="L102" s="1072">
        <f>SUM('Monthly plan for 2013'!M95)</f>
        <v>0</v>
      </c>
      <c r="M102" s="192">
        <f>'Execution for 2013'!M101</f>
        <v>315288.5</v>
      </c>
      <c r="N102" s="890">
        <f t="shared" si="14"/>
        <v>315288.5</v>
      </c>
      <c r="O102" s="454" t="s">
        <v>378</v>
      </c>
      <c r="P102" s="1071">
        <f>+'Execution for 2012_int'!M95</f>
        <v>47613.4</v>
      </c>
      <c r="Q102" s="651">
        <f t="shared" si="15"/>
        <v>267675.09999999998</v>
      </c>
      <c r="R102" s="454" t="s">
        <v>378</v>
      </c>
      <c r="S102" s="440"/>
      <c r="T102" s="440"/>
      <c r="U102" s="440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</row>
    <row r="103" spans="1:37" ht="13.5" thickBot="1">
      <c r="A103" s="69"/>
      <c r="B103" s="69"/>
      <c r="C103" s="69"/>
      <c r="D103" s="384" t="str">
        <f>IF(MasterSheet!$A$1=1,MasterSheet!C415,MasterSheet!B415)</f>
        <v>Povećanje/smanjenje depozita</v>
      </c>
      <c r="E103" s="1073">
        <f>SUM('Monthly plan for 2013'!E96:M96)</f>
        <v>-16469848.406746209</v>
      </c>
      <c r="F103" s="423">
        <f>'Execution for 2013'!Q102</f>
        <v>80599598.526523039</v>
      </c>
      <c r="G103" s="652">
        <f t="shared" si="12"/>
        <v>97069446.933269247</v>
      </c>
      <c r="H103" s="886" t="s">
        <v>378</v>
      </c>
      <c r="I103" s="1073">
        <f>SUM('Execution for 2012_int'!E96:M96)</f>
        <v>-53178349.869500086</v>
      </c>
      <c r="J103" s="891">
        <f t="shared" si="13"/>
        <v>133777948.39602312</v>
      </c>
      <c r="K103" s="955" t="s">
        <v>378</v>
      </c>
      <c r="L103" s="976">
        <f>SUM('Monthly plan for 2013'!M96)</f>
        <v>18541360.982228018</v>
      </c>
      <c r="M103" s="1084">
        <f>'Execution for 2013'!M102</f>
        <v>27356401.180902302</v>
      </c>
      <c r="N103" s="891">
        <f t="shared" si="14"/>
        <v>8815040.1986742839</v>
      </c>
      <c r="O103" s="452" t="s">
        <v>378</v>
      </c>
      <c r="P103" s="1085">
        <f>+'Execution for 2012_int'!M96</f>
        <v>32630524.570833337</v>
      </c>
      <c r="Q103" s="652">
        <f t="shared" si="15"/>
        <v>-5274123.3899310343</v>
      </c>
      <c r="R103" s="452" t="s">
        <v>378</v>
      </c>
      <c r="S103" s="388"/>
      <c r="T103" s="388"/>
      <c r="U103" s="388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</row>
    <row r="104" spans="1:37" ht="13.5" thickTop="1">
      <c r="A104" s="69"/>
      <c r="B104" s="69"/>
      <c r="C104" s="69"/>
      <c r="D104" s="379" t="str">
        <f>IF(MasterSheet!$A$1=1,MasterSheet!C416,MasterSheet!B416)</f>
        <v>Izvor: Ministarstvo finansija Crne Gore</v>
      </c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70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</row>
    <row r="105" spans="1:37">
      <c r="A105" s="69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</row>
    <row r="106" spans="1:37">
      <c r="A106" s="69"/>
      <c r="B106" s="69"/>
      <c r="C106" s="69"/>
      <c r="D106" s="69"/>
      <c r="E106" s="69"/>
      <c r="F106" s="69"/>
      <c r="G106" s="69"/>
      <c r="H106" s="73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</row>
    <row r="107" spans="1:37">
      <c r="A107" s="69"/>
      <c r="B107" s="69"/>
      <c r="C107" s="69"/>
      <c r="D107" s="69"/>
      <c r="E107" s="69"/>
      <c r="F107" s="532"/>
      <c r="G107" s="532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</row>
    <row r="108" spans="1:37">
      <c r="A108" s="69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</row>
    <row r="109" spans="1:37">
      <c r="A109" s="69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70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</row>
    <row r="110" spans="1:37">
      <c r="A110" s="69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</row>
    <row r="111" spans="1:37">
      <c r="A111" s="69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</row>
    <row r="112" spans="1:37">
      <c r="A112" s="69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</row>
    <row r="113" spans="1:37">
      <c r="A113" s="69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</row>
    <row r="114" spans="1:37">
      <c r="A114" s="69"/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</row>
    <row r="115" spans="1:37">
      <c r="A115" s="69"/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</row>
    <row r="116" spans="1:37">
      <c r="A116" s="69"/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</row>
    <row r="117" spans="1:37">
      <c r="A117" s="69"/>
      <c r="B117" s="69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</row>
    <row r="118" spans="1:37">
      <c r="A118" s="69"/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</row>
    <row r="119" spans="1:37">
      <c r="A119" s="69"/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</row>
    <row r="120" spans="1:37">
      <c r="A120" s="69"/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</row>
    <row r="121" spans="1:37">
      <c r="A121" s="69"/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</row>
    <row r="122" spans="1:37">
      <c r="A122" s="69"/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</row>
    <row r="123" spans="1:37">
      <c r="A123" s="69"/>
      <c r="B123" s="69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</row>
    <row r="124" spans="1:37">
      <c r="A124" s="69"/>
      <c r="B124" s="69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</row>
    <row r="125" spans="1:37">
      <c r="A125" s="69"/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</row>
    <row r="126" spans="1:37">
      <c r="A126" s="69"/>
      <c r="B126" s="69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</row>
    <row r="127" spans="1:37">
      <c r="A127" s="69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</row>
    <row r="128" spans="1:37">
      <c r="A128" s="69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</row>
    <row r="129" spans="1:37">
      <c r="A129" s="69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</row>
    <row r="130" spans="1:37">
      <c r="A130" s="69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</row>
    <row r="131" spans="1:37">
      <c r="A131" s="69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</row>
    <row r="132" spans="1:37">
      <c r="A132" s="69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</row>
    <row r="133" spans="1:37">
      <c r="A133" s="69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</row>
    <row r="134" spans="1:37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</row>
    <row r="135" spans="1:37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</row>
    <row r="136" spans="1:37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</row>
    <row r="137" spans="1:37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</row>
    <row r="138" spans="1:37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</row>
    <row r="139" spans="1:37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</row>
    <row r="140" spans="1:37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</row>
    <row r="141" spans="1:37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</row>
    <row r="142" spans="1:37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</row>
    <row r="143" spans="1:37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  <c r="AH143" s="69"/>
      <c r="AI143" s="69"/>
      <c r="AJ143" s="69"/>
      <c r="AK143" s="69"/>
    </row>
    <row r="144" spans="1:37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  <c r="AH144" s="69"/>
      <c r="AI144" s="69"/>
      <c r="AJ144" s="69"/>
      <c r="AK144" s="69"/>
    </row>
    <row r="145" spans="1:37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  <c r="AH145" s="69"/>
      <c r="AI145" s="69"/>
      <c r="AJ145" s="69"/>
      <c r="AK145" s="69"/>
    </row>
    <row r="146" spans="1:37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  <c r="AH146" s="69"/>
      <c r="AI146" s="69"/>
      <c r="AJ146" s="69"/>
      <c r="AK146" s="69"/>
    </row>
    <row r="147" spans="1:37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  <c r="AH147" s="69"/>
      <c r="AI147" s="69"/>
      <c r="AJ147" s="69"/>
      <c r="AK147" s="69"/>
    </row>
    <row r="148" spans="1:37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69"/>
      <c r="AG148" s="69"/>
      <c r="AH148" s="69"/>
      <c r="AI148" s="69"/>
      <c r="AJ148" s="69"/>
      <c r="AK148" s="69"/>
    </row>
    <row r="149" spans="1:37">
      <c r="A149" s="69"/>
      <c r="B149" s="69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69"/>
      <c r="AG149" s="69"/>
      <c r="AH149" s="69"/>
      <c r="AI149" s="69"/>
      <c r="AJ149" s="69"/>
      <c r="AK149" s="69"/>
    </row>
    <row r="150" spans="1:37">
      <c r="A150" s="69"/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/>
      <c r="AE150" s="69"/>
      <c r="AF150" s="69"/>
      <c r="AG150" s="69"/>
      <c r="AH150" s="69"/>
      <c r="AI150" s="69"/>
      <c r="AJ150" s="69"/>
      <c r="AK150" s="69"/>
    </row>
    <row r="151" spans="1:37">
      <c r="A151" s="69"/>
      <c r="B151" s="69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69"/>
      <c r="AH151" s="69"/>
      <c r="AI151" s="69"/>
      <c r="AJ151" s="69"/>
      <c r="AK151" s="69"/>
    </row>
    <row r="152" spans="1:37">
      <c r="A152" s="69"/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  <c r="AH152" s="69"/>
      <c r="AI152" s="69"/>
      <c r="AJ152" s="69"/>
      <c r="AK152" s="69"/>
    </row>
    <row r="153" spans="1:37">
      <c r="A153" s="69"/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69"/>
      <c r="AH153" s="69"/>
      <c r="AI153" s="69"/>
      <c r="AJ153" s="69"/>
      <c r="AK153" s="69"/>
    </row>
    <row r="154" spans="1:37">
      <c r="A154" s="69"/>
      <c r="B154" s="69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9"/>
    </row>
  </sheetData>
  <sheetProtection formatCells="0" formatColumns="0" formatRows="0" sort="0" autoFilter="0" pivotTables="0"/>
  <mergeCells count="5">
    <mergeCell ref="E24:K24"/>
    <mergeCell ref="L24:R24"/>
    <mergeCell ref="D24:D25"/>
    <mergeCell ref="I8:L8"/>
    <mergeCell ref="H9:M9"/>
  </mergeCells>
  <pageMargins left="0.70866141732283472" right="0.70866141732283472" top="0.74803149606299213" bottom="0.74803149606299213" header="0.31496062992125984" footer="0.31496062992125984"/>
  <pageSetup paperSize="9" scale="21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6">
    <tabColor theme="3" tint="0.79998168889431442"/>
    <pageSetUpPr fitToPage="1"/>
  </sheetPr>
  <dimension ref="A1:AG160"/>
  <sheetViews>
    <sheetView topLeftCell="A7" workbookViewId="0">
      <pane ySplit="18" topLeftCell="A58" activePane="bottomLeft" state="frozen"/>
      <selection activeCell="C7" sqref="C7"/>
      <selection pane="bottomLeft" activeCell="A67" sqref="A67:XFD67"/>
    </sheetView>
  </sheetViews>
  <sheetFormatPr defaultRowHeight="12.75"/>
  <cols>
    <col min="1" max="1" width="9.140625" customWidth="1"/>
    <col min="2" max="2" width="9.28515625" customWidth="1"/>
    <col min="3" max="3" width="9.85546875" customWidth="1"/>
    <col min="4" max="4" width="51.140625" customWidth="1"/>
    <col min="5" max="5" width="10.7109375" customWidth="1"/>
    <col min="6" max="9" width="10.7109375" style="51" customWidth="1"/>
    <col min="10" max="10" width="10.7109375" customWidth="1"/>
    <col min="11" max="11" width="8.85546875" customWidth="1"/>
    <col min="12" max="12" width="10.7109375" customWidth="1"/>
    <col min="13" max="13" width="11.7109375" customWidth="1"/>
    <col min="14" max="14" width="10.7109375" hidden="1" customWidth="1"/>
    <col min="15" max="16" width="11.7109375" hidden="1" customWidth="1"/>
    <col min="17" max="17" width="14.7109375" customWidth="1"/>
    <col min="18" max="18" width="17.42578125" hidden="1" customWidth="1"/>
    <col min="19" max="19" width="12.5703125" hidden="1" customWidth="1"/>
    <col min="20" max="20" width="10" hidden="1" customWidth="1"/>
    <col min="21" max="24" width="9.140625" hidden="1" customWidth="1"/>
    <col min="27" max="27" width="12.5703125" bestFit="1" customWidth="1"/>
  </cols>
  <sheetData>
    <row r="1" spans="1:33">
      <c r="A1" s="69"/>
      <c r="B1" s="69"/>
      <c r="C1" s="69"/>
      <c r="D1" s="69"/>
      <c r="E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</row>
    <row r="2" spans="1:33">
      <c r="A2" s="69"/>
      <c r="B2" s="69"/>
      <c r="C2" s="69"/>
      <c r="D2" s="69"/>
      <c r="E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</row>
    <row r="3" spans="1:33">
      <c r="A3" s="69"/>
      <c r="B3" s="69"/>
      <c r="C3" s="69"/>
      <c r="D3" s="69"/>
      <c r="E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</row>
    <row r="4" spans="1:33">
      <c r="A4" s="69"/>
      <c r="B4" s="69"/>
      <c r="C4" s="69"/>
      <c r="D4" s="69"/>
      <c r="E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</row>
    <row r="5" spans="1:33">
      <c r="A5" s="69"/>
      <c r="B5" s="69"/>
      <c r="C5" s="69"/>
      <c r="D5" s="70"/>
      <c r="E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</row>
    <row r="6" spans="1:33">
      <c r="A6" s="69"/>
      <c r="B6" s="69"/>
      <c r="C6" s="69"/>
      <c r="D6" s="70"/>
      <c r="E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</row>
    <row r="7" spans="1:33">
      <c r="A7" s="69"/>
      <c r="B7" s="69"/>
      <c r="C7" s="69"/>
      <c r="D7" s="70"/>
      <c r="E7" s="69"/>
      <c r="F7" s="72"/>
      <c r="G7" s="69"/>
      <c r="H7" s="72"/>
      <c r="I7" s="69"/>
      <c r="J7" s="72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</row>
    <row r="8" spans="1:33">
      <c r="A8" s="69"/>
      <c r="B8" s="69"/>
      <c r="C8" s="69"/>
      <c r="D8" s="70"/>
      <c r="E8" s="69"/>
      <c r="F8" s="72"/>
      <c r="G8" s="72"/>
      <c r="H8" s="72"/>
      <c r="I8" s="72"/>
      <c r="J8" s="72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</row>
    <row r="9" spans="1:33">
      <c r="A9" s="69"/>
      <c r="B9" s="69"/>
      <c r="C9" s="69"/>
      <c r="D9" s="70"/>
      <c r="E9" s="69"/>
      <c r="F9" s="72"/>
      <c r="G9" s="69"/>
      <c r="H9" s="72"/>
      <c r="I9" s="69"/>
      <c r="J9" s="72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</row>
    <row r="10" spans="1:33">
      <c r="A10" s="69"/>
      <c r="B10" s="69"/>
      <c r="C10" s="69"/>
      <c r="D10" s="70"/>
      <c r="E10" s="69"/>
      <c r="F10" s="72"/>
      <c r="G10" s="72"/>
      <c r="H10" s="72"/>
      <c r="I10" s="72"/>
      <c r="J10" s="72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</row>
    <row r="11" spans="1:33">
      <c r="A11" s="69"/>
      <c r="B11" s="69"/>
      <c r="C11" s="69"/>
      <c r="D11" s="70"/>
      <c r="E11" s="69"/>
      <c r="F11" s="72"/>
      <c r="G11" s="69"/>
      <c r="H11" s="72"/>
      <c r="I11" s="69"/>
      <c r="J11" s="72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</row>
    <row r="12" spans="1:33">
      <c r="A12" s="69"/>
      <c r="B12" s="69"/>
      <c r="C12" s="69"/>
      <c r="D12" s="70"/>
      <c r="E12" s="69"/>
      <c r="F12" s="72"/>
      <c r="G12" s="72"/>
      <c r="H12" s="72"/>
      <c r="I12" s="72"/>
      <c r="J12" s="72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</row>
    <row r="13" spans="1:33">
      <c r="A13" s="69"/>
      <c r="B13" s="69"/>
      <c r="C13" s="69"/>
      <c r="D13" s="70"/>
      <c r="E13" s="69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</row>
    <row r="14" spans="1:33" ht="15">
      <c r="A14" s="69"/>
      <c r="B14" s="69"/>
      <c r="C14" s="69"/>
      <c r="D14" s="70"/>
      <c r="E14" s="1152" t="str">
        <f>IF(MasterSheet!$A$1=1, MasterSheet!C5,MasterSheet!B5)</f>
        <v>CRNA GORA</v>
      </c>
      <c r="F14" s="1152"/>
      <c r="G14" s="1152"/>
      <c r="H14" s="1152"/>
      <c r="I14" s="1152"/>
      <c r="J14" s="1152"/>
      <c r="K14" s="1152"/>
      <c r="L14" s="1152"/>
      <c r="M14" s="1152"/>
      <c r="N14" s="1152"/>
      <c r="O14" s="1152"/>
      <c r="P14" s="1152"/>
      <c r="Q14" s="1152"/>
      <c r="R14" s="69"/>
      <c r="S14" s="69"/>
      <c r="T14" s="69"/>
      <c r="U14" s="69"/>
      <c r="V14" s="69"/>
      <c r="W14" s="70"/>
      <c r="X14" s="69"/>
      <c r="Y14" s="69"/>
      <c r="Z14" s="69"/>
      <c r="AA14" s="69"/>
      <c r="AB14" s="69"/>
      <c r="AC14" s="69"/>
      <c r="AD14" s="69"/>
      <c r="AE14" s="69"/>
      <c r="AF14" s="69"/>
      <c r="AG14" s="69"/>
    </row>
    <row r="15" spans="1:33" ht="15">
      <c r="A15" s="69"/>
      <c r="B15" s="69"/>
      <c r="C15" s="69"/>
      <c r="D15" s="69"/>
      <c r="E15" s="1152" t="str">
        <f>IF(MasterSheet!$A$1=1, MasterSheet!C6,MasterSheet!B6)</f>
        <v>MINISTARSTVO FINANSIJA</v>
      </c>
      <c r="F15" s="1152"/>
      <c r="G15" s="1152"/>
      <c r="H15" s="1152"/>
      <c r="I15" s="1152"/>
      <c r="J15" s="1152"/>
      <c r="K15" s="1152"/>
      <c r="L15" s="1152"/>
      <c r="M15" s="1152"/>
      <c r="N15" s="1152"/>
      <c r="O15" s="1152"/>
      <c r="P15" s="1152"/>
      <c r="Q15" s="1152"/>
      <c r="R15" s="69"/>
      <c r="S15" s="69"/>
      <c r="T15" s="69"/>
      <c r="U15" s="69"/>
      <c r="V15" s="69"/>
      <c r="W15" s="70"/>
      <c r="X15" s="69"/>
      <c r="Y15" s="69"/>
      <c r="Z15" s="69"/>
      <c r="AA15" s="69"/>
      <c r="AB15" s="69"/>
      <c r="AC15" s="69"/>
      <c r="AD15" s="69"/>
      <c r="AE15" s="69"/>
      <c r="AF15" s="69"/>
      <c r="AG15" s="69"/>
    </row>
    <row r="16" spans="1:33">
      <c r="A16" s="69"/>
      <c r="B16" s="69"/>
      <c r="C16" s="69"/>
      <c r="D16" s="72"/>
      <c r="E16" s="72"/>
      <c r="F16" s="69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69"/>
      <c r="T16" s="69"/>
      <c r="U16" s="69"/>
      <c r="V16" s="69"/>
      <c r="W16" s="70"/>
      <c r="X16" s="69"/>
      <c r="Y16" s="69"/>
      <c r="Z16" s="69"/>
      <c r="AA16" s="69"/>
      <c r="AB16" s="69"/>
      <c r="AC16" s="69"/>
      <c r="AD16" s="69"/>
      <c r="AE16" s="69"/>
      <c r="AF16" s="69"/>
      <c r="AG16" s="69"/>
    </row>
    <row r="17" spans="1:33">
      <c r="A17" s="69"/>
      <c r="B17" s="69"/>
      <c r="C17" s="69"/>
      <c r="D17" s="72"/>
      <c r="E17" s="72"/>
      <c r="F17" s="72"/>
      <c r="G17" s="72"/>
      <c r="H17" s="72"/>
      <c r="I17" s="72"/>
      <c r="J17" s="69"/>
      <c r="K17" s="72"/>
      <c r="L17" s="72"/>
      <c r="M17" s="72"/>
      <c r="N17" s="72"/>
      <c r="O17" s="72"/>
      <c r="P17" s="72"/>
      <c r="Q17" s="72"/>
      <c r="R17" s="72"/>
      <c r="S17" s="69"/>
      <c r="T17" s="69"/>
      <c r="U17" s="69"/>
      <c r="V17" s="69"/>
      <c r="W17" s="70"/>
      <c r="X17" s="69"/>
      <c r="Y17" s="69"/>
      <c r="Z17" s="69"/>
      <c r="AA17" s="69"/>
      <c r="AB17" s="69"/>
      <c r="AC17" s="69"/>
      <c r="AD17" s="69"/>
      <c r="AE17" s="69"/>
      <c r="AF17" s="69"/>
      <c r="AG17" s="69"/>
    </row>
    <row r="18" spans="1:33">
      <c r="A18" s="69"/>
      <c r="B18" s="69"/>
      <c r="C18" s="69"/>
      <c r="D18" s="213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69"/>
      <c r="T18" s="69"/>
      <c r="U18" s="69"/>
      <c r="V18" s="69"/>
      <c r="W18" s="69"/>
      <c r="X18" s="69"/>
      <c r="Z18" s="69"/>
      <c r="AA18" s="69"/>
      <c r="AB18" s="69"/>
      <c r="AC18" s="69"/>
      <c r="AD18" s="69"/>
      <c r="AE18" s="69"/>
      <c r="AF18" s="69"/>
      <c r="AG18" s="69"/>
    </row>
    <row r="19" spans="1:33" ht="13.5" thickBot="1">
      <c r="A19" s="69"/>
      <c r="B19" s="69"/>
      <c r="C19" s="69"/>
      <c r="D19" s="72"/>
      <c r="E19" s="72"/>
      <c r="F19" s="69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213"/>
      <c r="S19" s="70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</row>
    <row r="20" spans="1:33" ht="17.25" thickTop="1" thickBot="1">
      <c r="B20" s="413"/>
      <c r="C20" s="414"/>
      <c r="D20" s="415" t="str">
        <f>IF(MasterSheet!$A$1=1,MasterSheet!B67,MasterSheet!B66)</f>
        <v>BDP (u mil. €)</v>
      </c>
      <c r="E20" s="1169">
        <f>+'Monthly plan for 2013'!E14:Q14</f>
        <v>3517000000</v>
      </c>
      <c r="F20" s="1169"/>
      <c r="G20" s="1169"/>
      <c r="H20" s="1169"/>
      <c r="I20" s="1169"/>
      <c r="J20" s="1169"/>
      <c r="K20" s="1169"/>
      <c r="L20" s="1169"/>
      <c r="M20" s="1169"/>
      <c r="N20" s="1169"/>
      <c r="O20" s="1169"/>
      <c r="P20" s="1169"/>
      <c r="Q20" s="1170"/>
      <c r="R20" s="411"/>
      <c r="S20" s="412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</row>
    <row r="21" spans="1:33" ht="15.75" thickTop="1">
      <c r="A21" s="408"/>
      <c r="B21" s="236"/>
      <c r="C21" s="236"/>
      <c r="D21" s="235"/>
      <c r="E21" s="235"/>
      <c r="F21" s="235"/>
      <c r="G21" s="235"/>
      <c r="H21" s="235"/>
      <c r="I21" s="235"/>
      <c r="J21" s="235"/>
      <c r="K21" s="235"/>
      <c r="L21" s="235"/>
      <c r="M21" s="235"/>
      <c r="N21" s="409"/>
      <c r="O21" s="409"/>
      <c r="P21" s="410"/>
      <c r="Q21" s="410"/>
      <c r="R21" s="410"/>
      <c r="S21" s="410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</row>
    <row r="22" spans="1:33" ht="17.25" customHeight="1" thickBot="1">
      <c r="A22" s="69"/>
      <c r="B22" s="69"/>
      <c r="C22" s="69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</row>
    <row r="23" spans="1:33" ht="17.25" customHeight="1" thickTop="1">
      <c r="A23" s="69"/>
      <c r="B23" s="69"/>
      <c r="C23" s="69"/>
      <c r="D23" s="1171" t="str">
        <f>IF(MasterSheet!$A$1=1,MasterSheet!B422,MasterSheet!B421)</f>
        <v>Izvršenje budžeta, po mjesecima</v>
      </c>
      <c r="E23" s="1268">
        <v>2013</v>
      </c>
      <c r="F23" s="1269"/>
      <c r="G23" s="1269"/>
      <c r="H23" s="1269"/>
      <c r="I23" s="1269"/>
      <c r="J23" s="1269"/>
      <c r="K23" s="1269"/>
      <c r="L23" s="1269"/>
      <c r="M23" s="1269"/>
      <c r="N23" s="1269"/>
      <c r="O23" s="1269"/>
      <c r="P23" s="1269"/>
      <c r="Q23" s="1269"/>
      <c r="R23" s="1269"/>
      <c r="S23" s="1269"/>
      <c r="T23" s="1269"/>
      <c r="U23" s="1269"/>
      <c r="V23" s="1269"/>
      <c r="W23" s="1269"/>
      <c r="X23" s="1269"/>
      <c r="Y23" s="1270"/>
      <c r="Z23" s="69"/>
      <c r="AA23" s="69"/>
      <c r="AB23" s="69"/>
      <c r="AC23" s="69"/>
      <c r="AD23" s="69"/>
      <c r="AE23" s="69"/>
      <c r="AF23" s="69"/>
      <c r="AG23" s="69"/>
    </row>
    <row r="24" spans="1:33" ht="15" customHeight="1" thickBot="1">
      <c r="A24" s="69"/>
      <c r="B24" s="69"/>
      <c r="C24" s="69"/>
      <c r="D24" s="1172"/>
      <c r="E24" s="362" t="str">
        <f>IF(MasterSheet!$A$1=1,MasterSheet!C336,MasterSheet!C335)</f>
        <v>Januar</v>
      </c>
      <c r="F24" s="363" t="str">
        <f>IF(MasterSheet!$A$1=1,MasterSheet!D336,MasterSheet!D335)</f>
        <v>Februar</v>
      </c>
      <c r="G24" s="363" t="str">
        <f>IF(MasterSheet!$A$1=1,MasterSheet!E336,MasterSheet!E335)</f>
        <v>Mart</v>
      </c>
      <c r="H24" s="363" t="str">
        <f>IF(MasterSheet!$A$1=1,MasterSheet!F336,MasterSheet!F335)</f>
        <v>April</v>
      </c>
      <c r="I24" s="363" t="str">
        <f>IF(MasterSheet!$A$1=1,MasterSheet!G336,MasterSheet!G335)</f>
        <v>Maj</v>
      </c>
      <c r="J24" s="363" t="str">
        <f>IF(MasterSheet!$A$1=1,MasterSheet!H336,MasterSheet!H335)</f>
        <v>Jun</v>
      </c>
      <c r="K24" s="363" t="str">
        <f>IF(MasterSheet!$A$1=1,MasterSheet!I336,MasterSheet!I335)</f>
        <v>Jul</v>
      </c>
      <c r="L24" s="364" t="str">
        <f>IF(MasterSheet!$A$1=1,MasterSheet!J336,MasterSheet!J335)</f>
        <v>Avgust</v>
      </c>
      <c r="M24" s="364" t="str">
        <f>IF(MasterSheet!$A$1=1,MasterSheet!K336,MasterSheet!K335)</f>
        <v>Septembar</v>
      </c>
      <c r="N24" s="364" t="str">
        <f>IF(MasterSheet!$A$1=1,MasterSheet!L336,MasterSheet!L335)</f>
        <v>Oktobar</v>
      </c>
      <c r="O24" s="364" t="str">
        <f>IF(MasterSheet!$A$1=1,MasterSheet!M336,MasterSheet!M335)</f>
        <v>Novembar</v>
      </c>
      <c r="P24" s="416" t="str">
        <f>IF(MasterSheet!$A$1=1,MasterSheet!N336,MasterSheet!N335)</f>
        <v>Decembar</v>
      </c>
      <c r="Q24" s="364" t="s">
        <v>436</v>
      </c>
      <c r="R24" s="364"/>
      <c r="S24" s="364"/>
      <c r="T24" s="364"/>
      <c r="U24" s="364"/>
      <c r="V24" s="364"/>
      <c r="W24" s="364"/>
      <c r="X24" s="364"/>
      <c r="Y24" s="364" t="s">
        <v>150</v>
      </c>
      <c r="Z24" s="69"/>
      <c r="AA24" s="69"/>
      <c r="AB24" s="69"/>
      <c r="AC24" s="69"/>
      <c r="AD24" s="69"/>
      <c r="AE24" s="69"/>
      <c r="AF24" s="69"/>
      <c r="AG24" s="69"/>
    </row>
    <row r="25" spans="1:33" ht="15" customHeight="1" thickTop="1" thickBot="1">
      <c r="A25" s="69"/>
      <c r="B25" s="69"/>
      <c r="C25" s="69"/>
      <c r="D25" s="1020" t="str">
        <f>IF(MasterSheet!$A$1=1,MasterSheet!C337,MasterSheet!B337)</f>
        <v>Izvorni prihodi</v>
      </c>
      <c r="E25" s="1025">
        <f>+E26+E34+E39+E44+E51+E56</f>
        <v>54756357.979999989</v>
      </c>
      <c r="F25" s="1026">
        <f t="shared" ref="F25:P25" si="0">+F26+F34+F39+F44+F51+F56</f>
        <v>75675730.060000002</v>
      </c>
      <c r="G25" s="1026">
        <f t="shared" si="0"/>
        <v>88296245.580000013</v>
      </c>
      <c r="H25" s="1026">
        <f t="shared" si="0"/>
        <v>103948239.19999999</v>
      </c>
      <c r="I25" s="1026">
        <f t="shared" si="0"/>
        <v>93997829.599999994</v>
      </c>
      <c r="J25" s="1026">
        <f t="shared" si="0"/>
        <v>99463336.86999999</v>
      </c>
      <c r="K25" s="1027">
        <f t="shared" ref="K25:M25" si="1">+K26+K34+K39+K44+K51+K56</f>
        <v>121967418.41</v>
      </c>
      <c r="L25" s="1027">
        <f t="shared" si="1"/>
        <v>125022813.07000001</v>
      </c>
      <c r="M25" s="1027">
        <f t="shared" si="1"/>
        <v>116396766.78000002</v>
      </c>
      <c r="N25" s="735">
        <f t="shared" si="0"/>
        <v>0</v>
      </c>
      <c r="O25" s="735">
        <f t="shared" si="0"/>
        <v>0</v>
      </c>
      <c r="P25" s="735">
        <f t="shared" si="0"/>
        <v>0</v>
      </c>
      <c r="Q25" s="736">
        <f>SUM(E25:P25)</f>
        <v>879524737.54999995</v>
      </c>
      <c r="R25" s="737">
        <f>+Q25+Q98+Q99+Q100+Q101</f>
        <v>1113711797.6000001</v>
      </c>
      <c r="S25" s="738"/>
      <c r="T25" s="738"/>
      <c r="U25" s="738"/>
      <c r="V25" s="738"/>
      <c r="W25" s="738"/>
      <c r="X25" s="738"/>
      <c r="Y25" s="739">
        <f>+Q25/$E$20*100</f>
        <v>25.007811701734433</v>
      </c>
      <c r="Z25" s="69"/>
      <c r="AA25" s="69"/>
      <c r="AB25" s="69"/>
      <c r="AC25" s="69"/>
      <c r="AD25" s="69"/>
      <c r="AE25" s="69"/>
      <c r="AF25" s="69"/>
      <c r="AG25" s="69"/>
    </row>
    <row r="26" spans="1:33" ht="15" customHeight="1" thickTop="1">
      <c r="A26" s="69"/>
      <c r="B26" s="69"/>
      <c r="C26" s="69"/>
      <c r="D26" s="875" t="str">
        <f>IF(MasterSheet!$A$1=1,MasterSheet!C338,MasterSheet!B338)</f>
        <v>Porezi</v>
      </c>
      <c r="E26" s="701">
        <f t="shared" ref="E26:J26" si="2">SUM(E27:E33)</f>
        <v>38651682.139999993</v>
      </c>
      <c r="F26" s="702">
        <f t="shared" si="2"/>
        <v>43074559.129999995</v>
      </c>
      <c r="G26" s="702">
        <f t="shared" si="2"/>
        <v>53935470.890000008</v>
      </c>
      <c r="H26" s="702">
        <f t="shared" si="2"/>
        <v>70397095.139999986</v>
      </c>
      <c r="I26" s="702">
        <f t="shared" si="2"/>
        <v>59487673.050000004</v>
      </c>
      <c r="J26" s="702">
        <f t="shared" si="2"/>
        <v>61991252.850000001</v>
      </c>
      <c r="K26" s="1028">
        <f t="shared" ref="K26:M26" si="3">SUM(K27:K33)</f>
        <v>78155438.859999985</v>
      </c>
      <c r="L26" s="1028">
        <f t="shared" si="3"/>
        <v>82426236.730000004</v>
      </c>
      <c r="M26" s="1028">
        <f t="shared" si="3"/>
        <v>71970399.340000018</v>
      </c>
      <c r="N26" s="703">
        <f t="shared" ref="N26:P26" si="4">SUM(N27:N33)</f>
        <v>0</v>
      </c>
      <c r="O26" s="703">
        <f t="shared" si="4"/>
        <v>0</v>
      </c>
      <c r="P26" s="703">
        <f t="shared" si="4"/>
        <v>0</v>
      </c>
      <c r="Q26" s="700">
        <f t="shared" ref="Q26:Q88" si="5">SUM(E26:P26)</f>
        <v>560089808.13</v>
      </c>
      <c r="R26" s="72"/>
      <c r="S26" s="69"/>
      <c r="T26" s="69"/>
      <c r="U26" s="69"/>
      <c r="V26" s="69"/>
      <c r="W26" s="69"/>
      <c r="X26" s="69"/>
      <c r="Y26" s="740">
        <f t="shared" ref="Y26:Y89" si="6">+Q26/$E$20*100</f>
        <v>15.925214902758034</v>
      </c>
      <c r="Z26" s="69"/>
      <c r="AA26" s="69"/>
      <c r="AB26" s="69"/>
      <c r="AC26" s="69"/>
      <c r="AD26" s="69"/>
      <c r="AE26" s="69"/>
      <c r="AF26" s="69"/>
      <c r="AG26" s="69"/>
    </row>
    <row r="27" spans="1:33" ht="15" customHeight="1">
      <c r="A27" s="69"/>
      <c r="B27" s="69"/>
      <c r="C27" s="69"/>
      <c r="D27" s="876" t="str">
        <f>IF(MasterSheet!$A$1=1,MasterSheet!C339,MasterSheet!B339)</f>
        <v>Porez na dohodak fizičkih lica</v>
      </c>
      <c r="E27" s="354">
        <v>2526434.27</v>
      </c>
      <c r="F27" s="356">
        <v>6576693.6500000004</v>
      </c>
      <c r="G27" s="356">
        <v>6649607.6900000004</v>
      </c>
      <c r="H27" s="356">
        <v>6878624.96</v>
      </c>
      <c r="I27" s="356">
        <v>7715762.9900000002</v>
      </c>
      <c r="J27" s="356">
        <v>6905575.8099999996</v>
      </c>
      <c r="K27" s="356">
        <v>7544499.1699999999</v>
      </c>
      <c r="L27" s="355">
        <v>8683203.9299999997</v>
      </c>
      <c r="M27" s="355">
        <v>9021711.1099999994</v>
      </c>
      <c r="N27" s="355"/>
      <c r="O27" s="355"/>
      <c r="P27" s="355"/>
      <c r="Q27" s="704">
        <f t="shared" si="5"/>
        <v>62502113.580000006</v>
      </c>
      <c r="R27" s="72"/>
      <c r="S27" s="532"/>
      <c r="T27" s="69"/>
      <c r="U27" s="69"/>
      <c r="V27" s="69"/>
      <c r="W27" s="69"/>
      <c r="X27" s="69"/>
      <c r="Y27" s="741">
        <f t="shared" si="6"/>
        <v>1.7771428370770546</v>
      </c>
      <c r="Z27" s="69"/>
      <c r="AA27" s="69"/>
      <c r="AB27" s="69"/>
      <c r="AC27" s="69"/>
      <c r="AD27" s="69"/>
      <c r="AE27" s="69"/>
      <c r="AF27" s="69"/>
      <c r="AG27" s="69"/>
    </row>
    <row r="28" spans="1:33" ht="15" customHeight="1">
      <c r="A28" s="69"/>
      <c r="B28" s="69"/>
      <c r="C28" s="69"/>
      <c r="D28" s="876" t="str">
        <f>IF(MasterSheet!$A$1=1,MasterSheet!C340,MasterSheet!B340)</f>
        <v>Porez na dobit pravnih lica</v>
      </c>
      <c r="E28" s="354">
        <v>496276.24</v>
      </c>
      <c r="F28" s="356">
        <v>1055200.6000000001</v>
      </c>
      <c r="G28" s="356">
        <v>5089275.75</v>
      </c>
      <c r="H28" s="356">
        <v>14799003.470000001</v>
      </c>
      <c r="I28" s="356">
        <v>3059202.23</v>
      </c>
      <c r="J28" s="356">
        <v>3636920.85</v>
      </c>
      <c r="K28" s="356">
        <v>3866755.9</v>
      </c>
      <c r="L28" s="355">
        <v>2838435.42</v>
      </c>
      <c r="M28" s="355">
        <v>2334594.66</v>
      </c>
      <c r="N28" s="355"/>
      <c r="O28" s="355"/>
      <c r="P28" s="355"/>
      <c r="Q28" s="704">
        <f t="shared" si="5"/>
        <v>37175665.120000005</v>
      </c>
      <c r="R28" s="72"/>
      <c r="S28" s="69"/>
      <c r="T28" s="69"/>
      <c r="U28" s="69"/>
      <c r="V28" s="69"/>
      <c r="W28" s="69"/>
      <c r="X28" s="69"/>
      <c r="Y28" s="741">
        <f t="shared" si="6"/>
        <v>1.0570277259027583</v>
      </c>
      <c r="Z28" s="69"/>
      <c r="AA28" s="69"/>
      <c r="AB28" s="69"/>
      <c r="AC28" s="69"/>
      <c r="AD28" s="69"/>
      <c r="AE28" s="69"/>
      <c r="AF28" s="69"/>
      <c r="AG28" s="69"/>
    </row>
    <row r="29" spans="1:33" ht="15" customHeight="1">
      <c r="A29" s="69"/>
      <c r="B29" s="69"/>
      <c r="C29" s="69"/>
      <c r="D29" s="876" t="str">
        <f>IF(MasterSheet!$A$1=1,MasterSheet!C341,MasterSheet!B341)</f>
        <v>Porez na imovinu</v>
      </c>
      <c r="E29" s="354">
        <v>115652.5</v>
      </c>
      <c r="F29" s="356">
        <v>124226.81</v>
      </c>
      <c r="G29" s="356">
        <v>132357.70000000001</v>
      </c>
      <c r="H29" s="356">
        <v>115457.95</v>
      </c>
      <c r="I29" s="356">
        <v>67705.259999999995</v>
      </c>
      <c r="J29" s="356">
        <v>72081.91</v>
      </c>
      <c r="K29" s="356">
        <v>126831.7</v>
      </c>
      <c r="L29" s="355">
        <v>162557.79</v>
      </c>
      <c r="M29" s="355">
        <v>100652.07</v>
      </c>
      <c r="N29" s="355"/>
      <c r="O29" s="355"/>
      <c r="P29" s="355"/>
      <c r="Q29" s="704">
        <f t="shared" si="5"/>
        <v>1017523.69</v>
      </c>
      <c r="R29" s="72"/>
      <c r="S29" s="69"/>
      <c r="T29" s="69"/>
      <c r="U29" s="69"/>
      <c r="V29" s="69"/>
      <c r="W29" s="69"/>
      <c r="X29" s="69"/>
      <c r="Y29" s="741">
        <f t="shared" si="6"/>
        <v>2.8931580608473131E-2</v>
      </c>
      <c r="Z29" s="69"/>
      <c r="AA29" s="69"/>
      <c r="AB29" s="69"/>
      <c r="AC29" s="69"/>
      <c r="AD29" s="69"/>
      <c r="AE29" s="69"/>
      <c r="AF29" s="69"/>
      <c r="AG29" s="69"/>
    </row>
    <row r="30" spans="1:33" ht="15" customHeight="1">
      <c r="A30" s="69"/>
      <c r="B30" s="69"/>
      <c r="C30" s="69"/>
      <c r="D30" s="876" t="str">
        <f>IF(MasterSheet!$A$1=1,MasterSheet!C342,MasterSheet!B342)</f>
        <v>Porez na dodatu vrijednost</v>
      </c>
      <c r="E30" s="354">
        <v>24859352.079999998</v>
      </c>
      <c r="F30" s="356">
        <v>24747849.059999999</v>
      </c>
      <c r="G30" s="356">
        <v>29494568</v>
      </c>
      <c r="H30" s="356">
        <v>33764031.280000001</v>
      </c>
      <c r="I30" s="356">
        <v>34164912.100000001</v>
      </c>
      <c r="J30" s="356">
        <v>35865076.689999998</v>
      </c>
      <c r="K30" s="356">
        <v>47181978.859999999</v>
      </c>
      <c r="L30" s="355">
        <v>47065903.329999998</v>
      </c>
      <c r="M30" s="355">
        <v>40694228.75</v>
      </c>
      <c r="N30" s="355"/>
      <c r="O30" s="355"/>
      <c r="P30" s="355"/>
      <c r="Q30" s="704">
        <f t="shared" si="5"/>
        <v>317837900.14999998</v>
      </c>
      <c r="R30" s="72"/>
      <c r="S30" s="69"/>
      <c r="T30" s="69"/>
      <c r="U30" s="69"/>
      <c r="V30" s="69"/>
      <c r="W30" s="69"/>
      <c r="X30" s="69"/>
      <c r="Y30" s="741">
        <f t="shared" si="6"/>
        <v>9.0371879485356832</v>
      </c>
      <c r="Z30" s="69"/>
      <c r="AA30" s="69"/>
      <c r="AB30" s="69"/>
      <c r="AC30" s="69"/>
      <c r="AD30" s="69"/>
      <c r="AE30" s="69"/>
      <c r="AF30" s="69"/>
      <c r="AG30" s="69"/>
    </row>
    <row r="31" spans="1:33" ht="15" customHeight="1">
      <c r="A31" s="69"/>
      <c r="B31" s="69"/>
      <c r="C31" s="69"/>
      <c r="D31" s="876" t="str">
        <f>IF(MasterSheet!$A$1=1,MasterSheet!C343,MasterSheet!B343)</f>
        <v xml:space="preserve">Akcize </v>
      </c>
      <c r="E31" s="354">
        <v>9255849.1899999995</v>
      </c>
      <c r="F31" s="356">
        <v>8985711.9700000007</v>
      </c>
      <c r="G31" s="356">
        <v>10357645.699999999</v>
      </c>
      <c r="H31" s="356">
        <v>12315837.07</v>
      </c>
      <c r="I31" s="356">
        <v>12029998.560000001</v>
      </c>
      <c r="J31" s="356">
        <v>13029212.49</v>
      </c>
      <c r="K31" s="356">
        <v>16425719.380000001</v>
      </c>
      <c r="L31" s="355">
        <v>20976976.140000001</v>
      </c>
      <c r="M31" s="355">
        <v>17250832.809999999</v>
      </c>
      <c r="N31" s="355"/>
      <c r="O31" s="355"/>
      <c r="P31" s="355"/>
      <c r="Q31" s="704">
        <f t="shared" si="5"/>
        <v>120627783.31</v>
      </c>
      <c r="R31" s="72"/>
      <c r="S31" s="69"/>
      <c r="T31" s="69"/>
      <c r="U31" s="69"/>
      <c r="V31" s="69"/>
      <c r="W31" s="69"/>
      <c r="X31" s="69"/>
      <c r="Y31" s="741">
        <f t="shared" si="6"/>
        <v>3.4298488288313904</v>
      </c>
      <c r="Z31" s="69"/>
      <c r="AA31" s="69"/>
      <c r="AB31" s="69"/>
      <c r="AC31" s="69"/>
      <c r="AD31" s="69"/>
      <c r="AE31" s="69"/>
      <c r="AF31" s="69"/>
      <c r="AG31" s="69"/>
    </row>
    <row r="32" spans="1:33" ht="15" customHeight="1">
      <c r="A32" s="69"/>
      <c r="B32" s="69"/>
      <c r="C32" s="69"/>
      <c r="D32" s="876" t="str">
        <f>IF(MasterSheet!$A$1=1,MasterSheet!C344,MasterSheet!B344)</f>
        <v>Porez na međ. trgov. i transakcije</v>
      </c>
      <c r="E32" s="354">
        <v>1102894.92</v>
      </c>
      <c r="F32" s="356">
        <v>1314712.1299999999</v>
      </c>
      <c r="G32" s="356">
        <v>1860387.34</v>
      </c>
      <c r="H32" s="356">
        <v>2089824.5</v>
      </c>
      <c r="I32" s="356">
        <v>1988387.88</v>
      </c>
      <c r="J32" s="356">
        <v>1996988.03</v>
      </c>
      <c r="K32" s="356">
        <v>2464457.46</v>
      </c>
      <c r="L32" s="355">
        <v>2205770.9</v>
      </c>
      <c r="M32" s="355">
        <v>2039547.65</v>
      </c>
      <c r="N32" s="355"/>
      <c r="O32" s="355"/>
      <c r="P32" s="355"/>
      <c r="Q32" s="704">
        <f t="shared" si="5"/>
        <v>17062970.809999999</v>
      </c>
      <c r="R32" s="72"/>
      <c r="S32" s="69"/>
      <c r="T32" s="69"/>
      <c r="U32" s="69"/>
      <c r="V32" s="69"/>
      <c r="W32" s="69"/>
      <c r="X32" s="69"/>
      <c r="Y32" s="741">
        <f t="shared" si="6"/>
        <v>0.48515697497867499</v>
      </c>
      <c r="Z32" s="69"/>
      <c r="AA32" s="69"/>
      <c r="AB32" s="69"/>
      <c r="AC32" s="69"/>
      <c r="AD32" s="69"/>
      <c r="AE32" s="69"/>
      <c r="AF32" s="69"/>
      <c r="AG32" s="69"/>
    </row>
    <row r="33" spans="1:33" ht="15" customHeight="1">
      <c r="B33" s="69"/>
      <c r="C33" s="69"/>
      <c r="D33" s="876" t="str">
        <f>IF(MasterSheet!$A$1=1,MasterSheet!C345,MasterSheet!B345)</f>
        <v>Ostali republički porezi</v>
      </c>
      <c r="E33" s="354">
        <v>295222.94</v>
      </c>
      <c r="F33" s="356">
        <v>270164.90999999997</v>
      </c>
      <c r="G33" s="356">
        <v>351628.71</v>
      </c>
      <c r="H33" s="356">
        <v>434315.91</v>
      </c>
      <c r="I33" s="356">
        <v>461704.03</v>
      </c>
      <c r="J33" s="356">
        <v>485397.07</v>
      </c>
      <c r="K33" s="356">
        <v>545196.39</v>
      </c>
      <c r="L33" s="355">
        <v>493389.22</v>
      </c>
      <c r="M33" s="355">
        <v>528832.29</v>
      </c>
      <c r="N33" s="355"/>
      <c r="O33" s="355"/>
      <c r="P33" s="355"/>
      <c r="Q33" s="704">
        <f t="shared" si="5"/>
        <v>3865851.4699999997</v>
      </c>
      <c r="R33" s="72"/>
      <c r="S33" s="69"/>
      <c r="T33" s="69"/>
      <c r="U33" s="69"/>
      <c r="V33" s="69"/>
      <c r="W33" s="69"/>
      <c r="X33" s="69"/>
      <c r="Y33" s="741">
        <f t="shared" si="6"/>
        <v>0.10991900682399772</v>
      </c>
      <c r="Z33" s="69"/>
      <c r="AA33" s="69"/>
      <c r="AB33" s="69"/>
      <c r="AC33" s="69"/>
      <c r="AD33" s="69"/>
      <c r="AE33" s="69"/>
      <c r="AF33" s="69"/>
      <c r="AG33" s="69"/>
    </row>
    <row r="34" spans="1:33" ht="15" customHeight="1">
      <c r="A34" s="69"/>
      <c r="C34" s="69"/>
      <c r="D34" s="877" t="str">
        <f>IF(MasterSheet!$A$1=1,MasterSheet!C346,MasterSheet!B346)</f>
        <v>Doprinosi</v>
      </c>
      <c r="E34" s="693">
        <f t="shared" ref="E34:P34" si="7">SUM(E35:E38)</f>
        <v>11682979.650000002</v>
      </c>
      <c r="F34" s="694">
        <f t="shared" si="7"/>
        <v>27994298.860000003</v>
      </c>
      <c r="G34" s="694">
        <f t="shared" si="7"/>
        <v>28945916.93</v>
      </c>
      <c r="H34" s="694">
        <f t="shared" si="7"/>
        <v>27280628.250000004</v>
      </c>
      <c r="I34" s="694">
        <f t="shared" si="7"/>
        <v>28636828.640000001</v>
      </c>
      <c r="J34" s="694">
        <f t="shared" si="7"/>
        <v>32181705.779999997</v>
      </c>
      <c r="K34" s="1029">
        <f t="shared" si="7"/>
        <v>33084499.869999997</v>
      </c>
      <c r="L34" s="1029">
        <f t="shared" si="7"/>
        <v>36125435.899999999</v>
      </c>
      <c r="M34" s="1029">
        <f t="shared" si="7"/>
        <v>38355351.649999999</v>
      </c>
      <c r="N34" s="695">
        <f t="shared" si="7"/>
        <v>0</v>
      </c>
      <c r="O34" s="695">
        <f t="shared" si="7"/>
        <v>0</v>
      </c>
      <c r="P34" s="695">
        <f t="shared" si="7"/>
        <v>0</v>
      </c>
      <c r="Q34" s="690">
        <f t="shared" si="5"/>
        <v>264287645.53</v>
      </c>
      <c r="R34" s="72"/>
      <c r="S34" s="69"/>
      <c r="T34" s="69"/>
      <c r="U34" s="69"/>
      <c r="V34" s="69"/>
      <c r="W34" s="69"/>
      <c r="X34" s="69"/>
      <c r="Y34" s="742">
        <f t="shared" si="6"/>
        <v>7.514576216377594</v>
      </c>
      <c r="Z34" s="69"/>
      <c r="AA34" s="69"/>
      <c r="AB34" s="69"/>
      <c r="AC34" s="69"/>
      <c r="AD34" s="69"/>
      <c r="AE34" s="69"/>
      <c r="AF34" s="69"/>
      <c r="AG34" s="69"/>
    </row>
    <row r="35" spans="1:33" ht="15" customHeight="1">
      <c r="A35" s="69"/>
      <c r="B35" s="69"/>
      <c r="C35" s="69"/>
      <c r="D35" s="876" t="str">
        <f>IF(MasterSheet!$A$1=1,MasterSheet!C347,MasterSheet!B347)</f>
        <v>Doprinosi za PIO</v>
      </c>
      <c r="E35" s="354">
        <v>6569958.79</v>
      </c>
      <c r="F35" s="356">
        <v>16611196.84</v>
      </c>
      <c r="G35" s="356">
        <v>17067697.949999999</v>
      </c>
      <c r="H35" s="356">
        <v>16395294.609999999</v>
      </c>
      <c r="I35" s="356">
        <v>17202945.739999998</v>
      </c>
      <c r="J35" s="356">
        <v>19884670.050000001</v>
      </c>
      <c r="K35" s="376">
        <v>20554627.07</v>
      </c>
      <c r="L35" s="355">
        <v>21794241.239999998</v>
      </c>
      <c r="M35" s="355">
        <v>24404439.25</v>
      </c>
      <c r="N35" s="355"/>
      <c r="O35" s="355"/>
      <c r="P35" s="355"/>
      <c r="Q35" s="704">
        <f>SUM(E35:P35)</f>
        <v>160485071.53999999</v>
      </c>
      <c r="R35" s="72"/>
      <c r="S35" s="69"/>
      <c r="T35" s="69"/>
      <c r="U35" s="69"/>
      <c r="V35" s="69"/>
      <c r="W35" s="69"/>
      <c r="X35" s="69"/>
      <c r="Y35" s="741">
        <f t="shared" si="6"/>
        <v>4.5631240130793289</v>
      </c>
      <c r="Z35" s="532"/>
      <c r="AA35" s="69"/>
      <c r="AB35" s="69"/>
      <c r="AC35" s="69"/>
      <c r="AD35" s="69"/>
      <c r="AE35" s="69"/>
      <c r="AF35" s="69"/>
      <c r="AG35" s="69"/>
    </row>
    <row r="36" spans="1:33" ht="15" customHeight="1">
      <c r="A36" s="69"/>
      <c r="B36" s="69"/>
      <c r="C36" s="69"/>
      <c r="D36" s="876" t="str">
        <f>IF(MasterSheet!$A$1=1,MasterSheet!C348,MasterSheet!B348)</f>
        <v>Doprinosi za zdravstvo</v>
      </c>
      <c r="E36" s="354">
        <v>4448210.58</v>
      </c>
      <c r="F36" s="356">
        <v>9815385.6500000004</v>
      </c>
      <c r="G36" s="356">
        <v>10258473.91</v>
      </c>
      <c r="H36" s="356">
        <v>9269268.3100000005</v>
      </c>
      <c r="I36" s="356">
        <v>9910929.3900000006</v>
      </c>
      <c r="J36" s="356">
        <v>10350588.92</v>
      </c>
      <c r="K36" s="376">
        <v>10616032.939999999</v>
      </c>
      <c r="L36" s="355">
        <v>12357023.08</v>
      </c>
      <c r="M36" s="355">
        <v>12078523.4</v>
      </c>
      <c r="N36" s="355"/>
      <c r="O36" s="355"/>
      <c r="P36" s="355"/>
      <c r="Q36" s="704">
        <f t="shared" si="5"/>
        <v>89104436.180000007</v>
      </c>
      <c r="R36" s="72"/>
      <c r="S36" s="69"/>
      <c r="T36" s="69"/>
      <c r="U36" s="69"/>
      <c r="V36" s="69"/>
      <c r="W36" s="69"/>
      <c r="X36" s="69"/>
      <c r="Y36" s="741">
        <f t="shared" si="6"/>
        <v>2.5335352908729032</v>
      </c>
      <c r="Z36" s="532"/>
      <c r="AA36" s="69"/>
      <c r="AB36" s="69"/>
      <c r="AC36" s="69"/>
      <c r="AD36" s="69"/>
      <c r="AE36" s="69"/>
      <c r="AF36" s="69"/>
      <c r="AG36" s="69"/>
    </row>
    <row r="37" spans="1:33" ht="15" customHeight="1">
      <c r="A37" s="69"/>
      <c r="B37" s="69"/>
      <c r="C37" s="69"/>
      <c r="D37" s="876" t="str">
        <f>IF(MasterSheet!$A$1=1,MasterSheet!C349,MasterSheet!B349)</f>
        <v>Doprinosi za nezaposlene</v>
      </c>
      <c r="E37" s="354">
        <v>320175.14</v>
      </c>
      <c r="F37" s="356">
        <v>855409.48</v>
      </c>
      <c r="G37" s="356">
        <v>794755.32</v>
      </c>
      <c r="H37" s="356">
        <v>736973.07</v>
      </c>
      <c r="I37" s="356">
        <v>797748.44</v>
      </c>
      <c r="J37" s="356">
        <v>812695.59</v>
      </c>
      <c r="K37" s="376">
        <v>832467.98</v>
      </c>
      <c r="L37" s="355">
        <v>1001294.75</v>
      </c>
      <c r="M37" s="355">
        <v>974818.93</v>
      </c>
      <c r="N37" s="355"/>
      <c r="O37" s="355"/>
      <c r="P37" s="355"/>
      <c r="Q37" s="704">
        <f>SUM(E37:P37)</f>
        <v>7126338.6999999993</v>
      </c>
      <c r="R37" s="72"/>
      <c r="S37" s="69"/>
      <c r="T37" s="69"/>
      <c r="U37" s="69"/>
      <c r="V37" s="69"/>
      <c r="W37" s="69"/>
      <c r="X37" s="69"/>
      <c r="Y37" s="741">
        <f t="shared" si="6"/>
        <v>0.20262549616150127</v>
      </c>
      <c r="Z37" s="532"/>
      <c r="AA37" s="69"/>
      <c r="AB37" s="69"/>
      <c r="AC37" s="69"/>
      <c r="AD37" s="69"/>
      <c r="AE37" s="69"/>
      <c r="AF37" s="69"/>
      <c r="AG37" s="69"/>
    </row>
    <row r="38" spans="1:33" ht="15" customHeight="1">
      <c r="A38" s="69"/>
      <c r="B38" s="69"/>
      <c r="C38" s="69"/>
      <c r="D38" s="876" t="str">
        <f>IF(MasterSheet!$A$1=1,MasterSheet!C350,MasterSheet!B350)</f>
        <v>Ostali doprinosi</v>
      </c>
      <c r="E38" s="354">
        <v>344635.14</v>
      </c>
      <c r="F38" s="356">
        <v>712306.89</v>
      </c>
      <c r="G38" s="356">
        <v>824989.75</v>
      </c>
      <c r="H38" s="356">
        <v>879092.26</v>
      </c>
      <c r="I38" s="356">
        <v>725205.07</v>
      </c>
      <c r="J38" s="356">
        <v>1133751.22</v>
      </c>
      <c r="K38" s="376">
        <v>1081371.8799999999</v>
      </c>
      <c r="L38" s="355">
        <v>972876.83</v>
      </c>
      <c r="M38" s="355">
        <v>897570.07</v>
      </c>
      <c r="N38" s="355"/>
      <c r="O38" s="355"/>
      <c r="P38" s="355"/>
      <c r="Q38" s="704">
        <f t="shared" si="5"/>
        <v>7571799.1100000003</v>
      </c>
      <c r="R38" s="72"/>
      <c r="S38" s="69"/>
      <c r="T38" s="69"/>
      <c r="U38" s="69"/>
      <c r="V38" s="69"/>
      <c r="W38" s="69"/>
      <c r="X38" s="69"/>
      <c r="Y38" s="741">
        <f t="shared" si="6"/>
        <v>0.21529141626386122</v>
      </c>
      <c r="Z38" s="532"/>
      <c r="AA38" s="69"/>
      <c r="AB38" s="69"/>
      <c r="AC38" s="69"/>
      <c r="AD38" s="69"/>
      <c r="AE38" s="69"/>
      <c r="AF38" s="69"/>
      <c r="AG38" s="69"/>
    </row>
    <row r="39" spans="1:33" ht="15" customHeight="1">
      <c r="A39" s="69"/>
      <c r="B39" s="69"/>
      <c r="C39" s="69"/>
      <c r="D39" s="877" t="str">
        <f>IF(MasterSheet!$A$1=1,MasterSheet!C351,MasterSheet!B351)</f>
        <v>Takse</v>
      </c>
      <c r="E39" s="693">
        <f t="shared" ref="E39:P39" si="8">SUM(E40:E43)</f>
        <v>1080928.04</v>
      </c>
      <c r="F39" s="694">
        <f t="shared" si="8"/>
        <v>1829225.49</v>
      </c>
      <c r="G39" s="694">
        <f t="shared" si="8"/>
        <v>2131564.3200000003</v>
      </c>
      <c r="H39" s="694">
        <f t="shared" si="8"/>
        <v>2230267.9299999997</v>
      </c>
      <c r="I39" s="694">
        <f t="shared" si="8"/>
        <v>2071940.67</v>
      </c>
      <c r="J39" s="694">
        <f t="shared" si="8"/>
        <v>1957907.6099999999</v>
      </c>
      <c r="K39" s="1029">
        <f t="shared" si="8"/>
        <v>2791601.84</v>
      </c>
      <c r="L39" s="1029">
        <f t="shared" si="8"/>
        <v>2261452.54</v>
      </c>
      <c r="M39" s="1029">
        <f t="shared" si="8"/>
        <v>1703660.69</v>
      </c>
      <c r="N39" s="695">
        <f t="shared" si="8"/>
        <v>0</v>
      </c>
      <c r="O39" s="695">
        <f t="shared" si="8"/>
        <v>0</v>
      </c>
      <c r="P39" s="695">
        <f t="shared" si="8"/>
        <v>0</v>
      </c>
      <c r="Q39" s="690">
        <f t="shared" si="5"/>
        <v>18058549.129999999</v>
      </c>
      <c r="R39" s="72"/>
      <c r="S39" s="69"/>
      <c r="T39" s="69"/>
      <c r="U39" s="69"/>
      <c r="V39" s="69"/>
      <c r="W39" s="69"/>
      <c r="X39" s="69"/>
      <c r="Y39" s="742">
        <f t="shared" si="6"/>
        <v>0.51346457577480809</v>
      </c>
      <c r="Z39" s="69"/>
      <c r="AA39" s="69"/>
      <c r="AB39" s="69"/>
      <c r="AC39" s="69"/>
      <c r="AD39" s="69"/>
      <c r="AE39" s="69"/>
      <c r="AF39" s="69"/>
      <c r="AG39" s="69"/>
    </row>
    <row r="40" spans="1:33" ht="15" customHeight="1">
      <c r="A40" s="69"/>
      <c r="B40" s="69"/>
      <c r="C40" s="69"/>
      <c r="D40" s="876" t="str">
        <f>IF(MasterSheet!$A$1=1,MasterSheet!C352,MasterSheet!B352)</f>
        <v>Administrativne takse</v>
      </c>
      <c r="E40" s="354">
        <v>459792.77</v>
      </c>
      <c r="F40" s="356">
        <v>500772.32</v>
      </c>
      <c r="G40" s="356">
        <v>416213.56</v>
      </c>
      <c r="H40" s="356">
        <v>800629.84</v>
      </c>
      <c r="I40" s="356">
        <v>741038.8</v>
      </c>
      <c r="J40" s="356">
        <v>768918.82</v>
      </c>
      <c r="K40" s="376">
        <v>817787.48</v>
      </c>
      <c r="L40" s="355">
        <v>653256.11</v>
      </c>
      <c r="M40" s="355">
        <v>649765.01</v>
      </c>
      <c r="N40" s="355"/>
      <c r="O40" s="355"/>
      <c r="P40" s="355"/>
      <c r="Q40" s="704">
        <f t="shared" si="5"/>
        <v>5808174.71</v>
      </c>
      <c r="R40" s="631"/>
      <c r="S40" s="69"/>
      <c r="T40" s="69"/>
      <c r="U40" s="69"/>
      <c r="V40" s="69"/>
      <c r="W40" s="69"/>
      <c r="X40" s="69"/>
      <c r="Y40" s="741">
        <f t="shared" si="6"/>
        <v>0.1651457125390958</v>
      </c>
      <c r="Z40" s="69"/>
      <c r="AA40" s="69"/>
      <c r="AB40" s="69"/>
      <c r="AC40" s="69"/>
      <c r="AD40" s="69"/>
      <c r="AE40" s="69"/>
      <c r="AF40" s="69"/>
      <c r="AG40" s="69"/>
    </row>
    <row r="41" spans="1:33" ht="15" customHeight="1">
      <c r="A41" s="69"/>
      <c r="B41" s="69"/>
      <c r="C41" s="69"/>
      <c r="D41" s="876" t="str">
        <f>IF(MasterSheet!$A$1=1,MasterSheet!C353,MasterSheet!B353)</f>
        <v>Sudske takse</v>
      </c>
      <c r="E41" s="354">
        <v>249117.52</v>
      </c>
      <c r="F41" s="356">
        <v>274019.34999999998</v>
      </c>
      <c r="G41" s="356">
        <v>324113.08</v>
      </c>
      <c r="H41" s="356">
        <v>340962.4</v>
      </c>
      <c r="I41" s="356">
        <v>236053.6</v>
      </c>
      <c r="J41" s="356">
        <v>329926.8</v>
      </c>
      <c r="K41" s="376">
        <v>394971.79</v>
      </c>
      <c r="L41" s="355">
        <v>193627.12</v>
      </c>
      <c r="M41" s="355">
        <v>283408.96999999997</v>
      </c>
      <c r="N41" s="355"/>
      <c r="O41" s="355"/>
      <c r="P41" s="355"/>
      <c r="Q41" s="704">
        <f t="shared" si="5"/>
        <v>2626200.63</v>
      </c>
      <c r="R41" s="72"/>
      <c r="S41" s="69"/>
      <c r="T41" s="69"/>
      <c r="U41" s="69"/>
      <c r="V41" s="69"/>
      <c r="W41" s="69"/>
      <c r="X41" s="69"/>
      <c r="Y41" s="741">
        <f t="shared" si="6"/>
        <v>7.4671613022462321E-2</v>
      </c>
      <c r="Z41" s="69"/>
      <c r="AA41" s="73"/>
      <c r="AB41" s="69"/>
      <c r="AC41" s="69"/>
      <c r="AD41" s="69"/>
      <c r="AE41" s="69"/>
      <c r="AF41" s="69"/>
      <c r="AG41" s="69"/>
    </row>
    <row r="42" spans="1:33" ht="15" customHeight="1">
      <c r="A42" s="69"/>
      <c r="B42" s="69"/>
      <c r="C42" s="69"/>
      <c r="D42" s="876" t="str">
        <f>IF(MasterSheet!$A$1=1,MasterSheet!C354,MasterSheet!B354)</f>
        <v>Boravišne takse</v>
      </c>
      <c r="E42" s="354">
        <v>7635.04</v>
      </c>
      <c r="F42" s="356">
        <v>9839.27</v>
      </c>
      <c r="G42" s="356">
        <v>13749.62</v>
      </c>
      <c r="H42" s="356">
        <v>30237.24</v>
      </c>
      <c r="I42" s="356">
        <v>51941.32</v>
      </c>
      <c r="J42" s="356">
        <v>88623.71</v>
      </c>
      <c r="K42" s="376">
        <v>163284.24</v>
      </c>
      <c r="L42" s="355">
        <v>197232.93</v>
      </c>
      <c r="M42" s="355">
        <v>111463.85</v>
      </c>
      <c r="N42" s="355"/>
      <c r="O42" s="355"/>
      <c r="P42" s="355"/>
      <c r="Q42" s="704">
        <f t="shared" si="5"/>
        <v>674007.22</v>
      </c>
      <c r="R42" s="72"/>
      <c r="S42" s="69"/>
      <c r="T42" s="69"/>
      <c r="U42" s="69"/>
      <c r="V42" s="69"/>
      <c r="W42" s="69"/>
      <c r="X42" s="69"/>
      <c r="Y42" s="741">
        <f t="shared" si="6"/>
        <v>1.916426556724481E-2</v>
      </c>
      <c r="Z42" s="69"/>
      <c r="AA42" s="69"/>
      <c r="AB42" s="69"/>
      <c r="AC42" s="69"/>
      <c r="AD42" s="69"/>
      <c r="AE42" s="69"/>
      <c r="AF42" s="69"/>
      <c r="AG42" s="69"/>
    </row>
    <row r="43" spans="1:33" ht="15" customHeight="1">
      <c r="A43" s="69"/>
      <c r="B43" s="69"/>
      <c r="C43" s="69"/>
      <c r="D43" s="876" t="str">
        <f>IF(MasterSheet!$A$1=1,MasterSheet!C355,MasterSheet!B355)</f>
        <v>Ostale takse</v>
      </c>
      <c r="E43" s="354">
        <v>364382.71</v>
      </c>
      <c r="F43" s="356">
        <v>1044594.55</v>
      </c>
      <c r="G43" s="356">
        <v>1377488.06</v>
      </c>
      <c r="H43" s="356">
        <v>1058438.45</v>
      </c>
      <c r="I43" s="356">
        <v>1042906.95</v>
      </c>
      <c r="J43" s="356">
        <v>770438.28</v>
      </c>
      <c r="K43" s="376">
        <v>1415558.33</v>
      </c>
      <c r="L43" s="355">
        <v>1217336.3799999999</v>
      </c>
      <c r="M43" s="355">
        <v>659022.86</v>
      </c>
      <c r="N43" s="355"/>
      <c r="O43" s="355"/>
      <c r="P43" s="355"/>
      <c r="Q43" s="704">
        <f t="shared" si="5"/>
        <v>8950166.5700000003</v>
      </c>
      <c r="R43" s="72"/>
      <c r="S43" s="69"/>
      <c r="T43" s="69"/>
      <c r="U43" s="69"/>
      <c r="V43" s="69"/>
      <c r="W43" s="69"/>
      <c r="X43" s="69"/>
      <c r="Y43" s="741">
        <f t="shared" si="6"/>
        <v>0.25448298464600511</v>
      </c>
      <c r="Z43" s="69"/>
      <c r="AA43" s="69"/>
      <c r="AB43" s="69"/>
      <c r="AC43" s="69"/>
      <c r="AD43" s="69"/>
      <c r="AE43" s="69"/>
      <c r="AF43" s="69"/>
      <c r="AG43" s="69"/>
    </row>
    <row r="44" spans="1:33" ht="15" customHeight="1">
      <c r="A44" s="69"/>
      <c r="B44" s="69"/>
      <c r="C44" s="69"/>
      <c r="D44" s="877" t="str">
        <f>IF(MasterSheet!$A$1=1,MasterSheet!C356,MasterSheet!B356)</f>
        <v>Naknade</v>
      </c>
      <c r="E44" s="693">
        <f t="shared" ref="E44:P44" si="9">SUM(E45:E50)</f>
        <v>893749.17</v>
      </c>
      <c r="F44" s="694">
        <f t="shared" si="9"/>
        <v>1163449.29</v>
      </c>
      <c r="G44" s="694">
        <f t="shared" si="9"/>
        <v>1397810.9500000002</v>
      </c>
      <c r="H44" s="694">
        <f t="shared" si="9"/>
        <v>988260.99</v>
      </c>
      <c r="I44" s="694">
        <f t="shared" si="9"/>
        <v>663493.42000000004</v>
      </c>
      <c r="J44" s="694">
        <f t="shared" si="9"/>
        <v>985589.28</v>
      </c>
      <c r="K44" s="1029">
        <f t="shared" si="9"/>
        <v>1220629.7999999998</v>
      </c>
      <c r="L44" s="1029">
        <f t="shared" si="9"/>
        <v>1071856.1399999999</v>
      </c>
      <c r="M44" s="1029">
        <f t="shared" si="9"/>
        <v>1326309.73</v>
      </c>
      <c r="N44" s="695">
        <f t="shared" si="9"/>
        <v>0</v>
      </c>
      <c r="O44" s="695">
        <f t="shared" si="9"/>
        <v>0</v>
      </c>
      <c r="P44" s="695">
        <f t="shared" si="9"/>
        <v>0</v>
      </c>
      <c r="Q44" s="690">
        <f t="shared" si="5"/>
        <v>9711148.7699999996</v>
      </c>
      <c r="R44" s="72"/>
      <c r="S44" s="69"/>
      <c r="T44" s="69"/>
      <c r="U44" s="69"/>
      <c r="V44" s="69"/>
      <c r="W44" s="69"/>
      <c r="X44" s="69"/>
      <c r="Y44" s="742">
        <f t="shared" si="6"/>
        <v>0.2761202379869207</v>
      </c>
      <c r="Z44" s="69"/>
      <c r="AA44" s="69"/>
      <c r="AB44" s="69"/>
      <c r="AC44" s="69"/>
      <c r="AD44" s="69"/>
      <c r="AE44" s="69"/>
      <c r="AF44" s="69"/>
      <c r="AG44" s="69"/>
    </row>
    <row r="45" spans="1:33" ht="15" customHeight="1">
      <c r="A45" s="69"/>
      <c r="B45" s="69"/>
      <c r="C45" s="69"/>
      <c r="D45" s="876" t="str">
        <f>IF(MasterSheet!$A$1=1,MasterSheet!C357,MasterSheet!B357)</f>
        <v>Nakn. za koriš. dob. od opš. int.</v>
      </c>
      <c r="E45" s="354">
        <v>12391.26</v>
      </c>
      <c r="F45" s="356">
        <v>9264.06</v>
      </c>
      <c r="G45" s="356">
        <v>19332.669999999998</v>
      </c>
      <c r="H45" s="356">
        <v>48395.81</v>
      </c>
      <c r="I45" s="356">
        <v>27750.959999999999</v>
      </c>
      <c r="J45" s="356">
        <v>70400.89</v>
      </c>
      <c r="K45" s="376">
        <v>64040.69</v>
      </c>
      <c r="L45" s="355">
        <v>63273.440000000002</v>
      </c>
      <c r="M45" s="355">
        <v>75343.27</v>
      </c>
      <c r="N45" s="355"/>
      <c r="O45" s="355"/>
      <c r="P45" s="355"/>
      <c r="Q45" s="704">
        <f t="shared" si="5"/>
        <v>390193.05</v>
      </c>
      <c r="R45" s="72"/>
      <c r="S45" s="69"/>
      <c r="T45" s="69"/>
      <c r="U45" s="69"/>
      <c r="V45" s="69"/>
      <c r="W45" s="69"/>
      <c r="X45" s="69"/>
      <c r="Y45" s="741">
        <f t="shared" si="6"/>
        <v>1.1094485356838215E-2</v>
      </c>
      <c r="Z45" s="69"/>
      <c r="AA45" s="69"/>
      <c r="AB45" s="69"/>
      <c r="AC45" s="69"/>
      <c r="AD45" s="69"/>
      <c r="AE45" s="69"/>
      <c r="AF45" s="69"/>
      <c r="AG45" s="69"/>
    </row>
    <row r="46" spans="1:33" ht="15" customHeight="1">
      <c r="A46" s="69"/>
      <c r="B46" s="69"/>
      <c r="C46" s="69"/>
      <c r="D46" s="876" t="str">
        <f>IF(MasterSheet!$A$1=1,MasterSheet!C358,MasterSheet!B358)</f>
        <v>Naknada za kor. prirodnih dobara</v>
      </c>
      <c r="E46" s="354">
        <v>68464.97</v>
      </c>
      <c r="F46" s="356">
        <v>158539.48000000001</v>
      </c>
      <c r="G46" s="356">
        <v>86875.06</v>
      </c>
      <c r="H46" s="356">
        <v>139023.51</v>
      </c>
      <c r="I46" s="356">
        <v>88167.33</v>
      </c>
      <c r="J46" s="356">
        <v>150765.28</v>
      </c>
      <c r="K46" s="376">
        <v>282162.89</v>
      </c>
      <c r="L46" s="355">
        <v>250555.05</v>
      </c>
      <c r="M46" s="355">
        <v>339587.75</v>
      </c>
      <c r="N46" s="355"/>
      <c r="O46" s="355"/>
      <c r="P46" s="355"/>
      <c r="Q46" s="704">
        <f t="shared" si="5"/>
        <v>1564141.32</v>
      </c>
      <c r="R46" s="72"/>
      <c r="S46" s="69"/>
      <c r="T46" s="69"/>
      <c r="U46" s="69"/>
      <c r="V46" s="69"/>
      <c r="W46" s="69"/>
      <c r="X46" s="69"/>
      <c r="Y46" s="741">
        <f t="shared" si="6"/>
        <v>4.4473736707421101E-2</v>
      </c>
      <c r="Z46" s="69"/>
      <c r="AA46" s="69"/>
      <c r="AB46" s="69"/>
      <c r="AC46" s="69"/>
      <c r="AD46" s="69"/>
      <c r="AE46" s="69"/>
      <c r="AF46" s="69"/>
      <c r="AG46" s="69"/>
    </row>
    <row r="47" spans="1:33" ht="15" customHeight="1">
      <c r="A47" s="69"/>
      <c r="B47" s="69"/>
      <c r="C47" s="69"/>
      <c r="D47" s="876" t="str">
        <f>IF(MasterSheet!$A$1=1,MasterSheet!C359,MasterSheet!B359)</f>
        <v>Ekološke naknade</v>
      </c>
      <c r="E47" s="354">
        <v>6048</v>
      </c>
      <c r="F47" s="356">
        <v>320.11</v>
      </c>
      <c r="G47" s="356">
        <v>56177.94</v>
      </c>
      <c r="H47" s="356">
        <v>130839.86</v>
      </c>
      <c r="I47" s="356">
        <v>16753.849999999999</v>
      </c>
      <c r="J47" s="356">
        <v>764.61</v>
      </c>
      <c r="K47" s="376">
        <v>914.61</v>
      </c>
      <c r="L47" s="355">
        <v>42276.51</v>
      </c>
      <c r="M47" s="355">
        <v>13918.49</v>
      </c>
      <c r="N47" s="355"/>
      <c r="O47" s="355"/>
      <c r="P47" s="355"/>
      <c r="Q47" s="704">
        <f t="shared" si="5"/>
        <v>268013.98</v>
      </c>
      <c r="R47" s="72"/>
      <c r="S47" s="69"/>
      <c r="T47" s="69"/>
      <c r="U47" s="69"/>
      <c r="V47" s="69"/>
      <c r="W47" s="69"/>
      <c r="X47" s="69"/>
      <c r="Y47" s="741">
        <f t="shared" si="6"/>
        <v>7.620528291157236E-3</v>
      </c>
      <c r="Z47" s="69"/>
      <c r="AA47" s="69"/>
      <c r="AB47" s="69"/>
      <c r="AC47" s="69"/>
      <c r="AD47" s="69"/>
      <c r="AE47" s="69"/>
      <c r="AF47" s="69"/>
      <c r="AG47" s="69"/>
    </row>
    <row r="48" spans="1:33" ht="15" customHeight="1">
      <c r="A48" s="69"/>
      <c r="B48" s="69"/>
      <c r="C48" s="69"/>
      <c r="D48" s="876" t="str">
        <f>IF(MasterSheet!$A$1=1,MasterSheet!C360,MasterSheet!B360)</f>
        <v>Naknade za priređ.  igara na sreću</v>
      </c>
      <c r="E48" s="354">
        <v>222019.59</v>
      </c>
      <c r="F48" s="356">
        <v>260412.76</v>
      </c>
      <c r="G48" s="356">
        <v>313915.52000000002</v>
      </c>
      <c r="H48" s="356">
        <v>296413.03999999998</v>
      </c>
      <c r="I48" s="356">
        <v>213025.27</v>
      </c>
      <c r="J48" s="356">
        <v>239906.22</v>
      </c>
      <c r="K48" s="376">
        <v>270961.98</v>
      </c>
      <c r="L48" s="355">
        <v>229984.6</v>
      </c>
      <c r="M48" s="355">
        <v>298987.89</v>
      </c>
      <c r="N48" s="355"/>
      <c r="O48" s="355"/>
      <c r="P48" s="355"/>
      <c r="Q48" s="704">
        <f t="shared" si="5"/>
        <v>2345626.87</v>
      </c>
      <c r="R48" s="72"/>
      <c r="S48" s="69"/>
      <c r="T48" s="69"/>
      <c r="U48" s="69"/>
      <c r="V48" s="69"/>
      <c r="W48" s="69"/>
      <c r="X48" s="69"/>
      <c r="Y48" s="741">
        <f t="shared" si="6"/>
        <v>6.6693968439010515E-2</v>
      </c>
      <c r="Z48" s="69"/>
      <c r="AA48" s="69"/>
      <c r="AB48" s="69"/>
      <c r="AC48" s="69"/>
      <c r="AD48" s="69"/>
      <c r="AE48" s="69"/>
      <c r="AF48" s="69"/>
      <c r="AG48" s="69"/>
    </row>
    <row r="49" spans="1:33" ht="15" customHeight="1">
      <c r="A49" s="69"/>
      <c r="B49" s="69"/>
      <c r="C49" s="69"/>
      <c r="D49" s="876" t="str">
        <f>IF(MasterSheet!$A$1=1,MasterSheet!C361,MasterSheet!B361)</f>
        <v>Naknade za puteve</v>
      </c>
      <c r="E49" s="1016">
        <v>200170.6</v>
      </c>
      <c r="F49" s="1017">
        <v>185750</v>
      </c>
      <c r="G49" s="1017">
        <v>228989.35</v>
      </c>
      <c r="H49" s="1017">
        <v>274371.25</v>
      </c>
      <c r="I49" s="1017">
        <v>243469.35</v>
      </c>
      <c r="J49" s="1017">
        <v>383575.83</v>
      </c>
      <c r="K49" s="1030">
        <v>441154.74</v>
      </c>
      <c r="L49" s="1018">
        <v>390342.59</v>
      </c>
      <c r="M49" s="1018">
        <v>273601.76</v>
      </c>
      <c r="N49" s="1018"/>
      <c r="O49" s="1018"/>
      <c r="P49" s="1018"/>
      <c r="Q49" s="704">
        <f t="shared" si="5"/>
        <v>2621425.4699999997</v>
      </c>
      <c r="R49" s="72"/>
      <c r="S49" s="69"/>
      <c r="T49" s="69"/>
      <c r="U49" s="69"/>
      <c r="V49" s="69"/>
      <c r="W49" s="69"/>
      <c r="X49" s="69"/>
      <c r="Y49" s="741">
        <f t="shared" si="6"/>
        <v>7.4535839351720215E-2</v>
      </c>
      <c r="Z49" s="69"/>
      <c r="AA49" s="69"/>
      <c r="AB49" s="69"/>
      <c r="AC49" s="69"/>
      <c r="AD49" s="69"/>
      <c r="AE49" s="69"/>
      <c r="AF49" s="69"/>
      <c r="AG49" s="69"/>
    </row>
    <row r="50" spans="1:33" ht="15" customHeight="1">
      <c r="A50" s="69"/>
      <c r="B50" s="69"/>
      <c r="C50" s="69"/>
      <c r="D50" s="876" t="str">
        <f>IF(MasterSheet!$A$1=1,MasterSheet!C362,MasterSheet!B362)</f>
        <v>Ostale naknade</v>
      </c>
      <c r="E50" s="354">
        <v>384654.75</v>
      </c>
      <c r="F50" s="356">
        <v>549162.88</v>
      </c>
      <c r="G50" s="356">
        <v>692520.41</v>
      </c>
      <c r="H50" s="356">
        <v>99217.52</v>
      </c>
      <c r="I50" s="356">
        <v>74326.66</v>
      </c>
      <c r="J50" s="356">
        <v>140176.45000000001</v>
      </c>
      <c r="K50" s="376">
        <v>161394.89000000001</v>
      </c>
      <c r="L50" s="355">
        <v>95423.95</v>
      </c>
      <c r="M50" s="355">
        <v>324870.57</v>
      </c>
      <c r="N50" s="355"/>
      <c r="O50" s="355"/>
      <c r="P50" s="355"/>
      <c r="Q50" s="704">
        <f t="shared" si="5"/>
        <v>2521748.08</v>
      </c>
      <c r="R50" s="72"/>
      <c r="S50" s="69"/>
      <c r="T50" s="69"/>
      <c r="U50" s="69"/>
      <c r="V50" s="69"/>
      <c r="W50" s="69"/>
      <c r="X50" s="69"/>
      <c r="Y50" s="741">
        <f t="shared" si="6"/>
        <v>7.1701679840773386E-2</v>
      </c>
      <c r="Z50" s="69"/>
      <c r="AA50" s="69"/>
      <c r="AB50" s="69"/>
      <c r="AC50" s="69"/>
      <c r="AD50" s="69"/>
      <c r="AE50" s="69"/>
      <c r="AF50" s="69"/>
      <c r="AG50" s="69"/>
    </row>
    <row r="51" spans="1:33" ht="15" customHeight="1">
      <c r="A51" s="69"/>
      <c r="B51" s="69"/>
      <c r="C51" s="69"/>
      <c r="D51" s="877" t="str">
        <f>IF(MasterSheet!$A$1=1,MasterSheet!C363,MasterSheet!B363)</f>
        <v>Ostali prihodi</v>
      </c>
      <c r="E51" s="693">
        <f t="shared" ref="E51:P51" si="10">SUM(E52:E55)</f>
        <v>2240069.08</v>
      </c>
      <c r="F51" s="694">
        <f t="shared" si="10"/>
        <v>1379089.5</v>
      </c>
      <c r="G51" s="694">
        <f t="shared" si="10"/>
        <v>1585734.3</v>
      </c>
      <c r="H51" s="694">
        <f t="shared" si="10"/>
        <v>2753021.1100000003</v>
      </c>
      <c r="I51" s="694">
        <f t="shared" si="10"/>
        <v>2929020</v>
      </c>
      <c r="J51" s="694">
        <f t="shared" si="10"/>
        <v>2018400.1600000001</v>
      </c>
      <c r="K51" s="1029">
        <f t="shared" si="10"/>
        <v>3244584.8200000003</v>
      </c>
      <c r="L51" s="1029">
        <f t="shared" si="10"/>
        <v>2551646.06</v>
      </c>
      <c r="M51" s="1029">
        <f t="shared" si="10"/>
        <v>2639562.8600000003</v>
      </c>
      <c r="N51" s="695">
        <f t="shared" si="10"/>
        <v>0</v>
      </c>
      <c r="O51" s="695">
        <f t="shared" si="10"/>
        <v>0</v>
      </c>
      <c r="P51" s="695">
        <f t="shared" si="10"/>
        <v>0</v>
      </c>
      <c r="Q51" s="690">
        <f t="shared" si="5"/>
        <v>21341127.890000001</v>
      </c>
      <c r="R51" s="72"/>
      <c r="S51" s="69"/>
      <c r="T51" s="69"/>
      <c r="U51" s="69"/>
      <c r="V51" s="69"/>
      <c r="W51" s="69"/>
      <c r="X51" s="69"/>
      <c r="Y51" s="742">
        <f t="shared" si="6"/>
        <v>0.60679920073926641</v>
      </c>
      <c r="Z51" s="69"/>
      <c r="AA51" s="69"/>
      <c r="AB51" s="69"/>
      <c r="AC51" s="69"/>
      <c r="AD51" s="69"/>
      <c r="AE51" s="69"/>
      <c r="AF51" s="69"/>
      <c r="AG51" s="69"/>
    </row>
    <row r="52" spans="1:33" ht="15" customHeight="1">
      <c r="A52" s="69"/>
      <c r="B52" s="69"/>
      <c r="C52" s="69"/>
      <c r="D52" s="876" t="str">
        <f>IF(MasterSheet!$A$1=1,MasterSheet!C364,MasterSheet!B364)</f>
        <v>Prihodi od kapitala</v>
      </c>
      <c r="E52" s="354">
        <v>10440.799999999999</v>
      </c>
      <c r="F52" s="356">
        <v>15445.82</v>
      </c>
      <c r="G52" s="356">
        <v>756900.55</v>
      </c>
      <c r="H52" s="356">
        <v>784739.93</v>
      </c>
      <c r="I52" s="356">
        <v>254972.28</v>
      </c>
      <c r="J52" s="356">
        <v>113409.59</v>
      </c>
      <c r="K52" s="376">
        <v>79102.33</v>
      </c>
      <c r="L52" s="355">
        <v>7776.54</v>
      </c>
      <c r="M52" s="355">
        <v>31884.59</v>
      </c>
      <c r="N52" s="355"/>
      <c r="O52" s="355"/>
      <c r="P52" s="355"/>
      <c r="Q52" s="704">
        <f t="shared" si="5"/>
        <v>2054672.4300000004</v>
      </c>
      <c r="R52" s="72"/>
      <c r="S52" s="69"/>
      <c r="T52" s="69"/>
      <c r="U52" s="69"/>
      <c r="V52" s="69"/>
      <c r="W52" s="69"/>
      <c r="X52" s="69"/>
      <c r="Y52" s="741">
        <f t="shared" si="6"/>
        <v>5.8421166619277806E-2</v>
      </c>
      <c r="Z52" s="69"/>
      <c r="AA52" s="69"/>
      <c r="AB52" s="69"/>
      <c r="AC52" s="69"/>
      <c r="AD52" s="69"/>
      <c r="AE52" s="69"/>
      <c r="AF52" s="69"/>
      <c r="AG52" s="69"/>
    </row>
    <row r="53" spans="1:33" ht="15" customHeight="1">
      <c r="A53" s="69"/>
      <c r="B53" s="69"/>
      <c r="C53" s="69"/>
      <c r="D53" s="876" t="str">
        <f>IF(MasterSheet!$A$1=1,MasterSheet!C365,MasterSheet!B365)</f>
        <v>Novčane kazne i oduzete imovinske koristi</v>
      </c>
      <c r="E53" s="354">
        <v>557860.02</v>
      </c>
      <c r="F53" s="356">
        <v>771358.48</v>
      </c>
      <c r="G53" s="356">
        <v>196877.73</v>
      </c>
      <c r="H53" s="356">
        <v>166320.09</v>
      </c>
      <c r="I53" s="356">
        <v>1021420.24</v>
      </c>
      <c r="J53" s="356">
        <v>1082837.3999999999</v>
      </c>
      <c r="K53" s="376">
        <v>1623054.55</v>
      </c>
      <c r="L53" s="355">
        <v>1626229.21</v>
      </c>
      <c r="M53" s="355">
        <v>1195519.1200000001</v>
      </c>
      <c r="N53" s="355"/>
      <c r="O53" s="355"/>
      <c r="P53" s="355"/>
      <c r="Q53" s="704">
        <f t="shared" si="5"/>
        <v>8241476.8399999999</v>
      </c>
      <c r="R53" s="72"/>
      <c r="S53" s="69"/>
      <c r="T53" s="69"/>
      <c r="U53" s="69"/>
      <c r="V53" s="69"/>
      <c r="W53" s="69"/>
      <c r="X53" s="69"/>
      <c r="Y53" s="741">
        <f t="shared" si="6"/>
        <v>0.23433258003980667</v>
      </c>
      <c r="Z53" s="69"/>
      <c r="AA53" s="69"/>
      <c r="AB53" s="69"/>
      <c r="AC53" s="69"/>
      <c r="AD53" s="69"/>
      <c r="AE53" s="69"/>
      <c r="AF53" s="69"/>
      <c r="AG53" s="69"/>
    </row>
    <row r="54" spans="1:33" ht="15" customHeight="1">
      <c r="A54" s="69"/>
      <c r="B54" s="69"/>
      <c r="C54" s="69"/>
      <c r="D54" s="876" t="str">
        <f>IF(MasterSheet!$A$1=1,MasterSheet!C366,MasterSheet!B366)</f>
        <v>Prihodi koje organi ostvaruju vršenjem svoje djel.</v>
      </c>
      <c r="E54" s="354">
        <v>90759.26</v>
      </c>
      <c r="F54" s="356">
        <v>122800.12</v>
      </c>
      <c r="G54" s="356">
        <v>585403.71</v>
      </c>
      <c r="H54" s="356">
        <v>811930.78</v>
      </c>
      <c r="I54" s="356">
        <v>148764.79</v>
      </c>
      <c r="J54" s="356">
        <v>212250.31</v>
      </c>
      <c r="K54" s="376">
        <v>254772.72</v>
      </c>
      <c r="L54" s="355">
        <v>246804.62</v>
      </c>
      <c r="M54" s="355">
        <v>170264.2</v>
      </c>
      <c r="N54" s="355"/>
      <c r="O54" s="355"/>
      <c r="P54" s="355"/>
      <c r="Q54" s="704">
        <f t="shared" si="5"/>
        <v>2643750.5100000007</v>
      </c>
      <c r="R54" s="72"/>
      <c r="S54" s="69"/>
      <c r="T54" s="69"/>
      <c r="U54" s="69"/>
      <c r="V54" s="69"/>
      <c r="W54" s="69"/>
      <c r="X54" s="69"/>
      <c r="Y54" s="741">
        <f t="shared" si="6"/>
        <v>7.5170614444128536E-2</v>
      </c>
      <c r="Z54" s="69"/>
      <c r="AA54" s="69"/>
      <c r="AB54" s="69"/>
      <c r="AC54" s="69"/>
      <c r="AD54" s="69"/>
      <c r="AE54" s="69"/>
      <c r="AF54" s="69"/>
      <c r="AG54" s="69"/>
    </row>
    <row r="55" spans="1:33">
      <c r="A55" s="69"/>
      <c r="B55" s="69"/>
      <c r="C55" s="69"/>
      <c r="D55" s="876" t="str">
        <f>IF(MasterSheet!$A$1=1,MasterSheet!C367,MasterSheet!B367)</f>
        <v>Ostali prihodi</v>
      </c>
      <c r="E55" s="354">
        <v>1581009</v>
      </c>
      <c r="F55" s="356">
        <v>469485.08</v>
      </c>
      <c r="G55" s="356">
        <v>46552.31</v>
      </c>
      <c r="H55" s="356">
        <v>990030.31</v>
      </c>
      <c r="I55" s="356">
        <v>1503862.69</v>
      </c>
      <c r="J55" s="356">
        <v>609902.86</v>
      </c>
      <c r="K55" s="376">
        <v>1287655.22</v>
      </c>
      <c r="L55" s="355">
        <v>670835.68999999994</v>
      </c>
      <c r="M55" s="355">
        <v>1241894.95</v>
      </c>
      <c r="N55" s="355"/>
      <c r="O55" s="355"/>
      <c r="P55" s="355"/>
      <c r="Q55" s="704">
        <f t="shared" si="5"/>
        <v>8401228.1099999994</v>
      </c>
      <c r="R55" s="72"/>
      <c r="S55" s="69"/>
      <c r="T55" s="69"/>
      <c r="U55" s="69"/>
      <c r="V55" s="69"/>
      <c r="W55" s="69"/>
      <c r="X55" s="69"/>
      <c r="Y55" s="741">
        <f t="shared" si="6"/>
        <v>0.23887483963605344</v>
      </c>
      <c r="Z55" s="69"/>
      <c r="AA55" s="69"/>
      <c r="AB55" s="69"/>
      <c r="AC55" s="69"/>
      <c r="AD55" s="69"/>
      <c r="AE55" s="69"/>
      <c r="AF55" s="69"/>
      <c r="AG55" s="69"/>
    </row>
    <row r="56" spans="1:33" ht="31.5" customHeight="1" thickBot="1">
      <c r="A56" s="69"/>
      <c r="B56" s="69"/>
      <c r="C56" s="69"/>
      <c r="D56" s="878" t="str">
        <f>IF(MasterSheet!$A$1=1,MasterSheet!C368,MasterSheet!B368)</f>
        <v>Primici od otplate kredita i sredstva prenijeta iz prethodne godine</v>
      </c>
      <c r="E56" s="696">
        <v>206949.9</v>
      </c>
      <c r="F56" s="697">
        <v>235107.79</v>
      </c>
      <c r="G56" s="697">
        <v>299748.19</v>
      </c>
      <c r="H56" s="697">
        <v>298965.78000000003</v>
      </c>
      <c r="I56" s="697">
        <v>208873.82</v>
      </c>
      <c r="J56" s="697">
        <v>328481.19</v>
      </c>
      <c r="K56" s="1031">
        <v>3470663.22</v>
      </c>
      <c r="L56" s="698">
        <v>586185.69999999995</v>
      </c>
      <c r="M56" s="698">
        <v>401482.51</v>
      </c>
      <c r="N56" s="691"/>
      <c r="O56" s="691"/>
      <c r="P56" s="691"/>
      <c r="Q56" s="692">
        <f>SUM(E56:P56)</f>
        <v>6036458.1000000006</v>
      </c>
      <c r="R56" s="72"/>
      <c r="S56" s="70"/>
      <c r="T56" s="70"/>
      <c r="U56" s="70"/>
      <c r="V56" s="69"/>
      <c r="W56" s="69"/>
      <c r="X56" s="69"/>
      <c r="Y56" s="743">
        <f t="shared" si="6"/>
        <v>0.17163656809781064</v>
      </c>
      <c r="Z56" s="69"/>
      <c r="AA56" s="69"/>
      <c r="AB56" s="69"/>
      <c r="AC56" s="69"/>
      <c r="AD56" s="69"/>
      <c r="AE56" s="69"/>
      <c r="AF56" s="69"/>
      <c r="AG56" s="69"/>
    </row>
    <row r="57" spans="1:33" ht="14.25" thickTop="1" thickBot="1">
      <c r="A57" s="69"/>
      <c r="B57" s="69"/>
      <c r="C57" s="69"/>
      <c r="D57" s="1021" t="str">
        <f>IF(MasterSheet!$A$1=1,MasterSheet!C369,MasterSheet!B369)</f>
        <v>Izdaci</v>
      </c>
      <c r="E57" s="385">
        <f>E59+E74+E80+E86+E87+E88+E89</f>
        <v>81035266.75</v>
      </c>
      <c r="F57" s="1032">
        <f t="shared" ref="F57:M57" si="11">F59+F74+F80+F86+F87+F88+F89</f>
        <v>95331117.189999998</v>
      </c>
      <c r="G57" s="1032">
        <f t="shared" si="11"/>
        <v>104390849.31948847</v>
      </c>
      <c r="H57" s="1032">
        <f t="shared" si="11"/>
        <v>120528158.97905727</v>
      </c>
      <c r="I57" s="1032">
        <f t="shared" si="11"/>
        <v>96279363.380222201</v>
      </c>
      <c r="J57" s="1032">
        <f t="shared" si="11"/>
        <v>100614262.53479202</v>
      </c>
      <c r="K57" s="1033">
        <f t="shared" si="11"/>
        <v>160058980.56103039</v>
      </c>
      <c r="L57" s="1024">
        <f t="shared" si="11"/>
        <v>142148938.81103039</v>
      </c>
      <c r="M57" s="432">
        <f t="shared" si="11"/>
        <v>117295575.88090232</v>
      </c>
      <c r="N57" s="432">
        <f t="shared" ref="N57:P57" si="12">N59+N74+N80+N86+N87+N88+N89</f>
        <v>0</v>
      </c>
      <c r="O57" s="432">
        <f t="shared" si="12"/>
        <v>0</v>
      </c>
      <c r="P57" s="420">
        <f t="shared" si="12"/>
        <v>0</v>
      </c>
      <c r="Q57" s="596">
        <f>SUM(E57:P57)</f>
        <v>1017682513.406523</v>
      </c>
      <c r="R57" s="596">
        <v>113729902.45999995</v>
      </c>
      <c r="S57" s="596">
        <f>+Q57+R57</f>
        <v>1131412415.866523</v>
      </c>
      <c r="T57" s="596">
        <f>+'Monthly plan for 2013'!E51+'Monthly plan for 2013'!F51+'Monthly plan for 2013'!G51</f>
        <v>314350240.43000001</v>
      </c>
      <c r="U57" s="441">
        <f>+S57-T57</f>
        <v>817062175.43652296</v>
      </c>
      <c r="V57" s="69"/>
      <c r="W57" s="69"/>
      <c r="X57" s="69">
        <f>286.98-30.35</f>
        <v>256.63</v>
      </c>
      <c r="Y57" s="734">
        <f t="shared" si="6"/>
        <v>28.936096485826639</v>
      </c>
      <c r="Z57" s="69"/>
      <c r="AA57" s="69"/>
      <c r="AB57" s="69"/>
      <c r="AC57" s="69"/>
      <c r="AD57" s="69"/>
      <c r="AE57" s="69"/>
      <c r="AF57" s="69"/>
      <c r="AG57" s="69"/>
    </row>
    <row r="58" spans="1:33" ht="14.25" thickTop="1" thickBot="1">
      <c r="A58" s="69"/>
      <c r="B58" s="69"/>
      <c r="C58" s="69"/>
      <c r="D58" s="1021" t="str">
        <f>IF(MasterSheet!$A$1=1,MasterSheet!C370,MasterSheet!B370)</f>
        <v>Tekuća budžetska potrošnja</v>
      </c>
      <c r="E58" s="385">
        <f t="shared" ref="E58:P58" si="13">E57-E86</f>
        <v>80897188.939999998</v>
      </c>
      <c r="F58" s="1032">
        <f t="shared" si="13"/>
        <v>93323052.170000002</v>
      </c>
      <c r="G58" s="1032">
        <f t="shared" si="13"/>
        <v>99968608.069488466</v>
      </c>
      <c r="H58" s="1032">
        <f t="shared" si="13"/>
        <v>116330486.30905727</v>
      </c>
      <c r="I58" s="1032">
        <f t="shared" si="13"/>
        <v>92042445.940222204</v>
      </c>
      <c r="J58" s="1032">
        <f t="shared" si="13"/>
        <v>95908107.114792019</v>
      </c>
      <c r="K58" s="1033">
        <f t="shared" si="13"/>
        <v>155534456.9910304</v>
      </c>
      <c r="L58" s="1033">
        <f t="shared" si="13"/>
        <v>137932621.32103038</v>
      </c>
      <c r="M58" s="432">
        <f t="shared" si="13"/>
        <v>113354219.31090233</v>
      </c>
      <c r="N58" s="432">
        <f t="shared" si="13"/>
        <v>0</v>
      </c>
      <c r="O58" s="432">
        <f t="shared" si="13"/>
        <v>0</v>
      </c>
      <c r="P58" s="420">
        <f t="shared" si="13"/>
        <v>0</v>
      </c>
      <c r="Q58" s="596">
        <f>SUM(E58:P58)</f>
        <v>985291186.16652322</v>
      </c>
      <c r="R58" s="596">
        <v>109307661.20999995</v>
      </c>
      <c r="S58" s="596">
        <f t="shared" ref="S58:S89" si="14">+Q58+R58</f>
        <v>1094598847.3765233</v>
      </c>
      <c r="T58" s="596">
        <f>+'Monthly plan for 2013'!E52+'Monthly plan for 2013'!F52+'Monthly plan for 2013'!G52</f>
        <v>297940490.42000002</v>
      </c>
      <c r="U58" s="441">
        <f t="shared" ref="U58:U88" si="15">+S58-T58</f>
        <v>796658356.95652318</v>
      </c>
      <c r="V58" s="69"/>
      <c r="W58" s="69"/>
      <c r="X58" s="69"/>
      <c r="Y58" s="734">
        <f t="shared" si="6"/>
        <v>28.01510338830035</v>
      </c>
      <c r="Z58" s="69"/>
      <c r="AA58" s="69"/>
      <c r="AB58" s="69"/>
      <c r="AC58" s="69"/>
      <c r="AD58" s="69"/>
      <c r="AE58" s="69"/>
      <c r="AF58" s="69"/>
      <c r="AG58" s="69"/>
    </row>
    <row r="59" spans="1:33" ht="13.5" thickTop="1">
      <c r="A59" s="69"/>
      <c r="B59" s="69"/>
      <c r="C59" s="69"/>
      <c r="D59" s="877" t="str">
        <f>IF(MasterSheet!$A$1=1,MasterSheet!C371,MasterSheet!B371)</f>
        <v>Tekući izdaci</v>
      </c>
      <c r="E59" s="350">
        <f>E60+SUM(E66:E73)</f>
        <v>37822112.440000005</v>
      </c>
      <c r="F59" s="352">
        <f>F60+SUM(F66:F73)</f>
        <v>43708575.280000001</v>
      </c>
      <c r="G59" s="352">
        <f>G60+SUM(G66:G73)</f>
        <v>49529167.029488474</v>
      </c>
      <c r="H59" s="352">
        <f t="shared" ref="H59:P59" si="16">H60+SUM(H66:H73)</f>
        <v>68837717.399057254</v>
      </c>
      <c r="I59" s="352">
        <f t="shared" si="16"/>
        <v>43368004.440222204</v>
      </c>
      <c r="J59" s="352">
        <f t="shared" si="16"/>
        <v>45614483.224792026</v>
      </c>
      <c r="K59" s="352">
        <f t="shared" si="16"/>
        <v>48448046.131030403</v>
      </c>
      <c r="L59" s="352">
        <f t="shared" si="16"/>
        <v>46315261.301030397</v>
      </c>
      <c r="M59" s="351">
        <f t="shared" si="16"/>
        <v>62567234.230902329</v>
      </c>
      <c r="N59" s="351">
        <f t="shared" si="16"/>
        <v>0</v>
      </c>
      <c r="O59" s="351">
        <f t="shared" si="16"/>
        <v>0</v>
      </c>
      <c r="P59" s="351">
        <f t="shared" si="16"/>
        <v>0</v>
      </c>
      <c r="Q59" s="1019">
        <f t="shared" si="5"/>
        <v>446210601.47652304</v>
      </c>
      <c r="R59" s="600">
        <v>56546402.069999963</v>
      </c>
      <c r="S59" s="600">
        <f t="shared" si="14"/>
        <v>502757003.54652297</v>
      </c>
      <c r="T59" s="600">
        <f>+'Monthly plan for 2013'!E53+'Monthly plan for 2013'!F53+'Monthly plan for 2013'!G53</f>
        <v>147883117.22</v>
      </c>
      <c r="U59" s="441">
        <f t="shared" si="15"/>
        <v>354873886.32652295</v>
      </c>
      <c r="V59" s="69"/>
      <c r="W59" s="69"/>
      <c r="X59" s="69"/>
      <c r="Y59" s="744">
        <f t="shared" si="6"/>
        <v>12.687250539565625</v>
      </c>
      <c r="Z59" s="69"/>
      <c r="AA59" s="69"/>
      <c r="AB59" s="69"/>
      <c r="AC59" s="69"/>
      <c r="AD59" s="69"/>
      <c r="AE59" s="69"/>
      <c r="AF59" s="69"/>
      <c r="AG59" s="69"/>
    </row>
    <row r="60" spans="1:33" s="51" customFormat="1">
      <c r="D60" s="1022" t="str">
        <f>IF(MasterSheet!$A$1=1,MasterSheet!C372,MasterSheet!B372)</f>
        <v>Bruto zarade i doprinosi na teret poslodavca</v>
      </c>
      <c r="E60" s="350">
        <f>SUM(E61:E65)</f>
        <v>31208522.220000003</v>
      </c>
      <c r="F60" s="352">
        <f t="shared" ref="F60:P60" si="17">SUM(F61:F65)</f>
        <v>32045676.829999998</v>
      </c>
      <c r="G60" s="352">
        <f t="shared" si="17"/>
        <v>31205105.889488474</v>
      </c>
      <c r="H60" s="352">
        <f t="shared" si="17"/>
        <v>31315246.049057249</v>
      </c>
      <c r="I60" s="352">
        <f t="shared" si="17"/>
        <v>31743046.640222207</v>
      </c>
      <c r="J60" s="352">
        <f t="shared" si="17"/>
        <v>31801789.094792023</v>
      </c>
      <c r="K60" s="352">
        <f t="shared" si="17"/>
        <v>30930809.081030402</v>
      </c>
      <c r="L60" s="352">
        <f t="shared" si="17"/>
        <v>30930809.081030402</v>
      </c>
      <c r="M60" s="351">
        <f t="shared" si="17"/>
        <v>29273565.85090233</v>
      </c>
      <c r="N60" s="351">
        <f t="shared" si="17"/>
        <v>0</v>
      </c>
      <c r="O60" s="351">
        <f t="shared" si="17"/>
        <v>0</v>
      </c>
      <c r="P60" s="351">
        <f t="shared" si="17"/>
        <v>0</v>
      </c>
      <c r="Q60" s="1019">
        <f t="shared" si="5"/>
        <v>280454570.73652303</v>
      </c>
      <c r="R60" s="903">
        <v>38511985.289999969</v>
      </c>
      <c r="S60" s="903">
        <f t="shared" si="14"/>
        <v>318966556.02652299</v>
      </c>
      <c r="T60" s="903">
        <f>+'Monthly plan for 2013'!E54+'Monthly plan for 2013'!F54+'Monthly plan for 2013'!G54</f>
        <v>93032152.929999992</v>
      </c>
      <c r="U60" s="50">
        <f t="shared" si="15"/>
        <v>225934403.09652299</v>
      </c>
      <c r="Y60" s="904">
        <f t="shared" si="6"/>
        <v>7.9742556365232602</v>
      </c>
      <c r="AA60" s="69"/>
      <c r="AB60" s="69"/>
      <c r="AC60" s="69"/>
      <c r="AD60" s="69"/>
      <c r="AE60" s="69"/>
      <c r="AF60" s="69"/>
      <c r="AG60" s="69"/>
    </row>
    <row r="61" spans="1:33">
      <c r="A61" s="69"/>
      <c r="B61" s="69"/>
      <c r="C61" s="69"/>
      <c r="D61" s="380" t="str">
        <f>IF(MasterSheet!$A$1=1,MasterSheet!C373,MasterSheet!B373)</f>
        <v>Neto zarade</v>
      </c>
      <c r="E61" s="354">
        <v>18768827.420000002</v>
      </c>
      <c r="F61" s="356">
        <v>18989881.539999999</v>
      </c>
      <c r="G61" s="356">
        <v>18491769.34</v>
      </c>
      <c r="H61" s="356">
        <v>18557037.07</v>
      </c>
      <c r="I61" s="356">
        <v>18810546.539999999</v>
      </c>
      <c r="J61" s="356">
        <v>18845356.609999999</v>
      </c>
      <c r="K61" s="376">
        <v>18329224.359999999</v>
      </c>
      <c r="L61" s="355">
        <v>18329224.359999999</v>
      </c>
      <c r="M61" s="355">
        <v>17729850.41</v>
      </c>
      <c r="N61" s="355"/>
      <c r="O61" s="355"/>
      <c r="P61" s="355"/>
      <c r="Q61" s="704">
        <f t="shared" si="5"/>
        <v>166851717.65000001</v>
      </c>
      <c r="R61" s="598">
        <v>22436323.329999987</v>
      </c>
      <c r="S61" s="598">
        <f t="shared" si="14"/>
        <v>189288040.97999999</v>
      </c>
      <c r="T61" s="598">
        <f>+'Monthly plan for 2013'!E55+'Monthly plan for 2013'!F55+'Monthly plan for 2013'!G55</f>
        <v>55374640.199999996</v>
      </c>
      <c r="U61" s="441">
        <f t="shared" si="15"/>
        <v>133913400.78</v>
      </c>
      <c r="V61" s="69"/>
      <c r="W61" s="69"/>
      <c r="X61" s="69"/>
      <c r="Y61" s="745">
        <f t="shared" si="6"/>
        <v>4.7441489237986927</v>
      </c>
      <c r="Z61" s="69"/>
      <c r="AA61" s="69"/>
      <c r="AB61" s="69"/>
      <c r="AC61" s="69"/>
      <c r="AD61" s="69"/>
      <c r="AE61" s="69"/>
      <c r="AF61" s="69"/>
      <c r="AG61" s="69"/>
    </row>
    <row r="62" spans="1:33">
      <c r="A62" s="69"/>
      <c r="B62" s="69"/>
      <c r="C62" s="69"/>
      <c r="D62" s="380" t="str">
        <f>IF(MasterSheet!$A$1=1,MasterSheet!C374,MasterSheet!B374)</f>
        <v>Porez na zarade</v>
      </c>
      <c r="E62" s="354">
        <v>2431969.19</v>
      </c>
      <c r="F62" s="356">
        <v>2651366.7200000002</v>
      </c>
      <c r="G62" s="356">
        <v>2581820.3088165433</v>
      </c>
      <c r="H62" s="356">
        <v>2590932.9874210642</v>
      </c>
      <c r="I62" s="356">
        <v>2626327.9724054118</v>
      </c>
      <c r="J62" s="356">
        <v>2631188.153387819</v>
      </c>
      <c r="K62" s="376">
        <v>2559125.7833363665</v>
      </c>
      <c r="L62" s="355">
        <v>2559125.7833363665</v>
      </c>
      <c r="M62" s="355">
        <v>2297825.3632970974</v>
      </c>
      <c r="N62" s="355"/>
      <c r="O62" s="355"/>
      <c r="P62" s="355"/>
      <c r="Q62" s="704">
        <f t="shared" si="5"/>
        <v>22929682.262000669</v>
      </c>
      <c r="R62" s="598">
        <v>3349675.4600000009</v>
      </c>
      <c r="S62" s="598">
        <f t="shared" si="14"/>
        <v>26279357.72200067</v>
      </c>
      <c r="T62" s="598">
        <f>+'Monthly plan for 2013'!E56+'Monthly plan for 2013'!F56+'Monthly plan for 2013'!G56</f>
        <v>7481364.75</v>
      </c>
      <c r="U62" s="441">
        <f t="shared" si="15"/>
        <v>18797992.97200067</v>
      </c>
      <c r="V62" s="69"/>
      <c r="W62" s="69"/>
      <c r="X62" s="69"/>
      <c r="Y62" s="745">
        <f t="shared" si="6"/>
        <v>0.65196708166052508</v>
      </c>
      <c r="Z62" s="69"/>
      <c r="AA62" s="69"/>
      <c r="AB62" s="69"/>
      <c r="AC62" s="69"/>
      <c r="AD62" s="69"/>
      <c r="AE62" s="69"/>
      <c r="AF62" s="69"/>
      <c r="AG62" s="69"/>
    </row>
    <row r="63" spans="1:33">
      <c r="A63" s="69"/>
      <c r="B63" s="69"/>
      <c r="C63" s="69"/>
      <c r="D63" s="380" t="str">
        <f>IF(MasterSheet!$A$1=1,MasterSheet!C375,MasterSheet!B375)</f>
        <v>Doprinosi na teret zaposlenog</v>
      </c>
      <c r="E63" s="354">
        <v>6344963</v>
      </c>
      <c r="F63" s="356">
        <v>6417211.3300000001</v>
      </c>
      <c r="G63" s="356">
        <v>6248885.3061268032</v>
      </c>
      <c r="H63" s="356">
        <v>6270941.0949192271</v>
      </c>
      <c r="I63" s="356">
        <v>6356609.0249544708</v>
      </c>
      <c r="J63" s="356">
        <v>6368372.319798178</v>
      </c>
      <c r="K63" s="376">
        <v>6193956.8177582221</v>
      </c>
      <c r="L63" s="355">
        <v>6193956.8177582221</v>
      </c>
      <c r="M63" s="355">
        <v>5996143.9065586086</v>
      </c>
      <c r="N63" s="355"/>
      <c r="O63" s="355"/>
      <c r="P63" s="355"/>
      <c r="Q63" s="704">
        <f t="shared" si="5"/>
        <v>56391039.617873736</v>
      </c>
      <c r="R63" s="598">
        <v>8045126.2099999925</v>
      </c>
      <c r="S63" s="598">
        <f t="shared" si="14"/>
        <v>64436165.827873729</v>
      </c>
      <c r="T63" s="598">
        <f>+'Monthly plan for 2013'!E57+'Monthly plan for 2013'!F57+'Monthly plan for 2013'!G57</f>
        <v>19000048.140000001</v>
      </c>
      <c r="U63" s="441">
        <f t="shared" si="15"/>
        <v>45436117.687873729</v>
      </c>
      <c r="V63" s="69"/>
      <c r="W63" s="69"/>
      <c r="X63" s="69"/>
      <c r="Y63" s="745">
        <f t="shared" si="6"/>
        <v>1.6033846920066459</v>
      </c>
      <c r="Z63" s="69"/>
      <c r="AA63" s="69"/>
      <c r="AB63" s="69"/>
      <c r="AC63" s="69"/>
      <c r="AD63" s="69"/>
      <c r="AE63" s="69"/>
      <c r="AF63" s="69"/>
      <c r="AG63" s="69"/>
    </row>
    <row r="64" spans="1:33">
      <c r="A64" s="69"/>
      <c r="B64" s="69"/>
      <c r="C64" s="69"/>
      <c r="D64" s="380" t="str">
        <f>IF(MasterSheet!$A$1=1,MasterSheet!C376,MasterSheet!B376)</f>
        <v>Doprinosi na teret poslodavca</v>
      </c>
      <c r="E64" s="354">
        <v>3322568.13</v>
      </c>
      <c r="F64" s="356">
        <v>3390483.39</v>
      </c>
      <c r="G64" s="356">
        <v>3301549.6524777832</v>
      </c>
      <c r="H64" s="356">
        <v>3313202.6558944648</v>
      </c>
      <c r="I64" s="356">
        <v>3358464.6363566504</v>
      </c>
      <c r="J64" s="356">
        <v>3364679.6811367422</v>
      </c>
      <c r="K64" s="376">
        <v>3272528.6154767335</v>
      </c>
      <c r="L64" s="355">
        <v>3272528.6154767335</v>
      </c>
      <c r="M64" s="355">
        <v>3140195.6795707671</v>
      </c>
      <c r="N64" s="355"/>
      <c r="O64" s="355"/>
      <c r="P64" s="355"/>
      <c r="Q64" s="704">
        <f t="shared" si="5"/>
        <v>29736201.056389879</v>
      </c>
      <c r="R64" s="598">
        <v>4309106.8499999968</v>
      </c>
      <c r="S64" s="598">
        <f t="shared" si="14"/>
        <v>34045307.906389877</v>
      </c>
      <c r="T64" s="598">
        <f>+'Monthly plan for 2013'!E58+'Monthly plan for 2013'!F58+'Monthly plan for 2013'!G58</f>
        <v>10099422.940000001</v>
      </c>
      <c r="U64" s="441">
        <f t="shared" si="15"/>
        <v>23945884.966389876</v>
      </c>
      <c r="V64" s="69"/>
      <c r="W64" s="69"/>
      <c r="X64" s="69"/>
      <c r="Y64" s="745">
        <f t="shared" si="6"/>
        <v>0.8454990348703405</v>
      </c>
      <c r="Z64" s="69"/>
      <c r="AA64" s="69"/>
      <c r="AB64" s="69"/>
      <c r="AC64" s="69"/>
      <c r="AD64" s="69"/>
      <c r="AE64" s="69"/>
      <c r="AF64" s="69"/>
      <c r="AG64" s="69"/>
    </row>
    <row r="65" spans="1:33">
      <c r="A65" s="69"/>
      <c r="B65" s="69"/>
      <c r="C65" s="69"/>
      <c r="D65" s="380" t="str">
        <f>IF(MasterSheet!$A$1=1,MasterSheet!C377,MasterSheet!B377)</f>
        <v>Prirez na porez na dohodak</v>
      </c>
      <c r="E65" s="354">
        <v>340194.48</v>
      </c>
      <c r="F65" s="356">
        <v>596733.85</v>
      </c>
      <c r="G65" s="356">
        <v>581081.28206734243</v>
      </c>
      <c r="H65" s="356">
        <v>583132.24082248902</v>
      </c>
      <c r="I65" s="356">
        <v>591098.46650567243</v>
      </c>
      <c r="J65" s="356">
        <v>592192.33046928467</v>
      </c>
      <c r="K65" s="376">
        <v>575973.5044590797</v>
      </c>
      <c r="L65" s="355">
        <v>575973.5044590797</v>
      </c>
      <c r="M65" s="355">
        <v>109550.49147585621</v>
      </c>
      <c r="N65" s="355"/>
      <c r="O65" s="355"/>
      <c r="P65" s="355"/>
      <c r="Q65" s="704">
        <f t="shared" si="5"/>
        <v>4545930.1502588037</v>
      </c>
      <c r="R65" s="598">
        <v>371753.44000000012</v>
      </c>
      <c r="S65" s="598">
        <f t="shared" si="14"/>
        <v>4917683.5902588041</v>
      </c>
      <c r="T65" s="598">
        <f>+'Monthly plan for 2013'!E59+'Monthly plan for 2013'!F59+'Monthly plan for 2013'!G59</f>
        <v>1076676.8999999999</v>
      </c>
      <c r="U65" s="441">
        <f t="shared" si="15"/>
        <v>3841006.6902588042</v>
      </c>
      <c r="V65" s="69"/>
      <c r="W65" s="69"/>
      <c r="X65" s="69"/>
      <c r="Y65" s="745">
        <f t="shared" si="6"/>
        <v>0.12925590418705726</v>
      </c>
      <c r="Z65" s="69"/>
      <c r="AA65" s="69"/>
      <c r="AB65" s="69"/>
      <c r="AC65" s="69"/>
      <c r="AD65" s="69"/>
      <c r="AE65" s="69"/>
      <c r="AF65" s="69"/>
      <c r="AG65" s="69"/>
    </row>
    <row r="66" spans="1:33">
      <c r="A66" s="69"/>
      <c r="B66" s="69"/>
      <c r="C66" s="69"/>
      <c r="D66" s="877" t="str">
        <f>IF(MasterSheet!$A$1=1,MasterSheet!C378,MasterSheet!B378)</f>
        <v>Ostala lična primanja</v>
      </c>
      <c r="E66" s="354">
        <v>1584140</v>
      </c>
      <c r="F66" s="356">
        <v>494224.27999999997</v>
      </c>
      <c r="G66" s="356">
        <v>1196100.06</v>
      </c>
      <c r="H66" s="356">
        <v>1826112.77</v>
      </c>
      <c r="I66" s="356">
        <v>404313.79000000004</v>
      </c>
      <c r="J66" s="356">
        <v>460176.88999999996</v>
      </c>
      <c r="K66" s="376">
        <v>807342.56</v>
      </c>
      <c r="L66" s="355">
        <v>1160483.8899999999</v>
      </c>
      <c r="M66" s="355">
        <v>545320.31000000006</v>
      </c>
      <c r="N66" s="355"/>
      <c r="O66" s="355"/>
      <c r="P66" s="355"/>
      <c r="Q66" s="704">
        <f t="shared" si="5"/>
        <v>8478214.5499999989</v>
      </c>
      <c r="R66" s="597">
        <v>1196100.06</v>
      </c>
      <c r="S66" s="597">
        <f t="shared" si="14"/>
        <v>9674314.6099999994</v>
      </c>
      <c r="T66" s="597">
        <f>+'Monthly plan for 2013'!E60+'Monthly plan for 2013'!F60+'Monthly plan for 2013'!G60</f>
        <v>2618575.59</v>
      </c>
      <c r="U66" s="441">
        <f t="shared" si="15"/>
        <v>7055739.0199999996</v>
      </c>
      <c r="V66" s="69"/>
      <c r="W66" s="69"/>
      <c r="X66" s="69"/>
      <c r="Y66" s="746">
        <f t="shared" si="6"/>
        <v>0.24106382001705998</v>
      </c>
      <c r="Z66" s="69"/>
      <c r="AA66" s="69"/>
      <c r="AB66" s="69"/>
      <c r="AC66" s="69"/>
      <c r="AD66" s="69"/>
      <c r="AE66" s="69"/>
      <c r="AF66" s="69"/>
      <c r="AG66" s="69"/>
    </row>
    <row r="67" spans="1:33" s="51" customFormat="1">
      <c r="D67" s="1022" t="str">
        <f>IF(MasterSheet!$A$1=1,MasterSheet!C379,MasterSheet!B379)</f>
        <v>Rashodi za materijal i usluge</v>
      </c>
      <c r="E67" s="354">
        <v>3542109.9000000004</v>
      </c>
      <c r="F67" s="356">
        <v>6337145.6200000001</v>
      </c>
      <c r="G67" s="356">
        <v>8056211.3999999994</v>
      </c>
      <c r="H67" s="356">
        <v>6999226.6300000008</v>
      </c>
      <c r="I67" s="356">
        <v>5628758.9999999981</v>
      </c>
      <c r="J67" s="356">
        <v>6088193.9900000002</v>
      </c>
      <c r="K67" s="376">
        <v>7145096.620000002</v>
      </c>
      <c r="L67" s="355">
        <v>6427404.4899999993</v>
      </c>
      <c r="M67" s="355">
        <v>6864500.29</v>
      </c>
      <c r="N67" s="355"/>
      <c r="O67" s="355"/>
      <c r="P67" s="355"/>
      <c r="Q67" s="704">
        <f t="shared" si="5"/>
        <v>57088647.940000005</v>
      </c>
      <c r="R67" s="690">
        <v>7976181.8499999987</v>
      </c>
      <c r="S67" s="690">
        <f t="shared" si="14"/>
        <v>65064829.790000007</v>
      </c>
      <c r="T67" s="690">
        <f>+'Monthly plan for 2013'!E61+'Monthly plan for 2013'!F61+'Monthly plan for 2013'!G61</f>
        <v>20551690.990000002</v>
      </c>
      <c r="U67" s="50">
        <f t="shared" si="15"/>
        <v>44513138.800000004</v>
      </c>
      <c r="Y67" s="742">
        <f t="shared" si="6"/>
        <v>1.6232200153539951</v>
      </c>
      <c r="AA67" s="69"/>
      <c r="AB67" s="69"/>
      <c r="AC67" s="69"/>
      <c r="AD67" s="69"/>
      <c r="AE67" s="69"/>
      <c r="AF67" s="69"/>
      <c r="AG67" s="69"/>
    </row>
    <row r="68" spans="1:33">
      <c r="A68" s="69"/>
      <c r="B68" s="73"/>
      <c r="C68" s="69"/>
      <c r="D68" s="877" t="str">
        <f>IF(MasterSheet!$A$1=1,MasterSheet!C380,MasterSheet!B380)</f>
        <v>Tekuće održavanje</v>
      </c>
      <c r="E68" s="354">
        <v>39615.520000000011</v>
      </c>
      <c r="F68" s="356">
        <v>746518.12000000011</v>
      </c>
      <c r="G68" s="356">
        <v>2188111.64</v>
      </c>
      <c r="H68" s="356">
        <v>860683.32</v>
      </c>
      <c r="I68" s="356">
        <v>1045961.9599999998</v>
      </c>
      <c r="J68" s="356">
        <v>1586588.07</v>
      </c>
      <c r="K68" s="376">
        <v>1708745.73</v>
      </c>
      <c r="L68" s="355">
        <v>2046173.92</v>
      </c>
      <c r="M68" s="355">
        <v>2633936.0100000002</v>
      </c>
      <c r="N68" s="355"/>
      <c r="O68" s="355"/>
      <c r="P68" s="355"/>
      <c r="Q68" s="704">
        <f t="shared" si="5"/>
        <v>12856334.289999999</v>
      </c>
      <c r="R68" s="597">
        <v>2188111.64</v>
      </c>
      <c r="S68" s="597">
        <f t="shared" si="14"/>
        <v>15044445.93</v>
      </c>
      <c r="T68" s="597">
        <f>+'Monthly plan for 2013'!E62+'Monthly plan for 2013'!F62+'Monthly plan for 2013'!G62</f>
        <v>5115547.49</v>
      </c>
      <c r="U68" s="441">
        <f t="shared" si="15"/>
        <v>9928898.4399999995</v>
      </c>
      <c r="V68" s="69"/>
      <c r="W68" s="69"/>
      <c r="X68" s="69"/>
      <c r="Y68" s="746">
        <f t="shared" si="6"/>
        <v>0.36554831646289448</v>
      </c>
      <c r="Z68" s="69"/>
      <c r="AA68" s="69"/>
      <c r="AB68" s="69"/>
      <c r="AC68" s="69"/>
      <c r="AD68" s="69"/>
      <c r="AE68" s="69"/>
      <c r="AF68" s="69"/>
      <c r="AG68" s="69"/>
    </row>
    <row r="69" spans="1:33" s="51" customFormat="1">
      <c r="D69" s="1022" t="str">
        <f>IF(MasterSheet!$A$1=1,MasterSheet!C381,MasterSheet!B381)</f>
        <v>Kamate</v>
      </c>
      <c r="E69" s="354">
        <v>553790.51</v>
      </c>
      <c r="F69" s="356">
        <v>1761351.35</v>
      </c>
      <c r="G69" s="356">
        <v>2018448.29</v>
      </c>
      <c r="H69" s="356">
        <v>25313222.370000001</v>
      </c>
      <c r="I69" s="356">
        <v>1125415.9300000002</v>
      </c>
      <c r="J69" s="356">
        <v>3504452.0900000003</v>
      </c>
      <c r="K69" s="376">
        <v>5654769.959999999</v>
      </c>
      <c r="L69" s="355">
        <v>2103580.09</v>
      </c>
      <c r="M69" s="355">
        <v>18770054</v>
      </c>
      <c r="N69" s="355"/>
      <c r="O69" s="355"/>
      <c r="P69" s="355"/>
      <c r="Q69" s="704">
        <f t="shared" si="5"/>
        <v>60805084.590000004</v>
      </c>
      <c r="R69" s="690">
        <v>1881095.87</v>
      </c>
      <c r="S69" s="690">
        <f t="shared" si="14"/>
        <v>62686180.460000001</v>
      </c>
      <c r="T69" s="690">
        <f>+'Monthly plan for 2013'!E63+'Monthly plan for 2013'!F63+'Monthly plan for 2013'!G63</f>
        <v>17600901.84</v>
      </c>
      <c r="U69" s="50">
        <f t="shared" si="15"/>
        <v>45085278.620000005</v>
      </c>
      <c r="Y69" s="742">
        <f t="shared" si="6"/>
        <v>1.728890662212113</v>
      </c>
      <c r="AA69" s="69"/>
      <c r="AB69" s="69"/>
      <c r="AC69" s="69"/>
      <c r="AD69" s="69"/>
      <c r="AE69" s="69"/>
      <c r="AF69" s="69"/>
      <c r="AG69" s="69"/>
    </row>
    <row r="70" spans="1:33">
      <c r="A70" s="69"/>
      <c r="B70" s="69"/>
      <c r="C70" s="69"/>
      <c r="D70" s="877" t="str">
        <f>IF(MasterSheet!$A$1=1,MasterSheet!C382,MasterSheet!B382)</f>
        <v>Renta</v>
      </c>
      <c r="E70" s="354">
        <v>514851.77999999991</v>
      </c>
      <c r="F70" s="356">
        <v>585306.03000000014</v>
      </c>
      <c r="G70" s="356">
        <v>717206.67999999993</v>
      </c>
      <c r="H70" s="356">
        <v>605035.82999999984</v>
      </c>
      <c r="I70" s="356">
        <v>812757.71000000008</v>
      </c>
      <c r="J70" s="356">
        <v>562444.48</v>
      </c>
      <c r="K70" s="376">
        <v>546494.51</v>
      </c>
      <c r="L70" s="355">
        <v>575835.29</v>
      </c>
      <c r="M70" s="355">
        <v>872287.29000000015</v>
      </c>
      <c r="N70" s="355"/>
      <c r="O70" s="355"/>
      <c r="P70" s="355"/>
      <c r="Q70" s="704">
        <f t="shared" si="5"/>
        <v>5792219.5999999996</v>
      </c>
      <c r="R70" s="597">
        <v>717206.67999999993</v>
      </c>
      <c r="S70" s="597">
        <f t="shared" si="14"/>
        <v>6509426.2799999993</v>
      </c>
      <c r="T70" s="597">
        <f>+'Monthly plan for 2013'!E64+'Monthly plan for 2013'!F64+'Monthly plan for 2013'!G64</f>
        <v>1955684.8499999999</v>
      </c>
      <c r="U70" s="441">
        <f t="shared" si="15"/>
        <v>4553741.43</v>
      </c>
      <c r="V70" s="69"/>
      <c r="W70" s="69"/>
      <c r="X70" s="69"/>
      <c r="Y70" s="746">
        <f t="shared" si="6"/>
        <v>0.16469205572931475</v>
      </c>
      <c r="Z70" s="69"/>
      <c r="AA70" s="69"/>
      <c r="AB70" s="69"/>
      <c r="AC70" s="69"/>
      <c r="AD70" s="69"/>
      <c r="AE70" s="69"/>
      <c r="AF70" s="69"/>
      <c r="AG70" s="69"/>
    </row>
    <row r="71" spans="1:33">
      <c r="A71" s="69"/>
      <c r="B71" s="69"/>
      <c r="C71" s="69"/>
      <c r="D71" s="877" t="str">
        <f>IF(MasterSheet!$A$1=1,MasterSheet!C383,MasterSheet!B383)</f>
        <v>Subvencije</v>
      </c>
      <c r="E71" s="354">
        <v>77660</v>
      </c>
      <c r="F71" s="356">
        <v>1074577.6400000001</v>
      </c>
      <c r="G71" s="356">
        <v>3164428.4699999997</v>
      </c>
      <c r="H71" s="356">
        <v>667057.27</v>
      </c>
      <c r="I71" s="356">
        <v>1249861.72</v>
      </c>
      <c r="J71" s="356">
        <v>697386.65</v>
      </c>
      <c r="K71" s="376">
        <v>891788.01</v>
      </c>
      <c r="L71" s="355">
        <v>1091929.3799999999</v>
      </c>
      <c r="M71" s="355">
        <v>1191416.1400000001</v>
      </c>
      <c r="N71" s="355"/>
      <c r="O71" s="355"/>
      <c r="P71" s="355"/>
      <c r="Q71" s="704">
        <f t="shared" si="5"/>
        <v>10106105.279999999</v>
      </c>
      <c r="R71" s="597">
        <v>3164428.4699999997</v>
      </c>
      <c r="S71" s="597">
        <f t="shared" si="14"/>
        <v>13270533.75</v>
      </c>
      <c r="T71" s="597">
        <f>+'Monthly plan for 2013'!E65+'Monthly plan for 2013'!F65+'Monthly plan for 2013'!G65</f>
        <v>3630000.0300000003</v>
      </c>
      <c r="U71" s="441">
        <f t="shared" si="15"/>
        <v>9640533.7199999988</v>
      </c>
      <c r="V71" s="69"/>
      <c r="W71" s="69"/>
      <c r="X71" s="69"/>
      <c r="Y71" s="746">
        <f t="shared" si="6"/>
        <v>0.28735016434461186</v>
      </c>
      <c r="Z71" s="69"/>
      <c r="AA71" s="69"/>
      <c r="AB71" s="69"/>
      <c r="AC71" s="69"/>
      <c r="AD71" s="69"/>
      <c r="AE71" s="69"/>
      <c r="AF71" s="69"/>
      <c r="AG71" s="69"/>
    </row>
    <row r="72" spans="1:33" ht="12.75" customHeight="1">
      <c r="A72" s="69"/>
      <c r="B72" s="69"/>
      <c r="C72" s="69"/>
      <c r="D72" s="877" t="str">
        <f>IF(MasterSheet!$A$1=1,MasterSheet!C384,MasterSheet!B384)</f>
        <v>Ostali izdaci</v>
      </c>
      <c r="E72" s="354">
        <v>142118.22999999998</v>
      </c>
      <c r="F72" s="356">
        <v>550330.08000000031</v>
      </c>
      <c r="G72" s="356">
        <v>464637.15000000037</v>
      </c>
      <c r="H72" s="356">
        <v>549261.15000000014</v>
      </c>
      <c r="I72" s="356">
        <v>660661.54000000015</v>
      </c>
      <c r="J72" s="356">
        <v>409506.96000000014</v>
      </c>
      <c r="K72" s="376">
        <v>359007.26000000018</v>
      </c>
      <c r="L72" s="355">
        <v>696036.84000000043</v>
      </c>
      <c r="M72" s="355">
        <v>445627.79</v>
      </c>
      <c r="N72" s="355"/>
      <c r="O72" s="355"/>
      <c r="P72" s="355"/>
      <c r="Q72" s="704">
        <f t="shared" si="5"/>
        <v>4277187.0000000009</v>
      </c>
      <c r="R72" s="597">
        <v>464637.15000000037</v>
      </c>
      <c r="S72" s="597">
        <f t="shared" si="14"/>
        <v>4741824.1500000013</v>
      </c>
      <c r="T72" s="597">
        <f>+'Monthly plan for 2013'!E66+'Monthly plan for 2013'!F66+'Monthly plan for 2013'!G66</f>
        <v>1440476.4600000007</v>
      </c>
      <c r="U72" s="441">
        <f t="shared" si="15"/>
        <v>3301347.6900000004</v>
      </c>
      <c r="V72" s="69"/>
      <c r="W72" s="69"/>
      <c r="X72" s="69"/>
      <c r="Y72" s="746">
        <f t="shared" si="6"/>
        <v>0.12161464316178565</v>
      </c>
      <c r="Z72" s="69"/>
      <c r="AA72" s="69"/>
      <c r="AB72" s="69"/>
      <c r="AC72" s="69"/>
      <c r="AD72" s="69"/>
      <c r="AE72" s="69"/>
      <c r="AF72" s="69"/>
      <c r="AG72" s="69"/>
    </row>
    <row r="73" spans="1:33" ht="12.75" customHeight="1">
      <c r="A73" s="69"/>
      <c r="B73" s="69"/>
      <c r="C73" s="69"/>
      <c r="D73" s="129" t="str">
        <f>+'Cental Budget_int'!D68</f>
        <v>Kapitalni izdaci u tekućem budžetu</v>
      </c>
      <c r="E73" s="354">
        <v>159304.27999999997</v>
      </c>
      <c r="F73" s="356">
        <v>113445.33000000002</v>
      </c>
      <c r="G73" s="356">
        <v>518917.45</v>
      </c>
      <c r="H73" s="356">
        <v>701872.01</v>
      </c>
      <c r="I73" s="356">
        <v>697226.14999999991</v>
      </c>
      <c r="J73" s="356">
        <v>503945</v>
      </c>
      <c r="K73" s="376">
        <v>403992.39999999997</v>
      </c>
      <c r="L73" s="355">
        <v>1283008.3199999998</v>
      </c>
      <c r="M73" s="355">
        <v>1970526.5499999998</v>
      </c>
      <c r="N73" s="355"/>
      <c r="O73" s="355"/>
      <c r="P73" s="355"/>
      <c r="Q73" s="704">
        <f>SUM(E73:P73)</f>
        <v>6352237.4899999993</v>
      </c>
      <c r="R73" s="597">
        <v>446655.06</v>
      </c>
      <c r="S73" s="597">
        <f t="shared" si="14"/>
        <v>6798892.5499999989</v>
      </c>
      <c r="T73" s="597">
        <f>+'Monthly plan for 2013'!E67+'Monthly plan for 2013'!F67+'Monthly plan for 2013'!G67</f>
        <v>1938087.0399999996</v>
      </c>
      <c r="U73" s="441">
        <f t="shared" si="15"/>
        <v>4860805.51</v>
      </c>
      <c r="V73" s="69"/>
      <c r="W73" s="69"/>
      <c r="X73" s="69"/>
      <c r="Y73" s="746">
        <f t="shared" si="6"/>
        <v>0.18061522576059139</v>
      </c>
      <c r="Z73" s="69"/>
      <c r="AA73" s="69"/>
      <c r="AB73" s="69"/>
      <c r="AC73" s="69"/>
      <c r="AD73" s="69"/>
      <c r="AE73" s="69"/>
      <c r="AF73" s="69"/>
      <c r="AG73" s="69"/>
    </row>
    <row r="74" spans="1:33">
      <c r="A74" s="69"/>
      <c r="B74" s="69"/>
      <c r="C74" s="69"/>
      <c r="D74" s="877" t="str">
        <f>IF(MasterSheet!$A$1=1,MasterSheet!C386,MasterSheet!B386)</f>
        <v>Transferi za socijalnu zaštitu</v>
      </c>
      <c r="E74" s="318">
        <f>+SUM(E75:E79)</f>
        <v>38151243.679999992</v>
      </c>
      <c r="F74" s="389">
        <f t="shared" ref="F74:M74" si="18">+SUM(F75:F79)</f>
        <v>42304307.5</v>
      </c>
      <c r="G74" s="389">
        <f t="shared" si="18"/>
        <v>40495852.529999994</v>
      </c>
      <c r="H74" s="389">
        <f t="shared" si="18"/>
        <v>40445889.590000004</v>
      </c>
      <c r="I74" s="389">
        <f t="shared" si="18"/>
        <v>39916624.779999994</v>
      </c>
      <c r="J74" s="389">
        <f t="shared" si="18"/>
        <v>39922302.089999996</v>
      </c>
      <c r="K74" s="387">
        <f t="shared" si="18"/>
        <v>38923469.339999996</v>
      </c>
      <c r="L74" s="387">
        <f t="shared" si="18"/>
        <v>38415873.219999999</v>
      </c>
      <c r="M74" s="499">
        <f t="shared" si="18"/>
        <v>40001044.439999998</v>
      </c>
      <c r="N74" s="499">
        <f t="shared" ref="N74:O74" si="19">+SUM(N75:N79)</f>
        <v>0</v>
      </c>
      <c r="O74" s="389">
        <f t="shared" si="19"/>
        <v>0</v>
      </c>
      <c r="P74" s="499">
        <f t="shared" ref="P74" si="20">SUM(P75:P79)</f>
        <v>0</v>
      </c>
      <c r="Q74" s="600">
        <f t="shared" si="5"/>
        <v>358576607.17000002</v>
      </c>
      <c r="R74" s="600">
        <v>42817670.630000003</v>
      </c>
      <c r="S74" s="600">
        <f t="shared" si="14"/>
        <v>401394277.80000001</v>
      </c>
      <c r="T74" s="600">
        <f>+'Monthly plan for 2013'!E68+'Monthly plan for 2013'!F68+'Monthly plan for 2013'!G68</f>
        <v>124468181.75999999</v>
      </c>
      <c r="U74" s="441">
        <f t="shared" si="15"/>
        <v>276926096.04000002</v>
      </c>
      <c r="V74" s="69"/>
      <c r="W74" s="69"/>
      <c r="X74" s="69"/>
      <c r="Y74" s="744">
        <f t="shared" si="6"/>
        <v>10.195524798692066</v>
      </c>
      <c r="Z74" s="69"/>
      <c r="AA74" s="69"/>
      <c r="AB74" s="69"/>
      <c r="AC74" s="69"/>
      <c r="AD74" s="69"/>
      <c r="AE74" s="69"/>
      <c r="AF74" s="69"/>
      <c r="AG74" s="69"/>
    </row>
    <row r="75" spans="1:33">
      <c r="A75" s="69"/>
      <c r="B75" s="69"/>
      <c r="C75" s="69"/>
      <c r="D75" s="876" t="str">
        <f>IF(MasterSheet!$A$1=1,MasterSheet!C387,MasterSheet!B387)</f>
        <v>Prava iz oblasti socijalne zaštite</v>
      </c>
      <c r="E75" s="354">
        <v>5249177.49</v>
      </c>
      <c r="F75" s="356">
        <v>6265311.1100000003</v>
      </c>
      <c r="G75" s="356">
        <v>5548846.8199999994</v>
      </c>
      <c r="H75" s="356">
        <v>5564842.5499999998</v>
      </c>
      <c r="I75" s="356">
        <v>5426012.3199999994</v>
      </c>
      <c r="J75" s="356">
        <v>5414506.1199999992</v>
      </c>
      <c r="K75" s="376">
        <v>5377364.7999999998</v>
      </c>
      <c r="L75" s="355">
        <v>4628282.3600000003</v>
      </c>
      <c r="M75" s="355">
        <v>4825112.1500000004</v>
      </c>
      <c r="N75" s="355"/>
      <c r="O75" s="355"/>
      <c r="P75" s="355"/>
      <c r="Q75" s="704">
        <f t="shared" si="5"/>
        <v>48299455.719999999</v>
      </c>
      <c r="R75" s="598">
        <v>5548846.8199999994</v>
      </c>
      <c r="S75" s="598">
        <f t="shared" si="14"/>
        <v>53848302.539999999</v>
      </c>
      <c r="T75" s="598">
        <f>+'Monthly plan for 2013'!E69+'Monthly plan for 2013'!F69+'Monthly plan for 2013'!G69</f>
        <v>15252249.99</v>
      </c>
      <c r="U75" s="441">
        <f t="shared" si="15"/>
        <v>38596052.549999997</v>
      </c>
      <c r="V75" s="69"/>
      <c r="W75" s="69"/>
      <c r="X75" s="69"/>
      <c r="Y75" s="745">
        <f t="shared" si="6"/>
        <v>1.3733140665339778</v>
      </c>
      <c r="Z75" s="69"/>
      <c r="AA75" s="69"/>
      <c r="AB75" s="532"/>
      <c r="AC75" s="532"/>
      <c r="AD75" s="532"/>
      <c r="AE75" s="69"/>
      <c r="AF75" s="69"/>
      <c r="AG75" s="69"/>
    </row>
    <row r="76" spans="1:33">
      <c r="A76" s="69"/>
      <c r="B76" s="69"/>
      <c r="C76" s="69"/>
      <c r="D76" s="876" t="str">
        <f>IF(MasterSheet!$A$1=1,MasterSheet!C388,MasterSheet!B388)</f>
        <v>Sredstva za tehnološke viškove</v>
      </c>
      <c r="E76" s="354">
        <v>217499.03</v>
      </c>
      <c r="F76" s="356">
        <v>1858188.85</v>
      </c>
      <c r="G76" s="356">
        <v>1411205.3399999999</v>
      </c>
      <c r="H76" s="356">
        <v>929016.34000000008</v>
      </c>
      <c r="I76" s="356">
        <v>880474.57000000007</v>
      </c>
      <c r="J76" s="356">
        <v>934224.6</v>
      </c>
      <c r="K76" s="376">
        <v>746595.69000000006</v>
      </c>
      <c r="L76" s="355">
        <v>1119949.56</v>
      </c>
      <c r="M76" s="355">
        <v>976049.14999999991</v>
      </c>
      <c r="N76" s="355"/>
      <c r="O76" s="355"/>
      <c r="P76" s="355"/>
      <c r="Q76" s="704">
        <f t="shared" si="5"/>
        <v>9073203.1300000008</v>
      </c>
      <c r="R76" s="598">
        <v>1411205.3399999999</v>
      </c>
      <c r="S76" s="598">
        <f t="shared" si="14"/>
        <v>10484408.470000001</v>
      </c>
      <c r="T76" s="598">
        <f>+'Monthly plan for 2013'!E70+'Monthly plan for 2013'!F70+'Monthly plan for 2013'!G70</f>
        <v>3840012.51</v>
      </c>
      <c r="U76" s="441">
        <f t="shared" si="15"/>
        <v>6644395.9600000009</v>
      </c>
      <c r="V76" s="69"/>
      <c r="W76" s="69"/>
      <c r="X76" s="69"/>
      <c r="Y76" s="745">
        <f t="shared" si="6"/>
        <v>0.25798132300255905</v>
      </c>
      <c r="Z76" s="69"/>
      <c r="AA76" s="69"/>
      <c r="AB76" s="69"/>
      <c r="AC76" s="69"/>
      <c r="AD76" s="69"/>
      <c r="AE76" s="69"/>
      <c r="AF76" s="69"/>
      <c r="AG76" s="69"/>
    </row>
    <row r="77" spans="1:33">
      <c r="A77" s="69"/>
      <c r="B77" s="69"/>
      <c r="C77" s="69"/>
      <c r="D77" s="876" t="str">
        <f>IF(MasterSheet!$A$1=1,MasterSheet!C389,MasterSheet!B389)</f>
        <v>Prava iz oblasti penzijskog i invalidskog osiguranja</v>
      </c>
      <c r="E77" s="354">
        <v>31674733.129999995</v>
      </c>
      <c r="F77" s="356">
        <v>31981161.769999996</v>
      </c>
      <c r="G77" s="356">
        <v>32270882.729999993</v>
      </c>
      <c r="H77" s="356">
        <v>31901739.650000002</v>
      </c>
      <c r="I77" s="356">
        <v>31873820.949999999</v>
      </c>
      <c r="J77" s="356">
        <v>32034901.800000001</v>
      </c>
      <c r="K77" s="376">
        <v>30924456.400000002</v>
      </c>
      <c r="L77" s="355">
        <v>30924456.400000002</v>
      </c>
      <c r="M77" s="355">
        <v>31691801.060000002</v>
      </c>
      <c r="N77" s="355"/>
      <c r="O77" s="355"/>
      <c r="P77" s="355"/>
      <c r="Q77" s="704">
        <f t="shared" si="5"/>
        <v>285277953.88999999</v>
      </c>
      <c r="R77" s="598">
        <v>34592700.830000006</v>
      </c>
      <c r="S77" s="598">
        <f t="shared" si="14"/>
        <v>319870654.71999997</v>
      </c>
      <c r="T77" s="598">
        <f>+'Monthly plan for 2013'!E71+'Monthly plan for 2013'!F71+'Monthly plan for 2013'!G71</f>
        <v>100225919.28</v>
      </c>
      <c r="U77" s="441">
        <f t="shared" si="15"/>
        <v>219644735.43999997</v>
      </c>
      <c r="V77" s="69"/>
      <c r="W77" s="69"/>
      <c r="X77" s="69"/>
      <c r="Y77" s="745">
        <f t="shared" si="6"/>
        <v>8.1114004518055154</v>
      </c>
      <c r="Z77" s="69"/>
      <c r="AA77" s="69"/>
      <c r="AB77" s="69"/>
      <c r="AC77" s="69"/>
      <c r="AD77" s="69"/>
      <c r="AE77" s="69"/>
      <c r="AF77" s="69"/>
      <c r="AG77" s="69"/>
    </row>
    <row r="78" spans="1:33">
      <c r="A78" s="69"/>
      <c r="B78" s="69"/>
      <c r="C78" s="69"/>
      <c r="D78" s="876" t="str">
        <f>IF(MasterSheet!$A$1=1,MasterSheet!C390,MasterSheet!B390)</f>
        <v>Ostala prava iz oblasti zdravstvene zaštite</v>
      </c>
      <c r="E78" s="354">
        <v>639432.91</v>
      </c>
      <c r="F78" s="356">
        <v>1579093.25</v>
      </c>
      <c r="G78" s="356">
        <v>626460.35</v>
      </c>
      <c r="H78" s="356">
        <v>1544704.71</v>
      </c>
      <c r="I78" s="356">
        <v>1166317.46</v>
      </c>
      <c r="J78" s="356">
        <v>678250.89</v>
      </c>
      <c r="K78" s="376">
        <v>1306714.3700000001</v>
      </c>
      <c r="L78" s="355">
        <v>1105331.22</v>
      </c>
      <c r="M78" s="355">
        <v>1786629.01</v>
      </c>
      <c r="N78" s="355"/>
      <c r="O78" s="355"/>
      <c r="P78" s="355"/>
      <c r="Q78" s="704">
        <f t="shared" si="5"/>
        <v>10432934.17</v>
      </c>
      <c r="R78" s="598">
        <v>626460.35</v>
      </c>
      <c r="S78" s="598">
        <f t="shared" si="14"/>
        <v>11059394.52</v>
      </c>
      <c r="T78" s="598">
        <f>+'Monthly plan for 2013'!E72+'Monthly plan for 2013'!F72+'Monthly plan for 2013'!G72</f>
        <v>3399999.99</v>
      </c>
      <c r="U78" s="441">
        <f t="shared" si="15"/>
        <v>7659394.5299999993</v>
      </c>
      <c r="V78" s="69"/>
      <c r="W78" s="69"/>
      <c r="X78" s="69"/>
      <c r="Y78" s="745">
        <f t="shared" si="6"/>
        <v>0.29664299601933469</v>
      </c>
      <c r="Z78" s="69"/>
      <c r="AA78" s="69"/>
      <c r="AB78" s="69"/>
      <c r="AC78" s="69"/>
      <c r="AD78" s="69"/>
      <c r="AE78" s="69"/>
      <c r="AF78" s="69"/>
      <c r="AG78" s="69"/>
    </row>
    <row r="79" spans="1:33">
      <c r="A79" s="69"/>
      <c r="B79" s="69"/>
      <c r="C79" s="69"/>
      <c r="D79" s="876" t="str">
        <f>IF(MasterSheet!$A$1=1,MasterSheet!C391,MasterSheet!B391)</f>
        <v>Ostala prava iz oblasti zdravstvenog osiguranja</v>
      </c>
      <c r="E79" s="354">
        <v>370401.12</v>
      </c>
      <c r="F79" s="356">
        <v>620552.52</v>
      </c>
      <c r="G79" s="356">
        <v>638457.29</v>
      </c>
      <c r="H79" s="356">
        <v>505586.33999999997</v>
      </c>
      <c r="I79" s="356">
        <v>569999.48</v>
      </c>
      <c r="J79" s="356">
        <v>860418.68</v>
      </c>
      <c r="K79" s="376">
        <v>568338.07999999996</v>
      </c>
      <c r="L79" s="355">
        <v>637853.67999999993</v>
      </c>
      <c r="M79" s="355">
        <v>721453.07</v>
      </c>
      <c r="N79" s="355"/>
      <c r="O79" s="355"/>
      <c r="P79" s="355"/>
      <c r="Q79" s="704">
        <f t="shared" si="5"/>
        <v>5493060.2600000007</v>
      </c>
      <c r="R79" s="598">
        <v>638457.29</v>
      </c>
      <c r="S79" s="598">
        <f t="shared" si="14"/>
        <v>6131517.5500000007</v>
      </c>
      <c r="T79" s="598">
        <f>+'Monthly plan for 2013'!E73+'Monthly plan for 2013'!F73+'Monthly plan for 2013'!G73</f>
        <v>1749999.9900000002</v>
      </c>
      <c r="U79" s="441">
        <f t="shared" si="15"/>
        <v>4381517.5600000005</v>
      </c>
      <c r="V79" s="69"/>
      <c r="W79" s="69"/>
      <c r="X79" s="69"/>
      <c r="Y79" s="745">
        <f t="shared" si="6"/>
        <v>0.15618596133067958</v>
      </c>
      <c r="Z79" s="69"/>
      <c r="AA79" s="69"/>
      <c r="AB79" s="69"/>
      <c r="AC79" s="69"/>
      <c r="AD79" s="69"/>
      <c r="AE79" s="69"/>
      <c r="AF79" s="69"/>
      <c r="AG79" s="69"/>
    </row>
    <row r="80" spans="1:33" ht="27.75" customHeight="1">
      <c r="A80" s="69"/>
      <c r="B80" s="69"/>
      <c r="C80" s="69"/>
      <c r="D80" s="880" t="str">
        <f>IF(MasterSheet!$A$1=1,MasterSheet!C392,MasterSheet!B392)</f>
        <v>Transferi institucijama pojedinicima nevladinom i javnom sektoru</v>
      </c>
      <c r="E80" s="318">
        <f>+SUM(E81:E85)</f>
        <v>4766352.82</v>
      </c>
      <c r="F80" s="389">
        <f t="shared" ref="F80:M80" si="21">+SUM(F81:F85)</f>
        <v>7183318.2799999993</v>
      </c>
      <c r="G80" s="389">
        <f t="shared" si="21"/>
        <v>8947545.6400000006</v>
      </c>
      <c r="H80" s="389">
        <f t="shared" si="21"/>
        <v>5884665.6100000003</v>
      </c>
      <c r="I80" s="389">
        <f t="shared" si="21"/>
        <v>7415737.6300000008</v>
      </c>
      <c r="J80" s="389">
        <f t="shared" si="21"/>
        <v>7060820.2999999998</v>
      </c>
      <c r="K80" s="387">
        <f t="shared" si="21"/>
        <v>5861351.5199999996</v>
      </c>
      <c r="L80" s="387">
        <f t="shared" si="21"/>
        <v>9040041.9700000007</v>
      </c>
      <c r="M80" s="499">
        <f t="shared" si="21"/>
        <v>8245712.2599999998</v>
      </c>
      <c r="N80" s="499">
        <f t="shared" ref="N80:P80" si="22">+SUM(N81:N85)</f>
        <v>0</v>
      </c>
      <c r="O80" s="499">
        <f t="shared" si="22"/>
        <v>0</v>
      </c>
      <c r="P80" s="499">
        <f t="shared" si="22"/>
        <v>0</v>
      </c>
      <c r="Q80" s="600">
        <f t="shared" si="5"/>
        <v>64405546.029999994</v>
      </c>
      <c r="R80" s="600">
        <v>8947545.6400000006</v>
      </c>
      <c r="S80" s="600">
        <f t="shared" si="14"/>
        <v>73353091.669999987</v>
      </c>
      <c r="T80" s="600">
        <f>+'Monthly plan for 2013'!E74+'Monthly plan for 2013'!F74+'Monthly plan for 2013'!G74</f>
        <v>23320174.050000001</v>
      </c>
      <c r="U80" s="441">
        <f t="shared" si="15"/>
        <v>50032917.61999999</v>
      </c>
      <c r="V80" s="69"/>
      <c r="W80" s="69"/>
      <c r="X80" s="69"/>
      <c r="Y80" s="744">
        <f t="shared" si="6"/>
        <v>1.8312637483650838</v>
      </c>
      <c r="Z80" s="69"/>
      <c r="AA80" s="69"/>
      <c r="AB80" s="69"/>
      <c r="AC80" s="69"/>
      <c r="AD80" s="69"/>
      <c r="AE80" s="69"/>
      <c r="AF80" s="69"/>
      <c r="AG80" s="69"/>
    </row>
    <row r="81" spans="1:33">
      <c r="A81" s="69"/>
      <c r="B81" s="69"/>
      <c r="C81" s="69"/>
      <c r="D81" s="876" t="str">
        <f>IF(MasterSheet!$A$1=1,MasterSheet!C393,MasterSheet!B393)</f>
        <v>Transferi javnim institucijama</v>
      </c>
      <c r="E81" s="354">
        <v>4359419.74</v>
      </c>
      <c r="F81" s="354">
        <v>5926531.1499999994</v>
      </c>
      <c r="G81" s="356">
        <v>6814693.6900000004</v>
      </c>
      <c r="H81" s="356">
        <v>4020786.17</v>
      </c>
      <c r="I81" s="354">
        <v>5924405.5600000005</v>
      </c>
      <c r="J81" s="356">
        <v>5511337.29</v>
      </c>
      <c r="K81" s="376">
        <v>3622572.18</v>
      </c>
      <c r="L81" s="355">
        <v>7062054.1800000006</v>
      </c>
      <c r="M81" s="355">
        <v>6729541.9399999995</v>
      </c>
      <c r="N81" s="355"/>
      <c r="O81" s="355"/>
      <c r="P81" s="355"/>
      <c r="Q81" s="598">
        <f t="shared" si="5"/>
        <v>49971341.899999999</v>
      </c>
      <c r="R81" s="598">
        <v>6814693.6900000004</v>
      </c>
      <c r="S81" s="598">
        <f t="shared" si="14"/>
        <v>56786035.589999996</v>
      </c>
      <c r="T81" s="598">
        <f>+'Monthly plan for 2013'!E75+'Monthly plan for 2013'!F75+'Monthly plan for 2013'!G75</f>
        <v>18019117.5</v>
      </c>
      <c r="U81" s="441">
        <f t="shared" si="15"/>
        <v>38766918.089999996</v>
      </c>
      <c r="V81" s="69"/>
      <c r="W81" s="69"/>
      <c r="X81" s="69"/>
      <c r="Y81" s="745">
        <f t="shared" si="6"/>
        <v>1.4208513477395508</v>
      </c>
      <c r="Z81" s="69"/>
      <c r="AA81" s="69"/>
      <c r="AB81" s="69"/>
      <c r="AC81" s="69"/>
      <c r="AD81" s="69"/>
      <c r="AE81" s="69"/>
      <c r="AF81" s="69"/>
      <c r="AG81" s="69"/>
    </row>
    <row r="82" spans="1:33">
      <c r="A82" s="69"/>
      <c r="B82" s="69"/>
      <c r="C82" s="69"/>
      <c r="D82" s="876" t="str">
        <f>IF(MasterSheet!$A$1=1,MasterSheet!C394,MasterSheet!B394)</f>
        <v>Transferi nevladinim organizacijama</v>
      </c>
      <c r="E82" s="354">
        <v>0</v>
      </c>
      <c r="F82" s="354">
        <v>45833.34</v>
      </c>
      <c r="G82" s="356">
        <v>23116.67</v>
      </c>
      <c r="H82" s="356">
        <v>0</v>
      </c>
      <c r="I82" s="354">
        <v>22916.67</v>
      </c>
      <c r="J82" s="356">
        <v>22916.67</v>
      </c>
      <c r="K82" s="376">
        <v>69816.67</v>
      </c>
      <c r="L82" s="355">
        <v>131466.66999999998</v>
      </c>
      <c r="M82" s="355">
        <v>136466.66999999998</v>
      </c>
      <c r="N82" s="355"/>
      <c r="O82" s="355"/>
      <c r="P82" s="355"/>
      <c r="Q82" s="598">
        <f t="shared" si="5"/>
        <v>452533.35999999993</v>
      </c>
      <c r="R82" s="598">
        <v>23116.67</v>
      </c>
      <c r="S82" s="598">
        <f t="shared" si="14"/>
        <v>475650.02999999991</v>
      </c>
      <c r="T82" s="598">
        <f>+'Monthly plan for 2013'!E76+'Monthly plan for 2013'!F76+'Monthly plan for 2013'!G76</f>
        <v>633656.55000000005</v>
      </c>
      <c r="U82" s="441">
        <f t="shared" si="15"/>
        <v>-158006.52000000014</v>
      </c>
      <c r="V82" s="69"/>
      <c r="W82" s="69"/>
      <c r="X82" s="69"/>
      <c r="Y82" s="745">
        <f t="shared" si="6"/>
        <v>1.2867027580324139E-2</v>
      </c>
      <c r="Z82" s="69"/>
      <c r="AA82" s="69"/>
      <c r="AB82" s="69"/>
      <c r="AC82" s="69"/>
      <c r="AD82" s="69"/>
      <c r="AE82" s="69"/>
      <c r="AF82" s="69"/>
      <c r="AG82" s="69"/>
    </row>
    <row r="83" spans="1:33">
      <c r="A83" s="69"/>
      <c r="B83" s="69"/>
      <c r="C83" s="69"/>
      <c r="D83" s="876" t="str">
        <f>IF(MasterSheet!$A$1=1,MasterSheet!C395,MasterSheet!B395)</f>
        <v>Transferi pojedincima</v>
      </c>
      <c r="E83" s="354">
        <v>406933.08</v>
      </c>
      <c r="F83" s="354">
        <v>1210953.79</v>
      </c>
      <c r="G83" s="356">
        <v>2107235.2799999998</v>
      </c>
      <c r="H83" s="356">
        <v>1859879.4400000002</v>
      </c>
      <c r="I83" s="354">
        <v>1468415.4</v>
      </c>
      <c r="J83" s="356">
        <v>1526566.34</v>
      </c>
      <c r="K83" s="376">
        <v>2167962.67</v>
      </c>
      <c r="L83" s="355">
        <v>1826221.12</v>
      </c>
      <c r="M83" s="355">
        <v>1376703.6500000001</v>
      </c>
      <c r="N83" s="355"/>
      <c r="O83" s="355"/>
      <c r="P83" s="355"/>
      <c r="Q83" s="598">
        <f t="shared" si="5"/>
        <v>13950870.770000001</v>
      </c>
      <c r="R83" s="598">
        <v>2107235.2799999998</v>
      </c>
      <c r="S83" s="598">
        <f t="shared" si="14"/>
        <v>16058106.050000001</v>
      </c>
      <c r="T83" s="598">
        <f>+'Monthly plan for 2013'!E77+'Monthly plan for 2013'!F77+'Monthly plan for 2013'!G77</f>
        <v>4604900.01</v>
      </c>
      <c r="U83" s="441">
        <f t="shared" si="15"/>
        <v>11453206.040000001</v>
      </c>
      <c r="V83" s="69"/>
      <c r="W83" s="69"/>
      <c r="X83" s="69"/>
      <c r="Y83" s="745">
        <f t="shared" si="6"/>
        <v>0.3966696266704578</v>
      </c>
      <c r="Z83" s="69"/>
      <c r="AA83" s="69"/>
      <c r="AB83" s="69"/>
      <c r="AC83" s="69"/>
      <c r="AD83" s="69"/>
      <c r="AE83" s="69"/>
      <c r="AF83" s="69"/>
      <c r="AG83" s="69"/>
    </row>
    <row r="84" spans="1:33">
      <c r="A84" s="69"/>
      <c r="B84" s="69"/>
      <c r="C84" s="69"/>
      <c r="D84" s="876" t="str">
        <f>IF(MasterSheet!$A$1=1,MasterSheet!C396,MasterSheet!B396)</f>
        <v>Transferi opštinama</v>
      </c>
      <c r="E84" s="354">
        <v>0</v>
      </c>
      <c r="F84" s="354">
        <v>0</v>
      </c>
      <c r="G84" s="356">
        <v>2500</v>
      </c>
      <c r="H84" s="356">
        <v>4000</v>
      </c>
      <c r="I84" s="354">
        <v>0</v>
      </c>
      <c r="J84" s="356">
        <v>0</v>
      </c>
      <c r="K84" s="376">
        <v>1000</v>
      </c>
      <c r="L84" s="355">
        <v>20300</v>
      </c>
      <c r="M84" s="355">
        <v>3000</v>
      </c>
      <c r="N84" s="355"/>
      <c r="O84" s="355"/>
      <c r="P84" s="355"/>
      <c r="Q84" s="598">
        <f t="shared" si="5"/>
        <v>30800</v>
      </c>
      <c r="R84" s="598">
        <v>2500</v>
      </c>
      <c r="S84" s="598">
        <f t="shared" si="14"/>
        <v>33300</v>
      </c>
      <c r="T84" s="598">
        <f>+'Monthly plan for 2013'!E78+'Monthly plan for 2013'!F78+'Monthly plan for 2013'!G78</f>
        <v>62499.990000000005</v>
      </c>
      <c r="U84" s="441">
        <f t="shared" si="15"/>
        <v>-29199.990000000005</v>
      </c>
      <c r="V84" s="69"/>
      <c r="W84" s="69"/>
      <c r="X84" s="69"/>
      <c r="Y84" s="745">
        <f t="shared" si="6"/>
        <v>8.7574637475120842E-4</v>
      </c>
      <c r="Z84" s="69"/>
      <c r="AA84" s="69"/>
      <c r="AB84" s="69"/>
      <c r="AC84" s="69"/>
      <c r="AD84" s="69"/>
      <c r="AE84" s="69"/>
      <c r="AF84" s="69"/>
      <c r="AG84" s="69"/>
    </row>
    <row r="85" spans="1:33" ht="13.5" thickBot="1">
      <c r="A85" s="69"/>
      <c r="B85" s="69"/>
      <c r="C85" s="69"/>
      <c r="D85" s="1023" t="str">
        <f>IF(MasterSheet!$A$1=1,MasterSheet!C397,MasterSheet!B397)</f>
        <v>Transferi javnim preduzećima</v>
      </c>
      <c r="E85" s="394">
        <v>0</v>
      </c>
      <c r="F85" s="758">
        <v>0</v>
      </c>
      <c r="G85" s="758">
        <v>0</v>
      </c>
      <c r="H85" s="758">
        <v>0</v>
      </c>
      <c r="I85" s="758">
        <v>0</v>
      </c>
      <c r="J85" s="396">
        <v>0</v>
      </c>
      <c r="K85" s="525">
        <v>0</v>
      </c>
      <c r="L85" s="395">
        <v>0</v>
      </c>
      <c r="M85" s="395">
        <v>0</v>
      </c>
      <c r="N85" s="395"/>
      <c r="O85" s="395"/>
      <c r="P85" s="395"/>
      <c r="Q85" s="601">
        <f t="shared" si="5"/>
        <v>0</v>
      </c>
      <c r="R85" s="601">
        <v>0</v>
      </c>
      <c r="S85" s="601">
        <f t="shared" si="14"/>
        <v>0</v>
      </c>
      <c r="T85" s="601">
        <f>+'Monthly plan for 2013'!E79+'Monthly plan for 2013'!F79+'Monthly plan for 2013'!G79</f>
        <v>0</v>
      </c>
      <c r="U85" s="441">
        <f t="shared" si="15"/>
        <v>0</v>
      </c>
      <c r="V85" s="69"/>
      <c r="W85" s="69"/>
      <c r="X85" s="69"/>
      <c r="Y85" s="747">
        <f t="shared" si="6"/>
        <v>0</v>
      </c>
      <c r="Z85" s="69"/>
      <c r="AA85" s="69"/>
      <c r="AB85" s="69"/>
      <c r="AC85" s="69"/>
      <c r="AD85" s="69"/>
      <c r="AE85" s="69"/>
      <c r="AF85" s="69"/>
      <c r="AG85" s="69"/>
    </row>
    <row r="86" spans="1:33" ht="14.25" thickTop="1" thickBot="1">
      <c r="A86" s="69"/>
      <c r="B86" s="69"/>
      <c r="C86" s="69"/>
      <c r="D86" s="1021" t="str">
        <f>IF(MasterSheet!$A$1=1,MasterSheet!C398,MasterSheet!B398)</f>
        <v>Kapitalni budžet</v>
      </c>
      <c r="E86" s="638">
        <v>138077.81</v>
      </c>
      <c r="F86" s="449">
        <v>2008065.02</v>
      </c>
      <c r="G86" s="449">
        <v>4422241.25</v>
      </c>
      <c r="H86" s="449">
        <v>4197672.67</v>
      </c>
      <c r="I86" s="449">
        <v>4236917.4400000004</v>
      </c>
      <c r="J86" s="449">
        <v>4706155.42</v>
      </c>
      <c r="K86" s="1034">
        <v>4524523.5699999994</v>
      </c>
      <c r="L86" s="642">
        <v>4216317.49</v>
      </c>
      <c r="M86" s="642">
        <v>3941356.57</v>
      </c>
      <c r="N86" s="642"/>
      <c r="O86" s="399"/>
      <c r="P86" s="399"/>
      <c r="Q86" s="602">
        <f t="shared" si="5"/>
        <v>32391327.240000002</v>
      </c>
      <c r="R86" s="602">
        <v>4422241.25</v>
      </c>
      <c r="S86" s="602">
        <f t="shared" si="14"/>
        <v>36813568.490000002</v>
      </c>
      <c r="T86" s="602">
        <f>+'Monthly plan for 2013'!E80+'Monthly plan for 2013'!F80+'Monthly plan for 2013'!G80</f>
        <v>16409750.01</v>
      </c>
      <c r="U86" s="441">
        <f t="shared" si="15"/>
        <v>20403818.480000004</v>
      </c>
      <c r="V86" s="69"/>
      <c r="W86" s="69"/>
      <c r="X86" s="69"/>
      <c r="Y86" s="748">
        <f t="shared" si="6"/>
        <v>0.92099309752630087</v>
      </c>
      <c r="Z86" s="69"/>
      <c r="AA86" s="69"/>
      <c r="AB86" s="69"/>
      <c r="AC86" s="69"/>
      <c r="AD86" s="69"/>
      <c r="AE86" s="69"/>
      <c r="AF86" s="69"/>
      <c r="AG86" s="69"/>
    </row>
    <row r="87" spans="1:33" ht="13.5" thickTop="1">
      <c r="A87" s="69"/>
      <c r="B87" s="69"/>
      <c r="C87" s="69"/>
      <c r="D87" s="876" t="str">
        <f>IF(MasterSheet!$A$1=1,MasterSheet!C399,MasterSheet!B399)</f>
        <v>Pozajmice i krediti</v>
      </c>
      <c r="E87" s="354">
        <v>5000</v>
      </c>
      <c r="F87" s="356">
        <v>57001.11</v>
      </c>
      <c r="G87" s="356">
        <v>614160.66</v>
      </c>
      <c r="H87" s="356">
        <v>220833.34</v>
      </c>
      <c r="I87" s="356">
        <v>331814</v>
      </c>
      <c r="J87" s="356">
        <v>6656</v>
      </c>
      <c r="K87" s="376">
        <v>27500</v>
      </c>
      <c r="L87" s="355">
        <v>40000</v>
      </c>
      <c r="M87" s="355">
        <v>17507.28</v>
      </c>
      <c r="N87" s="355"/>
      <c r="O87" s="355"/>
      <c r="P87" s="355"/>
      <c r="Q87" s="603">
        <f t="shared" si="5"/>
        <v>1320472.3899999999</v>
      </c>
      <c r="R87" s="603">
        <v>614160.66</v>
      </c>
      <c r="S87" s="603">
        <f t="shared" si="14"/>
        <v>1934633.0499999998</v>
      </c>
      <c r="T87" s="603">
        <f>+'Monthly plan for 2013'!E81+'Monthly plan for 2013'!F81+'Monthly plan for 2013'!G81</f>
        <v>430000.02</v>
      </c>
      <c r="U87" s="441">
        <f t="shared" si="15"/>
        <v>1504633.0299999998</v>
      </c>
      <c r="V87" s="69"/>
      <c r="W87" s="69"/>
      <c r="X87" s="69"/>
      <c r="Y87" s="749">
        <f t="shared" si="6"/>
        <v>3.7545419107193626E-2</v>
      </c>
      <c r="Z87" s="69"/>
      <c r="AA87" s="69"/>
      <c r="AB87" s="69"/>
      <c r="AC87" s="69"/>
      <c r="AD87" s="69"/>
      <c r="AE87" s="69"/>
      <c r="AF87" s="69"/>
      <c r="AG87" s="69"/>
    </row>
    <row r="88" spans="1:33" ht="13.5" thickBot="1">
      <c r="A88" s="69"/>
      <c r="B88" s="69"/>
      <c r="C88" s="69"/>
      <c r="D88" s="1023" t="str">
        <f>IF(MasterSheet!$A$1=1,MasterSheet!C400,MasterSheet!B400)</f>
        <v>Rezerve</v>
      </c>
      <c r="E88" s="394">
        <v>152480</v>
      </c>
      <c r="F88" s="758">
        <v>69850</v>
      </c>
      <c r="G88" s="758">
        <v>381882.21</v>
      </c>
      <c r="H88" s="758">
        <v>795860</v>
      </c>
      <c r="I88" s="758">
        <v>1010265.09</v>
      </c>
      <c r="J88" s="396">
        <v>3303845.5</v>
      </c>
      <c r="K88" s="525">
        <v>2217610</v>
      </c>
      <c r="L88" s="395">
        <v>1221150.82</v>
      </c>
      <c r="M88" s="395">
        <v>2522721.1</v>
      </c>
      <c r="N88" s="395"/>
      <c r="O88" s="395"/>
      <c r="P88" s="395"/>
      <c r="Q88" s="601">
        <f t="shared" si="5"/>
        <v>11675664.719999999</v>
      </c>
      <c r="R88" s="601">
        <v>381882.21</v>
      </c>
      <c r="S88" s="601">
        <f t="shared" si="14"/>
        <v>12057546.93</v>
      </c>
      <c r="T88" s="601">
        <f>+'Monthly plan for 2013'!E82+'Monthly plan for 2013'!F82+'Monthly plan for 2013'!G82</f>
        <v>1839017.3699999996</v>
      </c>
      <c r="U88" s="441">
        <f t="shared" si="15"/>
        <v>10218529.560000001</v>
      </c>
      <c r="V88" s="69"/>
      <c r="W88" s="69"/>
      <c r="X88" s="69"/>
      <c r="Y88" s="747">
        <f t="shared" si="6"/>
        <v>0.33197795621268122</v>
      </c>
      <c r="Z88" s="69"/>
      <c r="AA88" s="69"/>
      <c r="AB88" s="69"/>
      <c r="AC88" s="69"/>
      <c r="AD88" s="69"/>
      <c r="AE88" s="69"/>
      <c r="AF88" s="69"/>
      <c r="AG88" s="69"/>
    </row>
    <row r="89" spans="1:33" ht="14.25" thickTop="1" thickBot="1">
      <c r="A89" s="69"/>
      <c r="B89" s="69"/>
      <c r="C89" s="69"/>
      <c r="D89" s="1023" t="str">
        <f>IF(MasterSheet!$A$1=1,MasterSheet!C408,MasterSheet!B408)</f>
        <v>Otplata garancija</v>
      </c>
      <c r="E89" s="354">
        <v>0</v>
      </c>
      <c r="F89" s="757">
        <v>0</v>
      </c>
      <c r="G89" s="757">
        <v>0</v>
      </c>
      <c r="H89" s="757">
        <v>145520.37</v>
      </c>
      <c r="I89" s="757">
        <v>0</v>
      </c>
      <c r="J89" s="356">
        <v>0</v>
      </c>
      <c r="K89" s="376">
        <v>60056480</v>
      </c>
      <c r="L89" s="355">
        <v>42900294.009999998</v>
      </c>
      <c r="M89" s="355">
        <v>0</v>
      </c>
      <c r="N89" s="355"/>
      <c r="O89" s="355"/>
      <c r="P89" s="355"/>
      <c r="Q89" s="598">
        <f>SUM(E89:P89)</f>
        <v>103102294.38</v>
      </c>
      <c r="R89" s="598">
        <v>0</v>
      </c>
      <c r="S89" s="441">
        <f t="shared" si="14"/>
        <v>103102294.38</v>
      </c>
      <c r="T89" s="441"/>
      <c r="U89" s="69"/>
      <c r="V89" s="69"/>
      <c r="W89" s="69"/>
      <c r="X89" s="69"/>
      <c r="Y89" s="745">
        <f t="shared" si="6"/>
        <v>2.931540926357691</v>
      </c>
      <c r="Z89" s="69"/>
      <c r="AA89" s="69"/>
      <c r="AB89" s="69"/>
      <c r="AC89" s="69"/>
      <c r="AD89" s="69"/>
      <c r="AE89" s="69"/>
      <c r="AF89" s="69"/>
      <c r="AG89" s="69"/>
    </row>
    <row r="90" spans="1:33" ht="14.25" thickTop="1" thickBot="1">
      <c r="A90" s="69"/>
      <c r="B90" s="69"/>
      <c r="C90" s="69"/>
      <c r="D90" s="1021" t="str">
        <f>IF(MasterSheet!$A$1=1,MasterSheet!C402,MasterSheet!B402)</f>
        <v>Suficit/ Deficit</v>
      </c>
      <c r="E90" s="385">
        <f>E25-E57</f>
        <v>-26278908.770000011</v>
      </c>
      <c r="F90" s="1032">
        <f t="shared" ref="F90:O90" si="23">F25-F57</f>
        <v>-19655387.129999995</v>
      </c>
      <c r="G90" s="1032">
        <f t="shared" si="23"/>
        <v>-16094603.739488453</v>
      </c>
      <c r="H90" s="1032">
        <f t="shared" si="23"/>
        <v>-16579919.779057279</v>
      </c>
      <c r="I90" s="1032">
        <f t="shared" si="23"/>
        <v>-2281533.7802222073</v>
      </c>
      <c r="J90" s="1032">
        <f t="shared" si="23"/>
        <v>-1150925.664792031</v>
      </c>
      <c r="K90" s="1032">
        <f t="shared" si="23"/>
        <v>-38091562.151030391</v>
      </c>
      <c r="L90" s="1032">
        <f t="shared" si="23"/>
        <v>-17126125.74103038</v>
      </c>
      <c r="M90" s="432">
        <f t="shared" si="23"/>
        <v>-898809.10090230405</v>
      </c>
      <c r="N90" s="432">
        <f t="shared" si="23"/>
        <v>0</v>
      </c>
      <c r="O90" s="432">
        <f t="shared" si="23"/>
        <v>0</v>
      </c>
      <c r="P90" s="432">
        <f t="shared" ref="P90" si="24">P25-P57</f>
        <v>0</v>
      </c>
      <c r="Q90" s="596">
        <f>SUM(E90:P90)</f>
        <v>-138157775.85652304</v>
      </c>
      <c r="R90" s="596"/>
      <c r="S90" s="69"/>
      <c r="T90" s="69"/>
      <c r="U90" s="69"/>
      <c r="V90" s="69"/>
      <c r="W90" s="69"/>
      <c r="X90" s="69"/>
      <c r="Y90" s="734">
        <f t="shared" ref="Y90:Y102" si="25">+Q90/$E$20*100</f>
        <v>-3.9282847840922104</v>
      </c>
      <c r="Z90" s="69"/>
      <c r="AA90" s="69"/>
      <c r="AB90" s="69"/>
      <c r="AC90" s="69"/>
      <c r="AD90" s="69"/>
      <c r="AE90" s="69"/>
      <c r="AF90" s="69"/>
      <c r="AG90" s="69"/>
    </row>
    <row r="91" spans="1:33" ht="14.25" thickTop="1" thickBot="1">
      <c r="A91" s="69"/>
      <c r="B91" s="69"/>
      <c r="C91" s="69"/>
      <c r="D91" s="1021" t="str">
        <f>IF(MasterSheet!$A$1=1,MasterSheet!C403,MasterSheet!B403)</f>
        <v>Primarni deficit</v>
      </c>
      <c r="E91" s="385">
        <f>E90+E69</f>
        <v>-25725118.260000009</v>
      </c>
      <c r="F91" s="1032">
        <f t="shared" ref="F91:P91" si="26">F90+F69</f>
        <v>-17894035.779999994</v>
      </c>
      <c r="G91" s="1032">
        <f t="shared" si="26"/>
        <v>-14076155.449488454</v>
      </c>
      <c r="H91" s="1032">
        <f t="shared" si="26"/>
        <v>8733302.5909427218</v>
      </c>
      <c r="I91" s="1032">
        <f t="shared" si="26"/>
        <v>-1156117.8502222071</v>
      </c>
      <c r="J91" s="1032">
        <f t="shared" si="26"/>
        <v>2353526.4252079693</v>
      </c>
      <c r="K91" s="1032">
        <f t="shared" si="26"/>
        <v>-32436792.191030391</v>
      </c>
      <c r="L91" s="1024">
        <f t="shared" si="26"/>
        <v>-15022545.65103038</v>
      </c>
      <c r="M91" s="432">
        <f t="shared" si="26"/>
        <v>17871244.899097696</v>
      </c>
      <c r="N91" s="432">
        <f t="shared" si="26"/>
        <v>0</v>
      </c>
      <c r="O91" s="432">
        <f t="shared" si="26"/>
        <v>0</v>
      </c>
      <c r="P91" s="432">
        <f t="shared" si="26"/>
        <v>0</v>
      </c>
      <c r="Q91" s="596">
        <f t="shared" ref="Q91:Q102" si="27">SUM(E91:P91)</f>
        <v>-77352691.266523048</v>
      </c>
      <c r="R91" s="69"/>
      <c r="S91" s="69"/>
      <c r="T91" s="69"/>
      <c r="U91" s="69"/>
      <c r="V91" s="69"/>
      <c r="W91" s="69"/>
      <c r="X91" s="69"/>
      <c r="Y91" s="734">
        <f t="shared" si="25"/>
        <v>-2.1993941218800979</v>
      </c>
      <c r="Z91" s="69"/>
      <c r="AA91" s="69"/>
      <c r="AB91" s="69"/>
      <c r="AC91" s="69"/>
      <c r="AD91" s="69"/>
      <c r="AE91" s="69"/>
      <c r="AF91" s="69"/>
      <c r="AG91" s="69"/>
    </row>
    <row r="92" spans="1:33" ht="14.25" thickTop="1" thickBot="1">
      <c r="A92" s="69"/>
      <c r="B92" s="69"/>
      <c r="C92" s="69"/>
      <c r="D92" s="1021" t="str">
        <f>IF(MasterSheet!$A$1=1,MasterSheet!C404,MasterSheet!B404)</f>
        <v>Otplata duga</v>
      </c>
      <c r="E92" s="385">
        <f>SUM(E93:E95)</f>
        <v>16061025.709999999</v>
      </c>
      <c r="F92" s="1032">
        <f t="shared" ref="F92:O92" si="28">SUM(F93:F95)</f>
        <v>7375048.8699999992</v>
      </c>
      <c r="G92" s="1032">
        <f t="shared" si="28"/>
        <v>7335753.8399999999</v>
      </c>
      <c r="H92" s="1032">
        <f t="shared" si="28"/>
        <v>7894827.54</v>
      </c>
      <c r="I92" s="1032">
        <f t="shared" si="28"/>
        <v>5565089.5</v>
      </c>
      <c r="J92" s="1032">
        <f t="shared" si="28"/>
        <v>18466625.890000001</v>
      </c>
      <c r="K92" s="1032">
        <f t="shared" si="28"/>
        <v>53862453.039999999</v>
      </c>
      <c r="L92" s="1032">
        <f t="shared" si="28"/>
        <v>16479570.039999999</v>
      </c>
      <c r="M92" s="432">
        <f t="shared" si="28"/>
        <v>43588488.289999999</v>
      </c>
      <c r="N92" s="432">
        <f t="shared" si="28"/>
        <v>0</v>
      </c>
      <c r="O92" s="432">
        <f t="shared" si="28"/>
        <v>0</v>
      </c>
      <c r="P92" s="432">
        <f t="shared" ref="P92" si="29">SUM(P93:P95)</f>
        <v>0</v>
      </c>
      <c r="Q92" s="596">
        <f t="shared" si="27"/>
        <v>176628882.72</v>
      </c>
      <c r="R92" s="69"/>
      <c r="S92" s="69"/>
      <c r="T92" s="69"/>
      <c r="U92" s="69"/>
      <c r="V92" s="69"/>
      <c r="W92" s="69"/>
      <c r="X92" s="69"/>
      <c r="Y92" s="734">
        <f t="shared" si="25"/>
        <v>5.022146224623258</v>
      </c>
      <c r="Z92" s="69"/>
      <c r="AA92" s="69"/>
      <c r="AB92" s="69"/>
      <c r="AC92" s="69"/>
      <c r="AD92" s="69"/>
      <c r="AE92" s="69"/>
      <c r="AF92" s="69"/>
      <c r="AG92" s="69"/>
    </row>
    <row r="93" spans="1:33" ht="13.5" thickTop="1">
      <c r="A93" s="69"/>
      <c r="B93" s="69"/>
      <c r="C93" s="69"/>
      <c r="D93" s="876" t="str">
        <f>IF(MasterSheet!$A$1=1,MasterSheet!C405,MasterSheet!B405)</f>
        <v>Otplata duga rezidentima</v>
      </c>
      <c r="E93" s="354">
        <v>10400865.82</v>
      </c>
      <c r="F93" s="356">
        <v>889367.83</v>
      </c>
      <c r="G93" s="376">
        <v>1750313.77</v>
      </c>
      <c r="H93" s="355">
        <v>3841059.43</v>
      </c>
      <c r="I93" s="356">
        <v>1945669.64</v>
      </c>
      <c r="J93" s="356">
        <v>989736.54</v>
      </c>
      <c r="K93" s="376">
        <v>34603919.259999998</v>
      </c>
      <c r="L93" s="355">
        <v>9944955.3699999992</v>
      </c>
      <c r="M93" s="355">
        <v>24394432.170000002</v>
      </c>
      <c r="N93" s="355"/>
      <c r="O93" s="355"/>
      <c r="P93" s="355"/>
      <c r="Q93" s="598">
        <f t="shared" si="27"/>
        <v>88760319.829999998</v>
      </c>
      <c r="R93" s="69"/>
      <c r="S93" s="69"/>
      <c r="T93" s="69"/>
      <c r="U93" s="69"/>
      <c r="V93" s="69"/>
      <c r="W93" s="69"/>
      <c r="X93" s="69"/>
      <c r="Y93" s="745">
        <f t="shared" si="25"/>
        <v>2.5237509192493603</v>
      </c>
      <c r="Z93" s="69"/>
      <c r="AA93" s="69"/>
      <c r="AB93" s="69"/>
      <c r="AC93" s="69"/>
      <c r="AD93" s="69"/>
      <c r="AE93" s="69"/>
      <c r="AF93" s="69"/>
      <c r="AG93" s="69"/>
    </row>
    <row r="94" spans="1:33">
      <c r="A94" s="69"/>
      <c r="B94" s="69"/>
      <c r="C94" s="69"/>
      <c r="D94" s="876" t="str">
        <f>IF(MasterSheet!$A$1=1,MasterSheet!C406,MasterSheet!B406)</f>
        <v>Otplata duga nerezidentima</v>
      </c>
      <c r="E94" s="354">
        <v>3134669.41</v>
      </c>
      <c r="F94" s="356">
        <v>158802.38</v>
      </c>
      <c r="G94" s="376">
        <v>3437439.14</v>
      </c>
      <c r="H94" s="355">
        <v>1585656.96</v>
      </c>
      <c r="I94" s="356">
        <v>2516927.7599999998</v>
      </c>
      <c r="J94" s="356">
        <v>11294736.17</v>
      </c>
      <c r="K94" s="376">
        <v>4774307.72</v>
      </c>
      <c r="L94" s="355">
        <v>790205.48</v>
      </c>
      <c r="M94" s="355">
        <v>12179630.32</v>
      </c>
      <c r="N94" s="355"/>
      <c r="O94" s="355"/>
      <c r="P94" s="355"/>
      <c r="Q94" s="598">
        <f t="shared" si="27"/>
        <v>39872375.340000004</v>
      </c>
      <c r="R94" s="69"/>
      <c r="S94" s="69"/>
      <c r="T94" s="69"/>
      <c r="U94" s="69"/>
      <c r="V94" s="69"/>
      <c r="W94" s="69"/>
      <c r="X94" s="69"/>
      <c r="Y94" s="745">
        <f t="shared" si="25"/>
        <v>1.1337041609326133</v>
      </c>
      <c r="Z94" s="69"/>
      <c r="AA94" s="69"/>
      <c r="AB94" s="69"/>
      <c r="AC94" s="69"/>
      <c r="AD94" s="69"/>
      <c r="AE94" s="69"/>
      <c r="AF94" s="69"/>
      <c r="AG94" s="69"/>
    </row>
    <row r="95" spans="1:33" ht="13.5" thickBot="1">
      <c r="A95" s="69"/>
      <c r="B95" s="69"/>
      <c r="C95" s="69"/>
      <c r="D95" s="876" t="str">
        <f>IF(MasterSheet!$A$1=1,MasterSheet!C407,MasterSheet!B407)</f>
        <v>Otplata obaveza iz prethodnog perioda</v>
      </c>
      <c r="E95" s="354">
        <v>2525490.4799999991</v>
      </c>
      <c r="F95" s="356">
        <v>6326878.6599999992</v>
      </c>
      <c r="G95" s="376">
        <v>2148000.9299999992</v>
      </c>
      <c r="H95" s="355">
        <v>2468111.1499999994</v>
      </c>
      <c r="I95" s="356">
        <v>1102492.1000000001</v>
      </c>
      <c r="J95" s="356">
        <v>6182153.1800000016</v>
      </c>
      <c r="K95" s="376">
        <v>14484226.060000001</v>
      </c>
      <c r="L95" s="355">
        <v>5744409.1899999985</v>
      </c>
      <c r="M95" s="355">
        <v>7014425.7999999998</v>
      </c>
      <c r="N95" s="355"/>
      <c r="O95" s="355"/>
      <c r="P95" s="355"/>
      <c r="Q95" s="598">
        <f t="shared" si="27"/>
        <v>47996187.549999997</v>
      </c>
      <c r="R95" s="69"/>
      <c r="S95" s="69"/>
      <c r="T95" s="69"/>
      <c r="U95" s="69"/>
      <c r="V95" s="69"/>
      <c r="W95" s="69"/>
      <c r="X95" s="69"/>
      <c r="Y95" s="745">
        <f t="shared" si="25"/>
        <v>1.3646911444412853</v>
      </c>
      <c r="Z95" s="69"/>
      <c r="AA95" s="69"/>
      <c r="AB95" s="69"/>
      <c r="AC95" s="69"/>
      <c r="AD95" s="69"/>
      <c r="AE95" s="69"/>
      <c r="AF95" s="69"/>
      <c r="AG95" s="69"/>
    </row>
    <row r="96" spans="1:33" ht="14.25" thickTop="1" thickBot="1">
      <c r="A96" s="69"/>
      <c r="B96" s="69"/>
      <c r="C96" s="69"/>
      <c r="D96" s="1021" t="str">
        <f>IF(MasterSheet!$A$1=1,MasterSheet!C409,MasterSheet!B409)</f>
        <v>Nedostajuća sredstva</v>
      </c>
      <c r="E96" s="385">
        <f t="shared" ref="E96" si="30">E90-E92</f>
        <v>-42339934.480000012</v>
      </c>
      <c r="F96" s="1032">
        <f t="shared" ref="F96:O96" si="31">F90-F92</f>
        <v>-27030435.999999993</v>
      </c>
      <c r="G96" s="1032">
        <f t="shared" si="31"/>
        <v>-23430357.579488453</v>
      </c>
      <c r="H96" s="1032">
        <f t="shared" si="31"/>
        <v>-24474747.319057278</v>
      </c>
      <c r="I96" s="1032">
        <f t="shared" si="31"/>
        <v>-7846623.2802222073</v>
      </c>
      <c r="J96" s="1032">
        <f t="shared" si="31"/>
        <v>-19617551.554792032</v>
      </c>
      <c r="K96" s="1032">
        <f t="shared" si="31"/>
        <v>-91954015.191030383</v>
      </c>
      <c r="L96" s="1024">
        <f t="shared" si="31"/>
        <v>-33605695.781030379</v>
      </c>
      <c r="M96" s="432">
        <f t="shared" si="31"/>
        <v>-44487297.390902303</v>
      </c>
      <c r="N96" s="432">
        <f t="shared" si="31"/>
        <v>0</v>
      </c>
      <c r="O96" s="432">
        <f t="shared" si="31"/>
        <v>0</v>
      </c>
      <c r="P96" s="385">
        <f t="shared" ref="P96" si="32">P90-P92</f>
        <v>0</v>
      </c>
      <c r="Q96" s="596">
        <f>SUM(E96:P96)</f>
        <v>-314786658.57652301</v>
      </c>
      <c r="R96" s="69"/>
      <c r="S96" s="69"/>
      <c r="T96" s="69"/>
      <c r="U96" s="69"/>
      <c r="V96" s="69"/>
      <c r="W96" s="69"/>
      <c r="X96" s="69"/>
      <c r="Y96" s="734">
        <f t="shared" si="25"/>
        <v>-8.9504310087154675</v>
      </c>
      <c r="Z96" s="69"/>
      <c r="AA96" s="69"/>
      <c r="AB96" s="69"/>
      <c r="AC96" s="69"/>
      <c r="AD96" s="69"/>
      <c r="AE96" s="69"/>
      <c r="AF96" s="69"/>
      <c r="AG96" s="69"/>
    </row>
    <row r="97" spans="1:33" ht="14.25" thickTop="1" thickBot="1">
      <c r="A97" s="69"/>
      <c r="B97" s="69"/>
      <c r="C97" s="69"/>
      <c r="D97" s="1021" t="str">
        <f>IF(MasterSheet!$A$1=1,MasterSheet!C410,MasterSheet!B410)</f>
        <v>Finansiranje</v>
      </c>
      <c r="E97" s="385">
        <f t="shared" ref="E97" si="33">SUM(E98:E102)</f>
        <v>42339934.480000012</v>
      </c>
      <c r="F97" s="1032">
        <f t="shared" ref="F97:O97" si="34">SUM(F98:F102)</f>
        <v>27030435.999999993</v>
      </c>
      <c r="G97" s="1032">
        <f t="shared" si="34"/>
        <v>23430357.579488453</v>
      </c>
      <c r="H97" s="1032">
        <f t="shared" si="34"/>
        <v>24474747.319057278</v>
      </c>
      <c r="I97" s="1032">
        <f t="shared" si="34"/>
        <v>7846623.2802222073</v>
      </c>
      <c r="J97" s="1032">
        <f t="shared" si="34"/>
        <v>19617551.554792032</v>
      </c>
      <c r="K97" s="1032">
        <f t="shared" si="34"/>
        <v>91954015.191030383</v>
      </c>
      <c r="L97" s="1024">
        <f t="shared" si="34"/>
        <v>33605695.781030379</v>
      </c>
      <c r="M97" s="432">
        <f t="shared" si="34"/>
        <v>44487297.390902303</v>
      </c>
      <c r="N97" s="432">
        <f t="shared" si="34"/>
        <v>0</v>
      </c>
      <c r="O97" s="432">
        <f t="shared" si="34"/>
        <v>0</v>
      </c>
      <c r="P97" s="385">
        <f t="shared" ref="P97" si="35">SUM(P98:P102)</f>
        <v>0</v>
      </c>
      <c r="Q97" s="596">
        <f t="shared" si="27"/>
        <v>314786658.57652301</v>
      </c>
      <c r="R97" s="69"/>
      <c r="S97" s="69"/>
      <c r="T97" s="69"/>
      <c r="U97" s="69"/>
      <c r="V97" s="69"/>
      <c r="W97" s="69"/>
      <c r="X97" s="69"/>
      <c r="Y97" s="734">
        <f t="shared" si="25"/>
        <v>8.9504310087154675</v>
      </c>
      <c r="Z97" s="69"/>
      <c r="AA97" s="69"/>
      <c r="AB97" s="69"/>
      <c r="AC97" s="69"/>
      <c r="AD97" s="69"/>
      <c r="AE97" s="69"/>
      <c r="AF97" s="69"/>
      <c r="AG97" s="69"/>
    </row>
    <row r="98" spans="1:33" ht="13.5" thickTop="1">
      <c r="A98" s="69"/>
      <c r="B98" s="69"/>
      <c r="C98" s="69"/>
      <c r="D98" s="876" t="str">
        <f>IF(MasterSheet!$A$1=1,MasterSheet!C411,MasterSheet!B411)</f>
        <v>Pozajmice i krediti iz domaćih izvora</v>
      </c>
      <c r="E98" s="354">
        <v>0</v>
      </c>
      <c r="F98" s="356">
        <v>3971500</v>
      </c>
      <c r="G98" s="376">
        <v>23000000</v>
      </c>
      <c r="H98" s="355">
        <v>14499142</v>
      </c>
      <c r="I98" s="356">
        <v>4400000</v>
      </c>
      <c r="J98" s="356">
        <v>7785609.8499999996</v>
      </c>
      <c r="K98" s="376">
        <v>11000000</v>
      </c>
      <c r="L98" s="355">
        <v>2178500</v>
      </c>
      <c r="M98" s="355">
        <v>16000000</v>
      </c>
      <c r="N98" s="355"/>
      <c r="O98" s="355"/>
      <c r="P98" s="419"/>
      <c r="Q98" s="598">
        <f t="shared" si="27"/>
        <v>82834751.849999994</v>
      </c>
      <c r="R98" s="69"/>
      <c r="S98" s="634"/>
      <c r="T98" s="69"/>
      <c r="U98" s="69"/>
      <c r="V98" s="69"/>
      <c r="W98" s="69"/>
      <c r="X98" s="69"/>
      <c r="Y98" s="745">
        <f t="shared" si="25"/>
        <v>2.3552673258458912</v>
      </c>
      <c r="Z98" s="69"/>
      <c r="AA98" s="69"/>
      <c r="AB98" s="69"/>
      <c r="AC98" s="69"/>
      <c r="AD98" s="69"/>
      <c r="AE98" s="69"/>
      <c r="AF98" s="69"/>
      <c r="AG98" s="69"/>
    </row>
    <row r="99" spans="1:33">
      <c r="A99" s="69"/>
      <c r="B99" s="69"/>
      <c r="C99" s="69"/>
      <c r="D99" s="876" t="str">
        <f>IF(MasterSheet!$A$1=1,MasterSheet!C412,MasterSheet!B412)</f>
        <v>Pozajmice i krediti iz inostranih izvora</v>
      </c>
      <c r="E99" s="354">
        <v>35315594.670000002</v>
      </c>
      <c r="F99" s="356">
        <v>1296835.01</v>
      </c>
      <c r="G99" s="376">
        <v>1101008.74</v>
      </c>
      <c r="H99" s="355">
        <v>772062.14</v>
      </c>
      <c r="I99" s="356">
        <v>1139143.8400000001</v>
      </c>
      <c r="J99" s="356">
        <v>3391069.12</v>
      </c>
      <c r="K99" s="376">
        <v>59393091.18</v>
      </c>
      <c r="L99" s="355">
        <v>43150880.350000001</v>
      </c>
      <c r="M99" s="355">
        <v>107867.28</v>
      </c>
      <c r="N99" s="355"/>
      <c r="O99" s="355"/>
      <c r="P99" s="419"/>
      <c r="Q99" s="598">
        <f>SUM(E99:P99)</f>
        <v>145667552.33000001</v>
      </c>
      <c r="R99" s="69"/>
      <c r="S99" s="69"/>
      <c r="T99" s="69"/>
      <c r="U99" s="69"/>
      <c r="V99" s="69"/>
      <c r="W99" s="69"/>
      <c r="X99" s="69"/>
      <c r="Y99" s="745">
        <f t="shared" si="25"/>
        <v>4.1418126906454367</v>
      </c>
      <c r="Z99" s="69"/>
      <c r="AA99" s="69"/>
      <c r="AB99" s="69"/>
      <c r="AC99" s="69"/>
      <c r="AD99" s="69"/>
      <c r="AE99" s="69"/>
      <c r="AF99" s="69"/>
      <c r="AG99" s="69"/>
    </row>
    <row r="100" spans="1:33">
      <c r="A100" s="69"/>
      <c r="B100" s="69"/>
      <c r="C100" s="69"/>
      <c r="D100" s="876" t="str">
        <f>IF(MasterSheet!$A$1=1,MasterSheet!C413,MasterSheet!B413)</f>
        <v>Donacije</v>
      </c>
      <c r="E100" s="354">
        <v>167742.15</v>
      </c>
      <c r="F100" s="356">
        <v>159044.29999999999</v>
      </c>
      <c r="G100" s="376">
        <v>618410.81000000006</v>
      </c>
      <c r="H100" s="355">
        <v>144375.03</v>
      </c>
      <c r="I100" s="356">
        <v>330184.13</v>
      </c>
      <c r="J100" s="356">
        <v>419506.45</v>
      </c>
      <c r="K100" s="376">
        <v>487486.95</v>
      </c>
      <c r="L100" s="355">
        <v>225370.9</v>
      </c>
      <c r="M100" s="355">
        <v>707740.43</v>
      </c>
      <c r="N100" s="355"/>
      <c r="O100" s="355"/>
      <c r="P100" s="419"/>
      <c r="Q100" s="598">
        <f t="shared" si="27"/>
        <v>3259861.15</v>
      </c>
      <c r="R100" s="69"/>
      <c r="S100" s="69"/>
      <c r="T100" s="69"/>
      <c r="U100" s="69"/>
      <c r="V100" s="69"/>
      <c r="W100" s="69"/>
      <c r="X100" s="69"/>
      <c r="Y100" s="745">
        <f t="shared" si="25"/>
        <v>9.2688687802104069E-2</v>
      </c>
      <c r="Z100" s="69"/>
      <c r="AA100" s="69"/>
      <c r="AB100" s="69"/>
      <c r="AC100" s="69"/>
      <c r="AD100" s="69"/>
      <c r="AE100" s="69"/>
      <c r="AF100" s="69"/>
      <c r="AG100" s="69"/>
    </row>
    <row r="101" spans="1:33">
      <c r="A101" s="69"/>
      <c r="B101" s="69"/>
      <c r="C101" s="69"/>
      <c r="D101" s="876" t="str">
        <f>IF(MasterSheet!$A$1=1,MasterSheet!C414,MasterSheet!B414)</f>
        <v>Prihodi od privatizacije</v>
      </c>
      <c r="E101" s="354">
        <v>10542.3</v>
      </c>
      <c r="F101" s="356">
        <v>34351.879999999997</v>
      </c>
      <c r="G101" s="376">
        <v>12933.29</v>
      </c>
      <c r="H101" s="355">
        <v>120350.94</v>
      </c>
      <c r="I101" s="356">
        <v>206183.41</v>
      </c>
      <c r="J101" s="356">
        <v>461491.11</v>
      </c>
      <c r="K101" s="376">
        <v>435504.8</v>
      </c>
      <c r="L101" s="355">
        <v>828248.49</v>
      </c>
      <c r="M101" s="355">
        <v>315288.5</v>
      </c>
      <c r="N101" s="355"/>
      <c r="O101" s="355"/>
      <c r="P101" s="419"/>
      <c r="Q101" s="598">
        <f t="shared" si="27"/>
        <v>2424894.7199999997</v>
      </c>
      <c r="R101" s="69"/>
      <c r="S101" s="69"/>
      <c r="T101" s="69"/>
      <c r="U101" s="69"/>
      <c r="V101" s="69"/>
      <c r="W101" s="69"/>
      <c r="X101" s="69"/>
      <c r="Y101" s="745">
        <f t="shared" si="25"/>
        <v>6.8947816889394359E-2</v>
      </c>
      <c r="Z101" s="69"/>
      <c r="AA101" s="69"/>
      <c r="AB101" s="69"/>
      <c r="AC101" s="69"/>
      <c r="AD101" s="69"/>
      <c r="AE101" s="69"/>
      <c r="AF101" s="69"/>
      <c r="AG101" s="69"/>
    </row>
    <row r="102" spans="1:33" ht="13.5" thickBot="1">
      <c r="A102" s="69"/>
      <c r="B102" s="69"/>
      <c r="C102" s="69"/>
      <c r="D102" s="384" t="str">
        <f>IF(MasterSheet!$A$1=1,MasterSheet!C415,MasterSheet!B415)</f>
        <v>Povećanje/smanjenje depozita</v>
      </c>
      <c r="E102" s="369">
        <f>-E96-SUM(E98:E101)</f>
        <v>6846055.3600000143</v>
      </c>
      <c r="F102" s="759">
        <f t="shared" ref="F102:P102" si="36">-F96-SUM(F98:F101)</f>
        <v>21568704.809999995</v>
      </c>
      <c r="G102" s="759">
        <f t="shared" si="36"/>
        <v>-1301995.2605115436</v>
      </c>
      <c r="H102" s="759">
        <f t="shared" si="36"/>
        <v>8938817.2090572789</v>
      </c>
      <c r="I102" s="759">
        <f t="shared" si="36"/>
        <v>1771111.9002222074</v>
      </c>
      <c r="J102" s="371">
        <f t="shared" si="36"/>
        <v>7559875.0247920342</v>
      </c>
      <c r="K102" s="377">
        <f t="shared" si="36"/>
        <v>20637932.261030376</v>
      </c>
      <c r="L102" s="370">
        <f t="shared" si="36"/>
        <v>-12777303.958969623</v>
      </c>
      <c r="M102" s="370">
        <f t="shared" si="36"/>
        <v>27356401.180902302</v>
      </c>
      <c r="N102" s="370">
        <f t="shared" si="36"/>
        <v>0</v>
      </c>
      <c r="O102" s="370">
        <f t="shared" si="36"/>
        <v>0</v>
      </c>
      <c r="P102" s="370">
        <f t="shared" si="36"/>
        <v>0</v>
      </c>
      <c r="Q102" s="599">
        <f t="shared" si="27"/>
        <v>80599598.526523039</v>
      </c>
      <c r="R102" s="380"/>
      <c r="S102" s="69"/>
      <c r="T102" s="69"/>
      <c r="U102" s="69"/>
      <c r="V102" s="69"/>
      <c r="W102" s="69"/>
      <c r="X102" s="69"/>
      <c r="Y102" s="750">
        <f t="shared" si="25"/>
        <v>2.2917144875326425</v>
      </c>
      <c r="Z102" s="69"/>
      <c r="AA102" s="69"/>
      <c r="AB102" s="69"/>
      <c r="AC102" s="69"/>
      <c r="AD102" s="69"/>
      <c r="AE102" s="69"/>
      <c r="AF102" s="69"/>
      <c r="AG102" s="69"/>
    </row>
    <row r="103" spans="1:33" ht="13.5" thickTop="1">
      <c r="A103" s="69"/>
      <c r="B103" s="69"/>
      <c r="C103" s="69"/>
      <c r="D103" s="379" t="str">
        <f>IF(MasterSheet!$A$1=1,MasterSheet!C416,MasterSheet!B416)</f>
        <v>Izvor: Ministarstvo finansija Crne Gore</v>
      </c>
      <c r="E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</row>
    <row r="104" spans="1:33" ht="38.25">
      <c r="A104" s="69"/>
      <c r="B104" s="69"/>
      <c r="C104" s="69"/>
      <c r="D104" s="906" t="s">
        <v>427</v>
      </c>
      <c r="E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</row>
    <row r="105" spans="1:33">
      <c r="A105" s="69"/>
      <c r="B105" s="69"/>
      <c r="C105" s="69"/>
      <c r="D105" s="69"/>
      <c r="E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</row>
    <row r="106" spans="1:33">
      <c r="A106" s="69"/>
      <c r="B106" s="69"/>
      <c r="C106" s="69"/>
      <c r="D106" s="69"/>
      <c r="E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</row>
    <row r="107" spans="1:33">
      <c r="A107" s="69"/>
      <c r="B107" s="69"/>
      <c r="C107" s="69"/>
      <c r="D107" s="69"/>
      <c r="E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</row>
    <row r="108" spans="1:33">
      <c r="A108" s="69"/>
      <c r="B108" s="69"/>
      <c r="C108" s="69"/>
      <c r="D108" s="69"/>
      <c r="E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</row>
    <row r="109" spans="1:33">
      <c r="A109" s="69"/>
      <c r="B109" s="69"/>
      <c r="C109" s="69"/>
      <c r="D109" s="69"/>
      <c r="E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</row>
    <row r="110" spans="1:33">
      <c r="A110" s="69"/>
      <c r="B110" s="69"/>
      <c r="C110" s="69"/>
      <c r="D110" s="69"/>
      <c r="E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</row>
    <row r="111" spans="1:33">
      <c r="A111" s="69"/>
      <c r="B111" s="69"/>
      <c r="C111" s="69"/>
      <c r="D111" s="69"/>
      <c r="E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</row>
    <row r="112" spans="1:33">
      <c r="A112" s="69"/>
      <c r="B112" s="69"/>
      <c r="C112" s="69"/>
      <c r="D112" s="69"/>
      <c r="E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</row>
    <row r="113" spans="1:33">
      <c r="A113" s="69"/>
      <c r="B113" s="69"/>
      <c r="C113" s="69"/>
      <c r="D113" s="69"/>
      <c r="E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</row>
    <row r="114" spans="1:33">
      <c r="A114" s="69"/>
      <c r="B114" s="69"/>
      <c r="C114" s="69"/>
      <c r="D114" s="69"/>
      <c r="E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</row>
    <row r="115" spans="1:33">
      <c r="A115" s="69"/>
      <c r="B115" s="69"/>
      <c r="C115" s="69"/>
      <c r="D115" s="69"/>
      <c r="E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</row>
    <row r="116" spans="1:33">
      <c r="A116" s="69"/>
      <c r="B116" s="69"/>
      <c r="C116" s="69"/>
      <c r="D116" s="69"/>
      <c r="E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</row>
    <row r="117" spans="1:33">
      <c r="A117" s="69"/>
      <c r="B117" s="69"/>
      <c r="C117" s="69"/>
      <c r="D117" s="69"/>
      <c r="E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</row>
    <row r="118" spans="1:33">
      <c r="A118" s="69"/>
      <c r="B118" s="69"/>
      <c r="C118" s="69"/>
      <c r="D118" s="69"/>
      <c r="E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</row>
    <row r="119" spans="1:33">
      <c r="A119" s="69"/>
      <c r="B119" s="69"/>
      <c r="C119" s="69"/>
      <c r="D119" s="69"/>
      <c r="E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</row>
    <row r="120" spans="1:33">
      <c r="A120" s="69"/>
      <c r="B120" s="69"/>
      <c r="C120" s="69"/>
      <c r="D120" s="69"/>
      <c r="E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</row>
    <row r="121" spans="1:33">
      <c r="A121" s="69"/>
      <c r="B121" s="69"/>
      <c r="C121" s="69"/>
      <c r="D121" s="69"/>
      <c r="E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</row>
    <row r="122" spans="1:33">
      <c r="A122" s="69"/>
      <c r="B122" s="69"/>
      <c r="C122" s="69"/>
      <c r="D122" s="69"/>
      <c r="E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</row>
    <row r="123" spans="1:33">
      <c r="A123" s="69"/>
      <c r="B123" s="69"/>
      <c r="C123" s="69"/>
      <c r="D123" s="69"/>
      <c r="E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</row>
    <row r="124" spans="1:33">
      <c r="A124" s="69"/>
      <c r="B124" s="69"/>
      <c r="C124" s="69"/>
      <c r="D124" s="69"/>
      <c r="E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</row>
    <row r="125" spans="1:33">
      <c r="A125" s="69"/>
      <c r="B125" s="69"/>
      <c r="C125" s="69"/>
      <c r="D125" s="69"/>
      <c r="E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</row>
    <row r="126" spans="1:33">
      <c r="A126" s="69"/>
      <c r="B126" s="69"/>
      <c r="C126" s="69"/>
      <c r="D126" s="69"/>
      <c r="E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</row>
    <row r="127" spans="1:33">
      <c r="A127" s="69"/>
      <c r="B127" s="69"/>
      <c r="C127" s="69"/>
      <c r="D127" s="69"/>
      <c r="E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</row>
    <row r="128" spans="1:33">
      <c r="A128" s="69"/>
      <c r="B128" s="69"/>
      <c r="C128" s="69"/>
      <c r="D128" s="69"/>
      <c r="E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</row>
    <row r="129" spans="1:33">
      <c r="A129" s="69"/>
      <c r="B129" s="69"/>
      <c r="C129" s="69"/>
      <c r="D129" s="69"/>
      <c r="E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</row>
    <row r="130" spans="1:33">
      <c r="A130" s="69"/>
      <c r="B130" s="69"/>
      <c r="C130" s="69"/>
      <c r="D130" s="69"/>
      <c r="E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</row>
    <row r="131" spans="1:33">
      <c r="A131" s="69"/>
      <c r="B131" s="69"/>
      <c r="C131" s="69"/>
      <c r="D131" s="69"/>
      <c r="E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</row>
    <row r="132" spans="1:33">
      <c r="A132" s="69"/>
      <c r="B132" s="69"/>
      <c r="C132" s="69"/>
      <c r="D132" s="69"/>
      <c r="E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</row>
    <row r="133" spans="1:33">
      <c r="A133" s="69"/>
      <c r="B133" s="69"/>
      <c r="C133" s="69"/>
      <c r="D133" s="69"/>
      <c r="E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</row>
    <row r="134" spans="1:33">
      <c r="A134" s="69"/>
      <c r="B134" s="69"/>
      <c r="C134" s="69"/>
      <c r="D134" s="69"/>
      <c r="E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</row>
    <row r="135" spans="1:33">
      <c r="A135" s="69"/>
      <c r="B135" s="69"/>
      <c r="C135" s="69"/>
      <c r="D135" s="69"/>
      <c r="E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</row>
    <row r="136" spans="1:33">
      <c r="A136" s="69"/>
      <c r="B136" s="69"/>
      <c r="C136" s="69"/>
      <c r="D136" s="69"/>
      <c r="E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</row>
    <row r="137" spans="1:33">
      <c r="A137" s="69"/>
      <c r="B137" s="69"/>
      <c r="C137" s="69"/>
      <c r="D137" s="69"/>
      <c r="E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</row>
    <row r="138" spans="1:33">
      <c r="A138" s="69"/>
      <c r="B138" s="69"/>
      <c r="C138" s="69"/>
      <c r="D138" s="69"/>
      <c r="E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</row>
    <row r="139" spans="1:33">
      <c r="A139" s="69"/>
      <c r="B139" s="69"/>
      <c r="C139" s="69"/>
      <c r="D139" s="69"/>
      <c r="E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</row>
    <row r="140" spans="1:33">
      <c r="A140" s="69"/>
      <c r="B140" s="69"/>
      <c r="C140" s="69"/>
      <c r="D140" s="69"/>
      <c r="E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</row>
    <row r="141" spans="1:33">
      <c r="A141" s="69"/>
      <c r="B141" s="69"/>
      <c r="C141" s="69"/>
      <c r="D141" s="69"/>
      <c r="E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</row>
    <row r="142" spans="1:33">
      <c r="A142" s="69"/>
      <c r="B142" s="69"/>
      <c r="C142" s="69"/>
      <c r="D142" s="69"/>
      <c r="E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</row>
    <row r="143" spans="1:33">
      <c r="A143" s="69"/>
      <c r="B143" s="69"/>
      <c r="C143" s="69"/>
      <c r="D143" s="69"/>
      <c r="E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</row>
    <row r="144" spans="1:33">
      <c r="A144" s="69"/>
      <c r="B144" s="69"/>
      <c r="C144" s="69"/>
      <c r="D144" s="69"/>
      <c r="E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</row>
    <row r="145" spans="1:33">
      <c r="A145" s="69"/>
      <c r="B145" s="69"/>
      <c r="C145" s="69"/>
      <c r="D145" s="69"/>
      <c r="E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</row>
    <row r="146" spans="1:33">
      <c r="A146" s="69"/>
      <c r="B146" s="69"/>
      <c r="C146" s="69"/>
      <c r="D146" s="69"/>
      <c r="E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</row>
    <row r="147" spans="1:33">
      <c r="A147" s="69"/>
      <c r="B147" s="69"/>
      <c r="C147" s="69"/>
      <c r="D147" s="69"/>
      <c r="E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</row>
    <row r="148" spans="1:33">
      <c r="A148" s="69"/>
      <c r="B148" s="69"/>
      <c r="C148" s="69"/>
      <c r="D148" s="69"/>
      <c r="E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69"/>
      <c r="AG148" s="69"/>
    </row>
    <row r="149" spans="1:33">
      <c r="A149" s="69"/>
      <c r="B149" s="69"/>
      <c r="C149" s="69"/>
      <c r="D149" s="69"/>
      <c r="E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69"/>
      <c r="AG149" s="69"/>
    </row>
    <row r="150" spans="1:33">
      <c r="A150" s="69"/>
      <c r="B150" s="69"/>
      <c r="C150" s="69"/>
      <c r="D150" s="69"/>
      <c r="E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/>
      <c r="AE150" s="69"/>
      <c r="AF150" s="69"/>
      <c r="AG150" s="69"/>
    </row>
    <row r="151" spans="1:33">
      <c r="A151" s="69"/>
      <c r="B151" s="69"/>
      <c r="C151" s="69"/>
      <c r="D151" s="69"/>
      <c r="E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69"/>
    </row>
    <row r="152" spans="1:33">
      <c r="A152" s="69"/>
      <c r="B152" s="69"/>
      <c r="C152" s="69"/>
      <c r="D152" s="69"/>
      <c r="E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</row>
    <row r="153" spans="1:33">
      <c r="A153" s="69"/>
      <c r="B153" s="69"/>
      <c r="C153" s="69"/>
      <c r="D153" s="69"/>
      <c r="E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69"/>
    </row>
    <row r="154" spans="1:33">
      <c r="A154" s="69"/>
      <c r="B154" s="69"/>
      <c r="C154" s="69"/>
      <c r="D154" s="69"/>
      <c r="E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X154" s="69"/>
      <c r="Y154" s="69"/>
      <c r="Z154" s="69"/>
      <c r="AA154" s="69"/>
      <c r="AB154" s="69"/>
      <c r="AC154" s="69"/>
      <c r="AD154" s="69"/>
      <c r="AE154" s="69"/>
      <c r="AF154" s="69"/>
      <c r="AG154" s="69"/>
    </row>
    <row r="155" spans="1:33">
      <c r="A155" s="69"/>
      <c r="B155" s="69"/>
      <c r="C155" s="69"/>
      <c r="D155" s="69"/>
      <c r="E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  <c r="AA155" s="69"/>
      <c r="AB155" s="69"/>
      <c r="AC155" s="69"/>
      <c r="AD155" s="69"/>
      <c r="AE155" s="69"/>
      <c r="AF155" s="69"/>
      <c r="AG155" s="69"/>
    </row>
    <row r="156" spans="1:33">
      <c r="A156" s="69"/>
      <c r="B156" s="69"/>
      <c r="C156" s="69"/>
      <c r="D156" s="69"/>
      <c r="E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69"/>
      <c r="AE156" s="69"/>
      <c r="AF156" s="69"/>
      <c r="AG156" s="69"/>
    </row>
    <row r="157" spans="1:33">
      <c r="A157" s="69"/>
      <c r="B157" s="69"/>
      <c r="C157" s="69"/>
      <c r="D157" s="69"/>
      <c r="E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</row>
    <row r="158" spans="1:33">
      <c r="A158" s="69"/>
      <c r="B158" s="69"/>
      <c r="C158" s="69"/>
      <c r="D158" s="69"/>
      <c r="E158" s="69"/>
      <c r="J158" s="69"/>
      <c r="K158" s="69"/>
      <c r="L158" s="69"/>
      <c r="M158" s="69"/>
      <c r="N158" s="69"/>
      <c r="O158" s="69"/>
      <c r="P158" s="69"/>
      <c r="Q158" s="69"/>
      <c r="R158" s="69"/>
      <c r="S158" s="69"/>
      <c r="T158" s="69"/>
      <c r="U158" s="69"/>
      <c r="V158" s="69"/>
      <c r="W158" s="69"/>
      <c r="X158" s="69"/>
      <c r="Y158" s="69"/>
      <c r="Z158" s="69"/>
      <c r="AA158" s="69"/>
      <c r="AB158" s="69"/>
      <c r="AC158" s="69"/>
      <c r="AD158" s="69"/>
      <c r="AE158" s="69"/>
      <c r="AF158" s="69"/>
      <c r="AG158" s="69"/>
    </row>
    <row r="159" spans="1:33">
      <c r="A159" s="69"/>
      <c r="B159" s="69"/>
      <c r="C159" s="69"/>
      <c r="D159" s="69"/>
      <c r="E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  <c r="Y159" s="69"/>
      <c r="Z159" s="69"/>
      <c r="AA159" s="69"/>
      <c r="AB159" s="69"/>
      <c r="AC159" s="69"/>
      <c r="AD159" s="69"/>
      <c r="AE159" s="69"/>
      <c r="AF159" s="69"/>
      <c r="AG159" s="69"/>
    </row>
    <row r="160" spans="1:33">
      <c r="A160" s="69"/>
      <c r="B160" s="69"/>
      <c r="C160" s="69"/>
      <c r="D160" s="69"/>
      <c r="E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</row>
  </sheetData>
  <sheetProtection formatCells="0" formatColumns="0" formatRows="0" sort="0" autoFilter="0" pivotTables="0"/>
  <mergeCells count="5">
    <mergeCell ref="E14:Q14"/>
    <mergeCell ref="E15:Q15"/>
    <mergeCell ref="E20:Q20"/>
    <mergeCell ref="D23:D24"/>
    <mergeCell ref="E23:Y23"/>
  </mergeCells>
  <printOptions horizontalCentered="1" verticalCentered="1"/>
  <pageMargins left="0.15748031496062992" right="0.19685039370078741" top="0.15748031496062992" bottom="0.19685039370078741" header="0.15748031496062992" footer="0.15748031496062992"/>
  <pageSetup scale="27" orientation="landscape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5"/>
  <dimension ref="A1:AG154"/>
  <sheetViews>
    <sheetView workbookViewId="0">
      <selection activeCell="E51" sqref="E51:M51"/>
    </sheetView>
  </sheetViews>
  <sheetFormatPr defaultRowHeight="12.75"/>
  <cols>
    <col min="4" max="4" width="54.7109375" customWidth="1"/>
    <col min="5" max="5" width="7.28515625" style="51" bestFit="1" customWidth="1"/>
    <col min="6" max="6" width="8.140625" bestFit="1" customWidth="1"/>
    <col min="7" max="7" width="6.5703125" bestFit="1" customWidth="1"/>
    <col min="8" max="8" width="7.140625" bestFit="1" customWidth="1"/>
    <col min="9" max="9" width="7.140625" style="51" bestFit="1" customWidth="1"/>
    <col min="10" max="11" width="6.5703125" bestFit="1" customWidth="1"/>
    <col min="12" max="12" width="7" bestFit="1" customWidth="1"/>
    <col min="13" max="13" width="9.42578125" customWidth="1"/>
    <col min="14" max="14" width="8.140625" bestFit="1" customWidth="1"/>
    <col min="15" max="15" width="11.5703125" customWidth="1"/>
    <col min="16" max="16" width="11.28515625" customWidth="1"/>
    <col min="17" max="17" width="9.7109375" bestFit="1" customWidth="1"/>
  </cols>
  <sheetData>
    <row r="1" spans="1:33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</row>
    <row r="2" spans="1:3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</row>
    <row r="3" spans="1:33">
      <c r="A3" s="69"/>
      <c r="B3" s="69"/>
      <c r="C3" s="69"/>
      <c r="D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</row>
    <row r="4" spans="1:33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</row>
    <row r="5" spans="1:33">
      <c r="A5" s="69"/>
      <c r="B5" s="69"/>
      <c r="C5" s="69"/>
      <c r="D5" s="70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</row>
    <row r="6" spans="1:33">
      <c r="A6" s="69"/>
      <c r="B6" s="69"/>
      <c r="C6" s="69"/>
      <c r="D6" s="70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</row>
    <row r="7" spans="1:33">
      <c r="A7" s="69"/>
      <c r="B7" s="69"/>
      <c r="C7" s="69"/>
      <c r="D7" s="70"/>
      <c r="E7" s="69"/>
      <c r="F7" s="69"/>
      <c r="G7" s="69"/>
      <c r="H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</row>
    <row r="8" spans="1:33" ht="15">
      <c r="A8" s="69"/>
      <c r="B8" s="69"/>
      <c r="C8" s="69"/>
      <c r="D8" s="70"/>
      <c r="E8" s="69"/>
      <c r="F8" s="69"/>
      <c r="G8" s="69"/>
      <c r="H8" s="1152" t="str">
        <f>IF(MasterSheet!$A$1=1, MasterSheet!C5,MasterSheet!B5)</f>
        <v>CRNA GORA</v>
      </c>
      <c r="I8" s="1152"/>
      <c r="J8" s="1152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</row>
    <row r="9" spans="1:33" ht="15">
      <c r="A9" s="69"/>
      <c r="B9" s="69"/>
      <c r="C9" s="69"/>
      <c r="D9" s="69"/>
      <c r="E9" s="69"/>
      <c r="F9" s="69"/>
      <c r="G9" s="1152" t="str">
        <f>IF(MasterSheet!$A$1=1, MasterSheet!C6,MasterSheet!B6)</f>
        <v>MINISTARSTVO FINANSIJA</v>
      </c>
      <c r="H9" s="1152"/>
      <c r="I9" s="1152"/>
      <c r="J9" s="1152"/>
      <c r="K9" s="1152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</row>
    <row r="10" spans="1:33">
      <c r="A10" s="69"/>
      <c r="B10" s="69"/>
      <c r="C10" s="69"/>
      <c r="D10" s="72"/>
      <c r="E10" s="72"/>
      <c r="F10" s="72"/>
      <c r="G10" s="72"/>
      <c r="H10" s="72"/>
      <c r="I10" s="69"/>
      <c r="J10" s="72"/>
      <c r="K10" s="72"/>
      <c r="L10" s="72"/>
      <c r="M10" s="72"/>
      <c r="N10" s="72"/>
      <c r="O10" s="72"/>
      <c r="P10" s="72"/>
      <c r="Q10" s="72"/>
      <c r="R10" s="72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</row>
    <row r="11" spans="1:33">
      <c r="A11" s="69"/>
      <c r="B11" s="69"/>
      <c r="C11" s="69"/>
      <c r="D11" s="72"/>
      <c r="E11" s="72"/>
      <c r="F11" s="72"/>
      <c r="G11" s="72"/>
      <c r="H11" s="72"/>
      <c r="I11" s="69"/>
      <c r="J11" s="72"/>
      <c r="K11" s="72"/>
      <c r="L11" s="72"/>
      <c r="M11" s="72"/>
      <c r="N11" s="72"/>
      <c r="O11" s="72"/>
      <c r="P11" s="72"/>
      <c r="Q11" s="72"/>
      <c r="R11" s="72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</row>
    <row r="12" spans="1:33">
      <c r="A12" s="69"/>
      <c r="B12" s="69"/>
      <c r="C12" s="69"/>
      <c r="D12" s="213"/>
      <c r="E12" s="72"/>
      <c r="F12" s="72"/>
      <c r="G12" s="72"/>
      <c r="H12" s="72"/>
      <c r="I12" s="69"/>
      <c r="J12" s="72"/>
      <c r="K12" s="72"/>
      <c r="L12" s="72"/>
      <c r="M12" s="72"/>
      <c r="N12" s="72"/>
      <c r="O12" s="72"/>
      <c r="P12" s="72"/>
      <c r="Q12" s="72"/>
      <c r="R12" s="72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</row>
    <row r="13" spans="1:33" ht="13.5" thickBot="1">
      <c r="A13" s="69"/>
      <c r="B13" s="69"/>
      <c r="C13" s="69"/>
      <c r="D13" s="72"/>
      <c r="E13" s="72"/>
      <c r="F13" s="72"/>
      <c r="G13" s="72"/>
      <c r="H13" s="72"/>
      <c r="I13" s="69"/>
      <c r="J13" s="72"/>
      <c r="K13" s="72"/>
      <c r="L13" s="72"/>
      <c r="M13" s="72"/>
      <c r="N13" s="72"/>
      <c r="O13" s="72"/>
      <c r="P13" s="72"/>
      <c r="Q13" s="72"/>
      <c r="R13" s="213"/>
      <c r="S13" s="70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</row>
    <row r="14" spans="1:33" ht="17.25" thickTop="1" thickBot="1">
      <c r="B14" s="413"/>
      <c r="C14" s="414"/>
      <c r="D14" s="415" t="str">
        <f>IF(MasterSheet!$A$1=1,MasterSheet!B67,MasterSheet!B66)</f>
        <v>BDP (u mil. €)</v>
      </c>
      <c r="E14" s="1169">
        <f>+'Cental Budget_int'!S15</f>
        <v>3517000000</v>
      </c>
      <c r="F14" s="1169"/>
      <c r="G14" s="1169"/>
      <c r="H14" s="1169"/>
      <c r="I14" s="1169"/>
      <c r="J14" s="1169"/>
      <c r="K14" s="1169"/>
      <c r="L14" s="1169"/>
      <c r="M14" s="1169"/>
      <c r="N14" s="1169"/>
      <c r="O14" s="1169"/>
      <c r="P14" s="1169"/>
      <c r="Q14" s="1170"/>
      <c r="R14" s="411"/>
      <c r="S14" s="412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</row>
    <row r="15" spans="1:33" ht="15.75" thickTop="1">
      <c r="A15" s="408"/>
      <c r="B15" s="236"/>
      <c r="C15" s="236"/>
      <c r="D15" s="235"/>
      <c r="E15" s="753"/>
      <c r="F15" s="235"/>
      <c r="G15" s="235"/>
      <c r="H15" s="235"/>
      <c r="I15" s="753"/>
      <c r="J15" s="235"/>
      <c r="K15" s="235"/>
      <c r="L15" s="235"/>
      <c r="M15" s="235"/>
      <c r="N15" s="409"/>
      <c r="O15" s="409"/>
      <c r="P15" s="410"/>
      <c r="Q15" s="410"/>
      <c r="R15" s="410"/>
      <c r="S15" s="410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</row>
    <row r="16" spans="1:33" ht="17.25" customHeight="1" thickBot="1">
      <c r="A16" s="69"/>
      <c r="B16" s="69"/>
      <c r="C16" s="69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</row>
    <row r="17" spans="1:33" ht="17.25" customHeight="1" thickTop="1">
      <c r="A17" s="69"/>
      <c r="B17" s="69"/>
      <c r="C17" s="69"/>
      <c r="D17" s="1171" t="str">
        <f>IF(MasterSheet!$A$1=1,MasterSheet!B336,MasterSheet!B335)</f>
        <v>Mjesečni plan za 2013. godinu</v>
      </c>
      <c r="E17" s="1173">
        <v>2013</v>
      </c>
      <c r="F17" s="1174"/>
      <c r="G17" s="1174"/>
      <c r="H17" s="1174"/>
      <c r="I17" s="1174"/>
      <c r="J17" s="1174"/>
      <c r="K17" s="1174"/>
      <c r="L17" s="1174"/>
      <c r="M17" s="1174"/>
      <c r="N17" s="1174"/>
      <c r="O17" s="1174"/>
      <c r="P17" s="1174"/>
      <c r="Q17" s="1175"/>
      <c r="R17" s="72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</row>
    <row r="18" spans="1:33" ht="15" customHeight="1" thickBot="1">
      <c r="A18" s="69"/>
      <c r="B18" s="69"/>
      <c r="C18" s="69"/>
      <c r="D18" s="1172"/>
      <c r="E18" s="362" t="str">
        <f>IF(MasterSheet!$A$1=1,MasterSheet!C336,MasterSheet!C335)</f>
        <v>Januar</v>
      </c>
      <c r="F18" s="363" t="str">
        <f>IF(MasterSheet!$A$1=1,MasterSheet!D336,MasterSheet!D335)</f>
        <v>Februar</v>
      </c>
      <c r="G18" s="363" t="str">
        <f>IF(MasterSheet!$A$1=1,MasterSheet!E336,MasterSheet!E335)</f>
        <v>Mart</v>
      </c>
      <c r="H18" s="363" t="str">
        <f>IF(MasterSheet!$A$1=1,MasterSheet!F336,MasterSheet!F335)</f>
        <v>April</v>
      </c>
      <c r="I18" s="363" t="str">
        <f>IF(MasterSheet!$A$1=1,MasterSheet!G336,MasterSheet!G335)</f>
        <v>Maj</v>
      </c>
      <c r="J18" s="363" t="str">
        <f>IF(MasterSheet!$A$1=1,MasterSheet!H336,MasterSheet!H335)</f>
        <v>Jun</v>
      </c>
      <c r="K18" s="363" t="str">
        <f>IF(MasterSheet!$A$1=1,MasterSheet!I336,MasterSheet!I335)</f>
        <v>Jul</v>
      </c>
      <c r="L18" s="364" t="str">
        <f>IF(MasterSheet!$A$1=1,MasterSheet!J336,MasterSheet!J335)</f>
        <v>Avgust</v>
      </c>
      <c r="M18" s="364" t="str">
        <f>IF(MasterSheet!$A$1=1,MasterSheet!K336,MasterSheet!K335)</f>
        <v>Septembar</v>
      </c>
      <c r="N18" s="364" t="str">
        <f>IF(MasterSheet!$A$1=1,MasterSheet!L336,MasterSheet!L335)</f>
        <v>Oktobar</v>
      </c>
      <c r="O18" s="364" t="str">
        <f>IF(MasterSheet!$A$1=1,MasterSheet!M336,MasterSheet!M335)</f>
        <v>Novembar</v>
      </c>
      <c r="P18" s="373" t="str">
        <f>IF(MasterSheet!$A$1=1,MasterSheet!N336,MasterSheet!N335)</f>
        <v>Decembar</v>
      </c>
      <c r="Q18" s="365" t="str">
        <f>IF(MasterSheet!$A$1=1,MasterSheet!O336,MasterSheet!O335)</f>
        <v>Plan 2013</v>
      </c>
      <c r="R18" s="72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</row>
    <row r="19" spans="1:33" ht="15" customHeight="1" thickTop="1" thickBot="1">
      <c r="A19" s="69"/>
      <c r="B19" s="69"/>
      <c r="C19" s="69"/>
      <c r="D19" s="358" t="str">
        <f>IF(MasterSheet!$A$1=1,MasterSheet!C337,MasterSheet!B337)</f>
        <v>Izvorni prihodi</v>
      </c>
      <c r="E19" s="359">
        <f>+E20+E28+E33+E38+E45+E50</f>
        <v>56405250.354879163</v>
      </c>
      <c r="F19" s="360">
        <f t="shared" ref="F19:P19" si="0">+F20+F28+F33+F38+F45+F50</f>
        <v>72068150.748850062</v>
      </c>
      <c r="G19" s="360">
        <f t="shared" si="0"/>
        <v>82943306.844960943</v>
      </c>
      <c r="H19" s="360">
        <f t="shared" si="0"/>
        <v>99956198.46386914</v>
      </c>
      <c r="I19" s="360">
        <f t="shared" si="0"/>
        <v>96466058.107237935</v>
      </c>
      <c r="J19" s="360">
        <f t="shared" si="0"/>
        <v>100951633.7918953</v>
      </c>
      <c r="K19" s="360">
        <f t="shared" si="0"/>
        <v>115591299.75791205</v>
      </c>
      <c r="L19" s="361">
        <f t="shared" si="0"/>
        <v>114897225.7493697</v>
      </c>
      <c r="M19" s="361">
        <f t="shared" si="0"/>
        <v>99189777.327771991</v>
      </c>
      <c r="N19" s="361">
        <f t="shared" si="0"/>
        <v>104871992.58523692</v>
      </c>
      <c r="O19" s="361">
        <f t="shared" si="0"/>
        <v>96927456.149828702</v>
      </c>
      <c r="P19" s="374">
        <f t="shared" si="0"/>
        <v>121532471.11942177</v>
      </c>
      <c r="Q19" s="527">
        <f>+SUM(E19:P19)</f>
        <v>1161800821.0012338</v>
      </c>
      <c r="R19" s="72"/>
      <c r="S19" s="558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</row>
    <row r="20" spans="1:33" ht="15" customHeight="1" thickTop="1">
      <c r="A20" s="69"/>
      <c r="B20" s="69"/>
      <c r="C20" s="69"/>
      <c r="D20" s="301" t="str">
        <f>IF(MasterSheet!$A$1=1,MasterSheet!C338,MasterSheet!B338)</f>
        <v>Porezi</v>
      </c>
      <c r="E20" s="899">
        <f>+SUM(E21:E27)</f>
        <v>41686253.110737316</v>
      </c>
      <c r="F20" s="351">
        <f t="shared" ref="F20:P20" si="1">+SUM(F21:F27)</f>
        <v>40855853.79586979</v>
      </c>
      <c r="G20" s="351">
        <f t="shared" si="1"/>
        <v>48871129.289274208</v>
      </c>
      <c r="H20" s="351">
        <f t="shared" si="1"/>
        <v>63044978.667560622</v>
      </c>
      <c r="I20" s="895">
        <f t="shared" si="1"/>
        <v>59903018.246625409</v>
      </c>
      <c r="J20" s="351">
        <f t="shared" si="1"/>
        <v>65474825.471494481</v>
      </c>
      <c r="K20" s="351">
        <f t="shared" si="1"/>
        <v>71410525.13479729</v>
      </c>
      <c r="L20" s="352">
        <f t="shared" si="1"/>
        <v>66453623.073847495</v>
      </c>
      <c r="M20" s="352">
        <f t="shared" si="1"/>
        <v>65790416.568190843</v>
      </c>
      <c r="N20" s="352">
        <f t="shared" si="1"/>
        <v>63302926.264795646</v>
      </c>
      <c r="O20" s="352">
        <f t="shared" si="1"/>
        <v>56224451.677824281</v>
      </c>
      <c r="P20" s="375">
        <f t="shared" si="1"/>
        <v>57412527.94082702</v>
      </c>
      <c r="Q20" s="353">
        <f t="shared" ref="Q20:Q82" si="2">+SUM(E20:P20)</f>
        <v>700430529.24184442</v>
      </c>
      <c r="R20" s="72"/>
      <c r="S20" s="558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</row>
    <row r="21" spans="1:33" ht="15" customHeight="1">
      <c r="A21" s="69"/>
      <c r="B21" s="69"/>
      <c r="C21" s="69"/>
      <c r="D21" s="302" t="str">
        <f>IF(MasterSheet!$A$1=1,MasterSheet!C339,MasterSheet!B339)</f>
        <v>Porez na dohodak fizičkih lica</v>
      </c>
      <c r="E21" s="754">
        <v>2820446.8223670614</v>
      </c>
      <c r="F21" s="355">
        <v>5820928.5775817595</v>
      </c>
      <c r="G21" s="355">
        <v>6919198.0351699237</v>
      </c>
      <c r="H21" s="355">
        <v>7408525.4606941696</v>
      </c>
      <c r="I21" s="762">
        <v>7204484.0505127097</v>
      </c>
      <c r="J21" s="355">
        <v>6466633.4408446904</v>
      </c>
      <c r="K21" s="355">
        <v>8521641.6469569467</v>
      </c>
      <c r="L21" s="356">
        <v>9664205.1361650527</v>
      </c>
      <c r="M21" s="356">
        <v>6815248.5982489977</v>
      </c>
      <c r="N21" s="356">
        <v>9471655.9367153402</v>
      </c>
      <c r="O21" s="356">
        <v>8042875.0851052543</v>
      </c>
      <c r="P21" s="376">
        <v>11726411.550236525</v>
      </c>
      <c r="Q21" s="357">
        <f t="shared" si="2"/>
        <v>90882254.340598434</v>
      </c>
      <c r="R21" s="72"/>
      <c r="S21" s="558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</row>
    <row r="22" spans="1:33" ht="15" customHeight="1">
      <c r="A22" s="69"/>
      <c r="B22" s="69"/>
      <c r="C22" s="69"/>
      <c r="D22" s="302" t="str">
        <f>IF(MasterSheet!$A$1=1,MasterSheet!C340,MasterSheet!B340)</f>
        <v>Porez na dobit pravnih lica</v>
      </c>
      <c r="E22" s="754">
        <v>579786.54478696431</v>
      </c>
      <c r="F22" s="355">
        <v>515115.82451773522</v>
      </c>
      <c r="G22" s="355">
        <v>4474685.1189596485</v>
      </c>
      <c r="H22" s="355">
        <v>12488272.478114691</v>
      </c>
      <c r="I22" s="762">
        <v>3690917.0906183273</v>
      </c>
      <c r="J22" s="355">
        <v>4274773.0439898577</v>
      </c>
      <c r="K22" s="355">
        <v>3994418.0701162638</v>
      </c>
      <c r="L22" s="356">
        <v>3426415.4173260536</v>
      </c>
      <c r="M22" s="356">
        <v>2644519.6751525379</v>
      </c>
      <c r="N22" s="356">
        <v>1873134.4055505693</v>
      </c>
      <c r="O22" s="356">
        <v>1099856.2789091328</v>
      </c>
      <c r="P22" s="376">
        <v>2871073.2358503304</v>
      </c>
      <c r="Q22" s="357">
        <f t="shared" si="2"/>
        <v>41932967.183892116</v>
      </c>
      <c r="R22" s="72"/>
      <c r="S22" s="558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</row>
    <row r="23" spans="1:33" ht="15" customHeight="1">
      <c r="A23" s="69"/>
      <c r="B23" s="69"/>
      <c r="C23" s="69"/>
      <c r="D23" s="302" t="str">
        <f>IF(MasterSheet!$A$1=1,MasterSheet!C341,MasterSheet!B341)</f>
        <v>Porez na imovinu</v>
      </c>
      <c r="E23" s="754">
        <v>81248.859864734099</v>
      </c>
      <c r="F23" s="355">
        <v>103646.50733568591</v>
      </c>
      <c r="G23" s="355">
        <v>186194.97392852511</v>
      </c>
      <c r="H23" s="355">
        <v>103363.42634788297</v>
      </c>
      <c r="I23" s="762">
        <v>100106.28093907743</v>
      </c>
      <c r="J23" s="355">
        <v>133863.83595351625</v>
      </c>
      <c r="K23" s="355">
        <v>122268.58842091225</v>
      </c>
      <c r="L23" s="356">
        <v>96003.204992983359</v>
      </c>
      <c r="M23" s="356">
        <v>170229.34291973972</v>
      </c>
      <c r="N23" s="356">
        <v>136036.03036244924</v>
      </c>
      <c r="O23" s="356">
        <v>147948.87120833801</v>
      </c>
      <c r="P23" s="376">
        <v>140979.1375726462</v>
      </c>
      <c r="Q23" s="357">
        <f t="shared" si="2"/>
        <v>1521889.0598464906</v>
      </c>
      <c r="R23" s="72"/>
      <c r="S23" s="558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</row>
    <row r="24" spans="1:33" ht="15" customHeight="1">
      <c r="A24" s="69"/>
      <c r="B24" s="69"/>
      <c r="C24" s="69"/>
      <c r="D24" s="302" t="str">
        <f>IF(MasterSheet!$A$1=1,MasterSheet!C342,MasterSheet!B342)</f>
        <v>Porez na dodatu vrijednost</v>
      </c>
      <c r="E24" s="754">
        <v>22216987.25911713</v>
      </c>
      <c r="F24" s="355">
        <v>22351785.25320363</v>
      </c>
      <c r="G24" s="355">
        <v>24907044.612074491</v>
      </c>
      <c r="H24" s="355">
        <v>29049120.919579607</v>
      </c>
      <c r="I24" s="762">
        <v>32485582.306773975</v>
      </c>
      <c r="J24" s="355">
        <v>39641428.685232304</v>
      </c>
      <c r="K24" s="355">
        <v>39144860.544407874</v>
      </c>
      <c r="L24" s="356">
        <v>33764783.498910055</v>
      </c>
      <c r="M24" s="356">
        <v>35212221.435317017</v>
      </c>
      <c r="N24" s="356">
        <v>35516823.320785411</v>
      </c>
      <c r="O24" s="356">
        <v>31733799.92897122</v>
      </c>
      <c r="P24" s="376">
        <v>27021193.241436299</v>
      </c>
      <c r="Q24" s="357">
        <f t="shared" si="2"/>
        <v>373045631.00580907</v>
      </c>
      <c r="R24" s="72"/>
      <c r="S24" s="558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</row>
    <row r="25" spans="1:33" ht="15" customHeight="1">
      <c r="A25" s="69"/>
      <c r="B25" s="69"/>
      <c r="C25" s="69"/>
      <c r="D25" s="302" t="str">
        <f>IF(MasterSheet!$A$1=1,MasterSheet!C343,MasterSheet!B343)</f>
        <v xml:space="preserve">Akcize </v>
      </c>
      <c r="E25" s="754">
        <v>13472385.619929252</v>
      </c>
      <c r="F25" s="355">
        <v>9374619.9781228825</v>
      </c>
      <c r="G25" s="355">
        <v>8591497.0238258317</v>
      </c>
      <c r="H25" s="355">
        <v>9976513.8396541588</v>
      </c>
      <c r="I25" s="762">
        <v>12529410.486162774</v>
      </c>
      <c r="J25" s="355">
        <v>12207544.038839269</v>
      </c>
      <c r="K25" s="355">
        <v>16644425.593685796</v>
      </c>
      <c r="L25" s="356">
        <v>16485948.596823877</v>
      </c>
      <c r="M25" s="356">
        <v>18432656.2065273</v>
      </c>
      <c r="N25" s="356">
        <v>13491210.566350998</v>
      </c>
      <c r="O25" s="356">
        <v>12913955.490205286</v>
      </c>
      <c r="P25" s="376">
        <v>13328622.385148553</v>
      </c>
      <c r="Q25" s="357">
        <f t="shared" si="2"/>
        <v>157448789.82527599</v>
      </c>
      <c r="R25" s="72"/>
      <c r="S25" s="558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</row>
    <row r="26" spans="1:33" ht="15" customHeight="1">
      <c r="A26" s="69"/>
      <c r="B26" s="69"/>
      <c r="C26" s="69"/>
      <c r="D26" s="302" t="str">
        <f>IF(MasterSheet!$A$1=1,MasterSheet!C344,MasterSheet!B344)</f>
        <v>Porez na međ. trgov. i transakcije</v>
      </c>
      <c r="E26" s="754">
        <v>2254635.1079826443</v>
      </c>
      <c r="F26" s="355">
        <v>2434600.1723288172</v>
      </c>
      <c r="G26" s="355">
        <v>3480742.4524679668</v>
      </c>
      <c r="H26" s="355">
        <v>3633160.2325686943</v>
      </c>
      <c r="I26" s="762">
        <v>3488794.2206289498</v>
      </c>
      <c r="J26" s="355">
        <v>2306819.3261174015</v>
      </c>
      <c r="K26" s="355">
        <v>2530520.0301218135</v>
      </c>
      <c r="L26" s="356">
        <v>2593024.591536134</v>
      </c>
      <c r="M26" s="356">
        <v>2137547.6737522222</v>
      </c>
      <c r="N26" s="356">
        <v>2432657.0001382544</v>
      </c>
      <c r="O26" s="356">
        <v>1904518.5019257402</v>
      </c>
      <c r="P26" s="376">
        <v>1992912.933800448</v>
      </c>
      <c r="Q26" s="357">
        <f t="shared" si="2"/>
        <v>31189932.243369084</v>
      </c>
      <c r="R26" s="72"/>
      <c r="S26" s="558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</row>
    <row r="27" spans="1:33" ht="15" customHeight="1">
      <c r="A27" s="69"/>
      <c r="B27" s="69"/>
      <c r="C27" s="69"/>
      <c r="D27" s="302" t="str">
        <f>IF(MasterSheet!$A$1=1,MasterSheet!C345,MasterSheet!B345)</f>
        <v>Ostali republički porezi</v>
      </c>
      <c r="E27" s="754">
        <v>260762.89668953384</v>
      </c>
      <c r="F27" s="355">
        <v>255157.48277927918</v>
      </c>
      <c r="G27" s="355">
        <v>311767.07284781808</v>
      </c>
      <c r="H27" s="355">
        <v>386022.31060141494</v>
      </c>
      <c r="I27" s="762">
        <v>403723.81098959706</v>
      </c>
      <c r="J27" s="355">
        <v>443763.10051744088</v>
      </c>
      <c r="K27" s="355">
        <v>452390.66108767391</v>
      </c>
      <c r="L27" s="356">
        <v>423242.62809333584</v>
      </c>
      <c r="M27" s="356">
        <v>377993.63627302414</v>
      </c>
      <c r="N27" s="356">
        <v>381409.00489262829</v>
      </c>
      <c r="O27" s="356">
        <v>381497.52149931074</v>
      </c>
      <c r="P27" s="376">
        <v>331335.45678221656</v>
      </c>
      <c r="Q27" s="357">
        <f t="shared" si="2"/>
        <v>4409065.5830532731</v>
      </c>
      <c r="R27" s="72"/>
      <c r="S27" s="558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</row>
    <row r="28" spans="1:33" ht="15" customHeight="1">
      <c r="A28" s="69"/>
      <c r="B28" s="69"/>
      <c r="C28" s="69"/>
      <c r="D28" s="303" t="str">
        <f>IF(MasterSheet!$A$1=1,MasterSheet!C346,MasterSheet!B346)</f>
        <v>Doprinosi</v>
      </c>
      <c r="E28" s="899">
        <f>+SUM(E29:E32)</f>
        <v>10225366.011998521</v>
      </c>
      <c r="F28" s="351">
        <f t="shared" ref="F28:P28" si="3">+SUM(F29:F32)</f>
        <v>26328872.744704504</v>
      </c>
      <c r="G28" s="351">
        <f t="shared" si="3"/>
        <v>28215029.512952704</v>
      </c>
      <c r="H28" s="351">
        <f t="shared" si="3"/>
        <v>31078344.176256344</v>
      </c>
      <c r="I28" s="895">
        <f t="shared" si="3"/>
        <v>31062993.346150994</v>
      </c>
      <c r="J28" s="351">
        <f t="shared" si="3"/>
        <v>29533886.744876273</v>
      </c>
      <c r="K28" s="351">
        <f t="shared" si="3"/>
        <v>35614836.490956061</v>
      </c>
      <c r="L28" s="352">
        <f t="shared" si="3"/>
        <v>41423629.787263155</v>
      </c>
      <c r="M28" s="352">
        <f t="shared" si="3"/>
        <v>27897944.753825549</v>
      </c>
      <c r="N28" s="352">
        <f t="shared" si="3"/>
        <v>35782419.896350168</v>
      </c>
      <c r="O28" s="352">
        <f t="shared" si="3"/>
        <v>35053926.847713381</v>
      </c>
      <c r="P28" s="375">
        <f t="shared" si="3"/>
        <v>52000480.125178605</v>
      </c>
      <c r="Q28" s="353">
        <f t="shared" si="2"/>
        <v>384217730.43822622</v>
      </c>
      <c r="R28" s="72"/>
      <c r="S28" s="558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</row>
    <row r="29" spans="1:33" ht="15" customHeight="1">
      <c r="A29" s="69"/>
      <c r="B29" s="69"/>
      <c r="C29" s="69"/>
      <c r="D29" s="302" t="str">
        <f>IF(MasterSheet!$A$1=1,MasterSheet!C347,MasterSheet!B347)</f>
        <v>Doprinosi za PIO</v>
      </c>
      <c r="E29" s="754">
        <v>5896216.9131298037</v>
      </c>
      <c r="F29" s="355">
        <v>15984604.165490396</v>
      </c>
      <c r="G29" s="355">
        <v>15980210.637352593</v>
      </c>
      <c r="H29" s="355">
        <v>18099107.195466701</v>
      </c>
      <c r="I29" s="762">
        <v>18902345.114124902</v>
      </c>
      <c r="J29" s="355">
        <v>16660130.6959597</v>
      </c>
      <c r="K29" s="355">
        <v>20975423.912817873</v>
      </c>
      <c r="L29" s="356">
        <v>24152995.284398187</v>
      </c>
      <c r="M29" s="356">
        <v>16438117.212416081</v>
      </c>
      <c r="N29" s="356">
        <v>21064902.89657861</v>
      </c>
      <c r="O29" s="356">
        <v>21199343.745804995</v>
      </c>
      <c r="P29" s="376">
        <v>31496085.4772765</v>
      </c>
      <c r="Q29" s="357">
        <f t="shared" si="2"/>
        <v>226849483.25081638</v>
      </c>
      <c r="R29" s="72"/>
      <c r="S29" s="558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</row>
    <row r="30" spans="1:33" ht="15" customHeight="1">
      <c r="A30" s="69"/>
      <c r="B30" s="69"/>
      <c r="C30" s="69"/>
      <c r="D30" s="302" t="str">
        <f>IF(MasterSheet!$A$1=1,MasterSheet!C348,MasterSheet!B348)</f>
        <v>Doprinosi za zdravstvo</v>
      </c>
      <c r="E30" s="754">
        <v>3523976.3657705826</v>
      </c>
      <c r="F30" s="355">
        <v>8837193.1137481872</v>
      </c>
      <c r="G30" s="355">
        <v>10296968.732518861</v>
      </c>
      <c r="H30" s="355">
        <v>11080649.937486099</v>
      </c>
      <c r="I30" s="762">
        <v>10426593.073253199</v>
      </c>
      <c r="J30" s="355">
        <v>10797558.1123464</v>
      </c>
      <c r="K30" s="355">
        <v>12338418.275424777</v>
      </c>
      <c r="L30" s="356">
        <v>14695618.751093065</v>
      </c>
      <c r="M30" s="356">
        <v>9887757.094026586</v>
      </c>
      <c r="N30" s="356">
        <v>12555740.885830941</v>
      </c>
      <c r="O30" s="356">
        <v>11911787.04868594</v>
      </c>
      <c r="P30" s="376">
        <v>17572653.898443229</v>
      </c>
      <c r="Q30" s="357">
        <f t="shared" si="2"/>
        <v>133924915.28862786</v>
      </c>
      <c r="R30" s="72"/>
      <c r="S30" s="558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</row>
    <row r="31" spans="1:33" ht="15" customHeight="1">
      <c r="A31" s="69"/>
      <c r="B31" s="69"/>
      <c r="C31" s="69"/>
      <c r="D31" s="302" t="str">
        <f>IF(MasterSheet!$A$1=1,MasterSheet!C349,MasterSheet!B349)</f>
        <v>Doprinosi za nezaposlene</v>
      </c>
      <c r="E31" s="754">
        <v>290701.31067824201</v>
      </c>
      <c r="F31" s="355">
        <v>744628.51853836537</v>
      </c>
      <c r="G31" s="355">
        <v>900014.53265058505</v>
      </c>
      <c r="H31" s="355">
        <v>960420.42316401063</v>
      </c>
      <c r="I31" s="762">
        <v>850902.03134404484</v>
      </c>
      <c r="J31" s="355">
        <v>873102.0001937449</v>
      </c>
      <c r="K31" s="355">
        <v>1044477.0015934415</v>
      </c>
      <c r="L31" s="356">
        <v>1233245.0541489115</v>
      </c>
      <c r="M31" s="356">
        <v>823964.48361802031</v>
      </c>
      <c r="N31" s="356">
        <v>1104138.5296295469</v>
      </c>
      <c r="O31" s="356">
        <v>947842.00635200134</v>
      </c>
      <c r="P31" s="376">
        <v>1446638.2353968821</v>
      </c>
      <c r="Q31" s="357">
        <f t="shared" si="2"/>
        <v>11220074.127307797</v>
      </c>
      <c r="R31" s="72"/>
      <c r="S31" s="558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</row>
    <row r="32" spans="1:33" ht="15" customHeight="1">
      <c r="A32" s="69"/>
      <c r="B32" s="69"/>
      <c r="C32" s="69"/>
      <c r="D32" s="302" t="str">
        <f>IF(MasterSheet!$A$1=1,MasterSheet!C350,MasterSheet!B350)</f>
        <v>Ostali doprinosi</v>
      </c>
      <c r="E32" s="754">
        <v>514471.42241989321</v>
      </c>
      <c r="F32" s="355">
        <v>762446.94692755432</v>
      </c>
      <c r="G32" s="355">
        <v>1037835.6104306638</v>
      </c>
      <c r="H32" s="355">
        <v>938166.6201395333</v>
      </c>
      <c r="I32" s="762">
        <v>883153.12742885004</v>
      </c>
      <c r="J32" s="355">
        <v>1203095.9363764296</v>
      </c>
      <c r="K32" s="355">
        <v>1256517.301119969</v>
      </c>
      <c r="L32" s="356">
        <v>1341770.6976229935</v>
      </c>
      <c r="M32" s="356">
        <v>748105.96376486088</v>
      </c>
      <c r="N32" s="356">
        <v>1057637.5843110771</v>
      </c>
      <c r="O32" s="356">
        <v>994954.04687044967</v>
      </c>
      <c r="P32" s="376">
        <v>1485102.5140619949</v>
      </c>
      <c r="Q32" s="357">
        <f t="shared" si="2"/>
        <v>12223257.77147427</v>
      </c>
      <c r="R32" s="72"/>
      <c r="S32" s="558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</row>
    <row r="33" spans="1:33" ht="15" customHeight="1">
      <c r="A33" s="69"/>
      <c r="B33" s="69"/>
      <c r="C33" s="69"/>
      <c r="D33" s="303" t="str">
        <f>IF(MasterSheet!$A$1=1,MasterSheet!C351,MasterSheet!B351)</f>
        <v>Takse</v>
      </c>
      <c r="E33" s="899">
        <f>+SUM(E34:E37)</f>
        <v>2027877.2372930939</v>
      </c>
      <c r="F33" s="351">
        <f t="shared" ref="F33:P33" si="4">+SUM(F34:F37)</f>
        <v>1882424.3685098737</v>
      </c>
      <c r="G33" s="351">
        <f t="shared" si="4"/>
        <v>2363168.5236575948</v>
      </c>
      <c r="H33" s="351">
        <f t="shared" si="4"/>
        <v>2393449.5740456693</v>
      </c>
      <c r="I33" s="895">
        <f t="shared" si="4"/>
        <v>2431766.3719360717</v>
      </c>
      <c r="J33" s="351">
        <f t="shared" si="4"/>
        <v>2858151.7123018736</v>
      </c>
      <c r="K33" s="351">
        <f t="shared" si="4"/>
        <v>2917908.2048975867</v>
      </c>
      <c r="L33" s="352">
        <f t="shared" si="4"/>
        <v>2932949.8029298875</v>
      </c>
      <c r="M33" s="352">
        <f t="shared" si="4"/>
        <v>2302181.1067919475</v>
      </c>
      <c r="N33" s="352">
        <f t="shared" si="4"/>
        <v>2479397.4364794977</v>
      </c>
      <c r="O33" s="352">
        <f t="shared" si="4"/>
        <v>2197340.2207755819</v>
      </c>
      <c r="P33" s="375">
        <f t="shared" si="4"/>
        <v>2280154.7968325969</v>
      </c>
      <c r="Q33" s="353">
        <f t="shared" si="2"/>
        <v>29066769.356451273</v>
      </c>
      <c r="R33" s="72"/>
      <c r="S33" s="558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</row>
    <row r="34" spans="1:33" ht="15" customHeight="1">
      <c r="A34" s="69"/>
      <c r="B34" s="69"/>
      <c r="C34" s="69"/>
      <c r="D34" s="302" t="str">
        <f>IF(MasterSheet!$A$1=1,MasterSheet!C352,MasterSheet!B352)</f>
        <v>Administrativne takse</v>
      </c>
      <c r="E34" s="754">
        <v>542096.38724093605</v>
      </c>
      <c r="F34" s="355">
        <v>536397.13298492332</v>
      </c>
      <c r="G34" s="355">
        <v>759288.54284763371</v>
      </c>
      <c r="H34" s="355">
        <v>724733.04432771762</v>
      </c>
      <c r="I34" s="762">
        <v>823629.87439344113</v>
      </c>
      <c r="J34" s="355">
        <v>866651.25939663569</v>
      </c>
      <c r="K34" s="355">
        <v>822206.96615173062</v>
      </c>
      <c r="L34" s="356">
        <v>822500.35972019134</v>
      </c>
      <c r="M34" s="356">
        <v>653046.97944805818</v>
      </c>
      <c r="N34" s="356">
        <v>912828.08748487011</v>
      </c>
      <c r="O34" s="356">
        <v>633141.89239853795</v>
      </c>
      <c r="P34" s="376">
        <v>670108.0224069875</v>
      </c>
      <c r="Q34" s="357">
        <f t="shared" si="2"/>
        <v>8766628.5488016624</v>
      </c>
      <c r="R34" s="72"/>
      <c r="S34" s="558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</row>
    <row r="35" spans="1:33" ht="15" customHeight="1">
      <c r="A35" s="69"/>
      <c r="B35" s="69"/>
      <c r="C35" s="69"/>
      <c r="D35" s="302" t="str">
        <f>IF(MasterSheet!$A$1=1,MasterSheet!C353,MasterSheet!B353)</f>
        <v>Sudske takse</v>
      </c>
      <c r="E35" s="754">
        <v>252442.47852541984</v>
      </c>
      <c r="F35" s="355">
        <v>257727.78032652178</v>
      </c>
      <c r="G35" s="355">
        <v>326063.49946238624</v>
      </c>
      <c r="H35" s="355">
        <v>345774.20752005593</v>
      </c>
      <c r="I35" s="762">
        <v>268259.93480340595</v>
      </c>
      <c r="J35" s="355">
        <v>332044.44392410474</v>
      </c>
      <c r="K35" s="355">
        <v>288341.93029107194</v>
      </c>
      <c r="L35" s="356">
        <v>203437.32988708364</v>
      </c>
      <c r="M35" s="356">
        <v>285816.36008690012</v>
      </c>
      <c r="N35" s="356">
        <v>295491.81584812951</v>
      </c>
      <c r="O35" s="356">
        <v>344335.81666740507</v>
      </c>
      <c r="P35" s="376">
        <v>355728.9521809821</v>
      </c>
      <c r="Q35" s="357">
        <f t="shared" si="2"/>
        <v>3555464.5495234667</v>
      </c>
      <c r="R35" s="72"/>
      <c r="S35" s="558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</row>
    <row r="36" spans="1:33" ht="15" customHeight="1">
      <c r="A36" s="69"/>
      <c r="B36" s="69"/>
      <c r="C36" s="69"/>
      <c r="D36" s="302" t="str">
        <f>IF(MasterSheet!$A$1=1,MasterSheet!C354,MasterSheet!B354)</f>
        <v>Boravišne takse</v>
      </c>
      <c r="E36" s="754">
        <v>15175.988329241076</v>
      </c>
      <c r="F36" s="355">
        <v>5488.4479117645715</v>
      </c>
      <c r="G36" s="355">
        <v>5513.547785744513</v>
      </c>
      <c r="H36" s="355">
        <v>10033.975862815605</v>
      </c>
      <c r="I36" s="762">
        <v>13433.078813061053</v>
      </c>
      <c r="J36" s="355">
        <v>35239.498051137023</v>
      </c>
      <c r="K36" s="355">
        <v>115467.10956937172</v>
      </c>
      <c r="L36" s="356">
        <v>147444.22648178381</v>
      </c>
      <c r="M36" s="356">
        <v>77479.696104075862</v>
      </c>
      <c r="N36" s="356">
        <v>52915.149949001381</v>
      </c>
      <c r="O36" s="356">
        <v>15235.266103225436</v>
      </c>
      <c r="P36" s="376">
        <v>9085.1638649635734</v>
      </c>
      <c r="Q36" s="357">
        <f t="shared" si="2"/>
        <v>502511.14882618561</v>
      </c>
      <c r="R36" s="72"/>
      <c r="S36" s="558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</row>
    <row r="37" spans="1:33" ht="15" customHeight="1">
      <c r="A37" s="69"/>
      <c r="B37" s="69"/>
      <c r="C37" s="69"/>
      <c r="D37" s="302" t="str">
        <f>IF(MasterSheet!$A$1=1,MasterSheet!C355,MasterSheet!B355)</f>
        <v>Ostale takse</v>
      </c>
      <c r="E37" s="754">
        <v>1218162.3831974969</v>
      </c>
      <c r="F37" s="355">
        <v>1082811.0072866639</v>
      </c>
      <c r="G37" s="355">
        <v>1272302.9335618301</v>
      </c>
      <c r="H37" s="355">
        <v>1312908.34633508</v>
      </c>
      <c r="I37" s="762">
        <v>1326443.4839261633</v>
      </c>
      <c r="J37" s="355">
        <v>1624216.5109299959</v>
      </c>
      <c r="K37" s="355">
        <v>1691892.1988854124</v>
      </c>
      <c r="L37" s="356">
        <v>1759567.8868408289</v>
      </c>
      <c r="M37" s="356">
        <v>1285838.0711529134</v>
      </c>
      <c r="N37" s="356">
        <v>1218162.3831974969</v>
      </c>
      <c r="O37" s="356">
        <v>1204627.2456064136</v>
      </c>
      <c r="P37" s="376">
        <v>1245232.6583796635</v>
      </c>
      <c r="Q37" s="357">
        <f t="shared" si="2"/>
        <v>16242165.10929996</v>
      </c>
      <c r="R37" s="72"/>
      <c r="S37" s="558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</row>
    <row r="38" spans="1:33" ht="15" customHeight="1">
      <c r="A38" s="69"/>
      <c r="B38" s="69"/>
      <c r="C38" s="69"/>
      <c r="D38" s="303" t="str">
        <f>IF(MasterSheet!$A$1=1,MasterSheet!C356,MasterSheet!B356)</f>
        <v>Naknade</v>
      </c>
      <c r="E38" s="899">
        <f>+SUM(E39:E44)</f>
        <v>982710.87498690933</v>
      </c>
      <c r="F38" s="351">
        <f t="shared" ref="F38:P38" si="5">+SUM(F39:F44)</f>
        <v>869104.05358116457</v>
      </c>
      <c r="G38" s="351">
        <f t="shared" si="5"/>
        <v>787268.76554129389</v>
      </c>
      <c r="H38" s="351">
        <f t="shared" si="5"/>
        <v>1546322.5460752659</v>
      </c>
      <c r="I38" s="895">
        <f t="shared" si="5"/>
        <v>932515.34080204321</v>
      </c>
      <c r="J38" s="351">
        <f t="shared" si="5"/>
        <v>1175327.7210279165</v>
      </c>
      <c r="K38" s="351">
        <f t="shared" si="5"/>
        <v>2020249.028265815</v>
      </c>
      <c r="L38" s="352">
        <f t="shared" si="5"/>
        <v>1079348.0183819076</v>
      </c>
      <c r="M38" s="352">
        <f t="shared" si="5"/>
        <v>1345127.7045627646</v>
      </c>
      <c r="N38" s="352">
        <f t="shared" si="5"/>
        <v>1098866.9792922472</v>
      </c>
      <c r="O38" s="352">
        <f t="shared" si="5"/>
        <v>885498.0103225843</v>
      </c>
      <c r="P38" s="375">
        <f t="shared" si="5"/>
        <v>1136253.4997662231</v>
      </c>
      <c r="Q38" s="353">
        <f t="shared" si="2"/>
        <v>13858592.542606136</v>
      </c>
      <c r="R38" s="72"/>
      <c r="S38" s="558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</row>
    <row r="39" spans="1:33" ht="15" customHeight="1">
      <c r="A39" s="69"/>
      <c r="B39" s="69"/>
      <c r="C39" s="69"/>
      <c r="D39" s="302" t="str">
        <f>IF(MasterSheet!$A$1=1,MasterSheet!C357,MasterSheet!B357)</f>
        <v>Nakn. za koriš. dob. od opš. int.</v>
      </c>
      <c r="E39" s="754">
        <v>74908.131611371835</v>
      </c>
      <c r="F39" s="355">
        <v>23550.009068415115</v>
      </c>
      <c r="G39" s="355">
        <v>22968.940964279551</v>
      </c>
      <c r="H39" s="355">
        <v>27429.389117970448</v>
      </c>
      <c r="I39" s="762">
        <v>30556.042262077168</v>
      </c>
      <c r="J39" s="355">
        <v>29697.340030062864</v>
      </c>
      <c r="K39" s="355">
        <v>58678.475724849472</v>
      </c>
      <c r="L39" s="356">
        <v>90332.521977156648</v>
      </c>
      <c r="M39" s="356">
        <v>111262.34960854963</v>
      </c>
      <c r="N39" s="356">
        <v>120982.61938268811</v>
      </c>
      <c r="O39" s="356">
        <v>76485.188166027234</v>
      </c>
      <c r="P39" s="376">
        <v>100665.72865548421</v>
      </c>
      <c r="Q39" s="357">
        <f t="shared" si="2"/>
        <v>767516.73656893219</v>
      </c>
      <c r="R39" s="72"/>
      <c r="S39" s="558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</row>
    <row r="40" spans="1:33" ht="15" customHeight="1">
      <c r="A40" s="69"/>
      <c r="B40" s="69"/>
      <c r="C40" s="69"/>
      <c r="D40" s="302" t="str">
        <f>IF(MasterSheet!$A$1=1,MasterSheet!C358,MasterSheet!B358)</f>
        <v>Naknada za kor. prirodnih dobara</v>
      </c>
      <c r="E40" s="754">
        <v>41340.351166230052</v>
      </c>
      <c r="F40" s="355">
        <v>60139.779509022002</v>
      </c>
      <c r="G40" s="355">
        <v>65829.577299673969</v>
      </c>
      <c r="H40" s="355">
        <v>89073.136876231671</v>
      </c>
      <c r="I40" s="762">
        <v>107142.13571005454</v>
      </c>
      <c r="J40" s="355">
        <v>116641.17968953511</v>
      </c>
      <c r="K40" s="355">
        <v>121973.85521455987</v>
      </c>
      <c r="L40" s="356">
        <v>148251.86009824905</v>
      </c>
      <c r="M40" s="356">
        <v>118685.96121228721</v>
      </c>
      <c r="N40" s="356">
        <v>151103.61106134616</v>
      </c>
      <c r="O40" s="356">
        <v>112378.6351175053</v>
      </c>
      <c r="P40" s="376">
        <v>140815.61349906723</v>
      </c>
      <c r="Q40" s="357">
        <f t="shared" si="2"/>
        <v>1273375.6964537622</v>
      </c>
      <c r="R40" s="72"/>
      <c r="S40" s="558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</row>
    <row r="41" spans="1:33" ht="15" customHeight="1">
      <c r="A41" s="69"/>
      <c r="B41" s="69"/>
      <c r="C41" s="69"/>
      <c r="D41" s="302" t="str">
        <f>IF(MasterSheet!$A$1=1,MasterSheet!C359,MasterSheet!B359)</f>
        <v>Ekološke naknade</v>
      </c>
      <c r="E41" s="754">
        <v>247124.22503235005</v>
      </c>
      <c r="F41" s="355">
        <v>2218.5560408142283</v>
      </c>
      <c r="G41" s="355">
        <v>13432.213424296489</v>
      </c>
      <c r="H41" s="355">
        <v>71796.626625634046</v>
      </c>
      <c r="I41" s="762">
        <v>10921.311327090261</v>
      </c>
      <c r="J41" s="355">
        <v>234115.89884799815</v>
      </c>
      <c r="K41" s="355">
        <v>48074.023137452277</v>
      </c>
      <c r="L41" s="356">
        <v>43662.795502239882</v>
      </c>
      <c r="M41" s="356">
        <v>84724.058721427253</v>
      </c>
      <c r="N41" s="356">
        <v>89541.155584391992</v>
      </c>
      <c r="O41" s="356">
        <v>469.11923673154934</v>
      </c>
      <c r="P41" s="376">
        <v>60078.090968156321</v>
      </c>
      <c r="Q41" s="357">
        <f t="shared" si="2"/>
        <v>906158.07444858248</v>
      </c>
      <c r="R41" s="72"/>
      <c r="S41" s="558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</row>
    <row r="42" spans="1:33" ht="15" customHeight="1">
      <c r="A42" s="69"/>
      <c r="B42" s="69"/>
      <c r="C42" s="69"/>
      <c r="D42" s="302" t="str">
        <f>IF(MasterSheet!$A$1=1,MasterSheet!C360,MasterSheet!B360)</f>
        <v>Naknade za priređ.  igara na sreću</v>
      </c>
      <c r="E42" s="754">
        <v>179354.57666904427</v>
      </c>
      <c r="F42" s="355">
        <v>243144.83571010665</v>
      </c>
      <c r="G42" s="355">
        <v>272906.32295692031</v>
      </c>
      <c r="H42" s="355">
        <v>221192.91748194481</v>
      </c>
      <c r="I42" s="762">
        <v>207998.45917902872</v>
      </c>
      <c r="J42" s="355">
        <v>199861.55134658315</v>
      </c>
      <c r="K42" s="355">
        <v>279922.60601668584</v>
      </c>
      <c r="L42" s="356">
        <v>259024.3495760845</v>
      </c>
      <c r="M42" s="356">
        <v>163486.81222208266</v>
      </c>
      <c r="N42" s="356">
        <v>229512.62016446379</v>
      </c>
      <c r="O42" s="356">
        <v>278941.99950558663</v>
      </c>
      <c r="P42" s="376">
        <v>363990.4823728159</v>
      </c>
      <c r="Q42" s="357">
        <f t="shared" si="2"/>
        <v>2899337.5332013466</v>
      </c>
      <c r="R42" s="72"/>
      <c r="S42" s="558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</row>
    <row r="43" spans="1:33" ht="15" customHeight="1">
      <c r="A43" s="69"/>
      <c r="B43" s="69"/>
      <c r="C43" s="69"/>
      <c r="D43" s="302" t="str">
        <f>IF(MasterSheet!$A$1=1,MasterSheet!C361,MasterSheet!B361)</f>
        <v>Naknade za puteve</v>
      </c>
      <c r="E43" s="754">
        <v>296047.35467364622</v>
      </c>
      <c r="F43" s="355">
        <v>263097.27733410237</v>
      </c>
      <c r="G43" s="355">
        <v>258207.78749936659</v>
      </c>
      <c r="H43" s="355">
        <v>252033.27327615619</v>
      </c>
      <c r="I43" s="762">
        <v>393422.49566954153</v>
      </c>
      <c r="J43" s="355">
        <v>426928.76100874052</v>
      </c>
      <c r="K43" s="355">
        <v>419857.98023353948</v>
      </c>
      <c r="L43" s="356">
        <v>387071.55225916719</v>
      </c>
      <c r="M43" s="356">
        <v>657472.1958811942</v>
      </c>
      <c r="N43" s="356">
        <v>206724.58866331077</v>
      </c>
      <c r="O43" s="356">
        <v>263469.42623368697</v>
      </c>
      <c r="P43" s="376">
        <v>214540.13832752779</v>
      </c>
      <c r="Q43" s="357">
        <f t="shared" si="2"/>
        <v>4038872.8310599797</v>
      </c>
      <c r="R43" s="72"/>
      <c r="S43" s="558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</row>
    <row r="44" spans="1:33" ht="15" customHeight="1">
      <c r="A44" s="69"/>
      <c r="B44" s="69"/>
      <c r="C44" s="69"/>
      <c r="D44" s="302" t="str">
        <f>IF(MasterSheet!$A$1=1,MasterSheet!C362,MasterSheet!B362)</f>
        <v>Ostale naknade</v>
      </c>
      <c r="E44" s="754">
        <v>143936.23583426693</v>
      </c>
      <c r="F44" s="355">
        <v>276953.59591870417</v>
      </c>
      <c r="G44" s="355">
        <v>153923.92339675705</v>
      </c>
      <c r="H44" s="355">
        <v>884797.20269732864</v>
      </c>
      <c r="I44" s="762">
        <v>182474.89665425106</v>
      </c>
      <c r="J44" s="355">
        <v>168082.99010499663</v>
      </c>
      <c r="K44" s="355">
        <v>1091742.087938728</v>
      </c>
      <c r="L44" s="356">
        <v>151004.93896901025</v>
      </c>
      <c r="M44" s="356">
        <v>209496.32691722366</v>
      </c>
      <c r="N44" s="356">
        <v>301002.38443604641</v>
      </c>
      <c r="O44" s="356">
        <v>153753.64206304651</v>
      </c>
      <c r="P44" s="376">
        <v>256163.44594317174</v>
      </c>
      <c r="Q44" s="357">
        <f t="shared" si="2"/>
        <v>3973331.6708735307</v>
      </c>
      <c r="R44" s="72"/>
      <c r="S44" s="558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</row>
    <row r="45" spans="1:33" ht="15" customHeight="1">
      <c r="A45" s="69"/>
      <c r="B45" s="69"/>
      <c r="C45" s="69"/>
      <c r="D45" s="303" t="str">
        <f>IF(MasterSheet!$A$1=1,MasterSheet!C363,MasterSheet!B363)</f>
        <v>Ostali prihodi</v>
      </c>
      <c r="E45" s="899">
        <f>+SUM(E46:E49)</f>
        <v>923442.3429132913</v>
      </c>
      <c r="F45" s="351">
        <f t="shared" ref="F45:P45" si="6">+SUM(F46:F49)</f>
        <v>1777418.9190493901</v>
      </c>
      <c r="G45" s="351">
        <f t="shared" si="6"/>
        <v>2321412.8253925741</v>
      </c>
      <c r="H45" s="351">
        <f t="shared" si="6"/>
        <v>1637829.2535735941</v>
      </c>
      <c r="I45" s="895">
        <f t="shared" si="6"/>
        <v>1886272.7717710272</v>
      </c>
      <c r="J45" s="351">
        <f t="shared" si="6"/>
        <v>1533956.11443653</v>
      </c>
      <c r="K45" s="351">
        <f t="shared" si="6"/>
        <v>3092390.5965000256</v>
      </c>
      <c r="L45" s="352">
        <f t="shared" si="6"/>
        <v>2409748.3951187199</v>
      </c>
      <c r="M45" s="352">
        <f t="shared" si="6"/>
        <v>1476812.0861061718</v>
      </c>
      <c r="N45" s="352">
        <f t="shared" si="6"/>
        <v>1888437.4129044577</v>
      </c>
      <c r="O45" s="352">
        <f t="shared" si="6"/>
        <v>2006775.4309992469</v>
      </c>
      <c r="P45" s="375">
        <f t="shared" si="6"/>
        <v>8463643.2651979905</v>
      </c>
      <c r="Q45" s="353">
        <f t="shared" si="2"/>
        <v>29418139.413963012</v>
      </c>
      <c r="R45" s="72"/>
      <c r="S45" s="558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</row>
    <row r="46" spans="1:33" ht="15" customHeight="1">
      <c r="A46" s="69"/>
      <c r="B46" s="69"/>
      <c r="C46" s="69"/>
      <c r="D46" s="302" t="str">
        <f>IF(MasterSheet!$A$1=1,MasterSheet!C364,MasterSheet!B364)</f>
        <v>Prihodi od kapitala</v>
      </c>
      <c r="E46" s="754">
        <v>98721.240703580421</v>
      </c>
      <c r="F46" s="355">
        <v>199006.9554647851</v>
      </c>
      <c r="G46" s="355">
        <v>292621.907293392</v>
      </c>
      <c r="H46" s="355">
        <v>284997.00106043334</v>
      </c>
      <c r="I46" s="762">
        <v>65352.292316141793</v>
      </c>
      <c r="J46" s="355">
        <v>88560.434385360481</v>
      </c>
      <c r="K46" s="355">
        <v>1239363.1697599126</v>
      </c>
      <c r="L46" s="356">
        <v>88219.936051167344</v>
      </c>
      <c r="M46" s="356">
        <v>39016.234769396273</v>
      </c>
      <c r="N46" s="356">
        <v>27677.405106364404</v>
      </c>
      <c r="O46" s="356">
        <v>537263.99134649755</v>
      </c>
      <c r="P46" s="376">
        <v>5854494.6857544566</v>
      </c>
      <c r="Q46" s="357">
        <f t="shared" si="2"/>
        <v>8815295.2540114876</v>
      </c>
      <c r="R46" s="72"/>
      <c r="S46" s="558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</row>
    <row r="47" spans="1:33" ht="15" customHeight="1">
      <c r="A47" s="69"/>
      <c r="B47" s="69"/>
      <c r="C47" s="69"/>
      <c r="D47" s="302" t="str">
        <f>IF(MasterSheet!$A$1=1,MasterSheet!C365,MasterSheet!B365)</f>
        <v>Novčane kazne i oduzete imovinske koristi</v>
      </c>
      <c r="E47" s="754">
        <v>383042.28989708459</v>
      </c>
      <c r="F47" s="355">
        <v>477254.92582153057</v>
      </c>
      <c r="G47" s="355">
        <v>683436.22345265537</v>
      </c>
      <c r="H47" s="355">
        <v>618670.23229595972</v>
      </c>
      <c r="I47" s="762">
        <v>674710.24948405835</v>
      </c>
      <c r="J47" s="355">
        <v>650321.89490412129</v>
      </c>
      <c r="K47" s="355">
        <v>961741.84883892175</v>
      </c>
      <c r="L47" s="356">
        <v>1110907.420503031</v>
      </c>
      <c r="M47" s="356">
        <v>721846.04987347173</v>
      </c>
      <c r="N47" s="356">
        <v>716487.68784240645</v>
      </c>
      <c r="O47" s="356">
        <v>710861.44747881312</v>
      </c>
      <c r="P47" s="376">
        <v>802065.24626978079</v>
      </c>
      <c r="Q47" s="357">
        <f t="shared" si="2"/>
        <v>8511345.516661834</v>
      </c>
      <c r="R47" s="72"/>
      <c r="S47" s="558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</row>
    <row r="48" spans="1:33" ht="15" customHeight="1">
      <c r="A48" s="69"/>
      <c r="B48" s="69"/>
      <c r="C48" s="69"/>
      <c r="D48" s="302" t="str">
        <f>IF(MasterSheet!$A$1=1,MasterSheet!C366,MasterSheet!B366)</f>
        <v>Prihodi koje organi ostvaruju vršenjem svoje djel.</v>
      </c>
      <c r="E48" s="754">
        <v>105660.57810580246</v>
      </c>
      <c r="F48" s="355">
        <v>113960.07404027163</v>
      </c>
      <c r="G48" s="355">
        <v>194068.21940110344</v>
      </c>
      <c r="H48" s="355">
        <v>215744.02279161251</v>
      </c>
      <c r="I48" s="762">
        <v>194245.15208018161</v>
      </c>
      <c r="J48" s="356">
        <v>202910.49602642201</v>
      </c>
      <c r="K48" s="355">
        <v>188059.0443053284</v>
      </c>
      <c r="L48" s="356">
        <v>163610.16787117429</v>
      </c>
      <c r="M48" s="356">
        <v>151132.44421843963</v>
      </c>
      <c r="N48" s="356">
        <v>162193.35524771339</v>
      </c>
      <c r="O48" s="356">
        <v>151171.99535484734</v>
      </c>
      <c r="P48" s="376">
        <v>264415.23647077201</v>
      </c>
      <c r="Q48" s="357">
        <f t="shared" si="2"/>
        <v>2107170.7859136686</v>
      </c>
      <c r="R48" s="72"/>
      <c r="S48" s="558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</row>
    <row r="49" spans="1:33">
      <c r="A49" s="69"/>
      <c r="B49" s="69"/>
      <c r="C49" s="69"/>
      <c r="D49" s="302" t="str">
        <f>IF(MasterSheet!$A$1=1,MasterSheet!C367,MasterSheet!B367)</f>
        <v>Ostali prihodi</v>
      </c>
      <c r="E49" s="754">
        <v>336018.23420682386</v>
      </c>
      <c r="F49" s="355">
        <v>987196.96372280282</v>
      </c>
      <c r="G49" s="355">
        <v>1151286.4752454229</v>
      </c>
      <c r="H49" s="355">
        <v>518417.99742558866</v>
      </c>
      <c r="I49" s="762">
        <v>951965.0778906456</v>
      </c>
      <c r="J49" s="356">
        <v>592163.28912062617</v>
      </c>
      <c r="K49" s="355">
        <v>703226.53359586268</v>
      </c>
      <c r="L49" s="356">
        <v>1047010.8706933472</v>
      </c>
      <c r="M49" s="356">
        <v>564817.35724486422</v>
      </c>
      <c r="N49" s="356">
        <v>982078.96470797341</v>
      </c>
      <c r="O49" s="356">
        <v>607477.99681908905</v>
      </c>
      <c r="P49" s="376">
        <v>1542668.0967029808</v>
      </c>
      <c r="Q49" s="357">
        <f t="shared" si="2"/>
        <v>9984327.8573760279</v>
      </c>
      <c r="R49" s="72"/>
      <c r="S49" s="558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</row>
    <row r="50" spans="1:33" ht="26.25" thickBot="1">
      <c r="A50" s="69"/>
      <c r="B50" s="69"/>
      <c r="C50" s="69"/>
      <c r="D50" s="368" t="str">
        <f>IF(MasterSheet!$A$1=1,MasterSheet!C368,MasterSheet!B368)</f>
        <v>Primici od otplate kredita i sredstva prenijeta iz prethodne godine</v>
      </c>
      <c r="E50" s="900">
        <v>559600.7769500342</v>
      </c>
      <c r="F50" s="371">
        <v>354476.86713533319</v>
      </c>
      <c r="G50" s="371">
        <v>385297.92814256047</v>
      </c>
      <c r="H50" s="371">
        <v>255274.24635764034</v>
      </c>
      <c r="I50" s="759">
        <v>249492.02995238511</v>
      </c>
      <c r="J50" s="371">
        <v>375486.02775821509</v>
      </c>
      <c r="K50" s="371">
        <v>535390.30249528366</v>
      </c>
      <c r="L50" s="370">
        <v>597926.67182852363</v>
      </c>
      <c r="M50" s="371">
        <v>377295.10829472088</v>
      </c>
      <c r="N50" s="371">
        <v>319944.5954149249</v>
      </c>
      <c r="O50" s="371">
        <v>559463.96219362307</v>
      </c>
      <c r="P50" s="377">
        <v>239411.49161934044</v>
      </c>
      <c r="Q50" s="372">
        <f t="shared" si="2"/>
        <v>4809060.008142584</v>
      </c>
      <c r="R50" s="72"/>
      <c r="S50" s="558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</row>
    <row r="51" spans="1:33" ht="14.25" thickTop="1" thickBot="1">
      <c r="A51" s="69"/>
      <c r="B51" s="69"/>
      <c r="C51" s="69"/>
      <c r="D51" s="358" t="str">
        <f>IF(MasterSheet!$A$1=1,MasterSheet!C369,MasterSheet!B369)</f>
        <v>Izdaci</v>
      </c>
      <c r="E51" s="385">
        <f>+E53+E68+E74+E80+E81+E82</f>
        <v>106332954.82000001</v>
      </c>
      <c r="F51" s="385">
        <f>+F53+F68+F74+F80+F81+F82</f>
        <v>104016717.01000001</v>
      </c>
      <c r="G51" s="385">
        <f>+G53+G68+G74+G80+G81+G82</f>
        <v>104000568.60000001</v>
      </c>
      <c r="H51" s="385">
        <f>+H53+H68+H74+H80+H81+H82+H83</f>
        <v>104086368.58000001</v>
      </c>
      <c r="I51" s="385">
        <f t="shared" ref="I51:P51" si="7">+I53+I68+I74+I80+I81+I82</f>
        <v>103988868.56</v>
      </c>
      <c r="J51" s="385">
        <f t="shared" si="7"/>
        <v>103941697.13000001</v>
      </c>
      <c r="K51" s="385">
        <f t="shared" si="7"/>
        <v>104752168.85000001</v>
      </c>
      <c r="L51" s="385">
        <f t="shared" si="7"/>
        <v>104995704.38</v>
      </c>
      <c r="M51" s="385">
        <f t="shared" si="7"/>
        <v>105000904.38000001</v>
      </c>
      <c r="N51" s="385">
        <f t="shared" si="7"/>
        <v>104997904.41000001</v>
      </c>
      <c r="O51" s="385">
        <f t="shared" si="7"/>
        <v>104997284.16000001</v>
      </c>
      <c r="P51" s="432">
        <f t="shared" si="7"/>
        <v>106005395.71000001</v>
      </c>
      <c r="Q51" s="424">
        <f>+SUM(E51:P51)</f>
        <v>1257116536.5900002</v>
      </c>
      <c r="R51" s="565"/>
      <c r="S51" s="442"/>
      <c r="T51" s="532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</row>
    <row r="52" spans="1:33" ht="14.25" thickTop="1" thickBot="1">
      <c r="A52" s="69"/>
      <c r="B52" s="69"/>
      <c r="C52" s="69"/>
      <c r="D52" s="358" t="str">
        <f>IF(MasterSheet!$A$1=1,MasterSheet!C370,MasterSheet!B370)</f>
        <v>Tekuća budžetska potrošnja</v>
      </c>
      <c r="E52" s="385">
        <f t="shared" ref="E52:P52" si="8">+E51-E80</f>
        <v>100863038.15000001</v>
      </c>
      <c r="F52" s="385">
        <f t="shared" si="8"/>
        <v>98546800.340000004</v>
      </c>
      <c r="G52" s="385">
        <f t="shared" si="8"/>
        <v>98530651.930000007</v>
      </c>
      <c r="H52" s="385">
        <f t="shared" si="8"/>
        <v>98616451.910000011</v>
      </c>
      <c r="I52" s="385">
        <f t="shared" si="8"/>
        <v>98518951.890000001</v>
      </c>
      <c r="J52" s="385">
        <f t="shared" si="8"/>
        <v>98471780.460000008</v>
      </c>
      <c r="K52" s="385">
        <f t="shared" si="8"/>
        <v>99282252.180000007</v>
      </c>
      <c r="L52" s="385">
        <f t="shared" si="8"/>
        <v>99525787.709999993</v>
      </c>
      <c r="M52" s="385">
        <f t="shared" si="8"/>
        <v>99530987.710000008</v>
      </c>
      <c r="N52" s="385">
        <f t="shared" si="8"/>
        <v>99527987.74000001</v>
      </c>
      <c r="O52" s="385">
        <f t="shared" si="8"/>
        <v>99527367.49000001</v>
      </c>
      <c r="P52" s="432">
        <f t="shared" si="8"/>
        <v>100535479.04000001</v>
      </c>
      <c r="Q52" s="424">
        <f>+SUM(E52:P52)</f>
        <v>1191477536.5500002</v>
      </c>
      <c r="R52" s="69"/>
      <c r="S52" s="442"/>
      <c r="T52" s="532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</row>
    <row r="53" spans="1:33" ht="13.5" thickTop="1">
      <c r="A53" s="69"/>
      <c r="B53" s="69"/>
      <c r="C53" s="69"/>
      <c r="D53" s="303" t="str">
        <f>IF(MasterSheet!$A$1=1,MasterSheet!C371,MasterSheet!B371)</f>
        <v>Tekući izdaci</v>
      </c>
      <c r="E53" s="896">
        <f>+E54+E60+E61+E62+E63+E64+E65+E66+E67</f>
        <v>50532803.109999999</v>
      </c>
      <c r="F53" s="386">
        <f t="shared" ref="F53:P53" si="9">+F54+F60+F61+F62+F63+F64+F65+F66+F67</f>
        <v>48683231.259999998</v>
      </c>
      <c r="G53" s="386">
        <f t="shared" si="9"/>
        <v>48667082.850000001</v>
      </c>
      <c r="H53" s="386">
        <f t="shared" si="9"/>
        <v>48752882.830000006</v>
      </c>
      <c r="I53" s="896">
        <f t="shared" si="9"/>
        <v>48655382.809999995</v>
      </c>
      <c r="J53" s="386">
        <f t="shared" si="9"/>
        <v>48608211.380000003</v>
      </c>
      <c r="K53" s="386">
        <f t="shared" si="9"/>
        <v>49418683.100000001</v>
      </c>
      <c r="L53" s="386">
        <f t="shared" si="9"/>
        <v>49662218.629999995</v>
      </c>
      <c r="M53" s="386">
        <f t="shared" si="9"/>
        <v>49667418.630000003</v>
      </c>
      <c r="N53" s="386">
        <f t="shared" si="9"/>
        <v>49664418.660000004</v>
      </c>
      <c r="O53" s="386">
        <f t="shared" si="9"/>
        <v>49663798.410000004</v>
      </c>
      <c r="P53" s="386">
        <f t="shared" si="9"/>
        <v>50671909.960000001</v>
      </c>
      <c r="Q53" s="521">
        <f t="shared" si="2"/>
        <v>592648041.63000011</v>
      </c>
      <c r="R53" s="69"/>
      <c r="S53" s="442"/>
      <c r="T53" s="532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</row>
    <row r="54" spans="1:33">
      <c r="A54" s="69"/>
      <c r="B54" s="69"/>
      <c r="C54" s="69"/>
      <c r="D54" s="303" t="str">
        <f>IF(MasterSheet!$A$1=1,MasterSheet!C372,MasterSheet!B372)</f>
        <v>Bruto zarade i doprinosi na teret poslodavca</v>
      </c>
      <c r="E54" s="896">
        <f>SUM(E55:E59)</f>
        <v>31004294.239999998</v>
      </c>
      <c r="F54" s="386">
        <f t="shared" ref="F54:P54" si="10">SUM(F55:F59)</f>
        <v>31017141.049999997</v>
      </c>
      <c r="G54" s="386">
        <f t="shared" si="10"/>
        <v>31010717.639999997</v>
      </c>
      <c r="H54" s="386">
        <f t="shared" si="10"/>
        <v>31010717.639999997</v>
      </c>
      <c r="I54" s="896">
        <f t="shared" si="10"/>
        <v>31010717.639999997</v>
      </c>
      <c r="J54" s="386">
        <f t="shared" si="10"/>
        <v>31010717.639999997</v>
      </c>
      <c r="K54" s="386">
        <f t="shared" si="10"/>
        <v>31010717.639999997</v>
      </c>
      <c r="L54" s="386">
        <f t="shared" si="10"/>
        <v>31010717.639999997</v>
      </c>
      <c r="M54" s="386">
        <f t="shared" si="10"/>
        <v>31010717.639999997</v>
      </c>
      <c r="N54" s="386">
        <f t="shared" si="10"/>
        <v>31010717.639999997</v>
      </c>
      <c r="O54" s="386">
        <f t="shared" si="10"/>
        <v>31010717.639999997</v>
      </c>
      <c r="P54" s="386">
        <f t="shared" si="10"/>
        <v>31010717.639999997</v>
      </c>
      <c r="Q54" s="521">
        <f t="shared" si="2"/>
        <v>372128611.68999988</v>
      </c>
      <c r="R54" s="390"/>
      <c r="S54" s="442"/>
      <c r="T54" s="532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</row>
    <row r="55" spans="1:33">
      <c r="A55" s="69"/>
      <c r="B55" s="69"/>
      <c r="C55" s="69"/>
      <c r="D55" s="381" t="str">
        <f>IF(MasterSheet!$A$1=1,MasterSheet!C373,MasterSheet!B373)</f>
        <v>Neto zarade</v>
      </c>
      <c r="E55" s="754">
        <v>18454351.399999999</v>
      </c>
      <c r="F55" s="356">
        <v>18462075.399999999</v>
      </c>
      <c r="G55" s="355">
        <v>18458213.399999999</v>
      </c>
      <c r="H55" s="355">
        <v>18458213.399999999</v>
      </c>
      <c r="I55" s="762">
        <v>18458213.399999999</v>
      </c>
      <c r="J55" s="356">
        <v>18458213.399999999</v>
      </c>
      <c r="K55" s="355">
        <v>18458213.399999999</v>
      </c>
      <c r="L55" s="356">
        <v>18458213.399999999</v>
      </c>
      <c r="M55" s="356">
        <v>18458213.399999999</v>
      </c>
      <c r="N55" s="356">
        <v>18458213.399999999</v>
      </c>
      <c r="O55" s="356">
        <v>18458213.399999999</v>
      </c>
      <c r="P55" s="376">
        <v>18458213.399999999</v>
      </c>
      <c r="Q55" s="393">
        <f t="shared" si="2"/>
        <v>221498560.80000004</v>
      </c>
      <c r="R55" s="390"/>
      <c r="S55" s="733"/>
      <c r="T55" s="532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</row>
    <row r="56" spans="1:33">
      <c r="A56" s="69"/>
      <c r="B56" s="69"/>
      <c r="C56" s="69"/>
      <c r="D56" s="381" t="str">
        <f>IF(MasterSheet!$A$1=1,MasterSheet!C374,MasterSheet!B374)</f>
        <v>Porez na zarade</v>
      </c>
      <c r="E56" s="754">
        <v>2493270.63</v>
      </c>
      <c r="F56" s="355">
        <v>2494305.87</v>
      </c>
      <c r="G56" s="355">
        <v>2493788.25</v>
      </c>
      <c r="H56" s="355">
        <v>2493788.25</v>
      </c>
      <c r="I56" s="762">
        <v>2493788.25</v>
      </c>
      <c r="J56" s="356">
        <v>2493788.25</v>
      </c>
      <c r="K56" s="355">
        <v>2493788.25</v>
      </c>
      <c r="L56" s="356">
        <v>2493788.25</v>
      </c>
      <c r="M56" s="356">
        <v>2493788.25</v>
      </c>
      <c r="N56" s="356">
        <v>2493788.25</v>
      </c>
      <c r="O56" s="356">
        <v>2493788.25</v>
      </c>
      <c r="P56" s="376">
        <v>2493788.25</v>
      </c>
      <c r="Q56" s="393">
        <f t="shared" si="2"/>
        <v>29925459</v>
      </c>
      <c r="R56" s="390"/>
      <c r="S56" s="442"/>
      <c r="T56" s="532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</row>
    <row r="57" spans="1:33">
      <c r="A57" s="69"/>
      <c r="B57" s="69"/>
      <c r="C57" s="69"/>
      <c r="D57" s="381" t="str">
        <f>IF(MasterSheet!$A$1=1,MasterSheet!C375,MasterSheet!B375)</f>
        <v>Doprinosi na teret zaposlenog</v>
      </c>
      <c r="E57" s="754">
        <v>6331968.1500000004</v>
      </c>
      <c r="F57" s="355">
        <v>6334730.6100000003</v>
      </c>
      <c r="G57" s="355">
        <v>6333349.3799999999</v>
      </c>
      <c r="H57" s="355">
        <v>6333349.3799999999</v>
      </c>
      <c r="I57" s="762">
        <v>6333349.3799999999</v>
      </c>
      <c r="J57" s="356">
        <v>6333349.3799999999</v>
      </c>
      <c r="K57" s="355">
        <v>6333349.3799999999</v>
      </c>
      <c r="L57" s="356">
        <v>6333349.3799999999</v>
      </c>
      <c r="M57" s="356">
        <v>6333349.3799999999</v>
      </c>
      <c r="N57" s="356">
        <v>6333349.3799999999</v>
      </c>
      <c r="O57" s="356">
        <v>6333349.3799999999</v>
      </c>
      <c r="P57" s="376">
        <v>6333349.3799999999</v>
      </c>
      <c r="Q57" s="393">
        <f t="shared" si="2"/>
        <v>76000192.560000002</v>
      </c>
      <c r="R57" s="390"/>
      <c r="S57" s="442"/>
      <c r="T57" s="532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</row>
    <row r="58" spans="1:33">
      <c r="A58" s="69"/>
      <c r="B58" s="69"/>
      <c r="C58" s="69"/>
      <c r="D58" s="381" t="str">
        <f>IF(MasterSheet!$A$1=1,MasterSheet!C376,MasterSheet!B376)</f>
        <v>Doprinosi na teret poslodavca</v>
      </c>
      <c r="E58" s="754">
        <v>3365889.54</v>
      </c>
      <c r="F58" s="355">
        <v>3367059.0900000003</v>
      </c>
      <c r="G58" s="355">
        <v>3366474.31</v>
      </c>
      <c r="H58" s="355">
        <v>3366474.31</v>
      </c>
      <c r="I58" s="762">
        <v>3366474.31</v>
      </c>
      <c r="J58" s="356">
        <v>3366474.31</v>
      </c>
      <c r="K58" s="355">
        <v>3366474.31</v>
      </c>
      <c r="L58" s="356">
        <v>3366474.31</v>
      </c>
      <c r="M58" s="356">
        <v>3366474.31</v>
      </c>
      <c r="N58" s="356">
        <v>3366474.31</v>
      </c>
      <c r="O58" s="356">
        <v>3366474.31</v>
      </c>
      <c r="P58" s="376">
        <v>3366474.31</v>
      </c>
      <c r="Q58" s="393">
        <f t="shared" si="2"/>
        <v>40397691.730000004</v>
      </c>
      <c r="R58" s="390"/>
      <c r="S58" s="442"/>
      <c r="T58" s="532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</row>
    <row r="59" spans="1:33">
      <c r="A59" s="69"/>
      <c r="B59" s="69"/>
      <c r="C59" s="69"/>
      <c r="D59" s="381" t="str">
        <f>IF(MasterSheet!$A$1=1,MasterSheet!C377,MasterSheet!B377)</f>
        <v>Prirez na porez na dohodak</v>
      </c>
      <c r="E59" s="754">
        <v>358814.51999999996</v>
      </c>
      <c r="F59" s="355">
        <v>358970.07999999996</v>
      </c>
      <c r="G59" s="355">
        <v>358892.3</v>
      </c>
      <c r="H59" s="355">
        <v>358892.3</v>
      </c>
      <c r="I59" s="762">
        <v>358892.3</v>
      </c>
      <c r="J59" s="356">
        <v>358892.3</v>
      </c>
      <c r="K59" s="355">
        <v>358892.3</v>
      </c>
      <c r="L59" s="356">
        <v>358892.3</v>
      </c>
      <c r="M59" s="356">
        <v>358892.3</v>
      </c>
      <c r="N59" s="356">
        <v>358892.3</v>
      </c>
      <c r="O59" s="356">
        <v>358892.3</v>
      </c>
      <c r="P59" s="376">
        <v>358892.3</v>
      </c>
      <c r="Q59" s="393">
        <f t="shared" si="2"/>
        <v>4306707.5999999987</v>
      </c>
      <c r="R59" s="390"/>
      <c r="S59" s="442"/>
      <c r="T59" s="532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</row>
    <row r="60" spans="1:33">
      <c r="A60" s="69"/>
      <c r="B60" s="69"/>
      <c r="C60" s="69"/>
      <c r="D60" s="303" t="str">
        <f>IF(MasterSheet!$A$1=1,MasterSheet!C378,MasterSheet!B378)</f>
        <v>Ostala lična primanja</v>
      </c>
      <c r="E60" s="896">
        <v>872858.53</v>
      </c>
      <c r="F60" s="389">
        <v>872858.53</v>
      </c>
      <c r="G60" s="389">
        <v>872858.53</v>
      </c>
      <c r="H60" s="390">
        <v>872858.53</v>
      </c>
      <c r="I60" s="897">
        <v>872858.53</v>
      </c>
      <c r="J60" s="390">
        <v>872858.53</v>
      </c>
      <c r="K60" s="390">
        <v>872858.53</v>
      </c>
      <c r="L60" s="390">
        <v>872858.53</v>
      </c>
      <c r="M60" s="390">
        <v>875858.53</v>
      </c>
      <c r="N60" s="389">
        <v>872858.53</v>
      </c>
      <c r="O60" s="388">
        <v>872858.53</v>
      </c>
      <c r="P60" s="387">
        <v>872858.53</v>
      </c>
      <c r="Q60" s="393">
        <f t="shared" si="2"/>
        <v>10477302.359999999</v>
      </c>
      <c r="R60" s="69"/>
      <c r="S60" s="442"/>
      <c r="T60" s="532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</row>
    <row r="61" spans="1:33">
      <c r="A61" s="69"/>
      <c r="B61" s="69"/>
      <c r="C61" s="69"/>
      <c r="D61" s="303" t="str">
        <f>IF(MasterSheet!$A$1=1,MasterSheet!C379,MasterSheet!B379)</f>
        <v>Rashodi za materijal i usluge</v>
      </c>
      <c r="E61" s="896">
        <v>8081859.9900000002</v>
      </c>
      <c r="F61" s="389">
        <v>6239778</v>
      </c>
      <c r="G61" s="389">
        <v>6230053</v>
      </c>
      <c r="H61" s="390">
        <v>6227853</v>
      </c>
      <c r="I61" s="897">
        <v>6165352.9900000002</v>
      </c>
      <c r="J61" s="390">
        <v>6171348.29</v>
      </c>
      <c r="K61" s="390">
        <v>6770742.0499999998</v>
      </c>
      <c r="L61" s="390">
        <v>7016277.6799999997</v>
      </c>
      <c r="M61" s="390">
        <v>7018477.7200000007</v>
      </c>
      <c r="N61" s="389">
        <v>7018477.7400000002</v>
      </c>
      <c r="O61" s="388">
        <v>7018024.1600000001</v>
      </c>
      <c r="P61" s="387">
        <v>8025802.4399999995</v>
      </c>
      <c r="Q61" s="393">
        <f t="shared" si="2"/>
        <v>81984047.060000002</v>
      </c>
      <c r="R61" s="69"/>
      <c r="S61" s="442"/>
      <c r="T61" s="532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</row>
    <row r="62" spans="1:33">
      <c r="A62" s="69"/>
      <c r="B62" s="69"/>
      <c r="C62" s="69"/>
      <c r="D62" s="303" t="str">
        <f>IF(MasterSheet!$A$1=1,MasterSheet!C380,MasterSheet!B380)</f>
        <v>Tekuće održavanje</v>
      </c>
      <c r="E62" s="896">
        <v>1705295.83</v>
      </c>
      <c r="F62" s="389">
        <v>1705125.83</v>
      </c>
      <c r="G62" s="389">
        <v>1705125.83</v>
      </c>
      <c r="H62" s="390">
        <v>1710125.83</v>
      </c>
      <c r="I62" s="897">
        <v>1705125.83</v>
      </c>
      <c r="J62" s="390">
        <v>1705125.83</v>
      </c>
      <c r="K62" s="390">
        <v>1705125.83</v>
      </c>
      <c r="L62" s="390">
        <v>1705125.83</v>
      </c>
      <c r="M62" s="390">
        <v>1705125.83</v>
      </c>
      <c r="N62" s="389">
        <v>1705125.83</v>
      </c>
      <c r="O62" s="388">
        <v>1705125.83</v>
      </c>
      <c r="P62" s="387">
        <v>1705125.83</v>
      </c>
      <c r="Q62" s="393">
        <f t="shared" si="2"/>
        <v>20466679.960000001</v>
      </c>
      <c r="R62" s="69"/>
      <c r="S62" s="442"/>
      <c r="T62" s="532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</row>
    <row r="63" spans="1:33">
      <c r="A63" s="69"/>
      <c r="B63" s="69"/>
      <c r="C63" s="69"/>
      <c r="D63" s="303" t="str">
        <f>IF(MasterSheet!$A$1=1,MasterSheet!C381,MasterSheet!B381)</f>
        <v>Kamate</v>
      </c>
      <c r="E63" s="896">
        <v>5866967.2800000003</v>
      </c>
      <c r="F63" s="389">
        <v>5866967.2800000003</v>
      </c>
      <c r="G63" s="389">
        <v>5866967.2800000003</v>
      </c>
      <c r="H63" s="390">
        <v>5866967.2800000003</v>
      </c>
      <c r="I63" s="897">
        <v>5866967.2800000003</v>
      </c>
      <c r="J63" s="390">
        <v>5866967.2800000003</v>
      </c>
      <c r="K63" s="390">
        <v>5866967.2800000003</v>
      </c>
      <c r="L63" s="390">
        <v>5866967.2800000003</v>
      </c>
      <c r="M63" s="390">
        <v>5866967.2800000003</v>
      </c>
      <c r="N63" s="389">
        <v>5866967.2800000003</v>
      </c>
      <c r="O63" s="388">
        <v>5866967.2800000003</v>
      </c>
      <c r="P63" s="387">
        <v>5866967.2800000003</v>
      </c>
      <c r="Q63" s="393">
        <f t="shared" si="2"/>
        <v>70403607.359999999</v>
      </c>
      <c r="R63" s="69"/>
      <c r="S63" s="442"/>
      <c r="T63" s="532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</row>
    <row r="64" spans="1:33">
      <c r="A64" s="69"/>
      <c r="B64" s="69"/>
      <c r="C64" s="69"/>
      <c r="D64" s="303" t="str">
        <f>IF(MasterSheet!$A$1=1,MasterSheet!C382,MasterSheet!B382)</f>
        <v>Renta</v>
      </c>
      <c r="E64" s="896">
        <v>651894.94999999995</v>
      </c>
      <c r="F64" s="389">
        <v>651894.94999999995</v>
      </c>
      <c r="G64" s="389">
        <v>651894.94999999995</v>
      </c>
      <c r="H64" s="390">
        <v>654894.94999999995</v>
      </c>
      <c r="I64" s="897">
        <v>651894.94999999995</v>
      </c>
      <c r="J64" s="390">
        <v>651894.94999999995</v>
      </c>
      <c r="K64" s="390">
        <v>661894.94999999995</v>
      </c>
      <c r="L64" s="390">
        <v>659894.94999999995</v>
      </c>
      <c r="M64" s="390">
        <v>659894.94999999995</v>
      </c>
      <c r="N64" s="389">
        <v>659894.94999999995</v>
      </c>
      <c r="O64" s="388">
        <v>659894.94999999995</v>
      </c>
      <c r="P64" s="387">
        <v>659894.94999999995</v>
      </c>
      <c r="Q64" s="393">
        <f t="shared" si="2"/>
        <v>7875739.4000000013</v>
      </c>
      <c r="R64" s="69"/>
      <c r="S64" s="442"/>
      <c r="T64" s="532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</row>
    <row r="65" spans="1:33">
      <c r="A65" s="69"/>
      <c r="B65" s="69"/>
      <c r="C65" s="69"/>
      <c r="D65" s="303" t="str">
        <f>IF(MasterSheet!$A$1=1,MasterSheet!C383,MasterSheet!B383)</f>
        <v>Subvencije</v>
      </c>
      <c r="E65" s="896">
        <v>1210000.01</v>
      </c>
      <c r="F65" s="389">
        <v>1210000.01</v>
      </c>
      <c r="G65" s="389">
        <v>1210000.01</v>
      </c>
      <c r="H65" s="390">
        <v>1210000.01</v>
      </c>
      <c r="I65" s="897">
        <v>1210000.01</v>
      </c>
      <c r="J65" s="390">
        <v>1209999.99</v>
      </c>
      <c r="K65" s="390">
        <v>1161666.69</v>
      </c>
      <c r="L65" s="390">
        <v>1161666.67</v>
      </c>
      <c r="M65" s="390">
        <v>1161666.67</v>
      </c>
      <c r="N65" s="389">
        <v>1161666.67</v>
      </c>
      <c r="O65" s="388">
        <v>1161666.67</v>
      </c>
      <c r="P65" s="387">
        <v>1161666.67</v>
      </c>
      <c r="Q65" s="393">
        <f t="shared" si="2"/>
        <v>14230000.08</v>
      </c>
      <c r="R65" s="69"/>
      <c r="S65" s="442"/>
      <c r="T65" s="532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</row>
    <row r="66" spans="1:33">
      <c r="A66" s="69"/>
      <c r="B66" s="69"/>
      <c r="C66" s="69"/>
      <c r="D66" s="303" t="str">
        <f>IF(MasterSheet!$A$1=1,MasterSheet!C384,MasterSheet!B384)</f>
        <v>Ostali izdaci</v>
      </c>
      <c r="E66" s="896">
        <v>480158.8200000003</v>
      </c>
      <c r="F66" s="389">
        <v>480158.82000000018</v>
      </c>
      <c r="G66" s="499">
        <v>480158.82000000018</v>
      </c>
      <c r="H66" s="390">
        <v>480158.82000000018</v>
      </c>
      <c r="I66" s="897">
        <v>480158.82000000018</v>
      </c>
      <c r="J66" s="390">
        <v>480158.82000000012</v>
      </c>
      <c r="K66" s="390">
        <v>480158.82000000012</v>
      </c>
      <c r="L66" s="390">
        <v>480158.81999999989</v>
      </c>
      <c r="M66" s="390">
        <v>480158.81999999989</v>
      </c>
      <c r="N66" s="389">
        <v>480158.81999999989</v>
      </c>
      <c r="O66" s="388">
        <v>480158.81999999989</v>
      </c>
      <c r="P66" s="387">
        <v>480158.81999999989</v>
      </c>
      <c r="Q66" s="393">
        <f t="shared" si="2"/>
        <v>5761905.8400000026</v>
      </c>
      <c r="R66" s="69"/>
      <c r="S66" s="442"/>
      <c r="T66" s="532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</row>
    <row r="67" spans="1:33">
      <c r="A67" s="69"/>
      <c r="B67" s="69"/>
      <c r="C67" s="69"/>
      <c r="D67" s="303" t="s">
        <v>130</v>
      </c>
      <c r="E67" s="896">
        <v>659473.45999999985</v>
      </c>
      <c r="F67" s="389">
        <v>639306.78999999992</v>
      </c>
      <c r="G67" s="388">
        <v>639306.78999999992</v>
      </c>
      <c r="H67" s="390">
        <v>719306.7699999999</v>
      </c>
      <c r="I67" s="897">
        <v>692306.76</v>
      </c>
      <c r="J67" s="390">
        <v>639140.04999999993</v>
      </c>
      <c r="K67" s="390">
        <v>888551.30999999994</v>
      </c>
      <c r="L67" s="390">
        <v>888551.23</v>
      </c>
      <c r="M67" s="390">
        <v>888551.19000000006</v>
      </c>
      <c r="N67" s="389">
        <v>888551.20000000007</v>
      </c>
      <c r="O67" s="388">
        <v>888384.52999999991</v>
      </c>
      <c r="P67" s="387">
        <v>888717.79999999993</v>
      </c>
      <c r="Q67" s="393">
        <f t="shared" si="2"/>
        <v>9320147.879999999</v>
      </c>
      <c r="R67" s="69"/>
      <c r="S67" s="442"/>
      <c r="T67" s="532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</row>
    <row r="68" spans="1:33">
      <c r="A68" s="69"/>
      <c r="B68" s="69"/>
      <c r="C68" s="69"/>
      <c r="D68" s="303" t="str">
        <f>IF(MasterSheet!$A$1=1,MasterSheet!C386,MasterSheet!B386)</f>
        <v>Transferi za socijalnu zaštitu</v>
      </c>
      <c r="E68" s="896">
        <f>+SUM(E69:E73)</f>
        <v>41489393.919999994</v>
      </c>
      <c r="F68" s="389">
        <f t="shared" ref="F68" si="11">+SUM(F69:F73)</f>
        <v>41489393.919999994</v>
      </c>
      <c r="G68" s="388">
        <f t="shared" ref="G68" si="12">+SUM(G69:G73)</f>
        <v>41489393.919999994</v>
      </c>
      <c r="H68" s="390">
        <f t="shared" ref="H68:P68" si="13">+SUM(H69:H73)</f>
        <v>41489393.919999994</v>
      </c>
      <c r="I68" s="897">
        <f t="shared" si="13"/>
        <v>41489393.919999994</v>
      </c>
      <c r="J68" s="390">
        <f t="shared" si="13"/>
        <v>41489393.919999994</v>
      </c>
      <c r="K68" s="390">
        <f t="shared" si="13"/>
        <v>41489393.919999994</v>
      </c>
      <c r="L68" s="390">
        <f t="shared" si="13"/>
        <v>41489393.919999994</v>
      </c>
      <c r="M68" s="390">
        <f t="shared" si="13"/>
        <v>41489393.919999994</v>
      </c>
      <c r="N68" s="389">
        <f t="shared" si="13"/>
        <v>41489393.919999994</v>
      </c>
      <c r="O68" s="388">
        <f t="shared" si="13"/>
        <v>41489393.919999994</v>
      </c>
      <c r="P68" s="387">
        <f t="shared" si="13"/>
        <v>41489393.919999994</v>
      </c>
      <c r="Q68" s="521">
        <f t="shared" si="2"/>
        <v>497872727.04000002</v>
      </c>
      <c r="R68" s="69"/>
      <c r="S68" s="442"/>
      <c r="T68" s="532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</row>
    <row r="69" spans="1:33">
      <c r="A69" s="69"/>
      <c r="B69" s="69"/>
      <c r="C69" s="69"/>
      <c r="D69" s="381" t="str">
        <f>IF(MasterSheet!$A$1=1,MasterSheet!C387,MasterSheet!B387)</f>
        <v>Prava iz oblasti socijalne zaštite</v>
      </c>
      <c r="E69" s="754">
        <v>5084083.33</v>
      </c>
      <c r="F69" s="355">
        <v>5084083.33</v>
      </c>
      <c r="G69" s="355">
        <v>5084083.33</v>
      </c>
      <c r="H69" s="355">
        <v>5084083.33</v>
      </c>
      <c r="I69" s="762">
        <v>5084083.33</v>
      </c>
      <c r="J69" s="356">
        <v>5084083.33</v>
      </c>
      <c r="K69" s="355">
        <v>5084083.33</v>
      </c>
      <c r="L69" s="356">
        <v>5084083.33</v>
      </c>
      <c r="M69" s="356">
        <v>5084083.33</v>
      </c>
      <c r="N69" s="356">
        <v>5084083.33</v>
      </c>
      <c r="O69" s="356">
        <v>5084083.33</v>
      </c>
      <c r="P69" s="376">
        <v>5084083.33</v>
      </c>
      <c r="Q69" s="393">
        <f t="shared" si="2"/>
        <v>61008999.959999986</v>
      </c>
      <c r="R69" s="69"/>
      <c r="S69" s="442"/>
      <c r="T69" s="532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</row>
    <row r="70" spans="1:33">
      <c r="A70" s="69"/>
      <c r="B70" s="69"/>
      <c r="C70" s="69"/>
      <c r="D70" s="381" t="str">
        <f>IF(MasterSheet!$A$1=1,MasterSheet!C388,MasterSheet!B388)</f>
        <v>Sredstva za tehnološke viškove</v>
      </c>
      <c r="E70" s="754">
        <v>1280004.17</v>
      </c>
      <c r="F70" s="356">
        <v>1280004.17</v>
      </c>
      <c r="G70" s="355">
        <v>1280004.17</v>
      </c>
      <c r="H70" s="355">
        <v>1280004.17</v>
      </c>
      <c r="I70" s="762">
        <v>1280004.17</v>
      </c>
      <c r="J70" s="356">
        <v>1280004.17</v>
      </c>
      <c r="K70" s="355">
        <v>1280004.17</v>
      </c>
      <c r="L70" s="356">
        <v>1280004.17</v>
      </c>
      <c r="M70" s="356">
        <v>1280004.17</v>
      </c>
      <c r="N70" s="356">
        <v>1280004.17</v>
      </c>
      <c r="O70" s="356">
        <v>1280004.17</v>
      </c>
      <c r="P70" s="376">
        <v>1280004.17</v>
      </c>
      <c r="Q70" s="393">
        <f t="shared" si="2"/>
        <v>15360050.039999999</v>
      </c>
      <c r="R70" s="69"/>
      <c r="S70" s="442"/>
      <c r="T70" s="532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</row>
    <row r="71" spans="1:33">
      <c r="A71" s="69"/>
      <c r="B71" s="69"/>
      <c r="C71" s="69"/>
      <c r="D71" s="381" t="str">
        <f>IF(MasterSheet!$A$1=1,MasterSheet!C389,MasterSheet!B389)</f>
        <v>Prava iz oblasti penzijskog i invalidskog osiguranja</v>
      </c>
      <c r="E71" s="754">
        <v>33408639.759999998</v>
      </c>
      <c r="F71" s="355">
        <v>33408639.759999998</v>
      </c>
      <c r="G71" s="355">
        <v>33408639.759999998</v>
      </c>
      <c r="H71" s="355">
        <v>33408639.759999998</v>
      </c>
      <c r="I71" s="762">
        <v>33408639.759999998</v>
      </c>
      <c r="J71" s="356">
        <v>33408639.759999998</v>
      </c>
      <c r="K71" s="355">
        <v>33408639.759999998</v>
      </c>
      <c r="L71" s="356">
        <v>33408639.759999998</v>
      </c>
      <c r="M71" s="356">
        <v>33408639.759999998</v>
      </c>
      <c r="N71" s="356">
        <v>33408639.759999998</v>
      </c>
      <c r="O71" s="356">
        <v>33408639.759999998</v>
      </c>
      <c r="P71" s="376">
        <v>33408639.759999998</v>
      </c>
      <c r="Q71" s="393">
        <f t="shared" si="2"/>
        <v>400903677.11999995</v>
      </c>
      <c r="R71" s="69"/>
      <c r="S71" s="442"/>
      <c r="T71" s="532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</row>
    <row r="72" spans="1:33">
      <c r="A72" s="69"/>
      <c r="B72" s="69"/>
      <c r="C72" s="69"/>
      <c r="D72" s="381" t="str">
        <f>IF(MasterSheet!$A$1=1,MasterSheet!C390,MasterSheet!B390)</f>
        <v>Ostala prava iz oblasti zdravstvene zaštite</v>
      </c>
      <c r="E72" s="754">
        <v>1133333.33</v>
      </c>
      <c r="F72" s="355">
        <v>1133333.33</v>
      </c>
      <c r="G72" s="355">
        <v>1133333.33</v>
      </c>
      <c r="H72" s="355">
        <v>1133333.33</v>
      </c>
      <c r="I72" s="762">
        <v>1133333.33</v>
      </c>
      <c r="J72" s="356">
        <v>1133333.33</v>
      </c>
      <c r="K72" s="355">
        <v>1133333.33</v>
      </c>
      <c r="L72" s="356">
        <v>1133333.33</v>
      </c>
      <c r="M72" s="356">
        <v>1133333.33</v>
      </c>
      <c r="N72" s="356">
        <v>1133333.33</v>
      </c>
      <c r="O72" s="356">
        <v>1133333.33</v>
      </c>
      <c r="P72" s="376">
        <v>1133333.33</v>
      </c>
      <c r="Q72" s="393">
        <f t="shared" si="2"/>
        <v>13599999.960000001</v>
      </c>
      <c r="R72" s="69"/>
      <c r="S72" s="442"/>
      <c r="T72" s="532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</row>
    <row r="73" spans="1:33">
      <c r="A73" s="69"/>
      <c r="B73" s="69"/>
      <c r="C73" s="69"/>
      <c r="D73" s="381" t="str">
        <f>IF(MasterSheet!$A$1=1,MasterSheet!C391,MasterSheet!B391)</f>
        <v>Ostala prava iz oblasti zdravstvenog osiguranja</v>
      </c>
      <c r="E73" s="754">
        <v>583333.33000000007</v>
      </c>
      <c r="F73" s="356">
        <v>583333.33000000007</v>
      </c>
      <c r="G73" s="355">
        <v>583333.33000000007</v>
      </c>
      <c r="H73" s="355">
        <v>583333.33000000007</v>
      </c>
      <c r="I73" s="762">
        <v>583333.33000000007</v>
      </c>
      <c r="J73" s="356">
        <v>583333.33000000007</v>
      </c>
      <c r="K73" s="355">
        <v>583333.33000000007</v>
      </c>
      <c r="L73" s="356">
        <v>583333.33000000007</v>
      </c>
      <c r="M73" s="356">
        <v>583333.33000000007</v>
      </c>
      <c r="N73" s="356">
        <v>583333.33000000007</v>
      </c>
      <c r="O73" s="356">
        <v>583333.33000000007</v>
      </c>
      <c r="P73" s="376">
        <v>583333.33000000007</v>
      </c>
      <c r="Q73" s="393">
        <f t="shared" si="2"/>
        <v>6999999.9600000009</v>
      </c>
      <c r="R73" s="69"/>
      <c r="S73" s="442"/>
      <c r="T73" s="532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</row>
    <row r="74" spans="1:33" ht="25.5">
      <c r="A74" s="69"/>
      <c r="B74" s="69"/>
      <c r="C74" s="69"/>
      <c r="D74" s="383" t="str">
        <f>IF(MasterSheet!$A$1=1,MasterSheet!C392,MasterSheet!B392)</f>
        <v>Transferi institucijama pojedinicima nevladinom i javnom sektoru</v>
      </c>
      <c r="E74" s="896">
        <f>+SUM(E75:E79)</f>
        <v>8084501.9900000002</v>
      </c>
      <c r="F74" s="389">
        <f t="shared" ref="F74" si="14">+SUM(F75:F79)</f>
        <v>7617836.0300000003</v>
      </c>
      <c r="G74" s="388">
        <f t="shared" ref="G74" si="15">+SUM(G75:G79)</f>
        <v>7617836.0300000003</v>
      </c>
      <c r="H74" s="390">
        <f t="shared" ref="H74:P74" si="16">+SUM(H75:H79)</f>
        <v>7617836.0300000003</v>
      </c>
      <c r="I74" s="897">
        <f t="shared" si="16"/>
        <v>7617836.0300000003</v>
      </c>
      <c r="J74" s="390">
        <f t="shared" si="16"/>
        <v>7617836.0300000003</v>
      </c>
      <c r="K74" s="390">
        <f t="shared" si="16"/>
        <v>7617836.0300000003</v>
      </c>
      <c r="L74" s="390">
        <f t="shared" si="16"/>
        <v>7617836.0300000003</v>
      </c>
      <c r="M74" s="390">
        <f t="shared" si="16"/>
        <v>7617836.0300000003</v>
      </c>
      <c r="N74" s="389">
        <f t="shared" si="16"/>
        <v>7617836.0300000003</v>
      </c>
      <c r="O74" s="388">
        <f t="shared" si="16"/>
        <v>7617836.0300000003</v>
      </c>
      <c r="P74" s="387">
        <f t="shared" si="16"/>
        <v>7617836.0300000003</v>
      </c>
      <c r="Q74" s="521">
        <f t="shared" si="2"/>
        <v>91880698.320000008</v>
      </c>
      <c r="R74" s="380"/>
      <c r="S74" s="442"/>
      <c r="T74" s="532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</row>
    <row r="75" spans="1:33">
      <c r="A75" s="69"/>
      <c r="B75" s="69"/>
      <c r="C75" s="69"/>
      <c r="D75" s="381" t="str">
        <f>IF(MasterSheet!$A$1=1,MasterSheet!C393,MasterSheet!B393)</f>
        <v>Transferi javnim institucijama</v>
      </c>
      <c r="E75" s="754">
        <v>6317483.1400000006</v>
      </c>
      <c r="F75" s="356">
        <v>5850817.1800000006</v>
      </c>
      <c r="G75" s="355">
        <v>5850817.1800000006</v>
      </c>
      <c r="H75" s="355">
        <v>5850817.1800000006</v>
      </c>
      <c r="I75" s="762">
        <v>5850817.1800000006</v>
      </c>
      <c r="J75" s="356">
        <v>5850817.1800000006</v>
      </c>
      <c r="K75" s="355">
        <v>5850817.1800000006</v>
      </c>
      <c r="L75" s="356">
        <v>5850817.1800000006</v>
      </c>
      <c r="M75" s="356">
        <v>5850817.1800000006</v>
      </c>
      <c r="N75" s="356">
        <v>5850817.1800000006</v>
      </c>
      <c r="O75" s="356">
        <v>5850817.1800000006</v>
      </c>
      <c r="P75" s="376">
        <v>5850817.1800000006</v>
      </c>
      <c r="Q75" s="393">
        <f t="shared" si="2"/>
        <v>70676472.120000005</v>
      </c>
      <c r="R75" s="69"/>
      <c r="S75" s="442"/>
      <c r="T75" s="532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</row>
    <row r="76" spans="1:33">
      <c r="A76" s="69"/>
      <c r="B76" s="69"/>
      <c r="C76" s="69"/>
      <c r="D76" s="381" t="str">
        <f>IF(MasterSheet!$A$1=1,MasterSheet!C394,MasterSheet!B394)</f>
        <v>Transferi nevladinim organizacijama</v>
      </c>
      <c r="E76" s="754">
        <v>211218.85</v>
      </c>
      <c r="F76" s="355">
        <v>211218.85</v>
      </c>
      <c r="G76" s="355">
        <v>211218.85</v>
      </c>
      <c r="H76" s="355">
        <v>211218.85</v>
      </c>
      <c r="I76" s="762">
        <v>211218.85</v>
      </c>
      <c r="J76" s="356">
        <v>211218.85</v>
      </c>
      <c r="K76" s="355">
        <v>211218.85</v>
      </c>
      <c r="L76" s="356">
        <v>211218.85</v>
      </c>
      <c r="M76" s="356">
        <v>211218.85</v>
      </c>
      <c r="N76" s="356">
        <v>211218.85</v>
      </c>
      <c r="O76" s="356">
        <v>211218.85</v>
      </c>
      <c r="P76" s="376">
        <v>211218.85</v>
      </c>
      <c r="Q76" s="393">
        <f t="shared" si="2"/>
        <v>2534626.2000000007</v>
      </c>
      <c r="R76" s="69"/>
      <c r="S76" s="442"/>
      <c r="T76" s="532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</row>
    <row r="77" spans="1:33">
      <c r="A77" s="69"/>
      <c r="B77" s="69"/>
      <c r="C77" s="69"/>
      <c r="D77" s="381" t="str">
        <f>IF(MasterSheet!$A$1=1,MasterSheet!C395,MasterSheet!B395)</f>
        <v>Transferi pojedincima</v>
      </c>
      <c r="E77" s="754">
        <v>1534966.67</v>
      </c>
      <c r="F77" s="355">
        <v>1534966.67</v>
      </c>
      <c r="G77" s="355">
        <v>1534966.67</v>
      </c>
      <c r="H77" s="355">
        <v>1534966.67</v>
      </c>
      <c r="I77" s="762">
        <v>1534966.67</v>
      </c>
      <c r="J77" s="356">
        <v>1534966.67</v>
      </c>
      <c r="K77" s="355">
        <v>1534966.67</v>
      </c>
      <c r="L77" s="356">
        <v>1534966.67</v>
      </c>
      <c r="M77" s="356">
        <v>1534966.67</v>
      </c>
      <c r="N77" s="356">
        <v>1534966.67</v>
      </c>
      <c r="O77" s="356">
        <v>1534966.67</v>
      </c>
      <c r="P77" s="376">
        <v>1534966.67</v>
      </c>
      <c r="Q77" s="393">
        <f t="shared" si="2"/>
        <v>18419600.039999999</v>
      </c>
      <c r="R77" s="69"/>
      <c r="S77" s="442"/>
      <c r="T77" s="532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</row>
    <row r="78" spans="1:33">
      <c r="A78" s="69"/>
      <c r="B78" s="69"/>
      <c r="C78" s="69"/>
      <c r="D78" s="381" t="str">
        <f>IF(MasterSheet!$A$1=1,MasterSheet!C396,MasterSheet!B396)</f>
        <v>Transferi opštinama</v>
      </c>
      <c r="E78" s="754">
        <v>20833.330000000002</v>
      </c>
      <c r="F78" s="355">
        <v>20833.330000000002</v>
      </c>
      <c r="G78" s="355">
        <v>20833.330000000002</v>
      </c>
      <c r="H78" s="355">
        <v>20833.330000000002</v>
      </c>
      <c r="I78" s="762">
        <v>20833.330000000002</v>
      </c>
      <c r="J78" s="356">
        <v>20833.330000000002</v>
      </c>
      <c r="K78" s="355">
        <v>20833.330000000002</v>
      </c>
      <c r="L78" s="356">
        <v>20833.330000000002</v>
      </c>
      <c r="M78" s="356">
        <v>20833.330000000002</v>
      </c>
      <c r="N78" s="356">
        <v>20833.330000000002</v>
      </c>
      <c r="O78" s="356">
        <v>20833.330000000002</v>
      </c>
      <c r="P78" s="376">
        <v>20833.330000000002</v>
      </c>
      <c r="Q78" s="393">
        <f t="shared" si="2"/>
        <v>249999.96000000008</v>
      </c>
      <c r="R78" s="69"/>
      <c r="S78" s="442"/>
      <c r="T78" s="532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</row>
    <row r="79" spans="1:33" ht="13.5" thickBot="1">
      <c r="A79" s="69"/>
      <c r="B79" s="69"/>
      <c r="C79" s="69"/>
      <c r="D79" s="382" t="str">
        <f>IF(MasterSheet!$A$1=1,MasterSheet!C397,MasterSheet!B397)</f>
        <v>Transferi javnim preduzećima</v>
      </c>
      <c r="E79" s="901">
        <v>0</v>
      </c>
      <c r="F79" s="395">
        <v>0</v>
      </c>
      <c r="G79" s="395">
        <v>0</v>
      </c>
      <c r="H79" s="395">
        <v>0</v>
      </c>
      <c r="I79" s="898">
        <v>0</v>
      </c>
      <c r="J79" s="396">
        <v>0</v>
      </c>
      <c r="K79" s="395">
        <v>0</v>
      </c>
      <c r="L79" s="396">
        <v>0</v>
      </c>
      <c r="M79" s="396">
        <v>0</v>
      </c>
      <c r="N79" s="396">
        <v>0</v>
      </c>
      <c r="O79" s="396">
        <v>0</v>
      </c>
      <c r="P79" s="525">
        <v>0</v>
      </c>
      <c r="Q79" s="522">
        <f t="shared" si="2"/>
        <v>0</v>
      </c>
      <c r="R79" s="69"/>
      <c r="S79" s="442"/>
      <c r="T79" s="532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</row>
    <row r="80" spans="1:33" ht="14.25" thickTop="1" thickBot="1">
      <c r="A80" s="69"/>
      <c r="B80" s="69"/>
      <c r="C80" s="69"/>
      <c r="D80" s="358" t="str">
        <f>IF(MasterSheet!$A$1=1,MasterSheet!C398,MasterSheet!B398)</f>
        <v>Kapitalni budžet</v>
      </c>
      <c r="E80" s="397">
        <v>5469916.6699999999</v>
      </c>
      <c r="F80" s="397">
        <v>5469916.6699999999</v>
      </c>
      <c r="G80" s="397">
        <v>5469916.6699999999</v>
      </c>
      <c r="H80" s="400">
        <v>5469916.6699999999</v>
      </c>
      <c r="I80" s="400">
        <v>5469916.6699999999</v>
      </c>
      <c r="J80" s="400">
        <v>5469916.6699999999</v>
      </c>
      <c r="K80" s="400">
        <v>5469916.6699999999</v>
      </c>
      <c r="L80" s="400">
        <v>5469916.6699999999</v>
      </c>
      <c r="M80" s="400">
        <v>5469916.6699999999</v>
      </c>
      <c r="N80" s="398">
        <v>5469916.6699999999</v>
      </c>
      <c r="O80" s="399">
        <v>5469916.6699999999</v>
      </c>
      <c r="P80" s="526">
        <v>5469916.6699999999</v>
      </c>
      <c r="Q80" s="523">
        <f t="shared" si="2"/>
        <v>65639000.040000014</v>
      </c>
      <c r="R80" s="69"/>
      <c r="S80" s="442"/>
      <c r="T80" s="532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</row>
    <row r="81" spans="1:33" ht="13.5" thickTop="1">
      <c r="A81" s="69"/>
      <c r="B81" s="69"/>
      <c r="C81" s="69"/>
      <c r="D81" s="381" t="str">
        <f>IF(MasterSheet!$A$1=1,MasterSheet!C399,MasterSheet!B399)</f>
        <v>Pozajmice i krediti</v>
      </c>
      <c r="E81" s="754">
        <v>143333.34</v>
      </c>
      <c r="F81" s="355">
        <v>143333.34</v>
      </c>
      <c r="G81" s="355">
        <v>143333.34</v>
      </c>
      <c r="H81" s="355">
        <v>143333.34</v>
      </c>
      <c r="I81" s="762">
        <v>143333.34</v>
      </c>
      <c r="J81" s="356">
        <v>143333.34</v>
      </c>
      <c r="K81" s="355">
        <v>143333.34</v>
      </c>
      <c r="L81" s="356">
        <v>143333.34</v>
      </c>
      <c r="M81" s="356">
        <v>143333.34</v>
      </c>
      <c r="N81" s="356">
        <v>143333.34</v>
      </c>
      <c r="O81" s="356">
        <v>143333.34</v>
      </c>
      <c r="P81" s="376">
        <v>143333.34</v>
      </c>
      <c r="Q81" s="524">
        <f t="shared" si="2"/>
        <v>1720000.0800000003</v>
      </c>
      <c r="R81" s="69"/>
      <c r="S81" s="442"/>
      <c r="T81" s="532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</row>
    <row r="82" spans="1:33" ht="13.5" thickBot="1">
      <c r="A82" s="69"/>
      <c r="B82" s="69"/>
      <c r="C82" s="69"/>
      <c r="D82" s="382" t="str">
        <f>IF(MasterSheet!$A$1=1,MasterSheet!C400,MasterSheet!B400)</f>
        <v>Rezerve</v>
      </c>
      <c r="E82" s="901">
        <v>613005.78999999992</v>
      </c>
      <c r="F82" s="395">
        <v>613005.78999999992</v>
      </c>
      <c r="G82" s="395">
        <v>613005.78999999992</v>
      </c>
      <c r="H82" s="395">
        <v>613005.78999999992</v>
      </c>
      <c r="I82" s="898">
        <v>613005.78999999992</v>
      </c>
      <c r="J82" s="396">
        <v>613005.78999999992</v>
      </c>
      <c r="K82" s="395">
        <v>613005.78999999992</v>
      </c>
      <c r="L82" s="396">
        <v>613005.78999999992</v>
      </c>
      <c r="M82" s="396">
        <v>613005.78999999992</v>
      </c>
      <c r="N82" s="396">
        <v>613005.78999999992</v>
      </c>
      <c r="O82" s="396">
        <v>613005.78999999992</v>
      </c>
      <c r="P82" s="525">
        <v>613005.78999999992</v>
      </c>
      <c r="Q82" s="522">
        <f t="shared" si="2"/>
        <v>7356069.4799999995</v>
      </c>
      <c r="R82" s="69"/>
      <c r="S82" s="442"/>
      <c r="T82" s="532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</row>
    <row r="83" spans="1:33" ht="14.25" thickTop="1" thickBot="1">
      <c r="A83" s="69"/>
      <c r="B83" s="69"/>
      <c r="C83" s="69"/>
      <c r="D83" s="382" t="str">
        <f>IF(MasterSheet!$A$1=1,MasterSheet!C408,MasterSheet!B408)</f>
        <v>Otplata garancija</v>
      </c>
      <c r="E83" s="754">
        <v>0</v>
      </c>
      <c r="F83" s="355">
        <v>0</v>
      </c>
      <c r="G83" s="355">
        <v>0</v>
      </c>
      <c r="H83" s="355">
        <v>0</v>
      </c>
      <c r="I83" s="762">
        <v>0</v>
      </c>
      <c r="J83" s="356">
        <v>0</v>
      </c>
      <c r="K83" s="355">
        <v>0</v>
      </c>
      <c r="L83" s="356">
        <v>0</v>
      </c>
      <c r="M83" s="356">
        <v>0</v>
      </c>
      <c r="N83" s="356">
        <v>0</v>
      </c>
      <c r="O83" s="356">
        <v>0</v>
      </c>
      <c r="P83" s="376">
        <v>0</v>
      </c>
      <c r="Q83" s="357">
        <f>+SUM(E83:P83)</f>
        <v>0</v>
      </c>
      <c r="R83" s="69"/>
      <c r="S83" s="440"/>
      <c r="T83" s="532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</row>
    <row r="84" spans="1:33" ht="14.25" thickTop="1" thickBot="1">
      <c r="A84" s="69"/>
      <c r="B84" s="69"/>
      <c r="C84" s="69"/>
      <c r="D84" s="358" t="str">
        <f>IF(MasterSheet!$A$1=1,MasterSheet!C402,MasterSheet!B402)</f>
        <v>Suficit/ Deficit</v>
      </c>
      <c r="E84" s="385">
        <f>+E19-E51</f>
        <v>-49927704.465120845</v>
      </c>
      <c r="F84" s="385">
        <f t="shared" ref="F84:P84" si="17">+F19-F51</f>
        <v>-31948566.261149943</v>
      </c>
      <c r="G84" s="385">
        <f t="shared" si="17"/>
        <v>-21057261.755039066</v>
      </c>
      <c r="H84" s="385">
        <f t="shared" si="17"/>
        <v>-4130170.1161308736</v>
      </c>
      <c r="I84" s="1003">
        <f t="shared" si="17"/>
        <v>-7522810.4527620673</v>
      </c>
      <c r="J84" s="385">
        <f t="shared" si="17"/>
        <v>-2990063.33810471</v>
      </c>
      <c r="K84" s="385">
        <f t="shared" si="17"/>
        <v>10839130.907912046</v>
      </c>
      <c r="L84" s="385">
        <f t="shared" si="17"/>
        <v>9901521.3693697006</v>
      </c>
      <c r="M84" s="385">
        <f t="shared" si="17"/>
        <v>-5811127.0522280186</v>
      </c>
      <c r="N84" s="385">
        <f t="shared" si="17"/>
        <v>-125911.82476308942</v>
      </c>
      <c r="O84" s="385">
        <f t="shared" si="17"/>
        <v>-8069828.0101713091</v>
      </c>
      <c r="P84" s="432">
        <f t="shared" si="17"/>
        <v>15527075.409421757</v>
      </c>
      <c r="Q84" s="424">
        <f t="shared" ref="Q84:Q95" si="18">+SUM(E84:P84)</f>
        <v>-95315715.588766426</v>
      </c>
      <c r="R84" s="69"/>
      <c r="S84" s="442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</row>
    <row r="85" spans="1:33" ht="14.25" thickTop="1" thickBot="1">
      <c r="A85" s="69"/>
      <c r="B85" s="69"/>
      <c r="C85" s="69"/>
      <c r="D85" s="358" t="str">
        <f>IF(MasterSheet!$A$1=1,MasterSheet!C403,MasterSheet!B403)</f>
        <v>Primarni deficit</v>
      </c>
      <c r="E85" s="385">
        <f t="shared" ref="E85:P85" si="19">+E84+E63</f>
        <v>-44060737.185120843</v>
      </c>
      <c r="F85" s="385">
        <f t="shared" si="19"/>
        <v>-26081598.981149942</v>
      </c>
      <c r="G85" s="385">
        <f t="shared" si="19"/>
        <v>-15190294.475039065</v>
      </c>
      <c r="H85" s="385">
        <f t="shared" si="19"/>
        <v>1736797.1638691267</v>
      </c>
      <c r="I85" s="385">
        <f t="shared" si="19"/>
        <v>-1655843.1727620671</v>
      </c>
      <c r="J85" s="385">
        <f t="shared" si="19"/>
        <v>2876903.9418952903</v>
      </c>
      <c r="K85" s="385">
        <f t="shared" si="19"/>
        <v>16706098.187912047</v>
      </c>
      <c r="L85" s="385">
        <f t="shared" si="19"/>
        <v>15768488.649369702</v>
      </c>
      <c r="M85" s="385">
        <f t="shared" si="19"/>
        <v>55840.227771981619</v>
      </c>
      <c r="N85" s="385">
        <f t="shared" si="19"/>
        <v>5741055.4552369108</v>
      </c>
      <c r="O85" s="385">
        <f t="shared" si="19"/>
        <v>-2202860.7301713089</v>
      </c>
      <c r="P85" s="432">
        <f t="shared" si="19"/>
        <v>21394042.689421758</v>
      </c>
      <c r="Q85" s="424">
        <f t="shared" si="18"/>
        <v>-24912108.228766412</v>
      </c>
      <c r="R85" s="69"/>
      <c r="S85" s="442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</row>
    <row r="86" spans="1:33" ht="14.25" thickTop="1" thickBot="1">
      <c r="A86" s="69"/>
      <c r="B86" s="69"/>
      <c r="C86" s="69"/>
      <c r="D86" s="358" t="str">
        <f>IF(MasterSheet!$A$1=1,MasterSheet!C404,MasterSheet!B404)</f>
        <v>Otplata duga</v>
      </c>
      <c r="E86" s="385">
        <f>+SUM(E87:E89)</f>
        <v>7686663.25</v>
      </c>
      <c r="F86" s="385">
        <f t="shared" ref="F86:P86" si="20">+SUM(F87:F89)</f>
        <v>2819104.9000000004</v>
      </c>
      <c r="G86" s="385">
        <f t="shared" si="20"/>
        <v>5381362.9800000004</v>
      </c>
      <c r="H86" s="385">
        <f t="shared" si="20"/>
        <v>8038869.4399999995</v>
      </c>
      <c r="I86" s="385">
        <f t="shared" si="20"/>
        <v>5392617.04</v>
      </c>
      <c r="J86" s="385">
        <f t="shared" si="20"/>
        <v>16826545.850000001</v>
      </c>
      <c r="K86" s="385">
        <f t="shared" si="20"/>
        <v>24366255.719999999</v>
      </c>
      <c r="L86" s="385">
        <f t="shared" si="20"/>
        <v>5641447.3200000003</v>
      </c>
      <c r="M86" s="385">
        <f t="shared" si="20"/>
        <v>12730233.93</v>
      </c>
      <c r="N86" s="385">
        <f t="shared" si="20"/>
        <v>7099982.6499999994</v>
      </c>
      <c r="O86" s="385">
        <f t="shared" si="20"/>
        <v>5537490.71</v>
      </c>
      <c r="P86" s="432">
        <f t="shared" si="20"/>
        <v>17156558.210000023</v>
      </c>
      <c r="Q86" s="424">
        <f>+SUM(E86:P86)</f>
        <v>118677132.00000003</v>
      </c>
      <c r="R86" s="87"/>
      <c r="S86" s="729"/>
      <c r="T86" s="72"/>
      <c r="U86" s="72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</row>
    <row r="87" spans="1:33" ht="13.5" thickTop="1">
      <c r="A87" s="69"/>
      <c r="B87" s="69"/>
      <c r="C87" s="69"/>
      <c r="D87" s="381" t="str">
        <f>IF(MasterSheet!$A$1=1,MasterSheet!C405,MasterSheet!B405)</f>
        <v>Otplata duga rezidentima</v>
      </c>
      <c r="E87" s="754">
        <v>3512979.93</v>
      </c>
      <c r="F87" s="355">
        <v>872996.16</v>
      </c>
      <c r="G87" s="355">
        <v>264968.06</v>
      </c>
      <c r="H87" s="355">
        <v>3710246.3</v>
      </c>
      <c r="I87" s="762">
        <v>1114528.77</v>
      </c>
      <c r="J87" s="356">
        <v>265498.44</v>
      </c>
      <c r="K87" s="355">
        <v>5175131.93</v>
      </c>
      <c r="L87" s="356">
        <v>912847.91</v>
      </c>
      <c r="M87" s="356">
        <v>3220262.59</v>
      </c>
      <c r="N87" s="356">
        <v>592277.14</v>
      </c>
      <c r="O87" s="356">
        <v>930069.44</v>
      </c>
      <c r="P87" s="376">
        <v>3228193.3300000019</v>
      </c>
      <c r="Q87" s="357">
        <f t="shared" si="18"/>
        <v>23800000</v>
      </c>
      <c r="R87" s="69"/>
      <c r="S87" s="72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</row>
    <row r="88" spans="1:33">
      <c r="A88" s="69"/>
      <c r="B88" s="69"/>
      <c r="C88" s="69"/>
      <c r="D88" s="381" t="str">
        <f>IF(MasterSheet!$A$1=1,MasterSheet!C406,MasterSheet!B406)</f>
        <v>Otplata duga nerezidentima</v>
      </c>
      <c r="E88" s="754">
        <v>2705588.99</v>
      </c>
      <c r="F88" s="355">
        <v>528059.41</v>
      </c>
      <c r="G88" s="355">
        <v>3648300.59</v>
      </c>
      <c r="H88" s="355">
        <v>2810528.81</v>
      </c>
      <c r="I88" s="762">
        <v>2759993.94</v>
      </c>
      <c r="J88" s="356">
        <v>11975685.74</v>
      </c>
      <c r="K88" s="355">
        <v>10543029.460000001</v>
      </c>
      <c r="L88" s="356">
        <v>780505.08</v>
      </c>
      <c r="M88" s="356">
        <v>7411877.0099999998</v>
      </c>
      <c r="N88" s="356">
        <v>4609611.18</v>
      </c>
      <c r="O88" s="356">
        <v>2759326.94</v>
      </c>
      <c r="P88" s="376">
        <v>12167492.850000011</v>
      </c>
      <c r="Q88" s="393">
        <f t="shared" si="18"/>
        <v>62700000</v>
      </c>
      <c r="R88" s="69"/>
      <c r="S88" s="72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</row>
    <row r="89" spans="1:33" ht="13.5" thickBot="1">
      <c r="A89" s="69"/>
      <c r="B89" s="69"/>
      <c r="C89" s="69"/>
      <c r="D89" s="381" t="str">
        <f>IF(MasterSheet!$A$1=1,MasterSheet!C407,MasterSheet!B407)</f>
        <v>Otplata obaveza iz prethodnog perioda</v>
      </c>
      <c r="E89" s="754">
        <v>1468094.33</v>
      </c>
      <c r="F89" s="355">
        <v>1418049.33</v>
      </c>
      <c r="G89" s="355">
        <v>1468094.33</v>
      </c>
      <c r="H89" s="355">
        <v>1518094.33</v>
      </c>
      <c r="I89" s="762">
        <v>1518094.33</v>
      </c>
      <c r="J89" s="356">
        <v>4585361.67</v>
      </c>
      <c r="K89" s="355">
        <v>8648094.3300000001</v>
      </c>
      <c r="L89" s="356">
        <v>3948094.33</v>
      </c>
      <c r="M89" s="356">
        <v>2098094.33</v>
      </c>
      <c r="N89" s="356">
        <v>1898094.33</v>
      </c>
      <c r="O89" s="356">
        <v>1848094.33</v>
      </c>
      <c r="P89" s="376">
        <v>1760872.0300000105</v>
      </c>
      <c r="Q89" s="357">
        <f t="shared" si="18"/>
        <v>32177132</v>
      </c>
      <c r="R89" s="69"/>
      <c r="S89" s="72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</row>
    <row r="90" spans="1:33" ht="14.25" thickTop="1" thickBot="1">
      <c r="A90" s="69"/>
      <c r="B90" s="69"/>
      <c r="C90" s="69"/>
      <c r="D90" s="358" t="str">
        <f>IF(MasterSheet!$A$1=1,MasterSheet!C409,MasterSheet!B409)</f>
        <v>Nedostajuća sredstva</v>
      </c>
      <c r="E90" s="385">
        <f>+E84-E86</f>
        <v>-57614367.715120845</v>
      </c>
      <c r="F90" s="385">
        <f t="shared" ref="F90:P90" si="21">+F84-F86</f>
        <v>-34767671.161149941</v>
      </c>
      <c r="G90" s="385">
        <f t="shared" si="21"/>
        <v>-26438624.735039067</v>
      </c>
      <c r="H90" s="385">
        <f t="shared" si="21"/>
        <v>-12169039.556130873</v>
      </c>
      <c r="I90" s="385">
        <f t="shared" si="21"/>
        <v>-12915427.492762066</v>
      </c>
      <c r="J90" s="385">
        <f t="shared" si="21"/>
        <v>-19816609.188104711</v>
      </c>
      <c r="K90" s="385">
        <f t="shared" si="21"/>
        <v>-13527124.812087953</v>
      </c>
      <c r="L90" s="385">
        <f t="shared" si="21"/>
        <v>4260074.0493697003</v>
      </c>
      <c r="M90" s="385">
        <f t="shared" si="21"/>
        <v>-18541360.982228018</v>
      </c>
      <c r="N90" s="385">
        <f t="shared" si="21"/>
        <v>-7225894.4747630889</v>
      </c>
      <c r="O90" s="385">
        <f t="shared" si="21"/>
        <v>-13607318.72017131</v>
      </c>
      <c r="P90" s="432">
        <f t="shared" si="21"/>
        <v>-1629482.8005782664</v>
      </c>
      <c r="Q90" s="424">
        <f t="shared" si="18"/>
        <v>-213992847.58876646</v>
      </c>
      <c r="R90" s="69"/>
      <c r="S90" s="442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</row>
    <row r="91" spans="1:33" ht="14.25" thickTop="1" thickBot="1">
      <c r="A91" s="69"/>
      <c r="B91" s="69"/>
      <c r="C91" s="69"/>
      <c r="D91" s="358" t="str">
        <f>IF(MasterSheet!$A$1=1,MasterSheet!C410,MasterSheet!B410)</f>
        <v>Finansiranje</v>
      </c>
      <c r="E91" s="385">
        <f>+SUM(E92:E96)</f>
        <v>57614367.715120845</v>
      </c>
      <c r="F91" s="385">
        <f t="shared" ref="F91:P91" si="22">+SUM(F92:F96)</f>
        <v>34767671.161149941</v>
      </c>
      <c r="G91" s="385">
        <f t="shared" si="22"/>
        <v>26438624.735039067</v>
      </c>
      <c r="H91" s="385">
        <f t="shared" si="22"/>
        <v>12169039.556130886</v>
      </c>
      <c r="I91" s="385">
        <f t="shared" si="22"/>
        <v>12915427.492762066</v>
      </c>
      <c r="J91" s="385">
        <f t="shared" si="22"/>
        <v>19816609.188104711</v>
      </c>
      <c r="K91" s="385">
        <f t="shared" si="22"/>
        <v>13527124.812087953</v>
      </c>
      <c r="L91" s="385">
        <f t="shared" si="22"/>
        <v>-4260074.0493697003</v>
      </c>
      <c r="M91" s="385">
        <f t="shared" si="22"/>
        <v>18541360.982228018</v>
      </c>
      <c r="N91" s="385">
        <f t="shared" si="22"/>
        <v>7225894.4747630879</v>
      </c>
      <c r="O91" s="385">
        <f t="shared" si="22"/>
        <v>13607318.72017131</v>
      </c>
      <c r="P91" s="432">
        <f t="shared" si="22"/>
        <v>1629482.8005782664</v>
      </c>
      <c r="Q91" s="424">
        <f t="shared" si="18"/>
        <v>213992847.58876646</v>
      </c>
      <c r="R91" s="69"/>
      <c r="S91" s="442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</row>
    <row r="92" spans="1:33" ht="13.5" thickTop="1">
      <c r="A92" s="69"/>
      <c r="B92" s="69"/>
      <c r="C92" s="69"/>
      <c r="D92" s="381" t="str">
        <f>IF(MasterSheet!$A$1=1,MasterSheet!C411,MasterSheet!B411)</f>
        <v>Pozajmice i krediti iz domaćih izvora</v>
      </c>
      <c r="E92" s="754">
        <v>0</v>
      </c>
      <c r="F92" s="354">
        <v>0</v>
      </c>
      <c r="G92" s="354">
        <v>0</v>
      </c>
      <c r="H92" s="354">
        <v>0</v>
      </c>
      <c r="I92" s="754">
        <v>0</v>
      </c>
      <c r="J92" s="354">
        <v>0</v>
      </c>
      <c r="K92" s="354">
        <v>0</v>
      </c>
      <c r="L92" s="354">
        <v>0</v>
      </c>
      <c r="M92" s="354">
        <v>0</v>
      </c>
      <c r="N92" s="354">
        <v>0</v>
      </c>
      <c r="O92" s="354">
        <v>0</v>
      </c>
      <c r="P92" s="354">
        <v>0</v>
      </c>
      <c r="Q92" s="357">
        <f t="shared" si="18"/>
        <v>0</v>
      </c>
      <c r="R92" s="69"/>
      <c r="S92" s="440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</row>
    <row r="93" spans="1:33">
      <c r="A93" s="69"/>
      <c r="B93" s="69"/>
      <c r="C93" s="69"/>
      <c r="D93" s="381" t="str">
        <f>IF(MasterSheet!$A$1=1,MasterSheet!C412,MasterSheet!B412)</f>
        <v>Pozajmice i krediti iz inostranih izvora</v>
      </c>
      <c r="E93" s="754">
        <v>0</v>
      </c>
      <c r="F93" s="354">
        <v>0</v>
      </c>
      <c r="G93" s="354">
        <v>0</v>
      </c>
      <c r="H93" s="730">
        <v>200000000</v>
      </c>
      <c r="I93" s="762">
        <v>0</v>
      </c>
      <c r="J93" s="355">
        <v>0</v>
      </c>
      <c r="K93" s="355">
        <v>0</v>
      </c>
      <c r="L93" s="355">
        <v>0</v>
      </c>
      <c r="M93" s="355">
        <v>0</v>
      </c>
      <c r="N93" s="730">
        <v>50000000</v>
      </c>
      <c r="O93" s="356">
        <v>0</v>
      </c>
      <c r="P93" s="376">
        <v>0</v>
      </c>
      <c r="Q93" s="357">
        <f t="shared" si="18"/>
        <v>250000000</v>
      </c>
      <c r="R93" s="69"/>
      <c r="S93" s="440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</row>
    <row r="94" spans="1:33">
      <c r="A94" s="69"/>
      <c r="B94" s="69"/>
      <c r="C94" s="69"/>
      <c r="D94" s="381" t="str">
        <f>IF(MasterSheet!$A$1=1,MasterSheet!C413,MasterSheet!B413)</f>
        <v>Donacije</v>
      </c>
      <c r="E94" s="754">
        <v>0</v>
      </c>
      <c r="F94" s="354">
        <v>0</v>
      </c>
      <c r="G94" s="354">
        <v>0</v>
      </c>
      <c r="H94" s="354">
        <v>0</v>
      </c>
      <c r="I94" s="754">
        <v>0</v>
      </c>
      <c r="J94" s="354">
        <v>0</v>
      </c>
      <c r="K94" s="354">
        <v>0</v>
      </c>
      <c r="L94" s="354">
        <v>0</v>
      </c>
      <c r="M94" s="354">
        <v>0</v>
      </c>
      <c r="N94" s="354">
        <v>0</v>
      </c>
      <c r="O94" s="354">
        <v>0</v>
      </c>
      <c r="P94" s="354">
        <v>0</v>
      </c>
      <c r="Q94" s="357">
        <f t="shared" si="18"/>
        <v>0</v>
      </c>
      <c r="R94" s="69"/>
      <c r="S94" s="440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69"/>
    </row>
    <row r="95" spans="1:33">
      <c r="A95" s="69"/>
      <c r="B95" s="69"/>
      <c r="C95" s="69"/>
      <c r="D95" s="381" t="str">
        <f>IF(MasterSheet!$A$1=1,MasterSheet!C414,MasterSheet!B414)</f>
        <v>Prihodi od privatizacije</v>
      </c>
      <c r="E95" s="754">
        <v>0</v>
      </c>
      <c r="F95" s="354">
        <v>0</v>
      </c>
      <c r="G95" s="354">
        <v>0</v>
      </c>
      <c r="H95" s="355">
        <v>8000000</v>
      </c>
      <c r="I95" s="762">
        <v>0</v>
      </c>
      <c r="J95" s="355">
        <v>0</v>
      </c>
      <c r="K95" s="355">
        <v>0</v>
      </c>
      <c r="L95" s="355">
        <v>0</v>
      </c>
      <c r="M95" s="355">
        <v>0</v>
      </c>
      <c r="N95" s="355">
        <v>0</v>
      </c>
      <c r="O95" s="355">
        <v>0</v>
      </c>
      <c r="P95" s="355">
        <v>0</v>
      </c>
      <c r="Q95" s="357">
        <f t="shared" si="18"/>
        <v>8000000</v>
      </c>
      <c r="R95" s="69"/>
      <c r="S95" s="440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</row>
    <row r="96" spans="1:33" ht="13.5" thickBot="1">
      <c r="A96" s="69"/>
      <c r="B96" s="69"/>
      <c r="C96" s="69"/>
      <c r="D96" s="384" t="str">
        <f>IF(MasterSheet!$A$1=1,MasterSheet!C415,MasterSheet!B415)</f>
        <v>Povećanje/smanjenje depozita</v>
      </c>
      <c r="E96" s="900">
        <f>-E90-SUM(E92:E95)</f>
        <v>57614367.715120845</v>
      </c>
      <c r="F96" s="371">
        <f>-F90-SUM(F92:F95)</f>
        <v>34767671.161149941</v>
      </c>
      <c r="G96" s="371">
        <f>-G90-SUM(G92:G95)</f>
        <v>26438624.735039067</v>
      </c>
      <c r="H96" s="392">
        <f t="shared" ref="H96:P96" si="23">-H90-SUM(H92:H95)</f>
        <v>-195830960.44386911</v>
      </c>
      <c r="I96" s="691">
        <f t="shared" si="23"/>
        <v>12915427.492762066</v>
      </c>
      <c r="J96" s="392">
        <f t="shared" si="23"/>
        <v>19816609.188104711</v>
      </c>
      <c r="K96" s="392">
        <f t="shared" si="23"/>
        <v>13527124.812087953</v>
      </c>
      <c r="L96" s="392">
        <f t="shared" si="23"/>
        <v>-4260074.0493697003</v>
      </c>
      <c r="M96" s="392">
        <f t="shared" si="23"/>
        <v>18541360.982228018</v>
      </c>
      <c r="N96" s="392">
        <f t="shared" si="23"/>
        <v>-42774105.525236912</v>
      </c>
      <c r="O96" s="392">
        <f t="shared" si="23"/>
        <v>13607318.72017131</v>
      </c>
      <c r="P96" s="377">
        <f t="shared" si="23"/>
        <v>1629482.8005782664</v>
      </c>
      <c r="Q96" s="423">
        <f>+SUM(E96:P96)</f>
        <v>-44007152.411233544</v>
      </c>
      <c r="R96" s="380"/>
      <c r="S96" s="388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</row>
    <row r="97" spans="1:33" ht="13.5" thickTop="1">
      <c r="A97" s="69"/>
      <c r="B97" s="69"/>
      <c r="C97" s="69"/>
      <c r="D97" s="379" t="str">
        <f>IF(MasterSheet!$A$1=1,MasterSheet!C416,MasterSheet!B416)</f>
        <v>Izvor: Ministarstvo finansija Crne Gore</v>
      </c>
      <c r="F97" s="69"/>
      <c r="G97" s="69"/>
      <c r="H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</row>
    <row r="98" spans="1:33">
      <c r="A98" s="69"/>
      <c r="B98" s="69"/>
      <c r="C98" s="69"/>
      <c r="D98" s="69"/>
      <c r="F98" s="69"/>
      <c r="G98" s="69"/>
      <c r="H98" s="69"/>
      <c r="J98" s="69"/>
      <c r="K98" s="69"/>
      <c r="L98" s="69"/>
      <c r="M98" s="69"/>
      <c r="N98" s="69"/>
      <c r="O98" s="532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</row>
    <row r="99" spans="1:33">
      <c r="A99" s="69"/>
      <c r="B99" s="69"/>
      <c r="C99" s="69"/>
      <c r="D99" s="69"/>
      <c r="F99" s="69"/>
      <c r="G99" s="69"/>
      <c r="H99" s="69"/>
      <c r="I99" s="915">
        <v>-114590000</v>
      </c>
      <c r="J99" s="69"/>
      <c r="K99" s="69"/>
      <c r="L99" s="69"/>
      <c r="M99" s="69"/>
      <c r="N99" s="69"/>
      <c r="O99" s="731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</row>
    <row r="100" spans="1:33">
      <c r="A100" s="69"/>
      <c r="B100" s="69"/>
      <c r="C100" s="69"/>
      <c r="D100" s="69"/>
      <c r="F100" s="69"/>
      <c r="G100" s="69"/>
      <c r="H100" s="532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</row>
    <row r="101" spans="1:33">
      <c r="A101" s="69"/>
      <c r="B101" s="69"/>
      <c r="C101" s="69"/>
      <c r="D101" s="69"/>
      <c r="F101" s="69"/>
      <c r="G101" s="69"/>
      <c r="H101" s="532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</row>
    <row r="102" spans="1:33">
      <c r="A102" s="69"/>
      <c r="B102" s="69"/>
      <c r="C102" s="69"/>
      <c r="D102" s="69"/>
      <c r="F102" s="69"/>
      <c r="G102" s="69"/>
      <c r="H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</row>
    <row r="103" spans="1:33">
      <c r="A103" s="69"/>
      <c r="B103" s="69"/>
      <c r="C103" s="69"/>
      <c r="D103" s="69"/>
      <c r="F103" s="69"/>
      <c r="G103" s="69"/>
      <c r="H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</row>
    <row r="104" spans="1:33">
      <c r="A104" s="69"/>
      <c r="B104" s="69"/>
      <c r="C104" s="69"/>
      <c r="D104" s="69"/>
      <c r="F104" s="69"/>
      <c r="G104" s="69"/>
      <c r="H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</row>
    <row r="105" spans="1:33">
      <c r="A105" s="69"/>
      <c r="B105" s="69"/>
      <c r="C105" s="69"/>
      <c r="D105" s="69"/>
      <c r="F105" s="69"/>
      <c r="G105" s="69"/>
      <c r="H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</row>
    <row r="106" spans="1:33">
      <c r="A106" s="69"/>
      <c r="B106" s="69"/>
      <c r="C106" s="69"/>
      <c r="D106" s="69"/>
      <c r="F106" s="69"/>
      <c r="G106" s="69"/>
      <c r="H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</row>
    <row r="107" spans="1:33">
      <c r="A107" s="69"/>
      <c r="B107" s="69"/>
      <c r="C107" s="69"/>
      <c r="D107" s="69"/>
      <c r="F107" s="69"/>
      <c r="G107" s="69"/>
      <c r="H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</row>
    <row r="108" spans="1:33">
      <c r="A108" s="69"/>
      <c r="B108" s="69"/>
      <c r="C108" s="69"/>
      <c r="D108" s="69"/>
      <c r="F108" s="69"/>
      <c r="G108" s="69"/>
      <c r="H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</row>
    <row r="109" spans="1:33">
      <c r="A109" s="69"/>
      <c r="B109" s="69"/>
      <c r="C109" s="69"/>
      <c r="D109" s="69"/>
      <c r="F109" s="69"/>
      <c r="G109" s="69"/>
      <c r="H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</row>
    <row r="110" spans="1:33">
      <c r="A110" s="69"/>
      <c r="B110" s="69"/>
      <c r="C110" s="69"/>
      <c r="D110" s="69"/>
      <c r="F110" s="69"/>
      <c r="G110" s="69"/>
      <c r="H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</row>
    <row r="111" spans="1:33">
      <c r="A111" s="69"/>
      <c r="B111" s="69"/>
      <c r="C111" s="69"/>
      <c r="D111" s="69"/>
      <c r="F111" s="69"/>
      <c r="G111" s="69"/>
      <c r="H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</row>
    <row r="112" spans="1:33">
      <c r="A112" s="69"/>
      <c r="B112" s="69"/>
      <c r="C112" s="69"/>
      <c r="D112" s="69"/>
      <c r="F112" s="69"/>
      <c r="G112" s="69"/>
      <c r="H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</row>
    <row r="113" spans="1:33">
      <c r="A113" s="69"/>
      <c r="B113" s="69"/>
      <c r="C113" s="69"/>
      <c r="D113" s="69"/>
      <c r="F113" s="69"/>
      <c r="G113" s="69"/>
      <c r="H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</row>
    <row r="114" spans="1:33">
      <c r="A114" s="69"/>
      <c r="B114" s="69"/>
      <c r="C114" s="69"/>
      <c r="D114" s="69"/>
      <c r="F114" s="69"/>
      <c r="G114" s="69"/>
      <c r="H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</row>
    <row r="115" spans="1:33">
      <c r="A115" s="69"/>
      <c r="B115" s="69"/>
      <c r="C115" s="69"/>
      <c r="D115" s="69"/>
      <c r="F115" s="69"/>
      <c r="G115" s="69"/>
      <c r="H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</row>
    <row r="116" spans="1:33">
      <c r="A116" s="69"/>
      <c r="B116" s="69"/>
      <c r="C116" s="69"/>
      <c r="D116" s="69"/>
      <c r="F116" s="69"/>
      <c r="G116" s="69"/>
      <c r="H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</row>
    <row r="117" spans="1:33">
      <c r="A117" s="69"/>
      <c r="B117" s="69"/>
      <c r="C117" s="69"/>
      <c r="D117" s="69"/>
      <c r="F117" s="69"/>
      <c r="G117" s="69"/>
      <c r="H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</row>
    <row r="118" spans="1:33">
      <c r="A118" s="69"/>
      <c r="B118" s="69"/>
      <c r="C118" s="69"/>
      <c r="D118" s="69"/>
      <c r="F118" s="69"/>
      <c r="G118" s="69"/>
      <c r="H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</row>
    <row r="119" spans="1:33">
      <c r="A119" s="69"/>
      <c r="B119" s="69"/>
      <c r="C119" s="69"/>
      <c r="D119" s="69"/>
      <c r="F119" s="69"/>
      <c r="G119" s="69"/>
      <c r="H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</row>
    <row r="120" spans="1:33">
      <c r="A120" s="69"/>
      <c r="B120" s="69"/>
      <c r="C120" s="69"/>
      <c r="D120" s="69"/>
      <c r="F120" s="69"/>
      <c r="G120" s="69"/>
      <c r="H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</row>
    <row r="121" spans="1:33">
      <c r="A121" s="69"/>
      <c r="B121" s="69"/>
      <c r="C121" s="69"/>
      <c r="D121" s="69"/>
      <c r="F121" s="69"/>
      <c r="G121" s="69"/>
      <c r="H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</row>
    <row r="122" spans="1:33">
      <c r="A122" s="69"/>
      <c r="B122" s="69"/>
      <c r="C122" s="69"/>
      <c r="D122" s="69"/>
      <c r="F122" s="69"/>
      <c r="G122" s="69"/>
      <c r="H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</row>
    <row r="123" spans="1:33">
      <c r="A123" s="69"/>
      <c r="B123" s="69"/>
      <c r="C123" s="69"/>
      <c r="D123" s="69"/>
      <c r="F123" s="69"/>
      <c r="G123" s="69"/>
      <c r="H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</row>
    <row r="124" spans="1:33">
      <c r="A124" s="69"/>
      <c r="B124" s="69"/>
      <c r="C124" s="69"/>
      <c r="D124" s="69"/>
      <c r="F124" s="69"/>
      <c r="G124" s="69"/>
      <c r="H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</row>
    <row r="125" spans="1:33">
      <c r="A125" s="69"/>
      <c r="B125" s="69"/>
      <c r="C125" s="69"/>
      <c r="D125" s="69"/>
      <c r="F125" s="69"/>
      <c r="G125" s="69"/>
      <c r="H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</row>
    <row r="126" spans="1:33">
      <c r="A126" s="69"/>
      <c r="B126" s="69"/>
      <c r="C126" s="69"/>
      <c r="D126" s="69"/>
      <c r="F126" s="69"/>
      <c r="G126" s="69"/>
      <c r="H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</row>
    <row r="127" spans="1:33">
      <c r="A127" s="69"/>
      <c r="B127" s="69"/>
      <c r="C127" s="69"/>
      <c r="D127" s="69"/>
      <c r="F127" s="69"/>
      <c r="G127" s="69"/>
      <c r="H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</row>
    <row r="128" spans="1:33">
      <c r="A128" s="69"/>
      <c r="B128" s="69"/>
      <c r="C128" s="69"/>
      <c r="D128" s="69"/>
      <c r="F128" s="69"/>
      <c r="G128" s="69"/>
      <c r="H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</row>
    <row r="129" spans="1:33">
      <c r="A129" s="69"/>
      <c r="B129" s="69"/>
      <c r="C129" s="69"/>
      <c r="D129" s="69"/>
      <c r="F129" s="69"/>
      <c r="G129" s="69"/>
      <c r="H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</row>
    <row r="130" spans="1:33">
      <c r="A130" s="69"/>
      <c r="B130" s="69"/>
      <c r="C130" s="69"/>
      <c r="D130" s="69"/>
      <c r="F130" s="69"/>
      <c r="G130" s="69"/>
      <c r="H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</row>
    <row r="131" spans="1:33">
      <c r="A131" s="69"/>
      <c r="B131" s="69"/>
      <c r="C131" s="69"/>
      <c r="D131" s="69"/>
      <c r="F131" s="69"/>
      <c r="G131" s="69"/>
      <c r="H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</row>
    <row r="132" spans="1:33">
      <c r="A132" s="69"/>
      <c r="B132" s="69"/>
      <c r="C132" s="69"/>
      <c r="D132" s="69"/>
      <c r="F132" s="69"/>
      <c r="G132" s="69"/>
      <c r="H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</row>
    <row r="133" spans="1:33">
      <c r="A133" s="69"/>
      <c r="B133" s="69"/>
      <c r="C133" s="69"/>
      <c r="D133" s="69"/>
      <c r="F133" s="69"/>
      <c r="G133" s="69"/>
      <c r="H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</row>
    <row r="134" spans="1:33">
      <c r="A134" s="69"/>
      <c r="B134" s="69"/>
      <c r="C134" s="69"/>
      <c r="D134" s="69"/>
      <c r="F134" s="69"/>
      <c r="G134" s="69"/>
      <c r="H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</row>
    <row r="135" spans="1:33">
      <c r="A135" s="69"/>
      <c r="B135" s="69"/>
      <c r="C135" s="69"/>
      <c r="D135" s="69"/>
      <c r="F135" s="69"/>
      <c r="G135" s="69"/>
      <c r="H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</row>
    <row r="136" spans="1:33">
      <c r="A136" s="69"/>
      <c r="B136" s="69"/>
      <c r="C136" s="69"/>
      <c r="D136" s="69"/>
      <c r="F136" s="69"/>
      <c r="G136" s="69"/>
      <c r="H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</row>
    <row r="137" spans="1:33">
      <c r="A137" s="69"/>
      <c r="B137" s="69"/>
      <c r="C137" s="69"/>
      <c r="D137" s="69"/>
      <c r="F137" s="69"/>
      <c r="G137" s="69"/>
      <c r="H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</row>
    <row r="138" spans="1:33">
      <c r="A138" s="69"/>
      <c r="B138" s="69"/>
      <c r="C138" s="69"/>
      <c r="D138" s="69"/>
      <c r="F138" s="69"/>
      <c r="G138" s="69"/>
      <c r="H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</row>
    <row r="139" spans="1:33">
      <c r="A139" s="69"/>
      <c r="B139" s="69"/>
      <c r="C139" s="69"/>
      <c r="D139" s="69"/>
      <c r="F139" s="69"/>
      <c r="G139" s="69"/>
      <c r="H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</row>
    <row r="140" spans="1:33">
      <c r="A140" s="69"/>
      <c r="B140" s="69"/>
      <c r="C140" s="69"/>
      <c r="D140" s="69"/>
      <c r="F140" s="69"/>
      <c r="G140" s="69"/>
      <c r="H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</row>
    <row r="141" spans="1:33">
      <c r="A141" s="69"/>
      <c r="B141" s="69"/>
      <c r="C141" s="69"/>
      <c r="D141" s="69"/>
      <c r="F141" s="69"/>
      <c r="G141" s="69"/>
      <c r="H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</row>
    <row r="142" spans="1:33">
      <c r="A142" s="69"/>
      <c r="B142" s="69"/>
      <c r="C142" s="69"/>
      <c r="D142" s="69"/>
      <c r="F142" s="69"/>
      <c r="G142" s="69"/>
      <c r="H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</row>
    <row r="143" spans="1:33">
      <c r="A143" s="69"/>
      <c r="B143" s="69"/>
      <c r="C143" s="69"/>
      <c r="D143" s="69"/>
      <c r="F143" s="69"/>
      <c r="G143" s="69"/>
      <c r="H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</row>
    <row r="144" spans="1:33">
      <c r="A144" s="69"/>
      <c r="B144" s="69"/>
      <c r="C144" s="69"/>
      <c r="D144" s="69"/>
      <c r="F144" s="69"/>
      <c r="G144" s="69"/>
      <c r="H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</row>
    <row r="145" spans="1:33">
      <c r="A145" s="69"/>
      <c r="B145" s="69"/>
      <c r="C145" s="69"/>
      <c r="D145" s="69"/>
      <c r="F145" s="69"/>
      <c r="G145" s="69"/>
      <c r="H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</row>
    <row r="146" spans="1:33">
      <c r="A146" s="69"/>
      <c r="B146" s="69"/>
      <c r="C146" s="69"/>
      <c r="D146" s="69"/>
      <c r="F146" s="69"/>
      <c r="G146" s="69"/>
      <c r="H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</row>
    <row r="147" spans="1:33">
      <c r="A147" s="69"/>
      <c r="B147" s="69"/>
      <c r="C147" s="69"/>
      <c r="D147" s="69"/>
      <c r="F147" s="69"/>
      <c r="G147" s="69"/>
      <c r="H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</row>
    <row r="148" spans="1:33">
      <c r="A148" s="69"/>
      <c r="B148" s="69"/>
      <c r="C148" s="69"/>
      <c r="D148" s="69"/>
      <c r="F148" s="69"/>
      <c r="G148" s="69"/>
      <c r="H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69"/>
      <c r="AG148" s="69"/>
    </row>
    <row r="149" spans="1:33">
      <c r="A149" s="69"/>
      <c r="B149" s="69"/>
      <c r="C149" s="69"/>
      <c r="D149" s="69"/>
      <c r="F149" s="69"/>
      <c r="G149" s="69"/>
      <c r="H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69"/>
      <c r="AG149" s="69"/>
    </row>
    <row r="150" spans="1:33">
      <c r="A150" s="69"/>
      <c r="B150" s="69"/>
      <c r="C150" s="69"/>
      <c r="D150" s="69"/>
      <c r="F150" s="69"/>
      <c r="G150" s="69"/>
      <c r="H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/>
      <c r="AE150" s="69"/>
      <c r="AF150" s="69"/>
      <c r="AG150" s="69"/>
    </row>
    <row r="151" spans="1:33">
      <c r="A151" s="69"/>
      <c r="B151" s="69"/>
      <c r="C151" s="69"/>
      <c r="D151" s="69"/>
      <c r="F151" s="69"/>
      <c r="G151" s="69"/>
      <c r="H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69"/>
    </row>
    <row r="152" spans="1:33">
      <c r="A152" s="69"/>
      <c r="B152" s="69"/>
      <c r="C152" s="69"/>
      <c r="D152" s="69"/>
      <c r="F152" s="69"/>
      <c r="G152" s="69"/>
      <c r="H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</row>
    <row r="153" spans="1:33">
      <c r="A153" s="69"/>
      <c r="B153" s="69"/>
      <c r="C153" s="69"/>
      <c r="D153" s="69"/>
      <c r="F153" s="69"/>
      <c r="G153" s="69"/>
      <c r="H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69"/>
    </row>
    <row r="154" spans="1:33">
      <c r="A154" s="69"/>
      <c r="B154" s="69"/>
      <c r="C154" s="69"/>
      <c r="D154" s="69"/>
      <c r="F154" s="69"/>
      <c r="G154" s="69"/>
      <c r="H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</row>
  </sheetData>
  <sheetProtection formatCells="0" formatColumns="0" formatRows="0" sort="0" autoFilter="0" pivotTables="0"/>
  <mergeCells count="5">
    <mergeCell ref="E14:Q14"/>
    <mergeCell ref="E17:Q17"/>
    <mergeCell ref="D17:D18"/>
    <mergeCell ref="H8:J8"/>
    <mergeCell ref="G9:K9"/>
  </mergeCells>
  <pageMargins left="0.15" right="0.19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5"/>
  <dimension ref="A1:AG153"/>
  <sheetViews>
    <sheetView topLeftCell="C7" workbookViewId="0">
      <selection activeCell="D23" sqref="D23"/>
    </sheetView>
  </sheetViews>
  <sheetFormatPr defaultRowHeight="12.75"/>
  <cols>
    <col min="4" max="4" width="54.7109375" customWidth="1"/>
    <col min="5" max="12" width="10.7109375" customWidth="1"/>
    <col min="13" max="13" width="11.7109375" customWidth="1"/>
    <col min="14" max="14" width="10.7109375" customWidth="1"/>
    <col min="15" max="16" width="11.7109375" customWidth="1"/>
    <col min="17" max="17" width="15.7109375" customWidth="1"/>
  </cols>
  <sheetData>
    <row r="1" spans="1:33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</row>
    <row r="2" spans="1:3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</row>
    <row r="3" spans="1:33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</row>
    <row r="4" spans="1:33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</row>
    <row r="5" spans="1:33">
      <c r="A5" s="69"/>
      <c r="B5" s="69"/>
      <c r="C5" s="69"/>
      <c r="D5" s="70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</row>
    <row r="6" spans="1:33">
      <c r="A6" s="69"/>
      <c r="B6" s="69"/>
      <c r="C6" s="69"/>
      <c r="D6" s="70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</row>
    <row r="7" spans="1:33">
      <c r="A7" s="69"/>
      <c r="B7" s="69"/>
      <c r="C7" s="69"/>
      <c r="D7" s="70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</row>
    <row r="8" spans="1:33" ht="15">
      <c r="A8" s="69"/>
      <c r="B8" s="69"/>
      <c r="C8" s="69"/>
      <c r="D8" s="70"/>
      <c r="E8" s="69"/>
      <c r="F8" s="69"/>
      <c r="G8" s="69"/>
      <c r="H8" s="1152" t="str">
        <f>IF(MasterSheet!$A$1=1, MasterSheet!C5,MasterSheet!B5)</f>
        <v>CRNA GORA</v>
      </c>
      <c r="I8" s="1152"/>
      <c r="J8" s="1152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</row>
    <row r="9" spans="1:33" ht="15">
      <c r="A9" s="69"/>
      <c r="B9" s="69"/>
      <c r="C9" s="69"/>
      <c r="D9" s="69"/>
      <c r="E9" s="69"/>
      <c r="F9" s="69"/>
      <c r="G9" s="1152" t="str">
        <f>IF(MasterSheet!$A$1=1, MasterSheet!C6,MasterSheet!B6)</f>
        <v>MINISTARSTVO FINANSIJA</v>
      </c>
      <c r="H9" s="1152"/>
      <c r="I9" s="1152"/>
      <c r="J9" s="1152"/>
      <c r="K9" s="1152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</row>
    <row r="10" spans="1:33">
      <c r="A10" s="69"/>
      <c r="B10" s="69"/>
      <c r="C10" s="69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</row>
    <row r="11" spans="1:33">
      <c r="A11" s="69"/>
      <c r="B11" s="69"/>
      <c r="C11" s="69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</row>
    <row r="12" spans="1:33">
      <c r="A12" s="69"/>
      <c r="B12" s="69"/>
      <c r="C12" s="69"/>
      <c r="D12" s="213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</row>
    <row r="13" spans="1:33" ht="13.5" thickBot="1">
      <c r="A13" s="69"/>
      <c r="B13" s="69"/>
      <c r="C13" s="69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213"/>
      <c r="S13" s="70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</row>
    <row r="14" spans="1:33" ht="17.25" thickTop="1" thickBot="1">
      <c r="B14" s="413"/>
      <c r="C14" s="414"/>
      <c r="D14" s="415" t="str">
        <f>IF(MasterSheet!$A$1=1,MasterSheet!B67,MasterSheet!B66)</f>
        <v>BDP (u mil. €)</v>
      </c>
      <c r="E14" s="1169">
        <f>+'Monthly plan for 2013'!E14:Q14</f>
        <v>3517000000</v>
      </c>
      <c r="F14" s="1169"/>
      <c r="G14" s="1169"/>
      <c r="H14" s="1169"/>
      <c r="I14" s="1169"/>
      <c r="J14" s="1169"/>
      <c r="K14" s="1169"/>
      <c r="L14" s="1169"/>
      <c r="M14" s="1169"/>
      <c r="N14" s="1169"/>
      <c r="O14" s="1169"/>
      <c r="P14" s="1169"/>
      <c r="Q14" s="1170"/>
      <c r="R14" s="411"/>
      <c r="S14" s="412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</row>
    <row r="15" spans="1:33" ht="15.75" thickTop="1">
      <c r="A15" s="408"/>
      <c r="B15" s="236"/>
      <c r="C15" s="236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409"/>
      <c r="O15" s="409"/>
      <c r="P15" s="410"/>
      <c r="Q15" s="410"/>
      <c r="R15" s="410"/>
      <c r="S15" s="410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</row>
    <row r="16" spans="1:33" ht="17.25" customHeight="1" thickBot="1">
      <c r="A16" s="69"/>
      <c r="B16" s="69"/>
      <c r="C16" s="69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</row>
    <row r="17" spans="1:33" ht="17.25" customHeight="1" thickTop="1">
      <c r="A17" s="69"/>
      <c r="B17" s="69"/>
      <c r="C17" s="69"/>
      <c r="D17" s="1171" t="s">
        <v>432</v>
      </c>
      <c r="E17" s="1173">
        <v>2012</v>
      </c>
      <c r="F17" s="1174"/>
      <c r="G17" s="1174"/>
      <c r="H17" s="1174"/>
      <c r="I17" s="1174"/>
      <c r="J17" s="1174"/>
      <c r="K17" s="1174"/>
      <c r="L17" s="1174"/>
      <c r="M17" s="1174"/>
      <c r="N17" s="1174"/>
      <c r="O17" s="1174"/>
      <c r="P17" s="1174"/>
      <c r="Q17" s="1175"/>
      <c r="R17" s="72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</row>
    <row r="18" spans="1:33" ht="15" customHeight="1" thickBot="1">
      <c r="A18" s="69"/>
      <c r="B18" s="69"/>
      <c r="C18" s="69"/>
      <c r="D18" s="1172"/>
      <c r="E18" s="362" t="str">
        <f>IF(MasterSheet!$A$1=1,MasterSheet!C336,MasterSheet!C335)</f>
        <v>Januar</v>
      </c>
      <c r="F18" s="363" t="str">
        <f>IF(MasterSheet!$A$1=1,MasterSheet!D336,MasterSheet!D335)</f>
        <v>Februar</v>
      </c>
      <c r="G18" s="363" t="str">
        <f>IF(MasterSheet!$A$1=1,MasterSheet!E336,MasterSheet!E335)</f>
        <v>Mart</v>
      </c>
      <c r="H18" s="363" t="str">
        <f>IF(MasterSheet!$A$1=1,MasterSheet!F336,MasterSheet!F335)</f>
        <v>April</v>
      </c>
      <c r="I18" s="363" t="str">
        <f>IF(MasterSheet!$A$1=1,MasterSheet!G336,MasterSheet!G335)</f>
        <v>Maj</v>
      </c>
      <c r="J18" s="363" t="str">
        <f>IF(MasterSheet!$A$1=1,MasterSheet!H336,MasterSheet!H335)</f>
        <v>Jun</v>
      </c>
      <c r="K18" s="363" t="str">
        <f>IF(MasterSheet!$A$1=1,MasterSheet!I336,MasterSheet!I335)</f>
        <v>Jul</v>
      </c>
      <c r="L18" s="364" t="str">
        <f>IF(MasterSheet!$A$1=1,MasterSheet!J336,MasterSheet!J335)</f>
        <v>Avgust</v>
      </c>
      <c r="M18" s="364" t="str">
        <f>IF(MasterSheet!$A$1=1,MasterSheet!K336,MasterSheet!K335)</f>
        <v>Septembar</v>
      </c>
      <c r="N18" s="364" t="str">
        <f>IF(MasterSheet!$A$1=1,MasterSheet!L336,MasterSheet!L335)</f>
        <v>Oktobar</v>
      </c>
      <c r="O18" s="364" t="str">
        <f>IF(MasterSheet!$A$1=1,MasterSheet!M336,MasterSheet!M335)</f>
        <v>Novembar</v>
      </c>
      <c r="P18" s="373" t="str">
        <f>IF(MasterSheet!$A$1=1,MasterSheet!N336,MasterSheet!N335)</f>
        <v>Decembar</v>
      </c>
      <c r="Q18" s="365">
        <v>2012</v>
      </c>
      <c r="R18" s="72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</row>
    <row r="19" spans="1:33" ht="15" customHeight="1" thickTop="1" thickBot="1">
      <c r="A19" s="69"/>
      <c r="B19" s="69"/>
      <c r="C19" s="69"/>
      <c r="D19" s="358" t="str">
        <f>IF(MasterSheet!$A$1=1,MasterSheet!C337,MasterSheet!B337)</f>
        <v>Izvorni prihodi</v>
      </c>
      <c r="E19" s="359">
        <f>+E20+E28+E33+E38+E45+E50</f>
        <v>49090469.247314483</v>
      </c>
      <c r="F19" s="360">
        <f t="shared" ref="F19:P19" si="0">+F20+F28+F33+F38+F45+F50</f>
        <v>67723340.679999977</v>
      </c>
      <c r="G19" s="360">
        <f t="shared" si="0"/>
        <v>76230494.38000001</v>
      </c>
      <c r="H19" s="360">
        <f t="shared" si="0"/>
        <v>95056928.31688787</v>
      </c>
      <c r="I19" s="360">
        <f t="shared" si="0"/>
        <v>95751882.955327958</v>
      </c>
      <c r="J19" s="360">
        <f t="shared" si="0"/>
        <v>104234267.11657566</v>
      </c>
      <c r="K19" s="360">
        <f t="shared" si="0"/>
        <v>118066917.09975642</v>
      </c>
      <c r="L19" s="361">
        <f t="shared" si="0"/>
        <v>117316712.64636129</v>
      </c>
      <c r="M19" s="361">
        <f t="shared" si="0"/>
        <v>111323542.91336422</v>
      </c>
      <c r="N19" s="361">
        <f t="shared" si="0"/>
        <v>97362840.285213619</v>
      </c>
      <c r="O19" s="361">
        <f t="shared" si="0"/>
        <v>91299112.713989705</v>
      </c>
      <c r="P19" s="374">
        <f t="shared" si="0"/>
        <v>126600464.29134272</v>
      </c>
      <c r="Q19" s="527">
        <f>+SUM(E19:P19)</f>
        <v>1150056972.6461337</v>
      </c>
      <c r="R19" s="72"/>
      <c r="S19" s="558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</row>
    <row r="20" spans="1:33" ht="15" customHeight="1" thickTop="1">
      <c r="A20" s="69"/>
      <c r="B20" s="69"/>
      <c r="C20" s="69"/>
      <c r="D20" s="301" t="str">
        <f>IF(MasterSheet!$A$1=1,MasterSheet!C338,MasterSheet!B338)</f>
        <v>Porezi</v>
      </c>
      <c r="E20" s="350">
        <f>+SUM(E21:E27)</f>
        <v>35884139.43</v>
      </c>
      <c r="F20" s="351">
        <f t="shared" ref="F20:P20" si="1">+SUM(F21:F27)</f>
        <v>38790866.019999996</v>
      </c>
      <c r="G20" s="351">
        <f t="shared" si="1"/>
        <v>44749384.840000004</v>
      </c>
      <c r="H20" s="351">
        <f t="shared" si="1"/>
        <v>59809575.521334693</v>
      </c>
      <c r="I20" s="351">
        <f t="shared" si="1"/>
        <v>59954132.231166467</v>
      </c>
      <c r="J20" s="351">
        <f t="shared" si="1"/>
        <v>66594825.407146081</v>
      </c>
      <c r="K20" s="351">
        <f t="shared" si="1"/>
        <v>74656350.874309167</v>
      </c>
      <c r="L20" s="352">
        <f t="shared" si="1"/>
        <v>80900011.372522965</v>
      </c>
      <c r="M20" s="352">
        <f t="shared" si="1"/>
        <v>76427271.044919074</v>
      </c>
      <c r="N20" s="352">
        <f t="shared" si="1"/>
        <v>60689628.398465954</v>
      </c>
      <c r="O20" s="352">
        <f t="shared" si="1"/>
        <v>57540714.64723257</v>
      </c>
      <c r="P20" s="375">
        <f t="shared" si="1"/>
        <v>69616717.594397381</v>
      </c>
      <c r="Q20" s="353">
        <f t="shared" ref="Q20:Q81" si="2">+SUM(E20:P20)</f>
        <v>725613617.3814944</v>
      </c>
      <c r="R20" s="72"/>
      <c r="S20" s="558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</row>
    <row r="21" spans="1:33" ht="15" customHeight="1">
      <c r="A21" s="69"/>
      <c r="B21" s="69"/>
      <c r="C21" s="69"/>
      <c r="D21" s="302" t="str">
        <f>IF(MasterSheet!$A$1=1,MasterSheet!C339,MasterSheet!B339)</f>
        <v>Porez na dohodak fizičkih lica</v>
      </c>
      <c r="E21" s="354">
        <v>2584361.34</v>
      </c>
      <c r="F21" s="355">
        <v>5333687.79</v>
      </c>
      <c r="G21" s="355">
        <v>6340026.6100000003</v>
      </c>
      <c r="H21" s="355">
        <v>6899643.1454624813</v>
      </c>
      <c r="I21" s="355">
        <v>6600971.8524795119</v>
      </c>
      <c r="J21" s="355">
        <v>7114020.48814948</v>
      </c>
      <c r="K21" s="355">
        <v>8215100.6202326622</v>
      </c>
      <c r="L21" s="356">
        <v>6740386.7046623118</v>
      </c>
      <c r="M21" s="356">
        <v>6726627.2033528583</v>
      </c>
      <c r="N21" s="356">
        <v>7521228.2862954009</v>
      </c>
      <c r="O21" s="356">
        <v>6865054.8126747478</v>
      </c>
      <c r="P21" s="376">
        <v>10553909.375907566</v>
      </c>
      <c r="Q21" s="357">
        <f t="shared" si="2"/>
        <v>81495018.229217038</v>
      </c>
      <c r="R21" s="72"/>
      <c r="S21" s="558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</row>
    <row r="22" spans="1:33" ht="15" customHeight="1">
      <c r="A22" s="69"/>
      <c r="B22" s="69"/>
      <c r="C22" s="69"/>
      <c r="D22" s="302" t="str">
        <f>IF(MasterSheet!$A$1=1,MasterSheet!C340,MasterSheet!B340)</f>
        <v>Porez na dobit pravnih lica</v>
      </c>
      <c r="E22" s="354">
        <v>405891.15</v>
      </c>
      <c r="F22" s="355">
        <v>434576.57</v>
      </c>
      <c r="G22" s="355">
        <v>4545996.0599999996</v>
      </c>
      <c r="H22" s="355">
        <v>12775632.6306853</v>
      </c>
      <c r="I22" s="355">
        <v>4034745.26468893</v>
      </c>
      <c r="J22" s="355">
        <v>4038531.2986496501</v>
      </c>
      <c r="K22" s="355">
        <v>4096624.1645811498</v>
      </c>
      <c r="L22" s="356">
        <v>4106517.31189611</v>
      </c>
      <c r="M22" s="356">
        <v>3531850.6365874051</v>
      </c>
      <c r="N22" s="356">
        <v>2866253.0291905645</v>
      </c>
      <c r="O22" s="356">
        <v>2210022.150889725</v>
      </c>
      <c r="P22" s="376">
        <v>3827334.67535508</v>
      </c>
      <c r="Q22" s="357">
        <f t="shared" si="2"/>
        <v>46873974.942523912</v>
      </c>
      <c r="R22" s="72"/>
      <c r="S22" s="558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</row>
    <row r="23" spans="1:33" ht="15" customHeight="1">
      <c r="A23" s="69"/>
      <c r="B23" s="69"/>
      <c r="C23" s="69"/>
      <c r="D23" s="302" t="str">
        <f>IF(MasterSheet!$A$1=1,MasterSheet!C341,MasterSheet!B341)</f>
        <v>Porez na imovinu</v>
      </c>
      <c r="E23" s="354">
        <v>77264.789999999994</v>
      </c>
      <c r="F23" s="355">
        <v>98564.160000000003</v>
      </c>
      <c r="G23" s="355">
        <v>177064.83</v>
      </c>
      <c r="H23" s="355">
        <v>90009.811791237225</v>
      </c>
      <c r="I23" s="355">
        <v>116008.39646101542</v>
      </c>
      <c r="J23" s="355">
        <v>121085.57673450338</v>
      </c>
      <c r="K23" s="355">
        <v>103764.9934183138</v>
      </c>
      <c r="L23" s="356">
        <v>135318.93016237771</v>
      </c>
      <c r="M23" s="356">
        <v>125345.73569109281</v>
      </c>
      <c r="N23" s="356">
        <v>152102.71025805321</v>
      </c>
      <c r="O23" s="356">
        <v>149405.7751982155</v>
      </c>
      <c r="P23" s="376">
        <v>128911.89908753893</v>
      </c>
      <c r="Q23" s="357">
        <f t="shared" si="2"/>
        <v>1474847.6088023479</v>
      </c>
      <c r="R23" s="72"/>
      <c r="S23" s="558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</row>
    <row r="24" spans="1:33" ht="15" customHeight="1">
      <c r="A24" s="69"/>
      <c r="B24" s="69"/>
      <c r="C24" s="69"/>
      <c r="D24" s="302" t="str">
        <f>IF(MasterSheet!$A$1=1,MasterSheet!C342,MasterSheet!B342)</f>
        <v>Porez na dodatu vrijednost</v>
      </c>
      <c r="E24" s="354">
        <v>21196163.460000001</v>
      </c>
      <c r="F24" s="355">
        <v>21324767.77</v>
      </c>
      <c r="G24" s="355">
        <v>23762618.34</v>
      </c>
      <c r="H24" s="355">
        <v>24674166.005451169</v>
      </c>
      <c r="I24" s="355">
        <v>30277340.189314827</v>
      </c>
      <c r="J24" s="355">
        <v>36331542.321197756</v>
      </c>
      <c r="K24" s="355">
        <v>39251330.15294154</v>
      </c>
      <c r="L24" s="356">
        <v>46581355.607926205</v>
      </c>
      <c r="M24" s="356">
        <v>41560282.748583443</v>
      </c>
      <c r="N24" s="356">
        <v>30962039.26754114</v>
      </c>
      <c r="O24" s="356">
        <v>29798326.476192769</v>
      </c>
      <c r="P24" s="376">
        <v>35500610.184197843</v>
      </c>
      <c r="Q24" s="357">
        <f t="shared" si="2"/>
        <v>381220542.52334666</v>
      </c>
      <c r="R24" s="72"/>
      <c r="S24" s="558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</row>
    <row r="25" spans="1:33" ht="15" customHeight="1">
      <c r="A25" s="69"/>
      <c r="B25" s="69"/>
      <c r="C25" s="69"/>
      <c r="D25" s="302" t="str">
        <f>IF(MasterSheet!$A$1=1,MasterSheet!C343,MasterSheet!B343)</f>
        <v xml:space="preserve">Akcize </v>
      </c>
      <c r="E25" s="354">
        <v>9267303.6799999997</v>
      </c>
      <c r="F25" s="355">
        <v>9083966.1199999992</v>
      </c>
      <c r="G25" s="355">
        <v>6379102.2800000003</v>
      </c>
      <c r="H25" s="355">
        <v>11244037.765928697</v>
      </c>
      <c r="I25" s="355">
        <v>14079291.317961704</v>
      </c>
      <c r="J25" s="355">
        <v>13784865.076531049</v>
      </c>
      <c r="K25" s="355">
        <v>17843487.435989011</v>
      </c>
      <c r="L25" s="356">
        <v>17698521.140411217</v>
      </c>
      <c r="M25" s="356">
        <v>19479265.326254725</v>
      </c>
      <c r="N25" s="356">
        <v>14959094.680419376</v>
      </c>
      <c r="O25" s="356">
        <v>14431052.556645213</v>
      </c>
      <c r="P25" s="376">
        <v>14810367.692904683</v>
      </c>
      <c r="Q25" s="357">
        <f t="shared" si="2"/>
        <v>163060355.07304567</v>
      </c>
      <c r="R25" s="72"/>
      <c r="S25" s="558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</row>
    <row r="26" spans="1:33" ht="15" customHeight="1">
      <c r="A26" s="69"/>
      <c r="B26" s="69"/>
      <c r="C26" s="69"/>
      <c r="D26" s="302" t="str">
        <f>IF(MasterSheet!$A$1=1,MasterSheet!C344,MasterSheet!B344)</f>
        <v>Porez na međ. trgov. i transakcije</v>
      </c>
      <c r="E26" s="354">
        <v>2099688</v>
      </c>
      <c r="F26" s="355">
        <v>2267285.1800000002</v>
      </c>
      <c r="G26" s="355">
        <v>3241532.58</v>
      </c>
      <c r="H26" s="355">
        <v>3763688.0048280312</v>
      </c>
      <c r="I26" s="355">
        <v>4479283.9786286028</v>
      </c>
      <c r="J26" s="355">
        <v>4779150.3767327284</v>
      </c>
      <c r="K26" s="355">
        <v>4793105.3140469501</v>
      </c>
      <c r="L26" s="356">
        <v>5232685.6134309592</v>
      </c>
      <c r="M26" s="356">
        <v>4621116.9066925542</v>
      </c>
      <c r="N26" s="356">
        <v>3871649.5325242481</v>
      </c>
      <c r="O26" s="356">
        <v>3733363.4369399128</v>
      </c>
      <c r="P26" s="376">
        <v>4457745.9807347255</v>
      </c>
      <c r="Q26" s="357">
        <f t="shared" si="2"/>
        <v>47340294.904558711</v>
      </c>
      <c r="R26" s="72"/>
      <c r="S26" s="558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</row>
    <row r="27" spans="1:33" ht="15" customHeight="1">
      <c r="A27" s="69"/>
      <c r="B27" s="69"/>
      <c r="C27" s="69"/>
      <c r="D27" s="302" t="str">
        <f>IF(MasterSheet!$A$1=1,MasterSheet!C345,MasterSheet!B345)</f>
        <v>Ostali republički porezi</v>
      </c>
      <c r="E27" s="354">
        <v>253467.01</v>
      </c>
      <c r="F27" s="355">
        <v>248018.43</v>
      </c>
      <c r="G27" s="355">
        <v>303044.14</v>
      </c>
      <c r="H27" s="355">
        <v>362398.15718777996</v>
      </c>
      <c r="I27" s="355">
        <v>366491.23163187504</v>
      </c>
      <c r="J27" s="355">
        <v>425630.26915091689</v>
      </c>
      <c r="K27" s="355">
        <v>352938.19309954374</v>
      </c>
      <c r="L27" s="356">
        <v>405226.0640337792</v>
      </c>
      <c r="M27" s="356">
        <v>382782.48775700358</v>
      </c>
      <c r="N27" s="356">
        <v>357260.89223716373</v>
      </c>
      <c r="O27" s="356">
        <v>353489.43869199126</v>
      </c>
      <c r="P27" s="376">
        <v>337837.78620994627</v>
      </c>
      <c r="Q27" s="357">
        <f t="shared" si="2"/>
        <v>4148584.0999999996</v>
      </c>
      <c r="R27" s="72"/>
      <c r="S27" s="558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</row>
    <row r="28" spans="1:33" ht="15" customHeight="1">
      <c r="A28" s="69"/>
      <c r="B28" s="69"/>
      <c r="C28" s="69"/>
      <c r="D28" s="303" t="str">
        <f>IF(MasterSheet!$A$1=1,MasterSheet!C346,MasterSheet!B346)</f>
        <v>Doprinosi</v>
      </c>
      <c r="E28" s="350">
        <f>+SUM(E29:E32)</f>
        <v>9731156.040000001</v>
      </c>
      <c r="F28" s="351">
        <f t="shared" ref="F28:P28" si="3">+SUM(F29:F32)</f>
        <v>25137844.68</v>
      </c>
      <c r="G28" s="351">
        <f t="shared" si="3"/>
        <v>26888282.780000001</v>
      </c>
      <c r="H28" s="351">
        <f t="shared" si="3"/>
        <v>30174901.864837062</v>
      </c>
      <c r="I28" s="351">
        <f t="shared" si="3"/>
        <v>28251560.707096413</v>
      </c>
      <c r="J28" s="351">
        <f t="shared" si="3"/>
        <v>31316530.87041501</v>
      </c>
      <c r="K28" s="351">
        <f t="shared" si="3"/>
        <v>36931561.181749575</v>
      </c>
      <c r="L28" s="352">
        <f t="shared" si="3"/>
        <v>29709846.394185983</v>
      </c>
      <c r="M28" s="352">
        <f t="shared" si="3"/>
        <v>29419650.784605835</v>
      </c>
      <c r="N28" s="352">
        <f t="shared" si="3"/>
        <v>27738827.858062901</v>
      </c>
      <c r="O28" s="352">
        <f t="shared" si="3"/>
        <v>27626752.80655561</v>
      </c>
      <c r="P28" s="375">
        <f t="shared" si="3"/>
        <v>49065769.605793335</v>
      </c>
      <c r="Q28" s="353">
        <f t="shared" si="2"/>
        <v>351992685.57330179</v>
      </c>
      <c r="R28" s="72"/>
      <c r="S28" s="558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</row>
    <row r="29" spans="1:33" ht="15" customHeight="1">
      <c r="A29" s="69"/>
      <c r="B29" s="69"/>
      <c r="C29" s="69"/>
      <c r="D29" s="302" t="str">
        <f>IF(MasterSheet!$A$1=1,MasterSheet!C347,MasterSheet!B347)</f>
        <v>Doprinosi za PIO</v>
      </c>
      <c r="E29" s="354">
        <v>5695801.6600000001</v>
      </c>
      <c r="F29" s="355">
        <v>15441279.77</v>
      </c>
      <c r="G29" s="355">
        <v>15437035.58</v>
      </c>
      <c r="H29" s="355">
        <v>18484245.241564374</v>
      </c>
      <c r="I29" s="355">
        <v>17770132.816178389</v>
      </c>
      <c r="J29" s="355">
        <v>18627623.482507117</v>
      </c>
      <c r="K29" s="355">
        <v>22432831.167018</v>
      </c>
      <c r="L29" s="356">
        <v>18507817.88908077</v>
      </c>
      <c r="M29" s="356">
        <v>17927346.679670043</v>
      </c>
      <c r="N29" s="356">
        <v>15791755.400115408</v>
      </c>
      <c r="O29" s="356">
        <v>15509040.496979561</v>
      </c>
      <c r="P29" s="376">
        <v>30183681.739635807</v>
      </c>
      <c r="Q29" s="357">
        <f t="shared" si="2"/>
        <v>211808591.92274943</v>
      </c>
      <c r="R29" s="72"/>
      <c r="S29" s="558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</row>
    <row r="30" spans="1:33" ht="15" customHeight="1">
      <c r="A30" s="69"/>
      <c r="B30" s="69"/>
      <c r="C30" s="69"/>
      <c r="D30" s="302" t="str">
        <f>IF(MasterSheet!$A$1=1,MasterSheet!C348,MasterSheet!B348)</f>
        <v>Doprinosi za zdravstvo</v>
      </c>
      <c r="E30" s="354">
        <v>3347397.46</v>
      </c>
      <c r="F30" s="355">
        <v>8394380.3000000007</v>
      </c>
      <c r="G30" s="355">
        <v>9781009.6899999995</v>
      </c>
      <c r="H30" s="355">
        <v>10210111.779957371</v>
      </c>
      <c r="I30" s="355">
        <v>9223399.1775990929</v>
      </c>
      <c r="J30" s="355">
        <v>10633262.673842419</v>
      </c>
      <c r="K30" s="355">
        <v>12379390.241026372</v>
      </c>
      <c r="L30" s="356">
        <v>9832882.7879704498</v>
      </c>
      <c r="M30" s="356">
        <v>10128619.60888489</v>
      </c>
      <c r="N30" s="356">
        <v>9667721.9172335733</v>
      </c>
      <c r="O30" s="356">
        <v>10404774.096872106</v>
      </c>
      <c r="P30" s="376">
        <v>16203671.827901902</v>
      </c>
      <c r="Q30" s="357">
        <f t="shared" si="2"/>
        <v>120206621.56128818</v>
      </c>
      <c r="R30" s="72"/>
      <c r="S30" s="558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</row>
    <row r="31" spans="1:33" ht="15" customHeight="1">
      <c r="A31" s="69"/>
      <c r="B31" s="69"/>
      <c r="C31" s="69"/>
      <c r="D31" s="302" t="str">
        <f>IF(MasterSheet!$A$1=1,MasterSheet!C349,MasterSheet!B349)</f>
        <v>Doprinosi za nezaposlene</v>
      </c>
      <c r="E31" s="354">
        <v>261820.11</v>
      </c>
      <c r="F31" s="355">
        <v>670649.61</v>
      </c>
      <c r="G31" s="355">
        <v>810598.01</v>
      </c>
      <c r="H31" s="355">
        <v>998492.13752230862</v>
      </c>
      <c r="I31" s="355">
        <v>877381.50342924136</v>
      </c>
      <c r="J31" s="355">
        <v>1513064.0375214359</v>
      </c>
      <c r="K31" s="355">
        <v>1145734.1238778001</v>
      </c>
      <c r="L31" s="356">
        <v>928882.6409355331</v>
      </c>
      <c r="M31" s="356">
        <v>925847.20714586624</v>
      </c>
      <c r="N31" s="356">
        <v>1124020.9347312516</v>
      </c>
      <c r="O31" s="356">
        <v>518497.140110565</v>
      </c>
      <c r="P31" s="376">
        <v>1290905.1883541213</v>
      </c>
      <c r="Q31" s="357">
        <f t="shared" si="2"/>
        <v>11065892.643628124</v>
      </c>
      <c r="R31" s="72"/>
      <c r="S31" s="558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</row>
    <row r="32" spans="1:33" ht="15" customHeight="1">
      <c r="A32" s="69"/>
      <c r="B32" s="69"/>
      <c r="C32" s="69"/>
      <c r="D32" s="302" t="str">
        <f>IF(MasterSheet!$A$1=1,MasterSheet!C350,MasterSheet!B350)</f>
        <v>Ostali doprinosi</v>
      </c>
      <c r="E32" s="354">
        <v>426136.81</v>
      </c>
      <c r="F32" s="355">
        <v>631535</v>
      </c>
      <c r="G32" s="355">
        <v>859639.5</v>
      </c>
      <c r="H32" s="355">
        <v>482052.70579300536</v>
      </c>
      <c r="I32" s="355">
        <v>380647.20988968899</v>
      </c>
      <c r="J32" s="355">
        <v>542580.67654403497</v>
      </c>
      <c r="K32" s="355">
        <v>973605.6498274093</v>
      </c>
      <c r="L32" s="356">
        <v>440263.07619923091</v>
      </c>
      <c r="M32" s="356">
        <v>437837.28890503506</v>
      </c>
      <c r="N32" s="356">
        <v>1155329.6059826692</v>
      </c>
      <c r="O32" s="356">
        <v>1194441.0725933802</v>
      </c>
      <c r="P32" s="376">
        <v>1387510.8499015067</v>
      </c>
      <c r="Q32" s="357">
        <f t="shared" si="2"/>
        <v>8911579.4456359595</v>
      </c>
      <c r="R32" s="72"/>
      <c r="S32" s="558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</row>
    <row r="33" spans="1:33" ht="15" customHeight="1">
      <c r="A33" s="69"/>
      <c r="B33" s="69"/>
      <c r="C33" s="69"/>
      <c r="D33" s="303" t="str">
        <f>IF(MasterSheet!$A$1=1,MasterSheet!C351,MasterSheet!B351)</f>
        <v>Takse</v>
      </c>
      <c r="E33" s="350">
        <f>+SUM(E34:E37)</f>
        <v>1157748.0273144848</v>
      </c>
      <c r="F33" s="351">
        <f t="shared" ref="F33:P33" si="4">+SUM(F34:F37)</f>
        <v>802553.01</v>
      </c>
      <c r="G33" s="351">
        <f t="shared" si="4"/>
        <v>1028373.58</v>
      </c>
      <c r="H33" s="351">
        <f t="shared" si="4"/>
        <v>1689109.847851604</v>
      </c>
      <c r="I33" s="351">
        <f t="shared" si="4"/>
        <v>2799824.8997433251</v>
      </c>
      <c r="J33" s="351">
        <f t="shared" si="4"/>
        <v>2941388.8289866522</v>
      </c>
      <c r="K33" s="351">
        <f t="shared" si="4"/>
        <v>2767670.6173512251</v>
      </c>
      <c r="L33" s="352">
        <f t="shared" si="4"/>
        <v>3019996.1538047213</v>
      </c>
      <c r="M33" s="352">
        <f t="shared" si="4"/>
        <v>2805146.207217061</v>
      </c>
      <c r="N33" s="352">
        <f t="shared" si="4"/>
        <v>2672236.0550296372</v>
      </c>
      <c r="O33" s="352">
        <f t="shared" si="4"/>
        <v>2631987.7001344641</v>
      </c>
      <c r="P33" s="375">
        <f t="shared" si="4"/>
        <v>2773099.8066372396</v>
      </c>
      <c r="Q33" s="353">
        <f t="shared" si="2"/>
        <v>27089134.734070413</v>
      </c>
      <c r="R33" s="72"/>
      <c r="S33" s="558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</row>
    <row r="34" spans="1:33" ht="15" customHeight="1">
      <c r="A34" s="69"/>
      <c r="B34" s="69"/>
      <c r="C34" s="69"/>
      <c r="D34" s="302" t="str">
        <f>IF(MasterSheet!$A$1=1,MasterSheet!C352,MasterSheet!B352)</f>
        <v>Administrativne takse</v>
      </c>
      <c r="E34" s="354">
        <v>669702.69756564009</v>
      </c>
      <c r="F34" s="355">
        <v>514488.16</v>
      </c>
      <c r="G34" s="355">
        <v>683989.8</v>
      </c>
      <c r="H34" s="355">
        <v>1119481.2460152011</v>
      </c>
      <c r="I34" s="355">
        <v>1182651.5193698509</v>
      </c>
      <c r="J34" s="355">
        <v>1242789.2554271924</v>
      </c>
      <c r="K34" s="355">
        <v>1049947.6896450392</v>
      </c>
      <c r="L34" s="356">
        <v>1199052.07047481</v>
      </c>
      <c r="M34" s="356">
        <v>1029504.0962408101</v>
      </c>
      <c r="N34" s="356">
        <v>951733.82764699298</v>
      </c>
      <c r="O34" s="356">
        <v>955537.31299001421</v>
      </c>
      <c r="P34" s="376">
        <v>977576.33247074706</v>
      </c>
      <c r="Q34" s="357">
        <f t="shared" si="2"/>
        <v>11576454.007846298</v>
      </c>
      <c r="R34" s="72"/>
      <c r="S34" s="558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</row>
    <row r="35" spans="1:33" ht="15" customHeight="1">
      <c r="A35" s="69"/>
      <c r="B35" s="69"/>
      <c r="C35" s="69"/>
      <c r="D35" s="302" t="str">
        <f>IF(MasterSheet!$A$1=1,MasterSheet!C353,MasterSheet!B353)</f>
        <v>Sudske takse</v>
      </c>
      <c r="E35" s="354">
        <v>448577.75176327256</v>
      </c>
      <c r="F35" s="355">
        <v>252773.36</v>
      </c>
      <c r="G35" s="355">
        <v>319795.43</v>
      </c>
      <c r="H35" s="355">
        <v>431391.02357466321</v>
      </c>
      <c r="I35" s="355">
        <v>408596.23006008938</v>
      </c>
      <c r="J35" s="355">
        <v>432932.29827326466</v>
      </c>
      <c r="K35" s="355">
        <v>360058.83565197239</v>
      </c>
      <c r="L35" s="356">
        <v>298534.551709291</v>
      </c>
      <c r="M35" s="356">
        <v>366480.4193458588</v>
      </c>
      <c r="N35" s="356">
        <v>397041.12981746282</v>
      </c>
      <c r="O35" s="356">
        <v>394899.31904399244</v>
      </c>
      <c r="P35" s="376">
        <v>463925.92911660351</v>
      </c>
      <c r="Q35" s="357">
        <f t="shared" si="2"/>
        <v>4575006.278356472</v>
      </c>
      <c r="R35" s="72"/>
      <c r="S35" s="558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</row>
    <row r="36" spans="1:33" ht="15" customHeight="1">
      <c r="A36" s="69"/>
      <c r="B36" s="69"/>
      <c r="C36" s="69"/>
      <c r="D36" s="302" t="str">
        <f>IF(MasterSheet!$A$1=1,MasterSheet!C354,MasterSheet!B354)</f>
        <v>Boravišne takse</v>
      </c>
      <c r="E36" s="354">
        <v>4255.2776430082668</v>
      </c>
      <c r="F36" s="355">
        <v>5374.77</v>
      </c>
      <c r="G36" s="355">
        <v>5399.35</v>
      </c>
      <c r="H36" s="355">
        <v>12735.730956291767</v>
      </c>
      <c r="I36" s="355">
        <v>15890.281741399323</v>
      </c>
      <c r="J36" s="355">
        <v>46484.026257342812</v>
      </c>
      <c r="K36" s="355">
        <v>113799.73141277127</v>
      </c>
      <c r="L36" s="356">
        <v>196723.80202430388</v>
      </c>
      <c r="M36" s="356">
        <v>99640.714607125366</v>
      </c>
      <c r="N36" s="356">
        <v>41043.681967885328</v>
      </c>
      <c r="O36" s="356">
        <v>15621.399052826671</v>
      </c>
      <c r="P36" s="376">
        <v>17507.43652182513</v>
      </c>
      <c r="Q36" s="357">
        <f t="shared" si="2"/>
        <v>574476.20218477992</v>
      </c>
      <c r="R36" s="72"/>
      <c r="S36" s="558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</row>
    <row r="37" spans="1:33" ht="15" customHeight="1">
      <c r="A37" s="69"/>
      <c r="B37" s="69"/>
      <c r="C37" s="69"/>
      <c r="D37" s="302" t="str">
        <f>IF(MasterSheet!$A$1=1,MasterSheet!C355,MasterSheet!B355)</f>
        <v>Ostale takse</v>
      </c>
      <c r="E37" s="354">
        <v>35212.300342563933</v>
      </c>
      <c r="F37" s="355">
        <v>29916.720000000001</v>
      </c>
      <c r="G37" s="355">
        <v>19189</v>
      </c>
      <c r="H37" s="355">
        <v>125501.84730544793</v>
      </c>
      <c r="I37" s="355">
        <v>1192686.8685719853</v>
      </c>
      <c r="J37" s="355">
        <v>1219183.2490288524</v>
      </c>
      <c r="K37" s="355">
        <v>1243864.3606414422</v>
      </c>
      <c r="L37" s="356">
        <v>1325685.7295963163</v>
      </c>
      <c r="M37" s="356">
        <v>1309520.9770232667</v>
      </c>
      <c r="N37" s="356">
        <v>1282417.4155972959</v>
      </c>
      <c r="O37" s="356">
        <v>1265929.6690476309</v>
      </c>
      <c r="P37" s="376">
        <v>1314090.1085280636</v>
      </c>
      <c r="Q37" s="357">
        <f t="shared" si="2"/>
        <v>10363198.245682865</v>
      </c>
      <c r="R37" s="72"/>
      <c r="S37" s="558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</row>
    <row r="38" spans="1:33" ht="15" customHeight="1">
      <c r="A38" s="69"/>
      <c r="B38" s="69"/>
      <c r="C38" s="69"/>
      <c r="D38" s="303" t="str">
        <f>IF(MasterSheet!$A$1=1,MasterSheet!C356,MasterSheet!B356)</f>
        <v>Naknade</v>
      </c>
      <c r="E38" s="350">
        <f>+SUM(E39:E44)</f>
        <v>839122.82</v>
      </c>
      <c r="F38" s="351">
        <f t="shared" ref="F38:P38" si="5">+SUM(F39:F44)</f>
        <v>792117.05</v>
      </c>
      <c r="G38" s="351">
        <f t="shared" si="5"/>
        <v>742715.4</v>
      </c>
      <c r="H38" s="351">
        <f t="shared" si="5"/>
        <v>1301707.0104430066</v>
      </c>
      <c r="I38" s="351">
        <f t="shared" si="5"/>
        <v>2311222.3007926596</v>
      </c>
      <c r="J38" s="351">
        <f t="shared" si="5"/>
        <v>1118015.8995321407</v>
      </c>
      <c r="K38" s="351">
        <f t="shared" si="5"/>
        <v>1377128.244789782</v>
      </c>
      <c r="L38" s="352">
        <f t="shared" si="5"/>
        <v>1220692.8725631372</v>
      </c>
      <c r="M38" s="352">
        <f t="shared" si="5"/>
        <v>1095139.8697426463</v>
      </c>
      <c r="N38" s="352">
        <f t="shared" si="5"/>
        <v>1965591.7890931712</v>
      </c>
      <c r="O38" s="352">
        <f t="shared" si="5"/>
        <v>1043402.4813424207</v>
      </c>
      <c r="P38" s="375">
        <f t="shared" si="5"/>
        <v>1644215.9155997415</v>
      </c>
      <c r="Q38" s="353">
        <f t="shared" si="2"/>
        <v>15451071.653898705</v>
      </c>
      <c r="R38" s="72"/>
      <c r="S38" s="558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</row>
    <row r="39" spans="1:33" ht="15" customHeight="1">
      <c r="A39" s="69"/>
      <c r="B39" s="69"/>
      <c r="C39" s="69"/>
      <c r="D39" s="302" t="str">
        <f>IF(MasterSheet!$A$1=1,MasterSheet!C357,MasterSheet!B357)</f>
        <v>Nakn. za koriš. dob. od opš. int.</v>
      </c>
      <c r="E39" s="354">
        <v>55049.09</v>
      </c>
      <c r="F39" s="355">
        <v>17306.62</v>
      </c>
      <c r="G39" s="355">
        <v>16879.599999999999</v>
      </c>
      <c r="H39" s="355">
        <v>309763.84096257715</v>
      </c>
      <c r="I39" s="355">
        <v>279013.71592666203</v>
      </c>
      <c r="J39" s="355">
        <v>398888.85070302931</v>
      </c>
      <c r="K39" s="355">
        <v>284973.01342663105</v>
      </c>
      <c r="L39" s="356">
        <v>342367.87144499319</v>
      </c>
      <c r="M39" s="356">
        <v>327310.54110957368</v>
      </c>
      <c r="N39" s="356">
        <v>319858.27719186351</v>
      </c>
      <c r="O39" s="356">
        <v>279280.09299900749</v>
      </c>
      <c r="P39" s="376">
        <v>368771.64432610344</v>
      </c>
      <c r="Q39" s="357">
        <f t="shared" si="2"/>
        <v>2999463.1580904406</v>
      </c>
      <c r="R39" s="72"/>
      <c r="S39" s="558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</row>
    <row r="40" spans="1:33" ht="15" customHeight="1">
      <c r="A40" s="69"/>
      <c r="B40" s="69"/>
      <c r="C40" s="69"/>
      <c r="D40" s="302" t="str">
        <f>IF(MasterSheet!$A$1=1,MasterSheet!C358,MasterSheet!B358)</f>
        <v>Naknada za kor. prirodnih dobara</v>
      </c>
      <c r="E40" s="354">
        <v>45159</v>
      </c>
      <c r="F40" s="355">
        <v>65694.95</v>
      </c>
      <c r="G40" s="355">
        <v>71910.320000000007</v>
      </c>
      <c r="H40" s="355">
        <v>95484.339537086067</v>
      </c>
      <c r="I40" s="355">
        <v>95484.339537086067</v>
      </c>
      <c r="J40" s="355">
        <v>95484.339537086067</v>
      </c>
      <c r="K40" s="355">
        <v>95484.339537086067</v>
      </c>
      <c r="L40" s="356">
        <v>95484.339537086067</v>
      </c>
      <c r="M40" s="356">
        <v>95484.339537086067</v>
      </c>
      <c r="N40" s="356">
        <v>95484.339537086067</v>
      </c>
      <c r="O40" s="356">
        <v>95484.339537086067</v>
      </c>
      <c r="P40" s="376">
        <v>95484.339537086067</v>
      </c>
      <c r="Q40" s="357">
        <f t="shared" si="2"/>
        <v>1042123.3258337748</v>
      </c>
      <c r="R40" s="72"/>
      <c r="S40" s="558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</row>
    <row r="41" spans="1:33" ht="15" customHeight="1">
      <c r="A41" s="69"/>
      <c r="B41" s="69"/>
      <c r="C41" s="69"/>
      <c r="D41" s="302" t="str">
        <f>IF(MasterSheet!$A$1=1,MasterSheet!C359,MasterSheet!B359)</f>
        <v>Ekološke naknade</v>
      </c>
      <c r="E41" s="354">
        <v>178437.34</v>
      </c>
      <c r="F41" s="355">
        <v>1601.92</v>
      </c>
      <c r="G41" s="355">
        <v>9698.7999999999993</v>
      </c>
      <c r="H41" s="355">
        <v>141504.99939744329</v>
      </c>
      <c r="I41" s="355">
        <v>141504.99939744329</v>
      </c>
      <c r="J41" s="355">
        <v>141504.99939744329</v>
      </c>
      <c r="K41" s="355">
        <v>141504.99939744329</v>
      </c>
      <c r="L41" s="356">
        <v>141504.99939744329</v>
      </c>
      <c r="M41" s="356">
        <v>141504.99939744329</v>
      </c>
      <c r="N41" s="356">
        <v>141504.99939744329</v>
      </c>
      <c r="O41" s="356">
        <v>141504.99939744329</v>
      </c>
      <c r="P41" s="376">
        <v>141504.99939744329</v>
      </c>
      <c r="Q41" s="357">
        <f t="shared" si="2"/>
        <v>1463283.0545769897</v>
      </c>
      <c r="R41" s="72"/>
      <c r="S41" s="558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</row>
    <row r="42" spans="1:33" ht="15" customHeight="1">
      <c r="A42" s="69"/>
      <c r="B42" s="69"/>
      <c r="C42" s="69"/>
      <c r="D42" s="302" t="str">
        <f>IF(MasterSheet!$A$1=1,MasterSheet!C360,MasterSheet!B360)</f>
        <v>Naknade za priređ.  igara na sreću</v>
      </c>
      <c r="E42" s="354">
        <v>206077.15</v>
      </c>
      <c r="F42" s="355">
        <v>279371.71000000002</v>
      </c>
      <c r="G42" s="355">
        <v>313567.45</v>
      </c>
      <c r="H42" s="355">
        <v>57524.68711496226</v>
      </c>
      <c r="I42" s="355">
        <v>1298804.1898441419</v>
      </c>
      <c r="J42" s="355">
        <v>68352.918112544663</v>
      </c>
      <c r="K42" s="355">
        <v>55576.139532327797</v>
      </c>
      <c r="L42" s="356">
        <v>193691.27846575619</v>
      </c>
      <c r="M42" s="356">
        <v>182617.46701051402</v>
      </c>
      <c r="N42" s="356">
        <v>166919.30026882727</v>
      </c>
      <c r="O42" s="356">
        <v>108666.61947892298</v>
      </c>
      <c r="P42" s="376">
        <v>266314.79083468847</v>
      </c>
      <c r="Q42" s="357">
        <f t="shared" si="2"/>
        <v>3197483.7006626856</v>
      </c>
      <c r="R42" s="72"/>
      <c r="S42" s="558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</row>
    <row r="43" spans="1:33" ht="15" customHeight="1">
      <c r="A43" s="69"/>
      <c r="B43" s="69"/>
      <c r="C43" s="69"/>
      <c r="D43" s="302" t="str">
        <f>IF(MasterSheet!$A$1=1,MasterSheet!C361,MasterSheet!B361)</f>
        <v>Naknade za puteve</v>
      </c>
      <c r="E43" s="354">
        <v>245088</v>
      </c>
      <c r="F43" s="355">
        <v>217809.7</v>
      </c>
      <c r="G43" s="355">
        <v>213761.85</v>
      </c>
      <c r="H43" s="355">
        <v>196710.48991102431</v>
      </c>
      <c r="I43" s="355">
        <v>295418.76689994137</v>
      </c>
      <c r="J43" s="355">
        <v>219166.94959957179</v>
      </c>
      <c r="K43" s="355">
        <v>244522.45931992665</v>
      </c>
      <c r="L43" s="356">
        <v>278186.66683583241</v>
      </c>
      <c r="M43" s="356">
        <v>171190.03729971327</v>
      </c>
      <c r="N43" s="356">
        <v>648792.36177756009</v>
      </c>
      <c r="O43" s="356">
        <v>192204.43879678732</v>
      </c>
      <c r="P43" s="376">
        <v>204363.29001997915</v>
      </c>
      <c r="Q43" s="357">
        <f t="shared" si="2"/>
        <v>3127215.0104603367</v>
      </c>
      <c r="R43" s="72"/>
      <c r="S43" s="558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</row>
    <row r="44" spans="1:33" ht="15" customHeight="1">
      <c r="A44" s="69"/>
      <c r="B44" s="69"/>
      <c r="C44" s="69"/>
      <c r="D44" s="302" t="str">
        <f>IF(MasterSheet!$A$1=1,MasterSheet!C362,MasterSheet!B362)</f>
        <v>Ostale naknade</v>
      </c>
      <c r="E44" s="354">
        <v>109312.24</v>
      </c>
      <c r="F44" s="355">
        <v>210332.15</v>
      </c>
      <c r="G44" s="355">
        <v>116897.38</v>
      </c>
      <c r="H44" s="355">
        <v>500718.65351991355</v>
      </c>
      <c r="I44" s="355">
        <v>200996.28918738462</v>
      </c>
      <c r="J44" s="355">
        <v>194617.84218246568</v>
      </c>
      <c r="K44" s="355">
        <v>555067.29357636697</v>
      </c>
      <c r="L44" s="356">
        <v>169457.71688202597</v>
      </c>
      <c r="M44" s="356">
        <v>177032.48538831607</v>
      </c>
      <c r="N44" s="356">
        <v>593032.51092039107</v>
      </c>
      <c r="O44" s="356">
        <v>226261.99113317349</v>
      </c>
      <c r="P44" s="376">
        <v>567776.85148444085</v>
      </c>
      <c r="Q44" s="357">
        <f t="shared" si="2"/>
        <v>3621503.4042744781</v>
      </c>
      <c r="R44" s="72"/>
      <c r="S44" s="558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</row>
    <row r="45" spans="1:33" ht="15" customHeight="1">
      <c r="A45" s="69"/>
      <c r="B45" s="69"/>
      <c r="C45" s="69"/>
      <c r="D45" s="303" t="str">
        <f>IF(MasterSheet!$A$1=1,MasterSheet!C363,MasterSheet!B363)</f>
        <v>Ostali prihodi</v>
      </c>
      <c r="E45" s="350">
        <f>+SUM(E46:E49)</f>
        <v>990627.4600000002</v>
      </c>
      <c r="F45" s="351">
        <f t="shared" ref="F45:P45" si="6">+SUM(F46:F49)</f>
        <v>1891043.85</v>
      </c>
      <c r="G45" s="351">
        <f t="shared" si="6"/>
        <v>2485962.0700000003</v>
      </c>
      <c r="H45" s="351">
        <f t="shared" si="6"/>
        <v>1735450.6438601564</v>
      </c>
      <c r="I45" s="351">
        <f t="shared" si="6"/>
        <v>2217758.4453191785</v>
      </c>
      <c r="J45" s="351">
        <f t="shared" si="6"/>
        <v>2057071.1919965199</v>
      </c>
      <c r="K45" s="351">
        <f t="shared" si="6"/>
        <v>2036293.6199941358</v>
      </c>
      <c r="L45" s="352">
        <f t="shared" si="6"/>
        <v>1993610.0165978931</v>
      </c>
      <c r="M45" s="352">
        <f t="shared" si="6"/>
        <v>1319250.1888861335</v>
      </c>
      <c r="N45" s="352">
        <f t="shared" si="6"/>
        <v>3996269.3648696048</v>
      </c>
      <c r="O45" s="352">
        <f t="shared" si="6"/>
        <v>2008962.2379183236</v>
      </c>
      <c r="P45" s="375">
        <f t="shared" si="6"/>
        <v>3009138.3781972951</v>
      </c>
      <c r="Q45" s="353">
        <f t="shared" si="2"/>
        <v>25741437.467639241</v>
      </c>
      <c r="R45" s="72"/>
      <c r="S45" s="558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</row>
    <row r="46" spans="1:33" ht="15" customHeight="1">
      <c r="A46" s="69"/>
      <c r="B46" s="69"/>
      <c r="C46" s="69"/>
      <c r="D46" s="302" t="str">
        <f>IF(MasterSheet!$A$1=1,MasterSheet!C364,MasterSheet!B364)</f>
        <v>Prihodi od kapitala</v>
      </c>
      <c r="E46" s="354">
        <v>150875.69</v>
      </c>
      <c r="F46" s="355">
        <v>279636.31</v>
      </c>
      <c r="G46" s="355">
        <v>417534.63</v>
      </c>
      <c r="H46" s="355">
        <v>149220.17263419394</v>
      </c>
      <c r="I46" s="355">
        <v>163843.8409354756</v>
      </c>
      <c r="J46" s="355">
        <v>273714.32072320936</v>
      </c>
      <c r="K46" s="355">
        <v>351423.27187671443</v>
      </c>
      <c r="L46" s="356">
        <v>197426.7956329266</v>
      </c>
      <c r="M46" s="356">
        <v>87810.154813937435</v>
      </c>
      <c r="N46" s="356">
        <v>2546048.1959137395</v>
      </c>
      <c r="O46" s="356">
        <v>420293.26089019596</v>
      </c>
      <c r="P46" s="376">
        <v>769533.61759751663</v>
      </c>
      <c r="Q46" s="357">
        <f t="shared" si="2"/>
        <v>5807360.2610179093</v>
      </c>
      <c r="R46" s="72"/>
      <c r="S46" s="558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</row>
    <row r="47" spans="1:33" ht="15" customHeight="1">
      <c r="A47" s="69"/>
      <c r="B47" s="69"/>
      <c r="C47" s="69"/>
      <c r="D47" s="302" t="str">
        <f>IF(MasterSheet!$A$1=1,MasterSheet!C365,MasterSheet!B365)</f>
        <v>Novčane kazne i oduzete imovinske koristi</v>
      </c>
      <c r="E47" s="354">
        <v>394898.64</v>
      </c>
      <c r="F47" s="355">
        <v>492027.45</v>
      </c>
      <c r="G47" s="355">
        <v>704590.7</v>
      </c>
      <c r="H47" s="355">
        <v>467918.21784815041</v>
      </c>
      <c r="I47" s="355">
        <v>517536.66538872255</v>
      </c>
      <c r="J47" s="355">
        <v>615234.27021931775</v>
      </c>
      <c r="K47" s="355">
        <v>796312.28853367199</v>
      </c>
      <c r="L47" s="356">
        <v>980713.96668353933</v>
      </c>
      <c r="M47" s="356">
        <v>475748.20842334238</v>
      </c>
      <c r="N47" s="356">
        <v>463431.04003891215</v>
      </c>
      <c r="O47" s="356">
        <v>572302.52061439876</v>
      </c>
      <c r="P47" s="376">
        <v>739360.43348674255</v>
      </c>
      <c r="Q47" s="357">
        <f t="shared" si="2"/>
        <v>7220074.4012367986</v>
      </c>
      <c r="R47" s="72"/>
      <c r="S47" s="558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</row>
    <row r="48" spans="1:33" ht="15" customHeight="1">
      <c r="A48" s="69"/>
      <c r="B48" s="69"/>
      <c r="C48" s="69"/>
      <c r="D48" s="302" t="str">
        <f>IF(MasterSheet!$A$1=1,MasterSheet!C366,MasterSheet!B366)</f>
        <v>Prihodi koje organi ostvaruju vršenjem svoje djel.</v>
      </c>
      <c r="E48" s="354">
        <v>100875.57</v>
      </c>
      <c r="F48" s="355">
        <v>108799.21</v>
      </c>
      <c r="G48" s="355">
        <v>185279.53</v>
      </c>
      <c r="H48" s="355">
        <v>197585.47473803375</v>
      </c>
      <c r="I48" s="355">
        <v>205676.25987261714</v>
      </c>
      <c r="J48" s="356">
        <v>276328.87456216844</v>
      </c>
      <c r="K48" s="355">
        <v>218638.22353695356</v>
      </c>
      <c r="L48" s="356">
        <v>224648.70576521172</v>
      </c>
      <c r="M48" s="356">
        <v>200722.69649261201</v>
      </c>
      <c r="N48" s="356">
        <v>175912.60248423199</v>
      </c>
      <c r="O48" s="356">
        <v>180666.60183785288</v>
      </c>
      <c r="P48" s="376">
        <v>228916.94282851758</v>
      </c>
      <c r="Q48" s="357">
        <f t="shared" si="2"/>
        <v>2304050.6921181995</v>
      </c>
      <c r="R48" s="72"/>
      <c r="S48" s="558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</row>
    <row r="49" spans="1:33">
      <c r="A49" s="69"/>
      <c r="B49" s="69"/>
      <c r="C49" s="69"/>
      <c r="D49" s="302" t="str">
        <f>IF(MasterSheet!$A$1=1,MasterSheet!C367,MasterSheet!B367)</f>
        <v>Ostali prihodi</v>
      </c>
      <c r="E49" s="354">
        <v>343977.56</v>
      </c>
      <c r="F49" s="355">
        <v>1010580.88</v>
      </c>
      <c r="G49" s="355">
        <v>1178557.21</v>
      </c>
      <c r="H49" s="355">
        <v>920726.77863977838</v>
      </c>
      <c r="I49" s="355">
        <v>1330701.6791223635</v>
      </c>
      <c r="J49" s="356">
        <v>891793.72649182426</v>
      </c>
      <c r="K49" s="355">
        <v>669919.83604679583</v>
      </c>
      <c r="L49" s="356">
        <v>590820.54851621552</v>
      </c>
      <c r="M49" s="356">
        <v>554969.12915624178</v>
      </c>
      <c r="N49" s="356">
        <v>810877.52643272129</v>
      </c>
      <c r="O49" s="356">
        <v>835699.85457587591</v>
      </c>
      <c r="P49" s="376">
        <v>1271327.3842845184</v>
      </c>
      <c r="Q49" s="357">
        <f t="shared" si="2"/>
        <v>10409952.113266336</v>
      </c>
      <c r="R49" s="72"/>
      <c r="S49" s="558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</row>
    <row r="50" spans="1:33" ht="26.25" thickBot="1">
      <c r="A50" s="69"/>
      <c r="B50" s="69"/>
      <c r="C50" s="69"/>
      <c r="D50" s="368" t="str">
        <f>IF(MasterSheet!$A$1=1,MasterSheet!C368,MasterSheet!B368)</f>
        <v>Primici od otplate kredita i sredstva prenijeta iz prethodne godine</v>
      </c>
      <c r="E50" s="369">
        <v>487675.47</v>
      </c>
      <c r="F50" s="371">
        <v>308916.07</v>
      </c>
      <c r="G50" s="371">
        <v>335775.71</v>
      </c>
      <c r="H50" s="371">
        <v>346183.42856134439</v>
      </c>
      <c r="I50" s="371">
        <v>217384.37120992178</v>
      </c>
      <c r="J50" s="371">
        <v>206434.91849926775</v>
      </c>
      <c r="K50" s="371">
        <v>297912.56156254647</v>
      </c>
      <c r="L50" s="370">
        <v>472555.836686589</v>
      </c>
      <c r="M50" s="371">
        <v>257084.81799346188</v>
      </c>
      <c r="N50" s="371">
        <v>300286.81969236297</v>
      </c>
      <c r="O50" s="371">
        <v>447292.84080632549</v>
      </c>
      <c r="P50" s="377">
        <v>491522.9907177118</v>
      </c>
      <c r="Q50" s="372">
        <f t="shared" si="2"/>
        <v>4169025.8357295315</v>
      </c>
      <c r="R50" s="72"/>
      <c r="S50" s="558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</row>
    <row r="51" spans="1:33" ht="14.25" thickTop="1" thickBot="1">
      <c r="A51" s="69"/>
      <c r="B51" s="69"/>
      <c r="C51" s="69"/>
      <c r="D51" s="358" t="str">
        <f>IF(MasterSheet!$A$1=1,MasterSheet!C369,MasterSheet!B369)</f>
        <v>Izdaci</v>
      </c>
      <c r="E51" s="385">
        <f>+E53+E67+E73+E79+E80+E81</f>
        <v>53061054.049999997</v>
      </c>
      <c r="F51" s="385">
        <f t="shared" ref="F51:P51" si="7">+F53+F67+F73+F79+F80+F81</f>
        <v>99613025.839999989</v>
      </c>
      <c r="G51" s="385">
        <f t="shared" si="7"/>
        <v>81372572.209999993</v>
      </c>
      <c r="H51" s="385">
        <f t="shared" si="7"/>
        <v>142810163.60999998</v>
      </c>
      <c r="I51" s="385">
        <f t="shared" si="7"/>
        <v>98306431.900000006</v>
      </c>
      <c r="J51" s="385">
        <f t="shared" si="7"/>
        <v>108798787.33714285</v>
      </c>
      <c r="K51" s="385">
        <f t="shared" si="7"/>
        <v>108798787.33714285</v>
      </c>
      <c r="L51" s="385">
        <f t="shared" si="7"/>
        <v>108798787.33714285</v>
      </c>
      <c r="M51" s="385">
        <f t="shared" si="7"/>
        <v>108798787.33714285</v>
      </c>
      <c r="N51" s="385">
        <f t="shared" si="7"/>
        <v>108798787.33714285</v>
      </c>
      <c r="O51" s="385">
        <f t="shared" si="7"/>
        <v>108798787.33714285</v>
      </c>
      <c r="P51" s="432">
        <f t="shared" si="7"/>
        <v>108798787.33714285</v>
      </c>
      <c r="Q51" s="424">
        <f>+SUM(E51:P51)</f>
        <v>1236754758.9699998</v>
      </c>
      <c r="R51" s="565"/>
      <c r="S51" s="442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</row>
    <row r="52" spans="1:33" ht="14.25" thickTop="1" thickBot="1">
      <c r="A52" s="69"/>
      <c r="B52" s="69"/>
      <c r="C52" s="69"/>
      <c r="D52" s="358" t="str">
        <f>IF(MasterSheet!$A$1=1,MasterSheet!C370,MasterSheet!B370)</f>
        <v>Tekuća budžetska potrošnja</v>
      </c>
      <c r="E52" s="385">
        <f t="shared" ref="E52:P52" si="8">+E51-E79</f>
        <v>50837403.969999999</v>
      </c>
      <c r="F52" s="385">
        <f t="shared" si="8"/>
        <v>96041867.899999991</v>
      </c>
      <c r="G52" s="385">
        <f t="shared" si="8"/>
        <v>79872481.739999995</v>
      </c>
      <c r="H52" s="385">
        <f t="shared" si="8"/>
        <v>138183188.01999998</v>
      </c>
      <c r="I52" s="385">
        <f t="shared" si="8"/>
        <v>92662882.120000005</v>
      </c>
      <c r="J52" s="385">
        <f t="shared" si="8"/>
        <v>100343766.75857143</v>
      </c>
      <c r="K52" s="385">
        <f t="shared" si="8"/>
        <v>100343766.75857143</v>
      </c>
      <c r="L52" s="385">
        <f t="shared" si="8"/>
        <v>100343766.75857143</v>
      </c>
      <c r="M52" s="385">
        <f t="shared" si="8"/>
        <v>100343766.75857143</v>
      </c>
      <c r="N52" s="385">
        <f t="shared" si="8"/>
        <v>100343766.75857143</v>
      </c>
      <c r="O52" s="385">
        <f t="shared" si="8"/>
        <v>100343766.75857143</v>
      </c>
      <c r="P52" s="432">
        <f t="shared" si="8"/>
        <v>100343766.75857143</v>
      </c>
      <c r="Q52" s="424">
        <f>+SUM(E52:P52)</f>
        <v>1160004191.0599997</v>
      </c>
      <c r="R52" s="69"/>
      <c r="S52" s="442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</row>
    <row r="53" spans="1:33" ht="13.5" thickTop="1">
      <c r="A53" s="69"/>
      <c r="B53" s="69"/>
      <c r="C53" s="69"/>
      <c r="D53" s="303" t="str">
        <f>IF(MasterSheet!$A$1=1,MasterSheet!C371,MasterSheet!B371)</f>
        <v>Tekući izdaci</v>
      </c>
      <c r="E53" s="386">
        <f>+E54+E60+E61+E62+E63+E64+E65+E66</f>
        <v>12289773.26</v>
      </c>
      <c r="F53" s="389">
        <f t="shared" ref="F53:P53" si="9">+F54+F60+F61+F62+F63+F64+F65+F66</f>
        <v>51706209.769999988</v>
      </c>
      <c r="G53" s="388">
        <f t="shared" si="9"/>
        <v>40394679.650000013</v>
      </c>
      <c r="H53" s="390">
        <f t="shared" si="9"/>
        <v>89884247.359999985</v>
      </c>
      <c r="I53" s="390">
        <f t="shared" si="9"/>
        <v>49061336.000000007</v>
      </c>
      <c r="J53" s="390">
        <f t="shared" si="9"/>
        <v>57078484.642857134</v>
      </c>
      <c r="K53" s="390">
        <f t="shared" si="9"/>
        <v>57078484.642857134</v>
      </c>
      <c r="L53" s="390">
        <f t="shared" si="9"/>
        <v>57078484.642857134</v>
      </c>
      <c r="M53" s="390">
        <f t="shared" si="9"/>
        <v>57078484.642857134</v>
      </c>
      <c r="N53" s="389">
        <f t="shared" si="9"/>
        <v>57078484.642857134</v>
      </c>
      <c r="O53" s="388">
        <f t="shared" si="9"/>
        <v>57078484.642857134</v>
      </c>
      <c r="P53" s="387">
        <f t="shared" si="9"/>
        <v>57078484.642857134</v>
      </c>
      <c r="Q53" s="521">
        <f t="shared" si="2"/>
        <v>642885638.53999996</v>
      </c>
      <c r="R53" s="69"/>
      <c r="S53" s="442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</row>
    <row r="54" spans="1:33">
      <c r="A54" s="69"/>
      <c r="B54" s="69"/>
      <c r="C54" s="69"/>
      <c r="D54" s="303" t="str">
        <f>IF(MasterSheet!$A$1=1,MasterSheet!C372,MasterSheet!B372)</f>
        <v>Bruto zarade i doprinosi na teret poslodavca</v>
      </c>
      <c r="E54" s="386">
        <v>4283.5</v>
      </c>
      <c r="F54" s="389">
        <v>31275360.899999995</v>
      </c>
      <c r="G54" s="388">
        <v>27711888.080000009</v>
      </c>
      <c r="H54" s="390">
        <v>47396528.219999991</v>
      </c>
      <c r="I54" s="390">
        <v>26799661.280000005</v>
      </c>
      <c r="J54" s="390">
        <v>34924084.149999999</v>
      </c>
      <c r="K54" s="390">
        <v>34924084.149999999</v>
      </c>
      <c r="L54" s="390">
        <v>34924084.149999999</v>
      </c>
      <c r="M54" s="390">
        <v>34924084.149999999</v>
      </c>
      <c r="N54" s="389">
        <v>34924084.149999999</v>
      </c>
      <c r="O54" s="388">
        <v>34924084.149999999</v>
      </c>
      <c r="P54" s="387">
        <v>34924084.149999999</v>
      </c>
      <c r="Q54" s="521">
        <f t="shared" si="2"/>
        <v>377656311.02999991</v>
      </c>
      <c r="R54" s="390"/>
      <c r="S54" s="442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</row>
    <row r="55" spans="1:33">
      <c r="A55" s="69"/>
      <c r="B55" s="69"/>
      <c r="C55" s="69"/>
      <c r="D55" s="381" t="str">
        <f>IF(MasterSheet!$A$1=1,MasterSheet!C373,MasterSheet!B373)</f>
        <v>Neto zarade</v>
      </c>
      <c r="E55" s="354">
        <v>2599.2600000000002</v>
      </c>
      <c r="F55" s="356">
        <v>20211919.549999993</v>
      </c>
      <c r="G55" s="355">
        <v>16943393.250000011</v>
      </c>
      <c r="H55" s="355">
        <v>32039859.959999982</v>
      </c>
      <c r="I55" s="355">
        <v>13787478.570000002</v>
      </c>
      <c r="J55" s="356">
        <v>20094038.312857144</v>
      </c>
      <c r="K55" s="355">
        <v>20094038.312857144</v>
      </c>
      <c r="L55" s="356">
        <v>20094038.312857144</v>
      </c>
      <c r="M55" s="356">
        <v>20094038.312857144</v>
      </c>
      <c r="N55" s="356">
        <v>20094038.312857144</v>
      </c>
      <c r="O55" s="356">
        <v>20094038.312857144</v>
      </c>
      <c r="P55" s="376">
        <v>20094038.312857144</v>
      </c>
      <c r="Q55" s="393">
        <f t="shared" si="2"/>
        <v>223643518.78000003</v>
      </c>
      <c r="R55" s="390"/>
      <c r="S55" s="442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</row>
    <row r="56" spans="1:33">
      <c r="A56" s="69"/>
      <c r="B56" s="69"/>
      <c r="C56" s="69"/>
      <c r="D56" s="381" t="str">
        <f>IF(MasterSheet!$A$1=1,MasterSheet!C374,MasterSheet!B374)</f>
        <v>Porez na zarade</v>
      </c>
      <c r="E56" s="354">
        <v>491.35</v>
      </c>
      <c r="F56" s="355">
        <v>2347250.9700000002</v>
      </c>
      <c r="G56" s="355">
        <v>1937857.879999999</v>
      </c>
      <c r="H56" s="355">
        <v>2940885.09</v>
      </c>
      <c r="I56" s="355">
        <v>2499706.9300000011</v>
      </c>
      <c r="J56" s="356">
        <v>2913782.1799999988</v>
      </c>
      <c r="K56" s="355">
        <v>2913782.1799999988</v>
      </c>
      <c r="L56" s="356">
        <v>2913782.1799999988</v>
      </c>
      <c r="M56" s="356">
        <v>2913782.1799999988</v>
      </c>
      <c r="N56" s="356">
        <v>2913782.1799999988</v>
      </c>
      <c r="O56" s="356">
        <v>2913782.1799999988</v>
      </c>
      <c r="P56" s="376">
        <v>2913782.1799999988</v>
      </c>
      <c r="Q56" s="393">
        <f t="shared" si="2"/>
        <v>30122667.479999997</v>
      </c>
      <c r="R56" s="390"/>
      <c r="S56" s="442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</row>
    <row r="57" spans="1:33">
      <c r="A57" s="69"/>
      <c r="B57" s="69"/>
      <c r="C57" s="69"/>
      <c r="D57" s="381" t="str">
        <f>IF(MasterSheet!$A$1=1,MasterSheet!C375,MasterSheet!B375)</f>
        <v>Doprinosi na teret zaposlenog</v>
      </c>
      <c r="E57" s="354">
        <v>1119.19</v>
      </c>
      <c r="F57" s="355">
        <v>5216165.66</v>
      </c>
      <c r="G57" s="355">
        <v>5942266.790000001</v>
      </c>
      <c r="H57" s="355">
        <v>7728346.4700000035</v>
      </c>
      <c r="I57" s="355">
        <v>6647730.7200000007</v>
      </c>
      <c r="J57" s="356">
        <v>7582738.9814285692</v>
      </c>
      <c r="K57" s="355">
        <v>7582738.9814285692</v>
      </c>
      <c r="L57" s="356">
        <v>7582738.9814285692</v>
      </c>
      <c r="M57" s="356">
        <v>7582738.9814285692</v>
      </c>
      <c r="N57" s="356">
        <v>7582738.9814285692</v>
      </c>
      <c r="O57" s="356">
        <v>7582738.9814285692</v>
      </c>
      <c r="P57" s="376">
        <v>7582738.9814285692</v>
      </c>
      <c r="Q57" s="393">
        <f t="shared" si="2"/>
        <v>78614801.699999988</v>
      </c>
      <c r="R57" s="390"/>
      <c r="S57" s="442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</row>
    <row r="58" spans="1:33">
      <c r="A58" s="69"/>
      <c r="B58" s="69"/>
      <c r="C58" s="69"/>
      <c r="D58" s="381" t="str">
        <f>IF(MasterSheet!$A$1=1,MasterSheet!C376,MasterSheet!B376)</f>
        <v>Doprinosi na teret poslodavca</v>
      </c>
      <c r="E58" s="354">
        <v>0</v>
      </c>
      <c r="F58" s="355">
        <v>3162904.910000002</v>
      </c>
      <c r="G58" s="355">
        <v>2865206.3099999991</v>
      </c>
      <c r="H58" s="355">
        <v>3997188.2799999984</v>
      </c>
      <c r="I58" s="355">
        <v>3536560.0999999987</v>
      </c>
      <c r="J58" s="356">
        <v>3904515.1714285724</v>
      </c>
      <c r="K58" s="355">
        <v>3904515.1714285724</v>
      </c>
      <c r="L58" s="356">
        <v>3904515.1714285724</v>
      </c>
      <c r="M58" s="356">
        <v>3904515.1714285724</v>
      </c>
      <c r="N58" s="356">
        <v>3904515.1714285724</v>
      </c>
      <c r="O58" s="356">
        <v>3904515.1714285724</v>
      </c>
      <c r="P58" s="376">
        <v>3904515.1714285724</v>
      </c>
      <c r="Q58" s="393">
        <f t="shared" si="2"/>
        <v>40893465.800000012</v>
      </c>
      <c r="R58" s="390"/>
      <c r="S58" s="442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</row>
    <row r="59" spans="1:33">
      <c r="A59" s="69"/>
      <c r="B59" s="69"/>
      <c r="C59" s="69"/>
      <c r="D59" s="381" t="str">
        <f>IF(MasterSheet!$A$1=1,MasterSheet!C377,MasterSheet!B377)</f>
        <v>Prirez na porez na dohodak</v>
      </c>
      <c r="E59" s="354">
        <v>73.7</v>
      </c>
      <c r="F59" s="355">
        <v>337119.80999999994</v>
      </c>
      <c r="G59" s="355">
        <v>23163.85</v>
      </c>
      <c r="H59" s="355">
        <v>690248.42000000039</v>
      </c>
      <c r="I59" s="355">
        <v>328184.96000000008</v>
      </c>
      <c r="J59" s="356">
        <v>429009.5042857143</v>
      </c>
      <c r="K59" s="355">
        <v>429009.5042857143</v>
      </c>
      <c r="L59" s="356">
        <v>429009.5042857143</v>
      </c>
      <c r="M59" s="356">
        <v>429009.5042857143</v>
      </c>
      <c r="N59" s="356">
        <v>429009.5042857143</v>
      </c>
      <c r="O59" s="356">
        <v>429009.5042857143</v>
      </c>
      <c r="P59" s="376">
        <v>429009.5042857143</v>
      </c>
      <c r="Q59" s="393">
        <f t="shared" si="2"/>
        <v>4381857.2699999996</v>
      </c>
      <c r="R59" s="390"/>
      <c r="S59" s="442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</row>
    <row r="60" spans="1:33">
      <c r="A60" s="69"/>
      <c r="B60" s="69"/>
      <c r="C60" s="69"/>
      <c r="D60" s="303" t="str">
        <f>IF(MasterSheet!$A$1=1,MasterSheet!C378,MasterSheet!B378)</f>
        <v>Ostala lična primanja</v>
      </c>
      <c r="E60" s="386">
        <v>66647.16</v>
      </c>
      <c r="F60" s="389">
        <v>788157.97</v>
      </c>
      <c r="G60" s="389">
        <v>633801.75</v>
      </c>
      <c r="H60" s="390">
        <v>809278.41</v>
      </c>
      <c r="I60" s="390">
        <v>1013373</v>
      </c>
      <c r="J60" s="390">
        <v>1019016.9242857142</v>
      </c>
      <c r="K60" s="390">
        <v>1019016.9242857142</v>
      </c>
      <c r="L60" s="390">
        <v>1019016.9242857142</v>
      </c>
      <c r="M60" s="390">
        <v>1019016.9242857142</v>
      </c>
      <c r="N60" s="389">
        <v>1019016.9242857142</v>
      </c>
      <c r="O60" s="388">
        <v>1019016.9242857142</v>
      </c>
      <c r="P60" s="387">
        <v>1019016.9242857142</v>
      </c>
      <c r="Q60" s="393">
        <f t="shared" si="2"/>
        <v>10444376.76</v>
      </c>
      <c r="R60" s="69"/>
      <c r="S60" s="442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</row>
    <row r="61" spans="1:33">
      <c r="A61" s="69"/>
      <c r="B61" s="69"/>
      <c r="C61" s="69"/>
      <c r="D61" s="303" t="str">
        <f>IF(MasterSheet!$A$1=1,MasterSheet!C379,MasterSheet!B379)</f>
        <v>Rashodi za materijal i usluge</v>
      </c>
      <c r="E61" s="386">
        <v>2307585.9699999997</v>
      </c>
      <c r="F61" s="389">
        <v>12324934.280000001</v>
      </c>
      <c r="G61" s="389">
        <v>6452115.4300000016</v>
      </c>
      <c r="H61" s="390">
        <v>20738433.310000002</v>
      </c>
      <c r="I61" s="390">
        <v>14011695.699999999</v>
      </c>
      <c r="J61" s="390">
        <v>12293045.851428572</v>
      </c>
      <c r="K61" s="390">
        <v>12293045.851428572</v>
      </c>
      <c r="L61" s="390">
        <v>12293045.851428572</v>
      </c>
      <c r="M61" s="390">
        <v>12293045.851428572</v>
      </c>
      <c r="N61" s="389">
        <v>12293045.851428572</v>
      </c>
      <c r="O61" s="388">
        <v>12293045.851428572</v>
      </c>
      <c r="P61" s="387">
        <v>12293045.851428572</v>
      </c>
      <c r="Q61" s="393">
        <f t="shared" si="2"/>
        <v>141886085.64999998</v>
      </c>
      <c r="R61" s="69"/>
      <c r="S61" s="442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</row>
    <row r="62" spans="1:33">
      <c r="A62" s="69"/>
      <c r="B62" s="69"/>
      <c r="C62" s="69"/>
      <c r="D62" s="303" t="str">
        <f>IF(MasterSheet!$A$1=1,MasterSheet!C380,MasterSheet!B380)</f>
        <v>Tekuće održavanje</v>
      </c>
      <c r="E62" s="386">
        <v>26607.390000000003</v>
      </c>
      <c r="F62" s="389">
        <v>420045.88000000006</v>
      </c>
      <c r="G62" s="389">
        <v>1323223.27</v>
      </c>
      <c r="H62" s="390">
        <v>2902402</v>
      </c>
      <c r="I62" s="390">
        <v>2532098.79</v>
      </c>
      <c r="J62" s="390">
        <v>2281609.7628571419</v>
      </c>
      <c r="K62" s="390">
        <v>2281609.7628571419</v>
      </c>
      <c r="L62" s="390">
        <v>2281609.7628571419</v>
      </c>
      <c r="M62" s="390">
        <v>2281609.7628571419</v>
      </c>
      <c r="N62" s="389">
        <v>2281609.7628571419</v>
      </c>
      <c r="O62" s="388">
        <v>2281609.7628571419</v>
      </c>
      <c r="P62" s="387">
        <v>2281609.7628571419</v>
      </c>
      <c r="Q62" s="393">
        <f t="shared" si="2"/>
        <v>23175645.669999998</v>
      </c>
      <c r="R62" s="69"/>
      <c r="S62" s="442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</row>
    <row r="63" spans="1:33">
      <c r="A63" s="69"/>
      <c r="B63" s="69"/>
      <c r="C63" s="69"/>
      <c r="D63" s="303" t="str">
        <f>IF(MasterSheet!$A$1=1,MasterSheet!C381,MasterSheet!B381)</f>
        <v>Kamate</v>
      </c>
      <c r="E63" s="386">
        <v>3640898.93</v>
      </c>
      <c r="F63" s="389">
        <v>1655265.05</v>
      </c>
      <c r="G63" s="389">
        <v>2651578.2199999997</v>
      </c>
      <c r="H63" s="390">
        <v>14134841.26</v>
      </c>
      <c r="I63" s="390">
        <v>2024043.4900000002</v>
      </c>
      <c r="J63" s="390">
        <v>4399802.1057142848</v>
      </c>
      <c r="K63" s="390">
        <v>4399802.1057142848</v>
      </c>
      <c r="L63" s="390">
        <v>4399802.1057142848</v>
      </c>
      <c r="M63" s="390">
        <v>4399802.1057142848</v>
      </c>
      <c r="N63" s="389">
        <v>4399802.1057142848</v>
      </c>
      <c r="O63" s="388">
        <v>4399802.1057142848</v>
      </c>
      <c r="P63" s="387">
        <v>4399802.1057142848</v>
      </c>
      <c r="Q63" s="393">
        <f t="shared" si="2"/>
        <v>54905241.68999999</v>
      </c>
      <c r="R63" s="69"/>
      <c r="S63" s="442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</row>
    <row r="64" spans="1:33">
      <c r="A64" s="69"/>
      <c r="B64" s="69"/>
      <c r="C64" s="69"/>
      <c r="D64" s="303" t="str">
        <f>IF(MasterSheet!$A$1=1,MasterSheet!C382,MasterSheet!B382)</f>
        <v>Renta</v>
      </c>
      <c r="E64" s="386">
        <v>85943.950000000012</v>
      </c>
      <c r="F64" s="389">
        <v>745704.3600000001</v>
      </c>
      <c r="G64" s="389">
        <v>326504.72999999992</v>
      </c>
      <c r="H64" s="390">
        <v>1093390.1000000003</v>
      </c>
      <c r="I64" s="390">
        <v>695307.59000000032</v>
      </c>
      <c r="J64" s="390">
        <v>682299.50428571412</v>
      </c>
      <c r="K64" s="390">
        <v>682299.50428571412</v>
      </c>
      <c r="L64" s="390">
        <v>682299.50428571412</v>
      </c>
      <c r="M64" s="390">
        <v>682299.50428571412</v>
      </c>
      <c r="N64" s="389">
        <v>682299.50428571412</v>
      </c>
      <c r="O64" s="388">
        <v>682299.50428571412</v>
      </c>
      <c r="P64" s="387">
        <v>682299.50428571412</v>
      </c>
      <c r="Q64" s="393">
        <f t="shared" si="2"/>
        <v>7722947.2599999979</v>
      </c>
      <c r="R64" s="69"/>
      <c r="S64" s="442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</row>
    <row r="65" spans="1:33">
      <c r="A65" s="69"/>
      <c r="B65" s="69"/>
      <c r="C65" s="69"/>
      <c r="D65" s="303" t="str">
        <f>IF(MasterSheet!$A$1=1,MasterSheet!C383,MasterSheet!B383)</f>
        <v>Subvencije</v>
      </c>
      <c r="E65" s="386">
        <v>6141587.4900000002</v>
      </c>
      <c r="F65" s="389">
        <v>3764809.78</v>
      </c>
      <c r="G65" s="389">
        <v>925768.61</v>
      </c>
      <c r="H65" s="390">
        <v>2150317.9900000002</v>
      </c>
      <c r="I65" s="390">
        <v>1550691.25</v>
      </c>
      <c r="J65" s="390">
        <v>880974.98571428529</v>
      </c>
      <c r="K65" s="390">
        <v>880974.98571428529</v>
      </c>
      <c r="L65" s="390">
        <v>880974.98571428529</v>
      </c>
      <c r="M65" s="390">
        <v>880974.98571428529</v>
      </c>
      <c r="N65" s="389">
        <v>880974.98571428529</v>
      </c>
      <c r="O65" s="388">
        <v>880974.98571428529</v>
      </c>
      <c r="P65" s="387">
        <v>880974.98571428529</v>
      </c>
      <c r="Q65" s="393">
        <f t="shared" si="2"/>
        <v>20700000.02</v>
      </c>
      <c r="R65" s="69"/>
      <c r="S65" s="442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</row>
    <row r="66" spans="1:33">
      <c r="A66" s="69"/>
      <c r="B66" s="69"/>
      <c r="C66" s="69"/>
      <c r="D66" s="303" t="str">
        <f>IF(MasterSheet!$A$1=1,MasterSheet!C384,MasterSheet!B384)</f>
        <v>Ostali izdaci</v>
      </c>
      <c r="E66" s="386">
        <v>16218.87</v>
      </c>
      <c r="F66" s="389">
        <v>731931.54999999993</v>
      </c>
      <c r="G66" s="499">
        <v>369799.56</v>
      </c>
      <c r="H66" s="390">
        <v>659056.07000000007</v>
      </c>
      <c r="I66" s="390">
        <v>434464.89999999997</v>
      </c>
      <c r="J66" s="390">
        <v>597651.35857142857</v>
      </c>
      <c r="K66" s="390">
        <v>597651.35857142857</v>
      </c>
      <c r="L66" s="390">
        <v>597651.35857142857</v>
      </c>
      <c r="M66" s="390">
        <v>597651.35857142857</v>
      </c>
      <c r="N66" s="389">
        <v>597651.35857142857</v>
      </c>
      <c r="O66" s="388">
        <v>597651.35857142857</v>
      </c>
      <c r="P66" s="387">
        <v>597651.35857142857</v>
      </c>
      <c r="Q66" s="393">
        <f t="shared" si="2"/>
        <v>6395030.4600000018</v>
      </c>
      <c r="R66" s="69"/>
      <c r="S66" s="442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</row>
    <row r="67" spans="1:33">
      <c r="A67" s="69"/>
      <c r="B67" s="69"/>
      <c r="C67" s="69"/>
      <c r="D67" s="303" t="str">
        <f>IF(MasterSheet!$A$1=1,MasterSheet!C386,MasterSheet!B386)</f>
        <v>Transferi za socijalnu zaštitu</v>
      </c>
      <c r="E67" s="386">
        <f>+SUM(E68:E72)</f>
        <v>37234260.75</v>
      </c>
      <c r="F67" s="389">
        <f t="shared" ref="F67" si="10">+SUM(F68:F72)</f>
        <v>40396294.500000007</v>
      </c>
      <c r="G67" s="388">
        <f t="shared" ref="G67:P67" si="11">+SUM(G68:G72)</f>
        <v>35626046.939999998</v>
      </c>
      <c r="H67" s="390">
        <f t="shared" si="11"/>
        <v>43775263.219999991</v>
      </c>
      <c r="I67" s="390">
        <f t="shared" si="11"/>
        <v>40868198.459999993</v>
      </c>
      <c r="J67" s="390">
        <f t="shared" si="11"/>
        <v>39997496.841428578</v>
      </c>
      <c r="K67" s="390">
        <f t="shared" si="11"/>
        <v>39997496.841428578</v>
      </c>
      <c r="L67" s="390">
        <f t="shared" si="11"/>
        <v>39997496.841428578</v>
      </c>
      <c r="M67" s="390">
        <f t="shared" si="11"/>
        <v>39997496.841428578</v>
      </c>
      <c r="N67" s="389">
        <f t="shared" si="11"/>
        <v>39997496.841428578</v>
      </c>
      <c r="O67" s="388">
        <f t="shared" si="11"/>
        <v>39997496.841428578</v>
      </c>
      <c r="P67" s="387">
        <f t="shared" si="11"/>
        <v>39997496.841428578</v>
      </c>
      <c r="Q67" s="521">
        <f t="shared" si="2"/>
        <v>477882541.76000005</v>
      </c>
      <c r="R67" s="69"/>
      <c r="S67" s="442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</row>
    <row r="68" spans="1:33">
      <c r="A68" s="69"/>
      <c r="B68" s="69"/>
      <c r="C68" s="69"/>
      <c r="D68" s="381" t="str">
        <f>IF(MasterSheet!$A$1=1,MasterSheet!C387,MasterSheet!B387)</f>
        <v>Prava iz oblasti socijalne zaštite</v>
      </c>
      <c r="E68" s="354">
        <v>4880739.1300000008</v>
      </c>
      <c r="F68" s="355">
        <v>5464431.5300000003</v>
      </c>
      <c r="G68" s="355">
        <v>5071540.8299999991</v>
      </c>
      <c r="H68" s="355">
        <v>5114262.4700000007</v>
      </c>
      <c r="I68" s="355">
        <v>5127234.6900000004</v>
      </c>
      <c r="J68" s="356">
        <v>4827470.1899999985</v>
      </c>
      <c r="K68" s="355">
        <v>4827470.1899999985</v>
      </c>
      <c r="L68" s="356">
        <v>4827470.1899999985</v>
      </c>
      <c r="M68" s="356">
        <v>4827470.1899999985</v>
      </c>
      <c r="N68" s="356">
        <v>4827470.1899999985</v>
      </c>
      <c r="O68" s="356">
        <v>4827470.1899999985</v>
      </c>
      <c r="P68" s="376">
        <v>4827470.1899999985</v>
      </c>
      <c r="Q68" s="393">
        <f t="shared" si="2"/>
        <v>59450499.979999989</v>
      </c>
      <c r="R68" s="69"/>
      <c r="S68" s="442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</row>
    <row r="69" spans="1:33">
      <c r="A69" s="69"/>
      <c r="B69" s="69"/>
      <c r="C69" s="69"/>
      <c r="D69" s="381" t="str">
        <f>IF(MasterSheet!$A$1=1,MasterSheet!C388,MasterSheet!B388)</f>
        <v>Sredstva za tehnološke viškove</v>
      </c>
      <c r="E69" s="354">
        <v>1736584.53</v>
      </c>
      <c r="F69" s="356">
        <v>1660250.14</v>
      </c>
      <c r="G69" s="355">
        <v>1473771.4300000002</v>
      </c>
      <c r="H69" s="355">
        <v>1382169.35</v>
      </c>
      <c r="I69" s="355">
        <v>1498835.8599999999</v>
      </c>
      <c r="J69" s="356">
        <v>1599707.6357142855</v>
      </c>
      <c r="K69" s="355">
        <v>1599707.6357142855</v>
      </c>
      <c r="L69" s="356">
        <v>1599707.6357142855</v>
      </c>
      <c r="M69" s="356">
        <v>1599707.6357142855</v>
      </c>
      <c r="N69" s="356">
        <v>1599707.6357142855</v>
      </c>
      <c r="O69" s="356">
        <v>1599707.6357142855</v>
      </c>
      <c r="P69" s="376">
        <v>1599707.6357142855</v>
      </c>
      <c r="Q69" s="393">
        <f t="shared" si="2"/>
        <v>18949564.759999994</v>
      </c>
      <c r="R69" s="69"/>
      <c r="S69" s="442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</row>
    <row r="70" spans="1:33">
      <c r="A70" s="69"/>
      <c r="B70" s="69"/>
      <c r="C70" s="69"/>
      <c r="D70" s="381" t="str">
        <f>IF(MasterSheet!$A$1=1,MasterSheet!C389,MasterSheet!B389)</f>
        <v>Prava iz oblasti penzijskog i invalidskog osiguranja</v>
      </c>
      <c r="E70" s="354">
        <v>30358548.720000003</v>
      </c>
      <c r="F70" s="355">
        <v>31864788.480000004</v>
      </c>
      <c r="G70" s="355">
        <v>28018969.609999999</v>
      </c>
      <c r="H70" s="355">
        <v>35356384.349999994</v>
      </c>
      <c r="I70" s="355">
        <v>31736646.849999994</v>
      </c>
      <c r="J70" s="356">
        <v>31534591.274285723</v>
      </c>
      <c r="K70" s="355">
        <v>31534591.274285723</v>
      </c>
      <c r="L70" s="356">
        <v>31534591.274285723</v>
      </c>
      <c r="M70" s="356">
        <v>31534591.274285723</v>
      </c>
      <c r="N70" s="356">
        <v>31534591.274285723</v>
      </c>
      <c r="O70" s="356">
        <v>31534591.274285723</v>
      </c>
      <c r="P70" s="376">
        <v>31534591.274285723</v>
      </c>
      <c r="Q70" s="393">
        <f t="shared" si="2"/>
        <v>378077476.93000013</v>
      </c>
      <c r="R70" s="69"/>
      <c r="S70" s="442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</row>
    <row r="71" spans="1:33">
      <c r="A71" s="69"/>
      <c r="B71" s="69"/>
      <c r="C71" s="69"/>
      <c r="D71" s="381" t="str">
        <f>IF(MasterSheet!$A$1=1,MasterSheet!C390,MasterSheet!B390)</f>
        <v>Ostala prava iz oblasti zdravstvene zaštite</v>
      </c>
      <c r="E71" s="354">
        <v>168399.48</v>
      </c>
      <c r="F71" s="355">
        <v>814363.46</v>
      </c>
      <c r="G71" s="355">
        <v>741766.67</v>
      </c>
      <c r="H71" s="355">
        <v>1080265.98</v>
      </c>
      <c r="I71" s="355">
        <v>1810921.59</v>
      </c>
      <c r="J71" s="356">
        <v>1359183.2557142861</v>
      </c>
      <c r="K71" s="355">
        <v>1359183.2557142861</v>
      </c>
      <c r="L71" s="356">
        <v>1359183.2557142861</v>
      </c>
      <c r="M71" s="356">
        <v>1359183.2557142861</v>
      </c>
      <c r="N71" s="356">
        <v>1359183.2557142861</v>
      </c>
      <c r="O71" s="356">
        <v>1359183.2557142861</v>
      </c>
      <c r="P71" s="376">
        <v>1359183.2557142861</v>
      </c>
      <c r="Q71" s="393">
        <f t="shared" si="2"/>
        <v>14129999.970000003</v>
      </c>
      <c r="R71" s="69"/>
      <c r="S71" s="442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</row>
    <row r="72" spans="1:33">
      <c r="A72" s="69"/>
      <c r="B72" s="69"/>
      <c r="C72" s="69"/>
      <c r="D72" s="381" t="str">
        <f>IF(MasterSheet!$A$1=1,MasterSheet!C391,MasterSheet!B391)</f>
        <v>Ostala prava iz oblasti zdravstvenog osiguranja</v>
      </c>
      <c r="E72" s="354">
        <v>89988.89</v>
      </c>
      <c r="F72" s="356">
        <v>592460.8899999999</v>
      </c>
      <c r="G72" s="355">
        <v>319998.40000000002</v>
      </c>
      <c r="H72" s="355">
        <v>842181.07000000007</v>
      </c>
      <c r="I72" s="355">
        <v>694559.47</v>
      </c>
      <c r="J72" s="356">
        <v>676544.48571428563</v>
      </c>
      <c r="K72" s="355">
        <v>676544.48571428563</v>
      </c>
      <c r="L72" s="356">
        <v>676544.48571428563</v>
      </c>
      <c r="M72" s="356">
        <v>676544.48571428563</v>
      </c>
      <c r="N72" s="356">
        <v>676544.48571428563</v>
      </c>
      <c r="O72" s="356">
        <v>676544.48571428563</v>
      </c>
      <c r="P72" s="376">
        <v>676544.48571428563</v>
      </c>
      <c r="Q72" s="393">
        <f t="shared" si="2"/>
        <v>7275000.1199999992</v>
      </c>
      <c r="R72" s="69"/>
      <c r="S72" s="442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</row>
    <row r="73" spans="1:33" ht="25.5">
      <c r="A73" s="69"/>
      <c r="B73" s="69"/>
      <c r="C73" s="69"/>
      <c r="D73" s="383" t="str">
        <f>IF(MasterSheet!$A$1=1,MasterSheet!C392,MasterSheet!B392)</f>
        <v>Transferi institucijama pojedinicima nevladinom i javnom sektoru</v>
      </c>
      <c r="E73" s="386">
        <f>+SUM(E74:E78)</f>
        <v>442338.09</v>
      </c>
      <c r="F73" s="389">
        <f t="shared" ref="F73" si="12">+SUM(F74:F78)</f>
        <v>2805814.11</v>
      </c>
      <c r="G73" s="388">
        <f t="shared" ref="G73:P73" si="13">+SUM(G74:G78)</f>
        <v>992842.58</v>
      </c>
      <c r="H73" s="390">
        <f t="shared" si="13"/>
        <v>4069831.04</v>
      </c>
      <c r="I73" s="390">
        <f t="shared" si="13"/>
        <v>2468513.6399999997</v>
      </c>
      <c r="J73" s="390">
        <f t="shared" si="13"/>
        <v>2614002.2428571433</v>
      </c>
      <c r="K73" s="390">
        <f t="shared" si="13"/>
        <v>2614002.2428571433</v>
      </c>
      <c r="L73" s="390">
        <f t="shared" si="13"/>
        <v>2614002.2428571433</v>
      </c>
      <c r="M73" s="390">
        <f t="shared" si="13"/>
        <v>2614002.2428571433</v>
      </c>
      <c r="N73" s="389">
        <f t="shared" si="13"/>
        <v>2614002.2428571433</v>
      </c>
      <c r="O73" s="388">
        <f t="shared" si="13"/>
        <v>2614002.2428571433</v>
      </c>
      <c r="P73" s="387">
        <f t="shared" si="13"/>
        <v>2614002.2428571433</v>
      </c>
      <c r="Q73" s="521">
        <f t="shared" si="2"/>
        <v>29077355.160000004</v>
      </c>
      <c r="R73" s="380"/>
      <c r="S73" s="442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</row>
    <row r="74" spans="1:33">
      <c r="A74" s="69"/>
      <c r="B74" s="69"/>
      <c r="C74" s="69"/>
      <c r="D74" s="381" t="str">
        <f>IF(MasterSheet!$A$1=1,MasterSheet!C393,MasterSheet!B393)</f>
        <v>Transferi javnim institucijama</v>
      </c>
      <c r="E74" s="354">
        <v>180794.57</v>
      </c>
      <c r="F74" s="356">
        <v>973625.26</v>
      </c>
      <c r="G74" s="355">
        <v>286908.56999999995</v>
      </c>
      <c r="H74" s="355">
        <v>1612546.99</v>
      </c>
      <c r="I74" s="355">
        <v>1303321.6299999999</v>
      </c>
      <c r="J74" s="356">
        <v>1322417.8628571429</v>
      </c>
      <c r="K74" s="355">
        <v>1322417.8628571429</v>
      </c>
      <c r="L74" s="356">
        <v>1322417.8628571429</v>
      </c>
      <c r="M74" s="356">
        <v>1322417.8628571429</v>
      </c>
      <c r="N74" s="356">
        <v>1322417.8628571429</v>
      </c>
      <c r="O74" s="356">
        <v>1322417.8628571429</v>
      </c>
      <c r="P74" s="376">
        <v>1322417.8628571429</v>
      </c>
      <c r="Q74" s="393">
        <f t="shared" si="2"/>
        <v>13614122.059999997</v>
      </c>
      <c r="R74" s="69"/>
      <c r="S74" s="442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</row>
    <row r="75" spans="1:33">
      <c r="A75" s="69"/>
      <c r="B75" s="69"/>
      <c r="C75" s="69"/>
      <c r="D75" s="381" t="str">
        <f>IF(MasterSheet!$A$1=1,MasterSheet!C394,MasterSheet!B394)</f>
        <v>Transferi nevladinim organizacijama</v>
      </c>
      <c r="E75" s="354">
        <v>253000</v>
      </c>
      <c r="F75" s="355">
        <v>532747.41999999993</v>
      </c>
      <c r="G75" s="355">
        <v>293479.06</v>
      </c>
      <c r="H75" s="355">
        <v>834504.14</v>
      </c>
      <c r="I75" s="355">
        <v>293789.06</v>
      </c>
      <c r="J75" s="356">
        <v>374501.85428571427</v>
      </c>
      <c r="K75" s="355">
        <v>374501.85428571427</v>
      </c>
      <c r="L75" s="356">
        <v>374501.85428571427</v>
      </c>
      <c r="M75" s="356">
        <v>374501.85428571427</v>
      </c>
      <c r="N75" s="356">
        <v>374501.85428571427</v>
      </c>
      <c r="O75" s="356">
        <v>374501.85428571427</v>
      </c>
      <c r="P75" s="376">
        <v>374501.85428571427</v>
      </c>
      <c r="Q75" s="393">
        <f t="shared" si="2"/>
        <v>4829032.66</v>
      </c>
      <c r="R75" s="69"/>
      <c r="S75" s="442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</row>
    <row r="76" spans="1:33">
      <c r="A76" s="69"/>
      <c r="B76" s="69"/>
      <c r="C76" s="69"/>
      <c r="D76" s="381" t="str">
        <f>IF(MasterSheet!$A$1=1,MasterSheet!C395,MasterSheet!B395)</f>
        <v>Transferi pojedincima</v>
      </c>
      <c r="E76" s="354">
        <v>8543.52</v>
      </c>
      <c r="F76" s="355">
        <v>1289941.43</v>
      </c>
      <c r="G76" s="355">
        <v>408004.95000000007</v>
      </c>
      <c r="H76" s="355">
        <v>1609014.91</v>
      </c>
      <c r="I76" s="355">
        <v>864201.95</v>
      </c>
      <c r="J76" s="356">
        <v>800641.95857142902</v>
      </c>
      <c r="K76" s="355">
        <v>800641.95857142902</v>
      </c>
      <c r="L76" s="356">
        <v>800641.95857142902</v>
      </c>
      <c r="M76" s="356">
        <v>800641.95857142902</v>
      </c>
      <c r="N76" s="356">
        <v>800641.95857142902</v>
      </c>
      <c r="O76" s="356">
        <v>800641.95857142902</v>
      </c>
      <c r="P76" s="376">
        <v>800641.95857142902</v>
      </c>
      <c r="Q76" s="393">
        <f t="shared" si="2"/>
        <v>9784200.4700000044</v>
      </c>
      <c r="R76" s="69"/>
      <c r="S76" s="442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</row>
    <row r="77" spans="1:33">
      <c r="A77" s="69"/>
      <c r="B77" s="69"/>
      <c r="C77" s="69"/>
      <c r="D77" s="381" t="str">
        <f>IF(MasterSheet!$A$1=1,MasterSheet!C396,MasterSheet!B396)</f>
        <v>Transferi opštinama</v>
      </c>
      <c r="E77" s="354">
        <v>0</v>
      </c>
      <c r="F77" s="355">
        <v>9500</v>
      </c>
      <c r="G77" s="355">
        <v>4450</v>
      </c>
      <c r="H77" s="355">
        <v>13765</v>
      </c>
      <c r="I77" s="355">
        <v>7201</v>
      </c>
      <c r="J77" s="356">
        <v>116440.56714285714</v>
      </c>
      <c r="K77" s="355">
        <v>116440.56714285714</v>
      </c>
      <c r="L77" s="356">
        <v>116440.56714285714</v>
      </c>
      <c r="M77" s="356">
        <v>116440.56714285714</v>
      </c>
      <c r="N77" s="356">
        <v>116440.56714285714</v>
      </c>
      <c r="O77" s="356">
        <v>116440.56714285714</v>
      </c>
      <c r="P77" s="376">
        <v>116440.56714285714</v>
      </c>
      <c r="Q77" s="393">
        <f t="shared" si="2"/>
        <v>849999.96999999986</v>
      </c>
      <c r="R77" s="69"/>
      <c r="S77" s="442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</row>
    <row r="78" spans="1:33" ht="13.5" thickBot="1">
      <c r="A78" s="69"/>
      <c r="B78" s="69"/>
      <c r="C78" s="69"/>
      <c r="D78" s="382" t="str">
        <f>IF(MasterSheet!$A$1=1,MasterSheet!C397,MasterSheet!B397)</f>
        <v>Transferi javnim preduzećima</v>
      </c>
      <c r="E78" s="394">
        <v>0</v>
      </c>
      <c r="F78" s="395">
        <v>0</v>
      </c>
      <c r="G78" s="395">
        <v>0</v>
      </c>
      <c r="H78" s="395">
        <v>0</v>
      </c>
      <c r="I78" s="395">
        <v>0</v>
      </c>
      <c r="J78" s="396">
        <v>0</v>
      </c>
      <c r="K78" s="395">
        <v>0</v>
      </c>
      <c r="L78" s="396">
        <v>0</v>
      </c>
      <c r="M78" s="396">
        <v>0</v>
      </c>
      <c r="N78" s="396">
        <v>0</v>
      </c>
      <c r="O78" s="396">
        <v>0</v>
      </c>
      <c r="P78" s="525">
        <v>0</v>
      </c>
      <c r="Q78" s="522">
        <f t="shared" si="2"/>
        <v>0</v>
      </c>
      <c r="R78" s="69"/>
      <c r="S78" s="442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</row>
    <row r="79" spans="1:33" ht="14.25" thickTop="1" thickBot="1">
      <c r="A79" s="69"/>
      <c r="B79" s="69"/>
      <c r="C79" s="69"/>
      <c r="D79" s="358" t="str">
        <f>IF(MasterSheet!$A$1=1,MasterSheet!C398,MasterSheet!B398)</f>
        <v>Kapitalni budžet</v>
      </c>
      <c r="E79" s="397">
        <v>2223650.08</v>
      </c>
      <c r="F79" s="397">
        <v>3571157.94</v>
      </c>
      <c r="G79" s="397">
        <v>1500090.4699999997</v>
      </c>
      <c r="H79" s="400">
        <v>4626975.59</v>
      </c>
      <c r="I79" s="400">
        <v>5643549.7799999993</v>
      </c>
      <c r="J79" s="400">
        <v>8455020.5785714295</v>
      </c>
      <c r="K79" s="400">
        <v>8455020.5785714295</v>
      </c>
      <c r="L79" s="400">
        <v>8455020.5785714295</v>
      </c>
      <c r="M79" s="400">
        <v>8455020.5785714295</v>
      </c>
      <c r="N79" s="398">
        <v>8455020.5785714295</v>
      </c>
      <c r="O79" s="399">
        <v>8455020.5785714295</v>
      </c>
      <c r="P79" s="526">
        <v>8455020.5785714295</v>
      </c>
      <c r="Q79" s="523">
        <f t="shared" si="2"/>
        <v>76750567.910000011</v>
      </c>
      <c r="R79" s="69"/>
      <c r="S79" s="442"/>
      <c r="T79" s="532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</row>
    <row r="80" spans="1:33" ht="13.5" thickTop="1">
      <c r="A80" s="69"/>
      <c r="B80" s="69"/>
      <c r="C80" s="69"/>
      <c r="D80" s="381" t="str">
        <f>IF(MasterSheet!$A$1=1,MasterSheet!C399,MasterSheet!B399)</f>
        <v>Pozajmice i krediti</v>
      </c>
      <c r="E80" s="354">
        <v>0</v>
      </c>
      <c r="F80" s="355">
        <v>327340.79999999999</v>
      </c>
      <c r="G80" s="355">
        <v>125713</v>
      </c>
      <c r="H80" s="355">
        <v>160911</v>
      </c>
      <c r="I80" s="355">
        <v>139637</v>
      </c>
      <c r="J80" s="356">
        <v>135199.74857142859</v>
      </c>
      <c r="K80" s="355">
        <v>135199.74857142859</v>
      </c>
      <c r="L80" s="356">
        <v>135199.74857142859</v>
      </c>
      <c r="M80" s="356">
        <v>135199.74857142859</v>
      </c>
      <c r="N80" s="356">
        <v>135199.74857142859</v>
      </c>
      <c r="O80" s="356">
        <v>135199.74857142859</v>
      </c>
      <c r="P80" s="376">
        <v>135199.74857142859</v>
      </c>
      <c r="Q80" s="524">
        <f t="shared" si="2"/>
        <v>1700000.0399999996</v>
      </c>
      <c r="R80" s="69"/>
      <c r="S80" s="442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</row>
    <row r="81" spans="1:33" ht="13.5" thickBot="1">
      <c r="A81" s="69"/>
      <c r="B81" s="69"/>
      <c r="C81" s="69"/>
      <c r="D81" s="382" t="str">
        <f>IF(MasterSheet!$A$1=1,MasterSheet!C400,MasterSheet!B400)</f>
        <v>Rezerve</v>
      </c>
      <c r="E81" s="394">
        <v>871031.87</v>
      </c>
      <c r="F81" s="395">
        <v>806208.72</v>
      </c>
      <c r="G81" s="395">
        <v>2733199.57</v>
      </c>
      <c r="H81" s="395">
        <v>292935.40000000002</v>
      </c>
      <c r="I81" s="395">
        <v>125197.02</v>
      </c>
      <c r="J81" s="396">
        <v>518583.28285714239</v>
      </c>
      <c r="K81" s="395">
        <v>518583.28285714239</v>
      </c>
      <c r="L81" s="396">
        <v>518583.28285714239</v>
      </c>
      <c r="M81" s="396">
        <v>518583.28285714239</v>
      </c>
      <c r="N81" s="396">
        <v>518583.28285714239</v>
      </c>
      <c r="O81" s="396">
        <v>518583.28285714239</v>
      </c>
      <c r="P81" s="525">
        <v>518583.28285714239</v>
      </c>
      <c r="Q81" s="522">
        <f t="shared" si="2"/>
        <v>8458655.5599999968</v>
      </c>
      <c r="R81" s="69"/>
      <c r="S81" s="442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</row>
    <row r="82" spans="1:33" ht="14.25" thickTop="1" thickBot="1">
      <c r="A82" s="69"/>
      <c r="B82" s="69"/>
      <c r="C82" s="69"/>
      <c r="D82" s="358" t="str">
        <f>IF(MasterSheet!$A$1=1,MasterSheet!C402,MasterSheet!B402)</f>
        <v>Suficit/ Deficit</v>
      </c>
      <c r="E82" s="385">
        <f t="shared" ref="E82:P82" si="14">+E19-E51</f>
        <v>-3970584.8026855141</v>
      </c>
      <c r="F82" s="385">
        <f t="shared" si="14"/>
        <v>-31889685.160000011</v>
      </c>
      <c r="G82" s="385">
        <f t="shared" si="14"/>
        <v>-5142077.8299999833</v>
      </c>
      <c r="H82" s="385">
        <f t="shared" si="14"/>
        <v>-47753235.293112114</v>
      </c>
      <c r="I82" s="385">
        <f t="shared" si="14"/>
        <v>-2554548.9446720481</v>
      </c>
      <c r="J82" s="385">
        <f t="shared" si="14"/>
        <v>-4564520.2205671966</v>
      </c>
      <c r="K82" s="385">
        <f t="shared" si="14"/>
        <v>9268129.7626135647</v>
      </c>
      <c r="L82" s="385">
        <f t="shared" si="14"/>
        <v>8517925.3092184365</v>
      </c>
      <c r="M82" s="385">
        <f t="shared" si="14"/>
        <v>2524755.5762213618</v>
      </c>
      <c r="N82" s="385">
        <f t="shared" si="14"/>
        <v>-11435947.051929235</v>
      </c>
      <c r="O82" s="385">
        <f t="shared" si="14"/>
        <v>-17499674.62315315</v>
      </c>
      <c r="P82" s="432">
        <f t="shared" si="14"/>
        <v>17801676.954199865</v>
      </c>
      <c r="Q82" s="424">
        <f t="shared" ref="Q82:Q87" si="15">+SUM(E82:P82)</f>
        <v>-86697786.323866025</v>
      </c>
      <c r="R82" s="69"/>
      <c r="S82" s="442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</row>
    <row r="83" spans="1:33" ht="14.25" thickTop="1" thickBot="1">
      <c r="A83" s="69"/>
      <c r="B83" s="69"/>
      <c r="C83" s="69"/>
      <c r="D83" s="358" t="str">
        <f>IF(MasterSheet!$A$1=1,MasterSheet!C403,MasterSheet!B403)</f>
        <v>Primarni deficit</v>
      </c>
      <c r="E83" s="385">
        <f t="shared" ref="E83:P83" si="16">+E82+E63</f>
        <v>-329685.87268551392</v>
      </c>
      <c r="F83" s="385">
        <f t="shared" si="16"/>
        <v>-30234420.110000011</v>
      </c>
      <c r="G83" s="385">
        <f t="shared" si="16"/>
        <v>-2490499.6099999836</v>
      </c>
      <c r="H83" s="385">
        <f t="shared" si="16"/>
        <v>-33618394.033112116</v>
      </c>
      <c r="I83" s="385">
        <f t="shared" si="16"/>
        <v>-530505.45467204787</v>
      </c>
      <c r="J83" s="385">
        <f t="shared" si="16"/>
        <v>-164718.11485291179</v>
      </c>
      <c r="K83" s="385">
        <f t="shared" si="16"/>
        <v>13667931.868327849</v>
      </c>
      <c r="L83" s="385">
        <f t="shared" si="16"/>
        <v>12917727.41493272</v>
      </c>
      <c r="M83" s="385">
        <f t="shared" si="16"/>
        <v>6924557.6819356466</v>
      </c>
      <c r="N83" s="385">
        <f t="shared" si="16"/>
        <v>-7036144.9462149506</v>
      </c>
      <c r="O83" s="385">
        <f t="shared" si="16"/>
        <v>-13099872.517438866</v>
      </c>
      <c r="P83" s="432">
        <f t="shared" si="16"/>
        <v>22201479.059914149</v>
      </c>
      <c r="Q83" s="424">
        <f t="shared" si="15"/>
        <v>-31792544.633866042</v>
      </c>
      <c r="R83" s="69"/>
      <c r="S83" s="442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</row>
    <row r="84" spans="1:33" ht="14.25" thickTop="1" thickBot="1">
      <c r="A84" s="69"/>
      <c r="B84" s="69"/>
      <c r="C84" s="69"/>
      <c r="D84" s="358" t="str">
        <f>IF(MasterSheet!$A$1=1,MasterSheet!C404,MasterSheet!B404)</f>
        <v>Otplata duga</v>
      </c>
      <c r="E84" s="385">
        <f>+SUM(E85:E88)</f>
        <v>15701160.219999999</v>
      </c>
      <c r="F84" s="385">
        <f t="shared" ref="F84:P84" si="17">+SUM(F85:F88)</f>
        <v>11938455.789999999</v>
      </c>
      <c r="G84" s="385">
        <f t="shared" si="17"/>
        <v>9703814.5700000003</v>
      </c>
      <c r="H84" s="385">
        <f t="shared" si="17"/>
        <v>35322547.710000001</v>
      </c>
      <c r="I84" s="385">
        <f t="shared" si="17"/>
        <v>10712030.08</v>
      </c>
      <c r="J84" s="385">
        <f t="shared" si="17"/>
        <v>19277124.890000001</v>
      </c>
      <c r="K84" s="385">
        <f t="shared" si="17"/>
        <v>17836431.240000002</v>
      </c>
      <c r="L84" s="385">
        <f t="shared" si="17"/>
        <v>6875017.54</v>
      </c>
      <c r="M84" s="385">
        <f t="shared" si="17"/>
        <v>9630017.8300000001</v>
      </c>
      <c r="N84" s="385">
        <f t="shared" si="17"/>
        <v>8290389.5199999996</v>
      </c>
      <c r="O84" s="385">
        <f t="shared" si="17"/>
        <v>6948208.5899999999</v>
      </c>
      <c r="P84" s="432">
        <f t="shared" si="17"/>
        <v>19309526.120000012</v>
      </c>
      <c r="Q84" s="424">
        <f>+SUM(E84:P84)</f>
        <v>171544724.10000002</v>
      </c>
      <c r="R84" s="87"/>
      <c r="S84" s="442"/>
      <c r="T84" s="72"/>
      <c r="U84" s="72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</row>
    <row r="85" spans="1:33" ht="13.5" thickTop="1">
      <c r="A85" s="69"/>
      <c r="B85" s="69"/>
      <c r="C85" s="69"/>
      <c r="D85" s="381" t="str">
        <f>IF(MasterSheet!$A$1=1,MasterSheet!C405,MasterSheet!B405)</f>
        <v>Otplata duga rezidentima</v>
      </c>
      <c r="E85" s="354">
        <v>4367230.4400000004</v>
      </c>
      <c r="F85" s="355">
        <v>5235864.3</v>
      </c>
      <c r="G85" s="355">
        <v>4138404.89</v>
      </c>
      <c r="H85" s="355">
        <v>8806701.6500000004</v>
      </c>
      <c r="I85" s="355">
        <v>8698958</v>
      </c>
      <c r="J85" s="356">
        <v>2255304.21</v>
      </c>
      <c r="K85" s="355">
        <v>2557262.25</v>
      </c>
      <c r="L85" s="356">
        <v>847758.62</v>
      </c>
      <c r="M85" s="356">
        <v>2310313.6</v>
      </c>
      <c r="N85" s="356">
        <v>2623201.64</v>
      </c>
      <c r="O85" s="356">
        <v>863263.65</v>
      </c>
      <c r="P85" s="376">
        <v>6145172.4500000002</v>
      </c>
      <c r="Q85" s="357">
        <f t="shared" si="15"/>
        <v>48849435.700000003</v>
      </c>
      <c r="R85" s="69"/>
      <c r="S85" s="440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</row>
    <row r="86" spans="1:33">
      <c r="A86" s="69"/>
      <c r="B86" s="69"/>
      <c r="C86" s="69"/>
      <c r="D86" s="381" t="str">
        <f>IF(MasterSheet!$A$1=1,MasterSheet!C406,MasterSheet!B406)</f>
        <v>Otplata duga nerezidentima</v>
      </c>
      <c r="E86" s="354">
        <v>10468608.6</v>
      </c>
      <c r="F86" s="355">
        <v>4137572.64</v>
      </c>
      <c r="G86" s="355">
        <v>2782704.84</v>
      </c>
      <c r="H86" s="355">
        <v>2116906.48</v>
      </c>
      <c r="I86" s="355">
        <v>1830498.99</v>
      </c>
      <c r="J86" s="356">
        <v>11172575</v>
      </c>
      <c r="K86" s="355">
        <v>2629168.9900000002</v>
      </c>
      <c r="L86" s="356">
        <v>928013.22</v>
      </c>
      <c r="M86" s="356">
        <v>3570458.55</v>
      </c>
      <c r="N86" s="356">
        <v>2217942.19</v>
      </c>
      <c r="O86" s="356">
        <v>2735699.26</v>
      </c>
      <c r="P86" s="376">
        <v>9865107.9800000098</v>
      </c>
      <c r="Q86" s="393">
        <f t="shared" si="15"/>
        <v>54455256.740000002</v>
      </c>
      <c r="R86" s="69"/>
      <c r="S86" s="441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</row>
    <row r="87" spans="1:33">
      <c r="A87" s="69"/>
      <c r="B87" s="69"/>
      <c r="C87" s="69"/>
      <c r="D87" s="381" t="str">
        <f>IF(MasterSheet!$A$1=1,MasterSheet!C407,MasterSheet!B407)</f>
        <v>Otplata obaveza iz prethodnog perioda</v>
      </c>
      <c r="E87" s="354">
        <v>865321.18</v>
      </c>
      <c r="F87" s="355">
        <v>2565018.85</v>
      </c>
      <c r="G87" s="355">
        <v>2782704.84</v>
      </c>
      <c r="H87" s="355">
        <v>971199.4</v>
      </c>
      <c r="I87" s="355">
        <v>182573.09</v>
      </c>
      <c r="J87" s="356">
        <v>5849245.6799999997</v>
      </c>
      <c r="K87" s="355">
        <v>12650000</v>
      </c>
      <c r="L87" s="356">
        <v>5099245.7</v>
      </c>
      <c r="M87" s="356">
        <v>3749245.68</v>
      </c>
      <c r="N87" s="356">
        <v>3449245.69</v>
      </c>
      <c r="O87" s="356">
        <v>3349245.68</v>
      </c>
      <c r="P87" s="376">
        <v>3299245.69</v>
      </c>
      <c r="Q87" s="357">
        <f t="shared" si="15"/>
        <v>44812291.479999997</v>
      </c>
      <c r="R87" s="69"/>
      <c r="S87" s="440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</row>
    <row r="88" spans="1:33" ht="13.5" thickBot="1">
      <c r="A88" s="69"/>
      <c r="B88" s="69"/>
      <c r="C88" s="69"/>
      <c r="D88" s="382" t="str">
        <f>IF(MasterSheet!$A$1=1,MasterSheet!C408,MasterSheet!B408)</f>
        <v>Otplata garancija</v>
      </c>
      <c r="E88" s="354">
        <v>0</v>
      </c>
      <c r="F88" s="355">
        <v>0</v>
      </c>
      <c r="G88" s="355">
        <v>0</v>
      </c>
      <c r="H88" s="355">
        <v>23427740.18</v>
      </c>
      <c r="I88" s="355">
        <v>0</v>
      </c>
      <c r="J88" s="356">
        <v>0</v>
      </c>
      <c r="K88" s="355">
        <v>0</v>
      </c>
      <c r="L88" s="356">
        <v>0</v>
      </c>
      <c r="M88" s="356">
        <v>0</v>
      </c>
      <c r="N88" s="356">
        <v>0</v>
      </c>
      <c r="O88" s="356">
        <v>0</v>
      </c>
      <c r="P88" s="376">
        <v>0</v>
      </c>
      <c r="Q88" s="357">
        <f t="shared" ref="Q88:Q95" si="18">+SUM(E88:P88)</f>
        <v>23427740.18</v>
      </c>
      <c r="R88" s="69"/>
      <c r="S88" s="440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</row>
    <row r="89" spans="1:33" ht="14.25" thickTop="1" thickBot="1">
      <c r="A89" s="69"/>
      <c r="B89" s="69"/>
      <c r="C89" s="69"/>
      <c r="D89" s="358" t="str">
        <f>IF(MasterSheet!$A$1=1,MasterSheet!C409,MasterSheet!B409)</f>
        <v>Nedostajuća sredstva</v>
      </c>
      <c r="E89" s="385">
        <f t="shared" ref="E89:P89" si="19">+E82-E84</f>
        <v>-19671745.022685513</v>
      </c>
      <c r="F89" s="385">
        <f t="shared" si="19"/>
        <v>-43828140.95000001</v>
      </c>
      <c r="G89" s="385">
        <f t="shared" si="19"/>
        <v>-14845892.399999984</v>
      </c>
      <c r="H89" s="385">
        <f t="shared" si="19"/>
        <v>-83075783.003112108</v>
      </c>
      <c r="I89" s="385">
        <f t="shared" si="19"/>
        <v>-13266579.024672048</v>
      </c>
      <c r="J89" s="385">
        <f t="shared" si="19"/>
        <v>-23841645.110567197</v>
      </c>
      <c r="K89" s="385">
        <f t="shared" si="19"/>
        <v>-8568301.4773864374</v>
      </c>
      <c r="L89" s="385">
        <f t="shared" si="19"/>
        <v>1642907.7692184364</v>
      </c>
      <c r="M89" s="385">
        <f t="shared" si="19"/>
        <v>-7105262.2537786383</v>
      </c>
      <c r="N89" s="385">
        <f t="shared" si="19"/>
        <v>-19726336.571929235</v>
      </c>
      <c r="O89" s="385">
        <f t="shared" si="19"/>
        <v>-24447883.21315315</v>
      </c>
      <c r="P89" s="432">
        <f t="shared" si="19"/>
        <v>-1507849.1658001468</v>
      </c>
      <c r="Q89" s="424">
        <f t="shared" si="18"/>
        <v>-258242510.42386606</v>
      </c>
      <c r="R89" s="69"/>
      <c r="S89" s="442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</row>
    <row r="90" spans="1:33" ht="14.25" thickTop="1" thickBot="1">
      <c r="A90" s="69"/>
      <c r="B90" s="69"/>
      <c r="C90" s="69"/>
      <c r="D90" s="358" t="str">
        <f>IF(MasterSheet!$A$1=1,MasterSheet!C410,MasterSheet!B410)</f>
        <v>Finansiranje</v>
      </c>
      <c r="E90" s="385">
        <f>+SUM(E91:E95)</f>
        <v>19671745.022685513</v>
      </c>
      <c r="F90" s="385">
        <f t="shared" ref="F90:P90" si="20">+SUM(F91:F95)</f>
        <v>43828140.95000001</v>
      </c>
      <c r="G90" s="385">
        <f t="shared" si="20"/>
        <v>14845892.399999984</v>
      </c>
      <c r="H90" s="385">
        <f t="shared" si="20"/>
        <v>83075783.003112108</v>
      </c>
      <c r="I90" s="385">
        <f t="shared" si="20"/>
        <v>13266579.024672048</v>
      </c>
      <c r="J90" s="385">
        <f t="shared" si="20"/>
        <v>23841645.110567197</v>
      </c>
      <c r="K90" s="385">
        <f t="shared" si="20"/>
        <v>8568301.4773864299</v>
      </c>
      <c r="L90" s="385">
        <f t="shared" si="20"/>
        <v>-1642907.7692184364</v>
      </c>
      <c r="M90" s="385">
        <f t="shared" si="20"/>
        <v>7105262.2537786383</v>
      </c>
      <c r="N90" s="385">
        <f t="shared" si="20"/>
        <v>19726336.571929235</v>
      </c>
      <c r="O90" s="385">
        <f t="shared" si="20"/>
        <v>24447883.21315315</v>
      </c>
      <c r="P90" s="432">
        <f t="shared" si="20"/>
        <v>1507849.1658001468</v>
      </c>
      <c r="Q90" s="424">
        <f t="shared" si="18"/>
        <v>258242510.42386603</v>
      </c>
      <c r="R90" s="69"/>
      <c r="S90" s="442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</row>
    <row r="91" spans="1:33" ht="13.5" thickTop="1">
      <c r="A91" s="69"/>
      <c r="B91" s="69"/>
      <c r="C91" s="69"/>
      <c r="D91" s="381" t="str">
        <f>IF(MasterSheet!$A$1=1,MasterSheet!C411,MasterSheet!B411)</f>
        <v>Pozajmice i krediti iz domaćih izvora</v>
      </c>
      <c r="E91" s="354">
        <v>9940519.3800000008</v>
      </c>
      <c r="F91" s="355">
        <v>1500000</v>
      </c>
      <c r="G91" s="355">
        <v>5000000</v>
      </c>
      <c r="H91" s="355">
        <v>0</v>
      </c>
      <c r="I91" s="355">
        <v>0</v>
      </c>
      <c r="J91" s="356">
        <v>0</v>
      </c>
      <c r="K91" s="355">
        <v>0</v>
      </c>
      <c r="L91" s="356">
        <v>0</v>
      </c>
      <c r="M91" s="356">
        <v>0</v>
      </c>
      <c r="N91" s="356">
        <v>0</v>
      </c>
      <c r="O91" s="356">
        <v>0</v>
      </c>
      <c r="P91" s="376">
        <v>0</v>
      </c>
      <c r="Q91" s="357">
        <f t="shared" si="18"/>
        <v>16440519.380000001</v>
      </c>
      <c r="R91" s="69"/>
      <c r="S91" s="440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</row>
    <row r="92" spans="1:33">
      <c r="A92" s="69"/>
      <c r="B92" s="69"/>
      <c r="C92" s="69"/>
      <c r="D92" s="381" t="str">
        <f>IF(MasterSheet!$A$1=1,MasterSheet!C412,MasterSheet!B412)</f>
        <v>Pozajmice i krediti iz inostranih izvora</v>
      </c>
      <c r="E92" s="354">
        <v>17753.55</v>
      </c>
      <c r="F92" s="355">
        <v>59489562.469999999</v>
      </c>
      <c r="G92" s="355">
        <v>308302.08000000002</v>
      </c>
      <c r="H92" s="355">
        <v>98000000</v>
      </c>
      <c r="I92" s="355">
        <v>0</v>
      </c>
      <c r="J92" s="356">
        <v>0</v>
      </c>
      <c r="K92" s="355">
        <v>100000000</v>
      </c>
      <c r="L92" s="356">
        <v>0</v>
      </c>
      <c r="M92" s="356">
        <v>0</v>
      </c>
      <c r="N92" s="356">
        <v>0</v>
      </c>
      <c r="O92" s="356">
        <v>33986892.173866034</v>
      </c>
      <c r="P92" s="376">
        <v>0</v>
      </c>
      <c r="Q92" s="357">
        <f t="shared" si="18"/>
        <v>291802510.27386606</v>
      </c>
      <c r="R92" s="69"/>
      <c r="S92" s="440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</row>
    <row r="93" spans="1:33">
      <c r="A93" s="69"/>
      <c r="B93" s="69"/>
      <c r="C93" s="69"/>
      <c r="D93" s="381" t="str">
        <f>IF(MasterSheet!$A$1=1,MasterSheet!C413,MasterSheet!B413)</f>
        <v>Donacije</v>
      </c>
      <c r="E93" s="354">
        <v>0</v>
      </c>
      <c r="F93" s="355">
        <v>0</v>
      </c>
      <c r="G93" s="355">
        <v>0</v>
      </c>
      <c r="H93" s="355">
        <v>0</v>
      </c>
      <c r="I93" s="355">
        <v>0</v>
      </c>
      <c r="J93" s="356">
        <v>0</v>
      </c>
      <c r="K93" s="355">
        <v>0</v>
      </c>
      <c r="L93" s="356">
        <v>0</v>
      </c>
      <c r="M93" s="356">
        <v>0</v>
      </c>
      <c r="N93" s="356">
        <v>0</v>
      </c>
      <c r="O93" s="356">
        <v>0</v>
      </c>
      <c r="P93" s="376">
        <v>0</v>
      </c>
      <c r="Q93" s="357">
        <f t="shared" si="18"/>
        <v>0</v>
      </c>
      <c r="R93" s="69"/>
      <c r="S93" s="440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</row>
    <row r="94" spans="1:33">
      <c r="A94" s="69"/>
      <c r="B94" s="69"/>
      <c r="C94" s="69"/>
      <c r="D94" s="381" t="str">
        <f>IF(MasterSheet!$A$1=1,MasterSheet!C414,MasterSheet!B414)</f>
        <v>Prihodi od privatizacije</v>
      </c>
      <c r="E94" s="354">
        <v>103661.6</v>
      </c>
      <c r="F94" s="356">
        <v>231003.75</v>
      </c>
      <c r="G94" s="356">
        <v>52105.86</v>
      </c>
      <c r="H94" s="355">
        <v>1068136.5322222221</v>
      </c>
      <c r="I94" s="355">
        <v>1068136.5322222221</v>
      </c>
      <c r="J94" s="356">
        <v>1068136.5322222221</v>
      </c>
      <c r="K94" s="355">
        <v>1068136.5322222221</v>
      </c>
      <c r="L94" s="356">
        <v>1068136.5322222221</v>
      </c>
      <c r="M94" s="356">
        <v>1068136.5322222221</v>
      </c>
      <c r="N94" s="356">
        <v>1068136.5322222221</v>
      </c>
      <c r="O94" s="356">
        <v>1068136.5322222221</v>
      </c>
      <c r="P94" s="376">
        <v>1068136.5322222221</v>
      </c>
      <c r="Q94" s="357">
        <f t="shared" si="18"/>
        <v>10000000</v>
      </c>
      <c r="R94" s="69"/>
      <c r="S94" s="440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69"/>
    </row>
    <row r="95" spans="1:33" ht="13.5" thickBot="1">
      <c r="A95" s="69"/>
      <c r="B95" s="69"/>
      <c r="C95" s="69"/>
      <c r="D95" s="384" t="str">
        <f>IF(MasterSheet!$A$1=1,MasterSheet!C415,MasterSheet!B415)</f>
        <v>Povećanje/smanjenje depozita</v>
      </c>
      <c r="E95" s="369">
        <f>-E89-SUM(E91:E94)</f>
        <v>9609810.4926855117</v>
      </c>
      <c r="F95" s="371">
        <f t="shared" ref="F95:P95" si="21">-F89-SUM(F91:F94)</f>
        <v>-17392425.269999988</v>
      </c>
      <c r="G95" s="371">
        <f t="shared" si="21"/>
        <v>9485484.4599999823</v>
      </c>
      <c r="H95" s="392">
        <f t="shared" si="21"/>
        <v>-15992353.529110119</v>
      </c>
      <c r="I95" s="392">
        <f t="shared" si="21"/>
        <v>12198442.492449826</v>
      </c>
      <c r="J95" s="392">
        <f t="shared" si="21"/>
        <v>22773508.578344975</v>
      </c>
      <c r="K95" s="392">
        <f t="shared" si="21"/>
        <v>-92499835.054835796</v>
      </c>
      <c r="L95" s="392">
        <f t="shared" si="21"/>
        <v>-2711044.3014406585</v>
      </c>
      <c r="M95" s="392">
        <f t="shared" si="21"/>
        <v>6037125.7215564158</v>
      </c>
      <c r="N95" s="392">
        <f t="shared" si="21"/>
        <v>18658200.039707012</v>
      </c>
      <c r="O95" s="392">
        <f t="shared" si="21"/>
        <v>-10607145.492935102</v>
      </c>
      <c r="P95" s="377">
        <f t="shared" si="21"/>
        <v>439712.63357792469</v>
      </c>
      <c r="Q95" s="423">
        <f t="shared" si="18"/>
        <v>-60000519.230000019</v>
      </c>
      <c r="R95" s="380"/>
      <c r="S95" s="388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</row>
    <row r="96" spans="1:33" ht="13.5" thickTop="1">
      <c r="A96" s="69"/>
      <c r="B96" s="69"/>
      <c r="C96" s="69"/>
      <c r="D96" s="379" t="str">
        <f>IF(MasterSheet!$A$1=1,MasterSheet!C416,MasterSheet!B416)</f>
        <v>Izvor: Ministarstvo finansija Crne Gore</v>
      </c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</row>
    <row r="97" spans="1:33">
      <c r="A97" s="69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</row>
    <row r="98" spans="1:33">
      <c r="A98" s="69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</row>
    <row r="99" spans="1:33">
      <c r="A99" s="69"/>
      <c r="B99" s="69"/>
      <c r="C99" s="69"/>
      <c r="D99" s="69"/>
      <c r="E99" s="69"/>
      <c r="F99" s="69"/>
      <c r="G99" s="69"/>
      <c r="H99" s="532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</row>
    <row r="100" spans="1:33">
      <c r="A100" s="69"/>
      <c r="B100" s="69"/>
      <c r="C100" s="69"/>
      <c r="D100" s="69"/>
      <c r="E100" s="69"/>
      <c r="F100" s="69"/>
      <c r="G100" s="69"/>
      <c r="H100" s="532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</row>
    <row r="101" spans="1:33">
      <c r="A101" s="69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</row>
    <row r="102" spans="1:33">
      <c r="A102" s="69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</row>
    <row r="103" spans="1:33">
      <c r="A103" s="69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</row>
    <row r="104" spans="1:33">
      <c r="A104" s="69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</row>
    <row r="105" spans="1:33">
      <c r="A105" s="69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</row>
    <row r="106" spans="1:33">
      <c r="A106" s="69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</row>
    <row r="107" spans="1:33">
      <c r="A107" s="69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</row>
    <row r="108" spans="1:33">
      <c r="A108" s="69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</row>
    <row r="109" spans="1:33">
      <c r="A109" s="69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</row>
    <row r="110" spans="1:33">
      <c r="A110" s="69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</row>
    <row r="111" spans="1:33">
      <c r="A111" s="69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</row>
    <row r="112" spans="1:33">
      <c r="A112" s="69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</row>
    <row r="113" spans="1:33">
      <c r="A113" s="69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</row>
    <row r="114" spans="1:33">
      <c r="A114" s="69"/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</row>
    <row r="115" spans="1:33">
      <c r="A115" s="69"/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</row>
    <row r="116" spans="1:33">
      <c r="A116" s="69"/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</row>
    <row r="117" spans="1:33">
      <c r="A117" s="69"/>
      <c r="B117" s="69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</row>
    <row r="118" spans="1:33">
      <c r="A118" s="69"/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</row>
    <row r="119" spans="1:33">
      <c r="A119" s="69"/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</row>
    <row r="120" spans="1:33">
      <c r="A120" s="69"/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</row>
    <row r="121" spans="1:33">
      <c r="A121" s="69"/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</row>
    <row r="122" spans="1:33">
      <c r="A122" s="69"/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</row>
    <row r="123" spans="1:33">
      <c r="A123" s="69"/>
      <c r="B123" s="69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</row>
    <row r="124" spans="1:33">
      <c r="A124" s="69"/>
      <c r="B124" s="69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</row>
    <row r="125" spans="1:33">
      <c r="A125" s="69"/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</row>
    <row r="126" spans="1:33">
      <c r="A126" s="69"/>
      <c r="B126" s="69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</row>
    <row r="127" spans="1:33">
      <c r="A127" s="69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</row>
    <row r="128" spans="1:33">
      <c r="A128" s="69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</row>
    <row r="129" spans="1:33">
      <c r="A129" s="69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</row>
    <row r="130" spans="1:33">
      <c r="A130" s="69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</row>
    <row r="131" spans="1:33">
      <c r="A131" s="69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</row>
    <row r="132" spans="1:33">
      <c r="A132" s="69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</row>
    <row r="133" spans="1:33">
      <c r="A133" s="69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</row>
    <row r="134" spans="1:33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</row>
    <row r="135" spans="1:33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</row>
    <row r="136" spans="1:33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</row>
    <row r="137" spans="1:33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</row>
    <row r="138" spans="1:33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</row>
    <row r="139" spans="1:33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</row>
    <row r="140" spans="1:33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</row>
    <row r="141" spans="1:33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</row>
    <row r="142" spans="1:33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</row>
    <row r="143" spans="1:33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</row>
    <row r="144" spans="1:33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</row>
    <row r="145" spans="1:33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</row>
    <row r="146" spans="1:33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</row>
    <row r="147" spans="1:33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</row>
    <row r="148" spans="1:33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69"/>
      <c r="AG148" s="69"/>
    </row>
    <row r="149" spans="1:33">
      <c r="A149" s="69"/>
      <c r="B149" s="69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69"/>
      <c r="AG149" s="69"/>
    </row>
    <row r="150" spans="1:33">
      <c r="A150" s="69"/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/>
      <c r="AE150" s="69"/>
      <c r="AF150" s="69"/>
      <c r="AG150" s="69"/>
    </row>
    <row r="151" spans="1:33">
      <c r="A151" s="69"/>
      <c r="B151" s="69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69"/>
    </row>
    <row r="152" spans="1:33">
      <c r="A152" s="69"/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</row>
    <row r="153" spans="1:33">
      <c r="A153" s="69"/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</row>
  </sheetData>
  <sheetProtection formatCells="0" formatColumns="0" formatRows="0" sort="0" autoFilter="0" pivotTables="0"/>
  <mergeCells count="5">
    <mergeCell ref="H8:J8"/>
    <mergeCell ref="G9:K9"/>
    <mergeCell ref="E14:Q14"/>
    <mergeCell ref="D17:D18"/>
    <mergeCell ref="E17:Q17"/>
  </mergeCells>
  <pageMargins left="0.7" right="0.7" top="0.75" bottom="0.75" header="0.3" footer="0.3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theme="3" tint="0.79998168889431442"/>
    <pageSetUpPr fitToPage="1"/>
  </sheetPr>
  <dimension ref="A1:AG154"/>
  <sheetViews>
    <sheetView topLeftCell="A70" workbookViewId="0">
      <selection activeCell="A96" sqref="A96:XFD96"/>
    </sheetView>
  </sheetViews>
  <sheetFormatPr defaultRowHeight="12.75"/>
  <cols>
    <col min="1" max="1" width="9.140625" customWidth="1"/>
    <col min="2" max="2" width="9.28515625" customWidth="1"/>
    <col min="3" max="3" width="9.85546875" customWidth="1"/>
    <col min="4" max="4" width="62" customWidth="1"/>
    <col min="5" max="12" width="10.7109375" customWidth="1"/>
    <col min="13" max="13" width="11.7109375" customWidth="1"/>
    <col min="14" max="14" width="10.7109375" customWidth="1"/>
    <col min="15" max="16" width="11.7109375" customWidth="1"/>
    <col min="17" max="17" width="15.7109375" customWidth="1"/>
    <col min="18" max="18" width="17.42578125" bestFit="1" customWidth="1"/>
    <col min="19" max="19" width="15.28515625" bestFit="1" customWidth="1"/>
  </cols>
  <sheetData>
    <row r="1" spans="1:33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</row>
    <row r="2" spans="1:3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</row>
    <row r="3" spans="1:33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</row>
    <row r="4" spans="1:33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</row>
    <row r="5" spans="1:33">
      <c r="A5" s="69"/>
      <c r="B5" s="69"/>
      <c r="C5" s="69"/>
      <c r="D5" s="70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</row>
    <row r="6" spans="1:33">
      <c r="A6" s="69"/>
      <c r="B6" s="69"/>
      <c r="C6" s="69"/>
      <c r="D6" s="70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</row>
    <row r="7" spans="1:33">
      <c r="A7" s="69"/>
      <c r="B7" s="69"/>
      <c r="C7" s="69"/>
      <c r="D7" s="70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</row>
    <row r="8" spans="1:33" ht="15">
      <c r="A8" s="69"/>
      <c r="B8" s="69"/>
      <c r="C8" s="69"/>
      <c r="D8" s="70"/>
      <c r="E8" s="1152" t="s">
        <v>200</v>
      </c>
      <c r="F8" s="1152"/>
      <c r="G8" s="1152"/>
      <c r="H8" s="1152"/>
      <c r="I8" s="1152"/>
      <c r="J8" s="1152"/>
      <c r="K8" s="1152"/>
      <c r="L8" s="1152"/>
      <c r="M8" s="1152"/>
      <c r="N8" s="1152"/>
      <c r="O8" s="1152"/>
      <c r="P8" s="1152"/>
      <c r="Q8" s="1152"/>
      <c r="R8" s="69"/>
      <c r="S8" s="69"/>
      <c r="T8" s="69"/>
      <c r="U8" s="69"/>
      <c r="V8" s="69"/>
      <c r="W8" s="70"/>
      <c r="X8" s="69"/>
      <c r="Y8" s="69"/>
      <c r="Z8" s="69"/>
      <c r="AA8" s="69"/>
      <c r="AB8" s="69"/>
      <c r="AC8" s="69"/>
      <c r="AD8" s="69"/>
      <c r="AE8" s="69"/>
      <c r="AF8" s="69"/>
      <c r="AG8" s="69"/>
    </row>
    <row r="9" spans="1:33" ht="15">
      <c r="A9" s="69"/>
      <c r="B9" s="69"/>
      <c r="C9" s="69"/>
      <c r="D9" s="69"/>
      <c r="E9" s="1152" t="s">
        <v>201</v>
      </c>
      <c r="F9" s="1152"/>
      <c r="G9" s="1152"/>
      <c r="H9" s="1152"/>
      <c r="I9" s="1152"/>
      <c r="J9" s="1152"/>
      <c r="K9" s="1152"/>
      <c r="L9" s="1152"/>
      <c r="M9" s="1152"/>
      <c r="N9" s="1152"/>
      <c r="O9" s="1152"/>
      <c r="P9" s="1152"/>
      <c r="Q9" s="1152"/>
      <c r="R9" s="69"/>
      <c r="S9" s="69"/>
      <c r="T9" s="69"/>
      <c r="U9" s="69"/>
      <c r="V9" s="69"/>
      <c r="W9" s="70"/>
      <c r="X9" s="69"/>
      <c r="Y9" s="69"/>
      <c r="Z9" s="69"/>
      <c r="AA9" s="69"/>
      <c r="AB9" s="69"/>
      <c r="AC9" s="69"/>
      <c r="AD9" s="69"/>
      <c r="AE9" s="69"/>
      <c r="AF9" s="69"/>
      <c r="AG9" s="69"/>
    </row>
    <row r="10" spans="1:33">
      <c r="A10" s="69"/>
      <c r="B10" s="69"/>
      <c r="C10" s="69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69"/>
      <c r="T10" s="69"/>
      <c r="U10" s="69"/>
      <c r="V10" s="69"/>
      <c r="W10" s="70"/>
      <c r="X10" s="69"/>
      <c r="Y10" s="69"/>
      <c r="Z10" s="69"/>
      <c r="AA10" s="69"/>
      <c r="AB10" s="69"/>
      <c r="AC10" s="69"/>
      <c r="AD10" s="69"/>
      <c r="AE10" s="69"/>
      <c r="AF10" s="69"/>
      <c r="AG10" s="69"/>
    </row>
    <row r="11" spans="1:33">
      <c r="A11" s="69"/>
      <c r="B11" s="69"/>
      <c r="C11" s="69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69"/>
      <c r="T11" s="69"/>
      <c r="U11" s="69"/>
      <c r="V11" s="69"/>
      <c r="W11" s="70"/>
      <c r="X11" s="69"/>
      <c r="Y11" s="69"/>
      <c r="Z11" s="69"/>
      <c r="AA11" s="69"/>
      <c r="AB11" s="69"/>
      <c r="AC11" s="69"/>
      <c r="AD11" s="69"/>
      <c r="AE11" s="69"/>
      <c r="AF11" s="69"/>
      <c r="AG11" s="69"/>
    </row>
    <row r="12" spans="1:33">
      <c r="A12" s="69"/>
      <c r="B12" s="69"/>
      <c r="C12" s="69"/>
      <c r="D12" s="213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</row>
    <row r="13" spans="1:33" ht="13.5" thickBot="1">
      <c r="A13" s="69"/>
      <c r="B13" s="69"/>
      <c r="C13" s="69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213"/>
      <c r="S13" s="70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</row>
    <row r="14" spans="1:33" ht="17.25" thickTop="1" thickBot="1">
      <c r="B14" s="413"/>
      <c r="C14" s="414"/>
      <c r="D14" s="717" t="s">
        <v>386</v>
      </c>
      <c r="E14" s="1169">
        <v>3324000000</v>
      </c>
      <c r="F14" s="1169"/>
      <c r="G14" s="1169"/>
      <c r="H14" s="1169"/>
      <c r="I14" s="1169"/>
      <c r="J14" s="1169"/>
      <c r="K14" s="1169"/>
      <c r="L14" s="1169"/>
      <c r="M14" s="1169"/>
      <c r="N14" s="1169"/>
      <c r="O14" s="1169"/>
      <c r="P14" s="1169"/>
      <c r="Q14" s="1170"/>
      <c r="R14" s="411"/>
      <c r="S14" s="412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</row>
    <row r="15" spans="1:33" ht="15.75" thickTop="1">
      <c r="A15" s="718"/>
      <c r="B15" s="236"/>
      <c r="C15" s="236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409"/>
      <c r="O15" s="409"/>
      <c r="P15" s="410"/>
      <c r="Q15" s="410"/>
      <c r="R15" s="410"/>
      <c r="S15" s="410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</row>
    <row r="16" spans="1:33" ht="17.25" customHeight="1" thickBot="1">
      <c r="A16" s="69"/>
      <c r="B16" s="69"/>
      <c r="C16" s="69"/>
      <c r="D16" s="72"/>
      <c r="E16" s="72"/>
      <c r="F16" s="72"/>
      <c r="G16" s="72"/>
      <c r="H16" s="565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</row>
    <row r="17" spans="1:33" ht="17.25" customHeight="1" thickTop="1">
      <c r="A17" s="69"/>
      <c r="B17" s="69"/>
      <c r="C17" s="69"/>
      <c r="D17" s="1171" t="s">
        <v>330</v>
      </c>
      <c r="E17" s="1173">
        <v>2012</v>
      </c>
      <c r="F17" s="1174"/>
      <c r="G17" s="1174"/>
      <c r="H17" s="1174"/>
      <c r="I17" s="1174"/>
      <c r="J17" s="1174"/>
      <c r="K17" s="1174"/>
      <c r="L17" s="1174"/>
      <c r="M17" s="1174"/>
      <c r="N17" s="1174"/>
      <c r="O17" s="1174"/>
      <c r="P17" s="1174"/>
      <c r="Q17" s="1175"/>
      <c r="R17" s="72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</row>
    <row r="18" spans="1:33" ht="15" customHeight="1" thickBot="1">
      <c r="A18" s="69"/>
      <c r="B18" s="69"/>
      <c r="C18" s="69"/>
      <c r="D18" s="1172"/>
      <c r="E18" s="362" t="s">
        <v>296</v>
      </c>
      <c r="F18" s="363" t="s">
        <v>297</v>
      </c>
      <c r="G18" s="363" t="s">
        <v>298</v>
      </c>
      <c r="H18" s="363" t="s">
        <v>299</v>
      </c>
      <c r="I18" s="363" t="s">
        <v>300</v>
      </c>
      <c r="J18" s="363" t="s">
        <v>301</v>
      </c>
      <c r="K18" s="363" t="s">
        <v>302</v>
      </c>
      <c r="L18" s="364" t="s">
        <v>303</v>
      </c>
      <c r="M18" s="364" t="s">
        <v>304</v>
      </c>
      <c r="N18" s="364" t="s">
        <v>305</v>
      </c>
      <c r="O18" s="364" t="s">
        <v>306</v>
      </c>
      <c r="P18" s="416" t="s">
        <v>307</v>
      </c>
      <c r="Q18" s="604" t="s">
        <v>402</v>
      </c>
      <c r="R18" s="72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</row>
    <row r="19" spans="1:33" ht="15" customHeight="1" thickTop="1" thickBot="1">
      <c r="A19" s="69"/>
      <c r="B19" s="69"/>
      <c r="C19" s="69"/>
      <c r="D19" s="358" t="s">
        <v>128</v>
      </c>
      <c r="E19" s="689">
        <f>+E20+E28+E33+E38+E45+E50</f>
        <v>48726397.350000001</v>
      </c>
      <c r="F19" s="689">
        <f t="shared" ref="F19:P19" si="0">+F20+F28+F33+F38+F45+F50</f>
        <v>67761749.069999993</v>
      </c>
      <c r="G19" s="689">
        <f t="shared" si="0"/>
        <v>76276638</v>
      </c>
      <c r="H19" s="689">
        <f t="shared" si="0"/>
        <v>98761847.500000015</v>
      </c>
      <c r="I19" s="689">
        <f t="shared" si="0"/>
        <v>86817319.960000023</v>
      </c>
      <c r="J19" s="689">
        <f t="shared" si="0"/>
        <v>95935673.590000004</v>
      </c>
      <c r="K19" s="689">
        <f t="shared" si="0"/>
        <v>130902818.23</v>
      </c>
      <c r="L19" s="689">
        <f t="shared" si="0"/>
        <v>108520677.06999999</v>
      </c>
      <c r="M19" s="689">
        <f t="shared" si="0"/>
        <v>95844316.429999992</v>
      </c>
      <c r="N19" s="689">
        <f t="shared" si="0"/>
        <v>99225993.690000013</v>
      </c>
      <c r="O19" s="689">
        <f t="shared" si="0"/>
        <v>85312820.549999997</v>
      </c>
      <c r="P19" s="689">
        <f t="shared" si="0"/>
        <v>126935629.20000002</v>
      </c>
      <c r="Q19" s="596">
        <f>SUM(E19:P19)</f>
        <v>1121021880.6399999</v>
      </c>
      <c r="R19" s="565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</row>
    <row r="20" spans="1:33" ht="15" customHeight="1" thickTop="1">
      <c r="A20" s="69"/>
      <c r="B20" s="69"/>
      <c r="C20" s="69"/>
      <c r="D20" s="301" t="s">
        <v>2</v>
      </c>
      <c r="E20" s="701">
        <f t="shared" ref="E20:M20" si="1">SUM(E21:E27)</f>
        <v>35884139.43</v>
      </c>
      <c r="F20" s="702">
        <f t="shared" si="1"/>
        <v>38790866.019999996</v>
      </c>
      <c r="G20" s="702">
        <f t="shared" si="1"/>
        <v>44749384.840000004</v>
      </c>
      <c r="H20" s="703">
        <f t="shared" si="1"/>
        <v>62284624.009999998</v>
      </c>
      <c r="I20" s="703">
        <f t="shared" si="1"/>
        <v>54289863.810000002</v>
      </c>
      <c r="J20" s="703">
        <f t="shared" si="1"/>
        <v>64751336.399999991</v>
      </c>
      <c r="K20" s="703">
        <f t="shared" si="1"/>
        <v>89796994.480000004</v>
      </c>
      <c r="L20" s="703">
        <f t="shared" si="1"/>
        <v>63715815.289999999</v>
      </c>
      <c r="M20" s="703">
        <f t="shared" si="1"/>
        <v>65062594.769999996</v>
      </c>
      <c r="N20" s="699">
        <v>58701403.700000003</v>
      </c>
      <c r="O20" s="699">
        <v>50869538.399999999</v>
      </c>
      <c r="P20" s="699">
        <v>58547572.599999994</v>
      </c>
      <c r="Q20" s="700">
        <f t="shared" ref="Q20:Q81" si="2">SUM(E20:P20)</f>
        <v>687444133.75</v>
      </c>
      <c r="R20" s="565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</row>
    <row r="21" spans="1:33" ht="15" customHeight="1">
      <c r="A21" s="69"/>
      <c r="B21" s="69"/>
      <c r="C21" s="69"/>
      <c r="D21" s="302" t="s">
        <v>3</v>
      </c>
      <c r="E21" s="354">
        <v>2584361.34</v>
      </c>
      <c r="F21" s="355">
        <v>5333687.79</v>
      </c>
      <c r="G21" s="355">
        <v>6340026.6100000003</v>
      </c>
      <c r="H21" s="355">
        <v>7246542.3899999997</v>
      </c>
      <c r="I21" s="355">
        <v>6418173.7599999998</v>
      </c>
      <c r="J21" s="355">
        <v>5650455.4299999997</v>
      </c>
      <c r="K21" s="355">
        <v>7808337.6900000004</v>
      </c>
      <c r="L21" s="355">
        <v>8855262.9100000001</v>
      </c>
      <c r="M21" s="355">
        <v>6244778.2599999998</v>
      </c>
      <c r="N21" s="355">
        <v>8678831</v>
      </c>
      <c r="O21" s="355">
        <v>6356523.7000000002</v>
      </c>
      <c r="P21" s="355">
        <v>10744852.300000001</v>
      </c>
      <c r="Q21" s="704">
        <f t="shared" si="2"/>
        <v>82261833.179999992</v>
      </c>
      <c r="R21" s="565"/>
      <c r="S21" s="532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</row>
    <row r="22" spans="1:33" ht="15" customHeight="1">
      <c r="A22" s="69"/>
      <c r="B22" s="69"/>
      <c r="C22" s="69"/>
      <c r="D22" s="302" t="s">
        <v>5</v>
      </c>
      <c r="E22" s="354">
        <v>405891.15</v>
      </c>
      <c r="F22" s="355">
        <v>434576.57</v>
      </c>
      <c r="G22" s="355">
        <v>4545996.0599999996</v>
      </c>
      <c r="H22" s="355">
        <v>13487997.380000001</v>
      </c>
      <c r="I22" s="355">
        <v>3054260.76</v>
      </c>
      <c r="J22" s="355">
        <v>3802498.05</v>
      </c>
      <c r="K22" s="355">
        <v>28544287.550000001</v>
      </c>
      <c r="L22" s="355">
        <v>2310250.2200000002</v>
      </c>
      <c r="M22" s="355">
        <v>3273538.66</v>
      </c>
      <c r="N22" s="355">
        <v>1542406.3</v>
      </c>
      <c r="O22" s="355">
        <v>791755</v>
      </c>
      <c r="P22" s="355">
        <v>1823099.7</v>
      </c>
      <c r="Q22" s="704">
        <f t="shared" si="2"/>
        <v>64016557.400000006</v>
      </c>
      <c r="R22" s="565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</row>
    <row r="23" spans="1:33" ht="15" customHeight="1">
      <c r="A23" s="69"/>
      <c r="B23" s="69"/>
      <c r="C23" s="69"/>
      <c r="D23" s="302" t="s">
        <v>308</v>
      </c>
      <c r="E23" s="354">
        <v>77264.789999999994</v>
      </c>
      <c r="F23" s="355">
        <v>98564.160000000003</v>
      </c>
      <c r="G23" s="355">
        <v>177064.83</v>
      </c>
      <c r="H23" s="355">
        <v>98294.96</v>
      </c>
      <c r="I23" s="355">
        <v>95197.53</v>
      </c>
      <c r="J23" s="355">
        <v>127299.77</v>
      </c>
      <c r="K23" s="355">
        <v>116273.1</v>
      </c>
      <c r="L23" s="355">
        <v>91295.65</v>
      </c>
      <c r="M23" s="355">
        <v>161882.07999999999</v>
      </c>
      <c r="N23" s="355">
        <v>129365.4</v>
      </c>
      <c r="O23" s="355">
        <v>134880.9</v>
      </c>
      <c r="P23" s="355">
        <v>134066.1</v>
      </c>
      <c r="Q23" s="704">
        <f t="shared" si="2"/>
        <v>1441449.27</v>
      </c>
      <c r="R23" s="565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</row>
    <row r="24" spans="1:33" ht="15" customHeight="1">
      <c r="A24" s="69"/>
      <c r="B24" s="69"/>
      <c r="C24" s="69"/>
      <c r="D24" s="302" t="s">
        <v>9</v>
      </c>
      <c r="E24" s="354">
        <v>21196163.460000001</v>
      </c>
      <c r="F24" s="355">
        <v>21324767.77</v>
      </c>
      <c r="G24" s="355">
        <v>23762618.34</v>
      </c>
      <c r="H24" s="355">
        <v>27714374.960000001</v>
      </c>
      <c r="I24" s="355">
        <v>30992938.18</v>
      </c>
      <c r="J24" s="355">
        <v>37819988.479999997</v>
      </c>
      <c r="K24" s="355">
        <v>37346236.600000001</v>
      </c>
      <c r="L24" s="355">
        <v>32213362.77</v>
      </c>
      <c r="M24" s="355">
        <v>33594293.979999997</v>
      </c>
      <c r="N24" s="355">
        <v>33884900</v>
      </c>
      <c r="O24" s="355">
        <v>29084760.399999999</v>
      </c>
      <c r="P24" s="355">
        <v>25779626.199999999</v>
      </c>
      <c r="Q24" s="704">
        <f t="shared" si="2"/>
        <v>354714031.13999993</v>
      </c>
      <c r="R24" s="565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</row>
    <row r="25" spans="1:33" ht="15" customHeight="1">
      <c r="A25" s="69"/>
      <c r="B25" s="69"/>
      <c r="C25" s="69"/>
      <c r="D25" s="302" t="s">
        <v>309</v>
      </c>
      <c r="E25" s="354">
        <v>9267303.6799999997</v>
      </c>
      <c r="F25" s="355">
        <v>9083966.1199999992</v>
      </c>
      <c r="G25" s="355">
        <v>6379102.2800000003</v>
      </c>
      <c r="H25" s="355">
        <v>9978716.9000000004</v>
      </c>
      <c r="I25" s="355">
        <v>10087834.560000001</v>
      </c>
      <c r="J25" s="355">
        <v>14771461.699999999</v>
      </c>
      <c r="K25" s="355">
        <v>13185513.26</v>
      </c>
      <c r="L25" s="355">
        <v>17419420.949999999</v>
      </c>
      <c r="M25" s="355">
        <v>19430036.780000001</v>
      </c>
      <c r="N25" s="355">
        <v>11829688</v>
      </c>
      <c r="O25" s="355">
        <v>12445142.4</v>
      </c>
      <c r="P25" s="355">
        <v>17887911</v>
      </c>
      <c r="Q25" s="704">
        <f t="shared" si="2"/>
        <v>151766097.63</v>
      </c>
      <c r="R25" s="565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</row>
    <row r="26" spans="1:33" ht="15" customHeight="1">
      <c r="A26" s="69"/>
      <c r="B26" s="69"/>
      <c r="C26" s="69"/>
      <c r="D26" s="302" t="s">
        <v>310</v>
      </c>
      <c r="E26" s="354">
        <v>2099688</v>
      </c>
      <c r="F26" s="355">
        <v>2267285.1800000002</v>
      </c>
      <c r="G26" s="355">
        <v>3241532.58</v>
      </c>
      <c r="H26" s="355">
        <v>3383475.63</v>
      </c>
      <c r="I26" s="355">
        <v>3249031</v>
      </c>
      <c r="J26" s="355">
        <v>2148285.92</v>
      </c>
      <c r="K26" s="355">
        <v>2356613.06</v>
      </c>
      <c r="L26" s="355">
        <v>2414822.0699999998</v>
      </c>
      <c r="M26" s="355">
        <v>1990647.26</v>
      </c>
      <c r="N26" s="355">
        <v>2265475.5</v>
      </c>
      <c r="O26" s="355">
        <v>1692216.7</v>
      </c>
      <c r="P26" s="355">
        <v>1855952.3</v>
      </c>
      <c r="Q26" s="704">
        <f t="shared" si="2"/>
        <v>28965025.200000003</v>
      </c>
      <c r="R26" s="565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</row>
    <row r="27" spans="1:33" ht="15" customHeight="1">
      <c r="B27" s="69"/>
      <c r="C27" s="69"/>
      <c r="D27" s="302" t="s">
        <v>16</v>
      </c>
      <c r="E27" s="354">
        <v>253467.01</v>
      </c>
      <c r="F27" s="355">
        <v>248018.43</v>
      </c>
      <c r="G27" s="355">
        <v>303044.14</v>
      </c>
      <c r="H27" s="355">
        <v>375221.79</v>
      </c>
      <c r="I27" s="355">
        <v>392428.02</v>
      </c>
      <c r="J27" s="355">
        <v>431347.05</v>
      </c>
      <c r="K27" s="355">
        <v>439733.22</v>
      </c>
      <c r="L27" s="355">
        <v>411400.72</v>
      </c>
      <c r="M27" s="355">
        <v>367417.75</v>
      </c>
      <c r="N27" s="355">
        <v>370737.5</v>
      </c>
      <c r="O27" s="355">
        <v>364259.3</v>
      </c>
      <c r="P27" s="355">
        <v>322065</v>
      </c>
      <c r="Q27" s="704">
        <f t="shared" si="2"/>
        <v>4279139.93</v>
      </c>
      <c r="R27" s="565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</row>
    <row r="28" spans="1:33" ht="15" customHeight="1">
      <c r="A28" s="69"/>
      <c r="C28" s="69"/>
      <c r="D28" s="303" t="s">
        <v>19</v>
      </c>
      <c r="E28" s="693">
        <f t="shared" ref="E28:P28" si="3">SUM(E29:E32)</f>
        <v>9731156.040000001</v>
      </c>
      <c r="F28" s="694">
        <f t="shared" si="3"/>
        <v>25137844.68</v>
      </c>
      <c r="G28" s="694">
        <f t="shared" si="3"/>
        <v>26888282.780000001</v>
      </c>
      <c r="H28" s="695">
        <f t="shared" si="3"/>
        <v>32058383.460000001</v>
      </c>
      <c r="I28" s="695">
        <f t="shared" si="3"/>
        <v>28410887.77</v>
      </c>
      <c r="J28" s="695">
        <f t="shared" si="3"/>
        <v>26977256.400000002</v>
      </c>
      <c r="K28" s="695">
        <f t="shared" si="3"/>
        <v>33964107.439999998</v>
      </c>
      <c r="L28" s="695">
        <f t="shared" si="3"/>
        <v>39513387.179999992</v>
      </c>
      <c r="M28" s="695">
        <f t="shared" si="3"/>
        <v>26633440.359999999</v>
      </c>
      <c r="N28" s="695">
        <f t="shared" si="3"/>
        <v>34145979.200000003</v>
      </c>
      <c r="O28" s="695">
        <f t="shared" si="3"/>
        <v>29139013.399999999</v>
      </c>
      <c r="P28" s="695">
        <f t="shared" si="3"/>
        <v>49650668.800000004</v>
      </c>
      <c r="Q28" s="690">
        <f t="shared" si="2"/>
        <v>362250407.50999999</v>
      </c>
      <c r="R28" s="565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</row>
    <row r="29" spans="1:33" ht="15" customHeight="1">
      <c r="A29" s="69"/>
      <c r="B29" s="69"/>
      <c r="C29" s="69"/>
      <c r="D29" s="302" t="s">
        <v>311</v>
      </c>
      <c r="E29" s="354">
        <v>5695801.6600000001</v>
      </c>
      <c r="F29" s="355">
        <v>15441279.77</v>
      </c>
      <c r="G29" s="355">
        <v>15437035.58</v>
      </c>
      <c r="H29" s="355">
        <v>19415928.859999999</v>
      </c>
      <c r="I29" s="355">
        <v>17293835.780000001</v>
      </c>
      <c r="J29" s="355">
        <v>15127835.310000001</v>
      </c>
      <c r="K29" s="355">
        <v>20262459.149999999</v>
      </c>
      <c r="L29" s="355">
        <v>23332023.34</v>
      </c>
      <c r="M29" s="355">
        <v>15879377.689999999</v>
      </c>
      <c r="N29" s="355">
        <v>20348896</v>
      </c>
      <c r="O29" s="355">
        <v>17841683</v>
      </c>
      <c r="P29" s="355">
        <v>30425518.300000001</v>
      </c>
      <c r="Q29" s="704">
        <f>SUM(E29:P29)</f>
        <v>216501674.44000003</v>
      </c>
      <c r="R29" s="565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</row>
    <row r="30" spans="1:33" ht="15" customHeight="1">
      <c r="A30" s="69"/>
      <c r="B30" s="69"/>
      <c r="C30" s="69"/>
      <c r="D30" s="302" t="s">
        <v>312</v>
      </c>
      <c r="E30" s="354">
        <v>3347397.46</v>
      </c>
      <c r="F30" s="355">
        <v>8394380.3000000007</v>
      </c>
      <c r="G30" s="355">
        <v>9781009.6899999995</v>
      </c>
      <c r="H30" s="355">
        <v>11000368.380000001</v>
      </c>
      <c r="I30" s="355">
        <v>9619171.1899999995</v>
      </c>
      <c r="J30" s="355">
        <v>10066537.18</v>
      </c>
      <c r="K30" s="355">
        <v>11720166.57</v>
      </c>
      <c r="L30" s="355">
        <v>13959252.779999999</v>
      </c>
      <c r="M30" s="355">
        <v>9392302.7699999996</v>
      </c>
      <c r="N30" s="355">
        <v>11926599.6</v>
      </c>
      <c r="O30" s="355">
        <v>9839543.1999999993</v>
      </c>
      <c r="P30" s="355">
        <v>16692125.800000001</v>
      </c>
      <c r="Q30" s="704">
        <f t="shared" si="2"/>
        <v>125738854.91999999</v>
      </c>
      <c r="R30" s="565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</row>
    <row r="31" spans="1:33" ht="15" customHeight="1">
      <c r="A31" s="69"/>
      <c r="B31" s="69"/>
      <c r="C31" s="69"/>
      <c r="D31" s="302" t="s">
        <v>313</v>
      </c>
      <c r="E31" s="354">
        <v>261820.11</v>
      </c>
      <c r="F31" s="355">
        <v>670649.61</v>
      </c>
      <c r="G31" s="355">
        <v>810598.01</v>
      </c>
      <c r="H31" s="355">
        <v>865002.57</v>
      </c>
      <c r="I31" s="355">
        <v>766364.84</v>
      </c>
      <c r="J31" s="355">
        <v>786359.24</v>
      </c>
      <c r="K31" s="355">
        <v>940708.12</v>
      </c>
      <c r="L31" s="355">
        <v>1110722.05</v>
      </c>
      <c r="M31" s="355">
        <v>742103.54</v>
      </c>
      <c r="N31" s="355">
        <v>994442.2</v>
      </c>
      <c r="O31" s="355">
        <v>735907</v>
      </c>
      <c r="P31" s="355">
        <v>1302914</v>
      </c>
      <c r="Q31" s="704">
        <f>SUM(E31:P31)</f>
        <v>9987591.2899999991</v>
      </c>
      <c r="R31" s="565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</row>
    <row r="32" spans="1:33" ht="15" customHeight="1">
      <c r="A32" s="69"/>
      <c r="B32" s="69"/>
      <c r="C32" s="69"/>
      <c r="D32" s="302" t="s">
        <v>27</v>
      </c>
      <c r="E32" s="354">
        <v>426136.81</v>
      </c>
      <c r="F32" s="355">
        <v>631535</v>
      </c>
      <c r="G32" s="355">
        <v>859639.5</v>
      </c>
      <c r="H32" s="355">
        <v>777083.65</v>
      </c>
      <c r="I32" s="355">
        <v>731515.96</v>
      </c>
      <c r="J32" s="355">
        <v>996524.67</v>
      </c>
      <c r="K32" s="355">
        <v>1040773.6</v>
      </c>
      <c r="L32" s="355">
        <v>1111389.01</v>
      </c>
      <c r="M32" s="355">
        <v>619656.36</v>
      </c>
      <c r="N32" s="355">
        <v>876041.4</v>
      </c>
      <c r="O32" s="355">
        <v>721880.2</v>
      </c>
      <c r="P32" s="355">
        <v>1230110.7</v>
      </c>
      <c r="Q32" s="704">
        <f t="shared" si="2"/>
        <v>10022286.859999999</v>
      </c>
      <c r="R32" s="565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</row>
    <row r="33" spans="1:33" ht="15" customHeight="1">
      <c r="A33" s="69"/>
      <c r="B33" s="69"/>
      <c r="C33" s="69"/>
      <c r="D33" s="303" t="s">
        <v>29</v>
      </c>
      <c r="E33" s="693">
        <f t="shared" ref="E33:P33" si="4">SUM(E34:E37)</f>
        <v>803062.28</v>
      </c>
      <c r="F33" s="694">
        <f t="shared" si="4"/>
        <v>835376.39</v>
      </c>
      <c r="G33" s="694">
        <f t="shared" si="4"/>
        <v>1072659.4200000002</v>
      </c>
      <c r="H33" s="695">
        <f t="shared" si="4"/>
        <v>1109363.0499999998</v>
      </c>
      <c r="I33" s="695">
        <f t="shared" si="4"/>
        <v>1099270.6500000001</v>
      </c>
      <c r="J33" s="695">
        <f t="shared" si="4"/>
        <v>1253551.57</v>
      </c>
      <c r="K33" s="695">
        <f t="shared" si="4"/>
        <v>1289824.8500000001</v>
      </c>
      <c r="L33" s="695">
        <f t="shared" si="4"/>
        <v>1278055.56</v>
      </c>
      <c r="M33" s="695">
        <f t="shared" si="4"/>
        <v>1133050.1499999999</v>
      </c>
      <c r="N33" s="695">
        <f t="shared" si="4"/>
        <v>2484009.73</v>
      </c>
      <c r="O33" s="695">
        <f t="shared" si="4"/>
        <v>1819882.25</v>
      </c>
      <c r="P33" s="695">
        <f t="shared" si="4"/>
        <v>3820099.98</v>
      </c>
      <c r="Q33" s="690">
        <f t="shared" si="2"/>
        <v>17998205.880000003</v>
      </c>
      <c r="R33" s="565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</row>
    <row r="34" spans="1:33" ht="15" customHeight="1">
      <c r="A34" s="69"/>
      <c r="B34" s="69"/>
      <c r="C34" s="69"/>
      <c r="D34" s="302" t="s">
        <v>31</v>
      </c>
      <c r="E34" s="354">
        <v>519954.63</v>
      </c>
      <c r="F34" s="355">
        <v>547311.54</v>
      </c>
      <c r="G34" s="355">
        <v>728275.64</v>
      </c>
      <c r="H34" s="355">
        <v>742069.25</v>
      </c>
      <c r="I34" s="355">
        <v>789988.97</v>
      </c>
      <c r="J34" s="355">
        <v>831253.16</v>
      </c>
      <c r="K34" s="355">
        <v>788624.18</v>
      </c>
      <c r="L34" s="355">
        <v>788905.59</v>
      </c>
      <c r="M34" s="355">
        <v>626373.48</v>
      </c>
      <c r="N34" s="355">
        <v>904066.73</v>
      </c>
      <c r="O34" s="355">
        <v>612584.25</v>
      </c>
      <c r="P34" s="355">
        <v>665074.38</v>
      </c>
      <c r="Q34" s="704">
        <f t="shared" si="2"/>
        <v>8544481.8000000007</v>
      </c>
      <c r="R34" s="565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</row>
    <row r="35" spans="1:33" ht="15" customHeight="1">
      <c r="A35" s="69"/>
      <c r="B35" s="69"/>
      <c r="C35" s="69"/>
      <c r="D35" s="302" t="s">
        <v>32</v>
      </c>
      <c r="E35" s="354">
        <v>247589.66</v>
      </c>
      <c r="F35" s="355">
        <v>252773.36</v>
      </c>
      <c r="G35" s="355">
        <v>319795.43</v>
      </c>
      <c r="H35" s="355">
        <v>339127.23</v>
      </c>
      <c r="I35" s="355">
        <v>263103.05</v>
      </c>
      <c r="J35" s="355">
        <v>325661.40000000002</v>
      </c>
      <c r="K35" s="355">
        <v>282799</v>
      </c>
      <c r="L35" s="355">
        <v>199526.56</v>
      </c>
      <c r="M35" s="355">
        <v>280321.98</v>
      </c>
      <c r="N35" s="355">
        <v>289811.40000000002</v>
      </c>
      <c r="O35" s="355">
        <v>325677</v>
      </c>
      <c r="P35" s="355">
        <v>348890.6</v>
      </c>
      <c r="Q35" s="704">
        <f t="shared" si="2"/>
        <v>3475076.67</v>
      </c>
      <c r="R35" s="565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</row>
    <row r="36" spans="1:33" ht="15" customHeight="1">
      <c r="A36" s="69"/>
      <c r="B36" s="69"/>
      <c r="C36" s="69"/>
      <c r="D36" s="302" t="s">
        <v>34</v>
      </c>
      <c r="E36" s="354">
        <v>14861.66</v>
      </c>
      <c r="F36" s="355">
        <v>5374.77</v>
      </c>
      <c r="G36" s="355">
        <v>5399.35</v>
      </c>
      <c r="H36" s="355">
        <v>9826.15</v>
      </c>
      <c r="I36" s="355">
        <v>13154.85</v>
      </c>
      <c r="J36" s="355">
        <v>34509.61</v>
      </c>
      <c r="K36" s="355">
        <v>113075.53</v>
      </c>
      <c r="L36" s="355">
        <v>144390.32999999999</v>
      </c>
      <c r="M36" s="355">
        <v>75874.92</v>
      </c>
      <c r="N36" s="355">
        <v>51819.1</v>
      </c>
      <c r="O36" s="355">
        <v>14792.6</v>
      </c>
      <c r="P36" s="355">
        <v>8896.9</v>
      </c>
      <c r="Q36" s="704">
        <f t="shared" si="2"/>
        <v>491975.76999999996</v>
      </c>
      <c r="R36" s="565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</row>
    <row r="37" spans="1:33" ht="15" customHeight="1">
      <c r="A37" s="69"/>
      <c r="B37" s="69"/>
      <c r="C37" s="69"/>
      <c r="D37" s="302" t="s">
        <v>37</v>
      </c>
      <c r="E37" s="354">
        <v>20656.330000000002</v>
      </c>
      <c r="F37" s="355">
        <v>29916.720000000001</v>
      </c>
      <c r="G37" s="355">
        <v>19189</v>
      </c>
      <c r="H37" s="355">
        <v>18340.419999999998</v>
      </c>
      <c r="I37" s="355">
        <v>33023.78</v>
      </c>
      <c r="J37" s="355">
        <v>62127.4</v>
      </c>
      <c r="K37" s="355">
        <v>105326.14</v>
      </c>
      <c r="L37" s="355">
        <v>145233.07999999999</v>
      </c>
      <c r="M37" s="355">
        <v>150479.76999999999</v>
      </c>
      <c r="N37" s="355">
        <v>1238312.5</v>
      </c>
      <c r="O37" s="355">
        <v>866828.4</v>
      </c>
      <c r="P37" s="355">
        <v>2797238.1</v>
      </c>
      <c r="Q37" s="704">
        <f t="shared" si="2"/>
        <v>5486671.6400000006</v>
      </c>
      <c r="R37" s="565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</row>
    <row r="38" spans="1:33" ht="15" customHeight="1">
      <c r="A38" s="69"/>
      <c r="B38" s="69"/>
      <c r="C38" s="69"/>
      <c r="D38" s="303" t="s">
        <v>39</v>
      </c>
      <c r="E38" s="693">
        <f t="shared" ref="E38:P38" si="5">SUM(E39:E44)</f>
        <v>839122.82</v>
      </c>
      <c r="F38" s="694">
        <f t="shared" si="5"/>
        <v>792117.05</v>
      </c>
      <c r="G38" s="694">
        <f t="shared" si="5"/>
        <v>742715.4</v>
      </c>
      <c r="H38" s="695">
        <f t="shared" si="5"/>
        <v>1304057.26</v>
      </c>
      <c r="I38" s="695">
        <f t="shared" si="5"/>
        <v>850650.9</v>
      </c>
      <c r="J38" s="695">
        <f t="shared" si="5"/>
        <v>1029014.73</v>
      </c>
      <c r="K38" s="695">
        <f t="shared" si="5"/>
        <v>1709413.33</v>
      </c>
      <c r="L38" s="695">
        <f t="shared" si="5"/>
        <v>992598.97</v>
      </c>
      <c r="M38" s="695">
        <f t="shared" si="5"/>
        <v>1163836.81</v>
      </c>
      <c r="N38" s="695">
        <f t="shared" si="5"/>
        <v>982067.9</v>
      </c>
      <c r="O38" s="695">
        <f t="shared" si="5"/>
        <v>787100.3</v>
      </c>
      <c r="P38" s="695">
        <f t="shared" si="5"/>
        <v>1513418</v>
      </c>
      <c r="Q38" s="690">
        <f t="shared" si="2"/>
        <v>12706113.470000001</v>
      </c>
      <c r="R38" s="565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</row>
    <row r="39" spans="1:33" ht="15" customHeight="1">
      <c r="A39" s="69"/>
      <c r="B39" s="69"/>
      <c r="C39" s="69"/>
      <c r="D39" s="302" t="s">
        <v>331</v>
      </c>
      <c r="E39" s="354">
        <v>55049.09</v>
      </c>
      <c r="F39" s="355">
        <v>17306.62</v>
      </c>
      <c r="G39" s="355">
        <v>16879.599999999999</v>
      </c>
      <c r="H39" s="355">
        <v>20157.53</v>
      </c>
      <c r="I39" s="355">
        <v>22455.27</v>
      </c>
      <c r="J39" s="355">
        <v>21824.22</v>
      </c>
      <c r="K39" s="355">
        <v>43122.11</v>
      </c>
      <c r="L39" s="355">
        <v>66384.289999999994</v>
      </c>
      <c r="M39" s="355">
        <v>81765.37</v>
      </c>
      <c r="N39" s="355">
        <v>88908.6</v>
      </c>
      <c r="O39" s="355">
        <v>55540.5</v>
      </c>
      <c r="P39" s="355">
        <v>73978</v>
      </c>
      <c r="Q39" s="704">
        <f t="shared" si="2"/>
        <v>563371.19999999995</v>
      </c>
      <c r="R39" s="565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</row>
    <row r="40" spans="1:33" ht="15" customHeight="1">
      <c r="A40" s="69"/>
      <c r="B40" s="69"/>
      <c r="C40" s="69"/>
      <c r="D40" s="302" t="s">
        <v>314</v>
      </c>
      <c r="E40" s="354">
        <v>45159</v>
      </c>
      <c r="F40" s="355">
        <v>65694.95</v>
      </c>
      <c r="G40" s="355">
        <v>71910.320000000007</v>
      </c>
      <c r="H40" s="355">
        <v>97300.91</v>
      </c>
      <c r="I40" s="355">
        <v>117038.96</v>
      </c>
      <c r="J40" s="355">
        <v>127415.44</v>
      </c>
      <c r="K40" s="355">
        <v>133240.70000000001</v>
      </c>
      <c r="L40" s="355">
        <v>161946.03</v>
      </c>
      <c r="M40" s="355">
        <v>129649.1</v>
      </c>
      <c r="N40" s="355">
        <v>165061</v>
      </c>
      <c r="O40" s="355">
        <v>108683.7</v>
      </c>
      <c r="P40" s="355">
        <v>153822.79999999999</v>
      </c>
      <c r="Q40" s="704">
        <f t="shared" si="2"/>
        <v>1376922.9100000001</v>
      </c>
      <c r="R40" s="565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</row>
    <row r="41" spans="1:33" ht="15" customHeight="1">
      <c r="A41" s="69"/>
      <c r="B41" s="69"/>
      <c r="C41" s="69"/>
      <c r="D41" s="302" t="s">
        <v>45</v>
      </c>
      <c r="E41" s="354">
        <v>178437.34</v>
      </c>
      <c r="F41" s="355">
        <v>1601.92</v>
      </c>
      <c r="G41" s="355">
        <v>9698.7999999999993</v>
      </c>
      <c r="H41" s="355">
        <v>51841.13</v>
      </c>
      <c r="I41" s="355">
        <v>7885.79</v>
      </c>
      <c r="J41" s="355">
        <v>169044.61</v>
      </c>
      <c r="K41" s="355">
        <v>34712.1</v>
      </c>
      <c r="L41" s="355">
        <v>31526.95</v>
      </c>
      <c r="M41" s="355">
        <v>61175.45</v>
      </c>
      <c r="N41" s="355">
        <v>64653.599999999999</v>
      </c>
      <c r="O41" s="355">
        <v>338.7</v>
      </c>
      <c r="P41" s="355">
        <v>43379</v>
      </c>
      <c r="Q41" s="704">
        <f t="shared" si="2"/>
        <v>654295.3899999999</v>
      </c>
      <c r="R41" s="565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</row>
    <row r="42" spans="1:33" ht="15" customHeight="1">
      <c r="A42" s="69"/>
      <c r="B42" s="69"/>
      <c r="C42" s="69"/>
      <c r="D42" s="302" t="s">
        <v>315</v>
      </c>
      <c r="E42" s="354">
        <v>206077.15</v>
      </c>
      <c r="F42" s="355">
        <v>279371.71000000002</v>
      </c>
      <c r="G42" s="355">
        <v>313567.45</v>
      </c>
      <c r="H42" s="355">
        <v>254149.11</v>
      </c>
      <c r="I42" s="355">
        <v>238988.77</v>
      </c>
      <c r="J42" s="355">
        <v>229639.52</v>
      </c>
      <c r="K42" s="355">
        <v>321629.11</v>
      </c>
      <c r="L42" s="355">
        <v>297617.15999999997</v>
      </c>
      <c r="M42" s="355">
        <v>187845.2</v>
      </c>
      <c r="N42" s="355">
        <v>263708.3</v>
      </c>
      <c r="O42" s="355">
        <v>308276.7</v>
      </c>
      <c r="P42" s="355">
        <v>418222.5</v>
      </c>
      <c r="Q42" s="704">
        <f t="shared" si="2"/>
        <v>3319092.68</v>
      </c>
      <c r="R42" s="565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</row>
    <row r="43" spans="1:33" ht="15" customHeight="1">
      <c r="A43" s="69"/>
      <c r="B43" s="69"/>
      <c r="C43" s="69"/>
      <c r="D43" s="302" t="s">
        <v>316</v>
      </c>
      <c r="E43" s="354">
        <v>245088</v>
      </c>
      <c r="F43" s="355">
        <v>217809.7</v>
      </c>
      <c r="G43" s="355">
        <v>213761.85</v>
      </c>
      <c r="H43" s="355">
        <v>208650.17</v>
      </c>
      <c r="I43" s="355">
        <v>325701.71999999997</v>
      </c>
      <c r="J43" s="355">
        <v>353440.47</v>
      </c>
      <c r="K43" s="355">
        <v>347586.8</v>
      </c>
      <c r="L43" s="355">
        <v>320443.98</v>
      </c>
      <c r="M43" s="355">
        <v>544299.9</v>
      </c>
      <c r="N43" s="355">
        <v>171140.5</v>
      </c>
      <c r="O43" s="355">
        <v>201875.6</v>
      </c>
      <c r="P43" s="355">
        <v>177610.8</v>
      </c>
      <c r="Q43" s="704">
        <f t="shared" si="2"/>
        <v>3327409.4899999998</v>
      </c>
      <c r="R43" s="565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</row>
    <row r="44" spans="1:33" ht="15" customHeight="1">
      <c r="A44" s="69"/>
      <c r="B44" s="69"/>
      <c r="C44" s="69"/>
      <c r="D44" s="302" t="s">
        <v>51</v>
      </c>
      <c r="E44" s="354">
        <v>109312.24</v>
      </c>
      <c r="F44" s="355">
        <v>210332.15</v>
      </c>
      <c r="G44" s="355">
        <v>116897.38</v>
      </c>
      <c r="H44" s="355">
        <v>671958.41</v>
      </c>
      <c r="I44" s="355">
        <v>138580.39000000001</v>
      </c>
      <c r="J44" s="355">
        <v>127650.47</v>
      </c>
      <c r="K44" s="355">
        <v>829122.51</v>
      </c>
      <c r="L44" s="355">
        <v>114680.56</v>
      </c>
      <c r="M44" s="355">
        <v>159101.79</v>
      </c>
      <c r="N44" s="355">
        <v>228595.9</v>
      </c>
      <c r="O44" s="355">
        <v>112385.1</v>
      </c>
      <c r="P44" s="355">
        <v>646404.9</v>
      </c>
      <c r="Q44" s="704">
        <f t="shared" si="2"/>
        <v>3465021.8000000003</v>
      </c>
      <c r="R44" s="565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</row>
    <row r="45" spans="1:33" ht="15" customHeight="1">
      <c r="A45" s="69"/>
      <c r="B45" s="69"/>
      <c r="C45" s="69"/>
      <c r="D45" s="303" t="s">
        <v>53</v>
      </c>
      <c r="E45" s="693">
        <f t="shared" ref="E45:P45" si="6">SUM(E46:E49)</f>
        <v>981241.31</v>
      </c>
      <c r="F45" s="694">
        <f t="shared" si="6"/>
        <v>1896628.8599999999</v>
      </c>
      <c r="G45" s="694">
        <f t="shared" si="6"/>
        <v>2487819.8499999996</v>
      </c>
      <c r="H45" s="695">
        <f t="shared" si="6"/>
        <v>1782955.79</v>
      </c>
      <c r="I45" s="695">
        <f t="shared" si="6"/>
        <v>1949221.93</v>
      </c>
      <c r="J45" s="695">
        <f t="shared" si="6"/>
        <v>1597289.56</v>
      </c>
      <c r="K45" s="695">
        <f t="shared" si="6"/>
        <v>3675901.37</v>
      </c>
      <c r="L45" s="695">
        <f t="shared" si="6"/>
        <v>2499744.7200000002</v>
      </c>
      <c r="M45" s="695">
        <f t="shared" si="6"/>
        <v>1522592.85</v>
      </c>
      <c r="N45" s="695">
        <f t="shared" si="6"/>
        <v>2633710.96</v>
      </c>
      <c r="O45" s="695">
        <f t="shared" si="6"/>
        <v>2223740.7999999998</v>
      </c>
      <c r="P45" s="1013">
        <f t="shared" si="6"/>
        <v>11873869.82</v>
      </c>
      <c r="Q45" s="690">
        <f t="shared" si="2"/>
        <v>35124717.820000008</v>
      </c>
      <c r="R45" s="565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</row>
    <row r="46" spans="1:33" ht="15" customHeight="1">
      <c r="A46" s="69"/>
      <c r="B46" s="69"/>
      <c r="C46" s="69"/>
      <c r="D46" s="302" t="s">
        <v>55</v>
      </c>
      <c r="E46" s="354">
        <v>141489.54</v>
      </c>
      <c r="F46" s="355">
        <v>285221.32</v>
      </c>
      <c r="G46" s="355">
        <v>419392.41</v>
      </c>
      <c r="H46" s="355">
        <v>408464.22</v>
      </c>
      <c r="I46" s="355">
        <v>93664.4</v>
      </c>
      <c r="J46" s="355">
        <v>126926.84</v>
      </c>
      <c r="K46" s="355">
        <v>1776283.64</v>
      </c>
      <c r="L46" s="355">
        <v>126438.83</v>
      </c>
      <c r="M46" s="355">
        <v>55918.96</v>
      </c>
      <c r="N46" s="355">
        <v>39667.800000000003</v>
      </c>
      <c r="O46" s="355">
        <v>769292.9</v>
      </c>
      <c r="P46" s="1014">
        <v>826891.66</v>
      </c>
      <c r="Q46" s="704">
        <f t="shared" si="2"/>
        <v>5069652.5200000005</v>
      </c>
      <c r="R46" s="565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</row>
    <row r="47" spans="1:33" ht="15" customHeight="1">
      <c r="A47" s="69"/>
      <c r="B47" s="69"/>
      <c r="C47" s="69"/>
      <c r="D47" s="302" t="s">
        <v>57</v>
      </c>
      <c r="E47" s="354">
        <v>394898.64</v>
      </c>
      <c r="F47" s="355">
        <v>492027.45</v>
      </c>
      <c r="G47" s="355">
        <v>704590.7</v>
      </c>
      <c r="H47" s="355">
        <v>637820</v>
      </c>
      <c r="I47" s="355">
        <v>695594.63</v>
      </c>
      <c r="J47" s="355">
        <v>670451.38</v>
      </c>
      <c r="K47" s="355">
        <v>991510.75</v>
      </c>
      <c r="L47" s="355">
        <v>1145293.46</v>
      </c>
      <c r="M47" s="355">
        <v>744189.43</v>
      </c>
      <c r="N47" s="355">
        <v>738665.2</v>
      </c>
      <c r="O47" s="355">
        <v>706328</v>
      </c>
      <c r="P47" s="1014">
        <v>252440.77</v>
      </c>
      <c r="Q47" s="704">
        <f t="shared" si="2"/>
        <v>8173810.4099999992</v>
      </c>
      <c r="R47" s="565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</row>
    <row r="48" spans="1:33" ht="15" customHeight="1">
      <c r="A48" s="69"/>
      <c r="B48" s="69"/>
      <c r="C48" s="69"/>
      <c r="D48" s="302" t="s">
        <v>317</v>
      </c>
      <c r="E48" s="354">
        <v>100875.57</v>
      </c>
      <c r="F48" s="355">
        <v>108799.21</v>
      </c>
      <c r="G48" s="355">
        <v>185279.53</v>
      </c>
      <c r="H48" s="355">
        <v>205973.71</v>
      </c>
      <c r="I48" s="355">
        <v>185448.45</v>
      </c>
      <c r="J48" s="355">
        <v>193721.37</v>
      </c>
      <c r="K48" s="355">
        <v>179542.49</v>
      </c>
      <c r="L48" s="355">
        <v>156200.82</v>
      </c>
      <c r="M48" s="355">
        <v>144288.17000000001</v>
      </c>
      <c r="N48" s="355">
        <v>154848.1</v>
      </c>
      <c r="O48" s="355">
        <v>139736.6</v>
      </c>
      <c r="P48" s="1014">
        <v>2256986.48</v>
      </c>
      <c r="Q48" s="704">
        <f t="shared" si="2"/>
        <v>4011700.5</v>
      </c>
      <c r="R48" s="565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</row>
    <row r="49" spans="1:33">
      <c r="A49" s="69"/>
      <c r="B49" s="69"/>
      <c r="C49" s="69"/>
      <c r="D49" s="302" t="s">
        <v>53</v>
      </c>
      <c r="E49" s="354">
        <v>343977.56</v>
      </c>
      <c r="F49" s="355">
        <v>1010580.88</v>
      </c>
      <c r="G49" s="355">
        <v>1178557.21</v>
      </c>
      <c r="H49" s="355">
        <v>530697.86</v>
      </c>
      <c r="I49" s="355">
        <v>974514.45</v>
      </c>
      <c r="J49" s="355">
        <v>606189.97</v>
      </c>
      <c r="K49" s="355">
        <v>728564.49</v>
      </c>
      <c r="L49" s="355">
        <v>1071811.6100000001</v>
      </c>
      <c r="M49" s="355">
        <v>578196.29</v>
      </c>
      <c r="N49" s="355">
        <v>1700529.86</v>
      </c>
      <c r="O49" s="355">
        <v>608383.30000000005</v>
      </c>
      <c r="P49" s="1014">
        <v>8537550.9100000001</v>
      </c>
      <c r="Q49" s="704">
        <f t="shared" si="2"/>
        <v>17869554.390000001</v>
      </c>
      <c r="R49" s="565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</row>
    <row r="50" spans="1:33" ht="17.25" customHeight="1" thickBot="1">
      <c r="A50" s="69"/>
      <c r="B50" s="69"/>
      <c r="C50" s="69"/>
      <c r="D50" s="368" t="s">
        <v>258</v>
      </c>
      <c r="E50" s="696">
        <v>487675.47</v>
      </c>
      <c r="F50" s="697">
        <v>308916.07</v>
      </c>
      <c r="G50" s="697">
        <v>335775.71</v>
      </c>
      <c r="H50" s="698">
        <v>222463.93</v>
      </c>
      <c r="I50" s="698">
        <v>217424.9</v>
      </c>
      <c r="J50" s="698">
        <v>327224.93</v>
      </c>
      <c r="K50" s="698">
        <v>466576.76</v>
      </c>
      <c r="L50" s="698">
        <v>521075.35</v>
      </c>
      <c r="M50" s="698">
        <v>328801.49</v>
      </c>
      <c r="N50" s="691">
        <v>278822.2</v>
      </c>
      <c r="O50" s="691">
        <v>473545.4</v>
      </c>
      <c r="P50" s="691">
        <v>1530000</v>
      </c>
      <c r="Q50" s="692">
        <f>SUM(E50:P50)</f>
        <v>5498302.209999999</v>
      </c>
      <c r="R50" s="565"/>
      <c r="S50" s="70"/>
      <c r="T50" s="70"/>
      <c r="U50" s="70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</row>
    <row r="51" spans="1:33" ht="14.25" thickTop="1" thickBot="1">
      <c r="A51" s="69"/>
      <c r="B51" s="69"/>
      <c r="C51" s="69"/>
      <c r="D51" s="358" t="s">
        <v>62</v>
      </c>
      <c r="E51" s="432">
        <f>E53+E67+E73+E79+E80+E81+E82+E83</f>
        <v>84357538.280833334</v>
      </c>
      <c r="F51" s="432">
        <f>F53+F67+F73+F79+F80+F81+F82+F83</f>
        <v>99640470.590833336</v>
      </c>
      <c r="G51" s="432">
        <f t="shared" ref="G51:P51" si="7">G53+G67+G73+G79+G80+G81+G82+G83</f>
        <v>84964372.840833321</v>
      </c>
      <c r="H51" s="432">
        <f t="shared" si="7"/>
        <v>150148641.80083334</v>
      </c>
      <c r="I51" s="432">
        <f t="shared" si="7"/>
        <v>102805839.57083331</v>
      </c>
      <c r="J51" s="432">
        <f t="shared" si="7"/>
        <v>99767379.55083333</v>
      </c>
      <c r="K51" s="432">
        <f t="shared" si="7"/>
        <v>104384837.00083332</v>
      </c>
      <c r="L51" s="432">
        <f t="shared" si="7"/>
        <v>97819511.670833305</v>
      </c>
      <c r="M51" s="432">
        <f t="shared" si="7"/>
        <v>117749702.32083333</v>
      </c>
      <c r="N51" s="432">
        <f t="shared" si="7"/>
        <v>104114492.31083332</v>
      </c>
      <c r="O51" s="432">
        <f t="shared" si="7"/>
        <v>100586572.1908333</v>
      </c>
      <c r="P51" s="432">
        <f t="shared" si="7"/>
        <v>170250351.77083334</v>
      </c>
      <c r="Q51" s="596">
        <f>SUM(E51:P51)</f>
        <v>1316589709.8999999</v>
      </c>
      <c r="R51" s="565"/>
      <c r="S51" s="70"/>
      <c r="T51" s="70"/>
      <c r="U51" s="70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</row>
    <row r="52" spans="1:33" ht="14.25" thickTop="1" thickBot="1">
      <c r="A52" s="69"/>
      <c r="B52" s="69"/>
      <c r="C52" s="69"/>
      <c r="D52" s="358" t="s">
        <v>126</v>
      </c>
      <c r="E52" s="432">
        <f t="shared" ref="E52:P52" si="8">E51-E79</f>
        <v>81989453.19083333</v>
      </c>
      <c r="F52" s="432">
        <f t="shared" si="8"/>
        <v>95877395.590833336</v>
      </c>
      <c r="G52" s="432">
        <f t="shared" si="8"/>
        <v>83320477.370833322</v>
      </c>
      <c r="H52" s="432">
        <f t="shared" si="8"/>
        <v>145462991.93083334</v>
      </c>
      <c r="I52" s="432">
        <f t="shared" si="8"/>
        <v>96936777.340833306</v>
      </c>
      <c r="J52" s="432">
        <f t="shared" si="8"/>
        <v>95283778.94083333</v>
      </c>
      <c r="K52" s="432">
        <f t="shared" si="8"/>
        <v>97878902.020833313</v>
      </c>
      <c r="L52" s="432">
        <f t="shared" si="8"/>
        <v>89566909.470833302</v>
      </c>
      <c r="M52" s="432">
        <f t="shared" si="8"/>
        <v>112736761.20083332</v>
      </c>
      <c r="N52" s="432">
        <f t="shared" si="8"/>
        <v>97894758.700833321</v>
      </c>
      <c r="O52" s="432">
        <f t="shared" si="8"/>
        <v>94047609.250833303</v>
      </c>
      <c r="P52" s="420">
        <f t="shared" si="8"/>
        <v>153465367.06083333</v>
      </c>
      <c r="Q52" s="596">
        <f>SUM(E52:P52)</f>
        <v>1244461182.0699997</v>
      </c>
      <c r="R52" s="565"/>
      <c r="S52" s="70"/>
      <c r="T52" s="70"/>
      <c r="U52" s="70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</row>
    <row r="53" spans="1:33" ht="13.5" thickTop="1">
      <c r="A53" s="69"/>
      <c r="B53" s="69"/>
      <c r="C53" s="69"/>
      <c r="D53" s="303" t="s">
        <v>63</v>
      </c>
      <c r="E53" s="318">
        <f t="shared" ref="E53:O53" si="9">E54+SUM(E60:E66)</f>
        <v>43441822.480833322</v>
      </c>
      <c r="F53" s="389">
        <f t="shared" si="9"/>
        <v>51541737.460833326</v>
      </c>
      <c r="G53" s="389">
        <f t="shared" si="9"/>
        <v>43842675.280833326</v>
      </c>
      <c r="H53" s="499">
        <f t="shared" si="9"/>
        <v>73736311.090833336</v>
      </c>
      <c r="I53" s="499">
        <f t="shared" si="9"/>
        <v>53335913.720833316</v>
      </c>
      <c r="J53" s="499">
        <f t="shared" si="9"/>
        <v>52346381.770833328</v>
      </c>
      <c r="K53" s="499">
        <f t="shared" si="9"/>
        <v>54058180.360833324</v>
      </c>
      <c r="L53" s="499">
        <f t="shared" si="9"/>
        <v>47171332.710833319</v>
      </c>
      <c r="M53" s="499">
        <f t="shared" si="9"/>
        <v>67358343.820833325</v>
      </c>
      <c r="N53" s="499">
        <f t="shared" si="9"/>
        <v>51670728.81083332</v>
      </c>
      <c r="O53" s="443">
        <f t="shared" si="9"/>
        <v>48175765.910833322</v>
      </c>
      <c r="P53" s="388">
        <f t="shared" ref="P53" si="10">P54+SUM(P60:P66)</f>
        <v>66945148.49083332</v>
      </c>
      <c r="Q53" s="600">
        <f t="shared" si="2"/>
        <v>653624341.90999985</v>
      </c>
      <c r="R53" s="565"/>
      <c r="S53" s="70"/>
      <c r="T53" s="70"/>
      <c r="U53" s="70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</row>
    <row r="54" spans="1:33">
      <c r="A54" s="69"/>
      <c r="B54" s="69"/>
      <c r="C54" s="69"/>
      <c r="D54" s="303" t="s">
        <v>64</v>
      </c>
      <c r="E54" s="756">
        <f t="shared" ref="E54:P54" si="11">SUM(E55:E59)</f>
        <v>31221305.984166659</v>
      </c>
      <c r="F54" s="755">
        <f t="shared" si="11"/>
        <v>31221305.984166659</v>
      </c>
      <c r="G54" s="755">
        <f t="shared" si="11"/>
        <v>31221305.984166659</v>
      </c>
      <c r="H54" s="499">
        <f t="shared" si="11"/>
        <v>31221305.984166659</v>
      </c>
      <c r="I54" s="499">
        <f t="shared" si="11"/>
        <v>31221305.984166659</v>
      </c>
      <c r="J54" s="499">
        <f t="shared" si="11"/>
        <v>31221305.984166659</v>
      </c>
      <c r="K54" s="499">
        <f t="shared" si="11"/>
        <v>31221305.984166659</v>
      </c>
      <c r="L54" s="499">
        <f t="shared" si="11"/>
        <v>31221305.984166659</v>
      </c>
      <c r="M54" s="499">
        <f t="shared" si="11"/>
        <v>31221305.984166659</v>
      </c>
      <c r="N54" s="499">
        <f t="shared" si="11"/>
        <v>31221305.984166659</v>
      </c>
      <c r="O54" s="499">
        <f t="shared" si="11"/>
        <v>31221305.984166659</v>
      </c>
      <c r="P54" s="499">
        <f t="shared" si="11"/>
        <v>31221305.984166659</v>
      </c>
      <c r="Q54" s="600">
        <f t="shared" si="2"/>
        <v>374655671.80999994</v>
      </c>
      <c r="R54" s="565"/>
      <c r="S54" s="751"/>
      <c r="T54" s="70"/>
      <c r="U54" s="70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</row>
    <row r="55" spans="1:33">
      <c r="A55" s="69"/>
      <c r="B55" s="69"/>
      <c r="C55" s="69"/>
      <c r="D55" s="381" t="s">
        <v>66</v>
      </c>
      <c r="E55" s="354">
        <v>18592435.842499997</v>
      </c>
      <c r="F55" s="356">
        <v>18592435.842499997</v>
      </c>
      <c r="G55" s="356">
        <v>18592435.842499997</v>
      </c>
      <c r="H55" s="355">
        <v>18592435.842499997</v>
      </c>
      <c r="I55" s="355">
        <v>18592435.842499997</v>
      </c>
      <c r="J55" s="355">
        <v>18592435.842499997</v>
      </c>
      <c r="K55" s="355">
        <v>18592435.842499997</v>
      </c>
      <c r="L55" s="355">
        <v>18592435.842499997</v>
      </c>
      <c r="M55" s="355">
        <v>18592435.842499997</v>
      </c>
      <c r="N55" s="355">
        <v>18592435.842499997</v>
      </c>
      <c r="O55" s="356">
        <v>18592435.842499997</v>
      </c>
      <c r="P55" s="355">
        <v>18592435.842499997</v>
      </c>
      <c r="Q55" s="598">
        <f t="shared" si="2"/>
        <v>223109230.10999998</v>
      </c>
      <c r="R55" s="565"/>
      <c r="S55" s="751"/>
      <c r="T55" s="70"/>
      <c r="U55" s="70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</row>
    <row r="56" spans="1:33">
      <c r="A56" s="69"/>
      <c r="B56" s="69"/>
      <c r="C56" s="69"/>
      <c r="D56" s="381" t="s">
        <v>68</v>
      </c>
      <c r="E56" s="354">
        <v>2449839.9833333329</v>
      </c>
      <c r="F56" s="356">
        <v>2449839.9833333329</v>
      </c>
      <c r="G56" s="356">
        <v>2449839.9833333329</v>
      </c>
      <c r="H56" s="355">
        <v>2449839.9833333329</v>
      </c>
      <c r="I56" s="355">
        <v>2449839.9833333329</v>
      </c>
      <c r="J56" s="355">
        <v>2449839.9833333329</v>
      </c>
      <c r="K56" s="355">
        <v>2449839.9833333329</v>
      </c>
      <c r="L56" s="355">
        <v>2449839.9833333329</v>
      </c>
      <c r="M56" s="355">
        <v>2449839.9833333329</v>
      </c>
      <c r="N56" s="355">
        <v>2449839.9833333329</v>
      </c>
      <c r="O56" s="356">
        <v>2449839.9833333329</v>
      </c>
      <c r="P56" s="355">
        <v>2449839.9833333329</v>
      </c>
      <c r="Q56" s="598">
        <f t="shared" si="2"/>
        <v>29398079.800000001</v>
      </c>
      <c r="R56" s="565"/>
      <c r="S56" s="751"/>
      <c r="T56" s="70"/>
      <c r="U56" s="70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</row>
    <row r="57" spans="1:33">
      <c r="A57" s="69"/>
      <c r="B57" s="69"/>
      <c r="C57" s="69"/>
      <c r="D57" s="381" t="s">
        <v>70</v>
      </c>
      <c r="E57" s="354">
        <v>6427332.1391666634</v>
      </c>
      <c r="F57" s="356">
        <v>6427332.1391666634</v>
      </c>
      <c r="G57" s="356">
        <v>6427332.1391666634</v>
      </c>
      <c r="H57" s="355">
        <v>6427332.1391666634</v>
      </c>
      <c r="I57" s="355">
        <v>6427332.1391666634</v>
      </c>
      <c r="J57" s="355">
        <v>6427332.1391666634</v>
      </c>
      <c r="K57" s="355">
        <v>6427332.1391666634</v>
      </c>
      <c r="L57" s="355">
        <v>6427332.1391666634</v>
      </c>
      <c r="M57" s="355">
        <v>6427332.1391666634</v>
      </c>
      <c r="N57" s="355">
        <v>6427332.1391666634</v>
      </c>
      <c r="O57" s="356">
        <v>6427332.1391666634</v>
      </c>
      <c r="P57" s="355">
        <v>6427332.1391666634</v>
      </c>
      <c r="Q57" s="598">
        <f t="shared" si="2"/>
        <v>77127985.669999957</v>
      </c>
      <c r="R57" s="565"/>
      <c r="S57" s="751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</row>
    <row r="58" spans="1:33">
      <c r="A58" s="69"/>
      <c r="B58" s="69"/>
      <c r="C58" s="69"/>
      <c r="D58" s="381" t="s">
        <v>72</v>
      </c>
      <c r="E58" s="354">
        <v>3403867.7491666647</v>
      </c>
      <c r="F58" s="356">
        <v>3403867.7491666647</v>
      </c>
      <c r="G58" s="356">
        <v>3403867.7491666647</v>
      </c>
      <c r="H58" s="355">
        <v>3403867.7491666647</v>
      </c>
      <c r="I58" s="355">
        <v>3403867.7491666647</v>
      </c>
      <c r="J58" s="355">
        <v>3403867.7491666647</v>
      </c>
      <c r="K58" s="355">
        <v>3403867.7491666647</v>
      </c>
      <c r="L58" s="355">
        <v>3403867.7491666647</v>
      </c>
      <c r="M58" s="355">
        <v>3403867.7491666647</v>
      </c>
      <c r="N58" s="355">
        <v>3403867.7491666647</v>
      </c>
      <c r="O58" s="356">
        <v>3403867.7491666647</v>
      </c>
      <c r="P58" s="355">
        <v>3403867.7491666647</v>
      </c>
      <c r="Q58" s="598">
        <f t="shared" si="2"/>
        <v>40846412.98999998</v>
      </c>
      <c r="R58" s="565"/>
      <c r="S58" s="751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</row>
    <row r="59" spans="1:33">
      <c r="A59" s="69"/>
      <c r="B59" s="69"/>
      <c r="C59" s="69"/>
      <c r="D59" s="381" t="s">
        <v>129</v>
      </c>
      <c r="E59" s="354">
        <v>347830.26999999979</v>
      </c>
      <c r="F59" s="356">
        <v>347830.26999999979</v>
      </c>
      <c r="G59" s="356">
        <v>347830.26999999979</v>
      </c>
      <c r="H59" s="355">
        <v>347830.26999999979</v>
      </c>
      <c r="I59" s="355">
        <v>347830.26999999979</v>
      </c>
      <c r="J59" s="355">
        <v>347830.26999999979</v>
      </c>
      <c r="K59" s="355">
        <v>347830.26999999979</v>
      </c>
      <c r="L59" s="355">
        <v>347830.26999999979</v>
      </c>
      <c r="M59" s="355">
        <v>347830.26999999979</v>
      </c>
      <c r="N59" s="355">
        <v>347830.26999999979</v>
      </c>
      <c r="O59" s="356">
        <v>347830.26999999979</v>
      </c>
      <c r="P59" s="355">
        <v>347830.26999999979</v>
      </c>
      <c r="Q59" s="598">
        <f t="shared" si="2"/>
        <v>4173963.2399999965</v>
      </c>
      <c r="R59" s="565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</row>
    <row r="60" spans="1:33">
      <c r="A60" s="69"/>
      <c r="B60" s="69"/>
      <c r="C60" s="69"/>
      <c r="D60" s="303" t="s">
        <v>75</v>
      </c>
      <c r="E60" s="318">
        <v>66647.16</v>
      </c>
      <c r="F60" s="389">
        <v>822156.95</v>
      </c>
      <c r="G60" s="389">
        <v>646477.04</v>
      </c>
      <c r="H60" s="499">
        <v>820378.40999999992</v>
      </c>
      <c r="I60" s="499">
        <v>1041771.9800000001</v>
      </c>
      <c r="J60" s="499">
        <v>1019602.9</v>
      </c>
      <c r="K60" s="499">
        <v>880519.29999999993</v>
      </c>
      <c r="L60" s="499">
        <v>818962.52</v>
      </c>
      <c r="M60" s="499">
        <v>990756.55</v>
      </c>
      <c r="N60" s="499">
        <v>903060.2699999999</v>
      </c>
      <c r="O60" s="389">
        <v>864089.92</v>
      </c>
      <c r="P60" s="388">
        <v>1461904.24</v>
      </c>
      <c r="Q60" s="597">
        <f t="shared" si="2"/>
        <v>10336327.24</v>
      </c>
      <c r="R60" s="565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</row>
    <row r="61" spans="1:33" s="51" customFormat="1">
      <c r="B61" s="69"/>
      <c r="C61" s="69"/>
      <c r="D61" s="902" t="s">
        <v>77</v>
      </c>
      <c r="E61" s="318">
        <f>2307586.92-$S$62</f>
        <v>2040296.1666666649</v>
      </c>
      <c r="F61" s="389">
        <f>12464473.66-$S$62</f>
        <v>12197182.906666664</v>
      </c>
      <c r="G61" s="389">
        <f>6661973.62-$S$62</f>
        <v>6394682.8666666653</v>
      </c>
      <c r="H61" s="499">
        <f>21038575.03-$S$62</f>
        <v>20771284.276666667</v>
      </c>
      <c r="I61" s="499">
        <f>14120185.49-$S$62</f>
        <v>13852894.736666664</v>
      </c>
      <c r="J61" s="499">
        <f>10190493.38-$S$62</f>
        <v>9923202.6266666651</v>
      </c>
      <c r="K61" s="499">
        <f>16199464.85-$S$62</f>
        <v>15932174.096666664</v>
      </c>
      <c r="L61" s="499">
        <f>10524888.79-$S$62</f>
        <v>10257598.036666663</v>
      </c>
      <c r="M61" s="499">
        <f>13026234.31-$S$62</f>
        <v>12758943.556666665</v>
      </c>
      <c r="N61" s="499">
        <f>13171062.3-$S$62</f>
        <v>12903771.546666665</v>
      </c>
      <c r="O61" s="389">
        <f>12385969.69-$S$62</f>
        <v>12118678.936666664</v>
      </c>
      <c r="P61" s="388">
        <f>21503323.57-$S$62</f>
        <v>21236032.816666666</v>
      </c>
      <c r="Q61" s="597">
        <f t="shared" si="2"/>
        <v>150386742.56999999</v>
      </c>
      <c r="R61" s="1005">
        <v>0</v>
      </c>
      <c r="S61" s="905">
        <f>R61/12</f>
        <v>0</v>
      </c>
      <c r="T61" s="51">
        <f>S61*12</f>
        <v>0</v>
      </c>
    </row>
    <row r="62" spans="1:33">
      <c r="A62" s="69"/>
      <c r="B62" s="69"/>
      <c r="C62" s="69"/>
      <c r="D62" s="303" t="s">
        <v>79</v>
      </c>
      <c r="E62" s="318">
        <v>26607.39</v>
      </c>
      <c r="F62" s="389">
        <v>420045.88</v>
      </c>
      <c r="G62" s="389">
        <v>1323223.27</v>
      </c>
      <c r="H62" s="499">
        <v>2902402</v>
      </c>
      <c r="I62" s="499">
        <v>2532098.79</v>
      </c>
      <c r="J62" s="499">
        <v>2724742.96</v>
      </c>
      <c r="K62" s="499">
        <v>1559826.11</v>
      </c>
      <c r="L62" s="499">
        <v>423771.83999999997</v>
      </c>
      <c r="M62" s="499">
        <v>2144478.7599999998</v>
      </c>
      <c r="N62" s="499">
        <v>4139379.72</v>
      </c>
      <c r="O62" s="389">
        <v>1284256.96</v>
      </c>
      <c r="P62" s="388">
        <f>3071804.2-180000</f>
        <v>2891804.2</v>
      </c>
      <c r="Q62" s="597">
        <f t="shared" si="2"/>
        <v>22372637.879999999</v>
      </c>
      <c r="R62" s="565">
        <v>6786.980000000447</v>
      </c>
      <c r="S62" s="1004">
        <v>267290.7533333351</v>
      </c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</row>
    <row r="63" spans="1:33" s="51" customFormat="1">
      <c r="B63" s="69"/>
      <c r="C63" s="69"/>
      <c r="D63" s="902" t="s">
        <v>80</v>
      </c>
      <c r="E63" s="318">
        <f>3640898.93+72500</f>
        <v>3713398.93</v>
      </c>
      <c r="F63" s="389">
        <f>1655265.05+72500</f>
        <v>1727765.05</v>
      </c>
      <c r="G63" s="389">
        <f>2651578.22+72500</f>
        <v>2724078.22</v>
      </c>
      <c r="H63" s="499">
        <f>14134841.26+72500</f>
        <v>14207341.26</v>
      </c>
      <c r="I63" s="499">
        <f>2024043.49+72500</f>
        <v>2096543.49</v>
      </c>
      <c r="J63" s="499">
        <f>4869387.8+72500</f>
        <v>4941887.8</v>
      </c>
      <c r="K63" s="499">
        <f>1226477.66+72500</f>
        <v>1298977.6599999999</v>
      </c>
      <c r="L63" s="499">
        <f>2600709.68+72500</f>
        <v>2673209.6800000002</v>
      </c>
      <c r="M63" s="499">
        <f>18177726.71+72500</f>
        <v>18250226.710000001</v>
      </c>
      <c r="N63" s="499">
        <f>517881.75+72500</f>
        <v>590381.75</v>
      </c>
      <c r="O63" s="389">
        <f>800162.9+72500</f>
        <v>872662.9</v>
      </c>
      <c r="P63" s="388">
        <f>3694933.17+72500</f>
        <v>3767433.17</v>
      </c>
      <c r="Q63" s="597">
        <f t="shared" si="2"/>
        <v>56863906.619999997</v>
      </c>
      <c r="R63" s="1005">
        <v>4052.0799999982119</v>
      </c>
      <c r="S63" s="1002">
        <f>870000/12</f>
        <v>72500</v>
      </c>
    </row>
    <row r="64" spans="1:33">
      <c r="A64" s="69"/>
      <c r="B64" s="69"/>
      <c r="C64" s="69"/>
      <c r="D64" s="303" t="s">
        <v>82</v>
      </c>
      <c r="E64" s="318">
        <f>85943.95-9165</f>
        <v>76778.95</v>
      </c>
      <c r="F64" s="389">
        <f>745704.36-9165</f>
        <v>736539.36</v>
      </c>
      <c r="G64" s="389">
        <f>326504.73-9165</f>
        <v>317339.73</v>
      </c>
      <c r="H64" s="499">
        <f>1093390.1-9165</f>
        <v>1084225.1000000001</v>
      </c>
      <c r="I64" s="499">
        <f>695307.59-9165</f>
        <v>686142.59</v>
      </c>
      <c r="J64" s="499">
        <f>531135.41-9165</f>
        <v>521970.41000000003</v>
      </c>
      <c r="K64" s="499">
        <f>656525.46-9165</f>
        <v>647360.46</v>
      </c>
      <c r="L64" s="499">
        <f>504210.03-9165</f>
        <v>495045.03</v>
      </c>
      <c r="M64" s="499">
        <f>513677.69-9165</f>
        <v>504512.69</v>
      </c>
      <c r="N64" s="499">
        <f>395979.9-9165</f>
        <v>386814.9</v>
      </c>
      <c r="O64" s="389">
        <f>684569.8-9165</f>
        <v>675404.80000000005</v>
      </c>
      <c r="P64" s="388">
        <f>987182.15-9165</f>
        <v>978017.15</v>
      </c>
      <c r="Q64" s="597">
        <f t="shared" si="2"/>
        <v>7110151.1700000009</v>
      </c>
      <c r="R64" s="565"/>
      <c r="S64" s="70">
        <v>9.1660000000000004</v>
      </c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</row>
    <row r="65" spans="1:33">
      <c r="A65" s="69"/>
      <c r="B65" s="69"/>
      <c r="C65" s="69"/>
      <c r="D65" s="303" t="s">
        <v>84</v>
      </c>
      <c r="E65" s="318">
        <v>6141587.4900000002</v>
      </c>
      <c r="F65" s="389">
        <v>3764809.78</v>
      </c>
      <c r="G65" s="389">
        <v>925768.61</v>
      </c>
      <c r="H65" s="499">
        <v>2150317.9900000002</v>
      </c>
      <c r="I65" s="499">
        <v>1550691.25</v>
      </c>
      <c r="J65" s="499">
        <v>1420818.93</v>
      </c>
      <c r="K65" s="499">
        <v>2033075.22</v>
      </c>
      <c r="L65" s="499">
        <v>644463.29</v>
      </c>
      <c r="M65" s="499">
        <v>860528.81</v>
      </c>
      <c r="N65" s="499">
        <v>870099.62</v>
      </c>
      <c r="O65" s="389">
        <v>753201.53</v>
      </c>
      <c r="P65" s="388">
        <v>4738055.78</v>
      </c>
      <c r="Q65" s="597">
        <f t="shared" si="2"/>
        <v>25853418.300000001</v>
      </c>
      <c r="R65" s="565"/>
      <c r="S65" s="70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</row>
    <row r="66" spans="1:33" ht="12.75" customHeight="1">
      <c r="A66" s="69"/>
      <c r="B66" s="69"/>
      <c r="C66" s="69"/>
      <c r="D66" s="303" t="s">
        <v>86</v>
      </c>
      <c r="E66" s="318">
        <f>235200.41-80000</f>
        <v>155200.41</v>
      </c>
      <c r="F66" s="389">
        <f>731931.55-80000</f>
        <v>651931.55000000005</v>
      </c>
      <c r="G66" s="389">
        <f>369799.56-80000</f>
        <v>289799.56</v>
      </c>
      <c r="H66" s="499">
        <f>659056.07-80000</f>
        <v>579056.06999999995</v>
      </c>
      <c r="I66" s="499">
        <f>434464.9-80000</f>
        <v>354464.9</v>
      </c>
      <c r="J66" s="499">
        <f>652850.16-80000</f>
        <v>572850.16</v>
      </c>
      <c r="K66" s="499">
        <f>564941.53-80000</f>
        <v>484941.53</v>
      </c>
      <c r="L66" s="499">
        <f>716976.33-80000</f>
        <v>636976.32999999996</v>
      </c>
      <c r="M66" s="499">
        <f>707590.76-80000</f>
        <v>627590.76</v>
      </c>
      <c r="N66" s="499">
        <f>735915.02-80000</f>
        <v>655915.02</v>
      </c>
      <c r="O66" s="389">
        <f>466164.88-80000</f>
        <v>386164.88</v>
      </c>
      <c r="P66" s="388">
        <f>730595.15-80000</f>
        <v>650595.15</v>
      </c>
      <c r="Q66" s="597">
        <f t="shared" si="2"/>
        <v>6045486.3199999994</v>
      </c>
      <c r="R66" s="565"/>
      <c r="S66" s="70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</row>
    <row r="67" spans="1:33">
      <c r="A67" s="69"/>
      <c r="B67" s="69"/>
      <c r="C67" s="69"/>
      <c r="D67" s="303" t="s">
        <v>87</v>
      </c>
      <c r="E67" s="318">
        <f>+SUM(E68:E72)</f>
        <v>37234260.75</v>
      </c>
      <c r="F67" s="389">
        <f t="shared" ref="F67:O67" si="12">+SUM(F68:F72)</f>
        <v>40396294.500000007</v>
      </c>
      <c r="G67" s="389">
        <f t="shared" si="12"/>
        <v>35626046.939999998</v>
      </c>
      <c r="H67" s="499">
        <f t="shared" si="12"/>
        <v>43775263.219999991</v>
      </c>
      <c r="I67" s="499">
        <f t="shared" si="12"/>
        <v>40867515.959999993</v>
      </c>
      <c r="J67" s="499">
        <f t="shared" si="12"/>
        <v>39071905.920000002</v>
      </c>
      <c r="K67" s="499">
        <f t="shared" si="12"/>
        <v>40978773.030000001</v>
      </c>
      <c r="L67" s="499">
        <f t="shared" si="12"/>
        <v>39985767.849999994</v>
      </c>
      <c r="M67" s="499">
        <f t="shared" si="12"/>
        <v>40349549.839999996</v>
      </c>
      <c r="N67" s="499">
        <f t="shared" si="12"/>
        <v>40556328.559999995</v>
      </c>
      <c r="O67" s="389">
        <f t="shared" si="12"/>
        <v>40339878.769999996</v>
      </c>
      <c r="P67" s="499">
        <f t="shared" ref="P67" si="13">SUM(P68:P72)</f>
        <v>42455256.619999997</v>
      </c>
      <c r="Q67" s="600">
        <f t="shared" si="2"/>
        <v>481636841.96000004</v>
      </c>
      <c r="R67" s="565"/>
      <c r="S67" s="70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</row>
    <row r="68" spans="1:33">
      <c r="A68" s="69"/>
      <c r="B68" s="69"/>
      <c r="C68" s="69"/>
      <c r="D68" s="302" t="s">
        <v>89</v>
      </c>
      <c r="E68" s="354">
        <v>4880739.1300000008</v>
      </c>
      <c r="F68" s="356">
        <v>5464431.5300000003</v>
      </c>
      <c r="G68" s="356">
        <v>5071540.8299999991</v>
      </c>
      <c r="H68" s="639">
        <v>5114262.4700000007</v>
      </c>
      <c r="I68" s="355">
        <v>5127234.6900000004</v>
      </c>
      <c r="J68" s="355">
        <v>5352636.95</v>
      </c>
      <c r="K68" s="355">
        <v>5472666.7700000005</v>
      </c>
      <c r="L68" s="355">
        <v>5393033.8800000008</v>
      </c>
      <c r="M68" s="355">
        <v>5945077.8899999997</v>
      </c>
      <c r="N68" s="355">
        <v>5754938.6399999987</v>
      </c>
      <c r="O68" s="356">
        <v>5713396.9199999999</v>
      </c>
      <c r="P68" s="355">
        <v>5898676.7699999996</v>
      </c>
      <c r="Q68" s="598">
        <f t="shared" si="2"/>
        <v>65188636.470000014</v>
      </c>
      <c r="R68" s="565"/>
      <c r="S68" s="70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</row>
    <row r="69" spans="1:33">
      <c r="A69" s="69"/>
      <c r="B69" s="69"/>
      <c r="C69" s="69"/>
      <c r="D69" s="302" t="s">
        <v>91</v>
      </c>
      <c r="E69" s="354">
        <v>1736584.53</v>
      </c>
      <c r="F69" s="356">
        <v>1660250.14</v>
      </c>
      <c r="G69" s="356">
        <v>1473771.4300000002</v>
      </c>
      <c r="H69" s="355">
        <v>1382169.35</v>
      </c>
      <c r="I69" s="355">
        <v>1498835.8599999999</v>
      </c>
      <c r="J69" s="355">
        <v>1233240.1499999999</v>
      </c>
      <c r="K69" s="355">
        <v>1101163.56</v>
      </c>
      <c r="L69" s="355">
        <v>771327.97</v>
      </c>
      <c r="M69" s="355">
        <v>1170345.77</v>
      </c>
      <c r="N69" s="355">
        <v>982048.69</v>
      </c>
      <c r="O69" s="356">
        <v>981764.53</v>
      </c>
      <c r="P69" s="355">
        <v>2138916.16</v>
      </c>
      <c r="Q69" s="598">
        <f t="shared" si="2"/>
        <v>16130418.139999999</v>
      </c>
      <c r="R69" s="565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</row>
    <row r="70" spans="1:33">
      <c r="A70" s="69"/>
      <c r="B70" s="69"/>
      <c r="C70" s="69"/>
      <c r="D70" s="302" t="s">
        <v>93</v>
      </c>
      <c r="E70" s="354">
        <v>30358548.720000003</v>
      </c>
      <c r="F70" s="356">
        <v>31864788.480000004</v>
      </c>
      <c r="G70" s="356">
        <v>28018969.609999999</v>
      </c>
      <c r="H70" s="355">
        <v>35356384.349999994</v>
      </c>
      <c r="I70" s="355">
        <v>31736646.849999994</v>
      </c>
      <c r="J70" s="355">
        <v>31408284.820000004</v>
      </c>
      <c r="K70" s="355">
        <v>31647148.099999998</v>
      </c>
      <c r="L70" s="355">
        <v>31683169.529999997</v>
      </c>
      <c r="M70" s="355">
        <v>31593887.719999995</v>
      </c>
      <c r="N70" s="355">
        <v>31763390.189999998</v>
      </c>
      <c r="O70" s="355">
        <v>31604023.609999999</v>
      </c>
      <c r="P70" s="355">
        <v>31930090.09</v>
      </c>
      <c r="Q70" s="598">
        <f t="shared" si="2"/>
        <v>378965332.06999993</v>
      </c>
      <c r="R70" s="565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</row>
    <row r="71" spans="1:33">
      <c r="A71" s="69"/>
      <c r="B71" s="69"/>
      <c r="C71" s="69"/>
      <c r="D71" s="302" t="s">
        <v>95</v>
      </c>
      <c r="E71" s="354">
        <v>168399.48</v>
      </c>
      <c r="F71" s="356">
        <v>814363.46</v>
      </c>
      <c r="G71" s="356">
        <v>741766.67</v>
      </c>
      <c r="H71" s="355">
        <v>1080265.98</v>
      </c>
      <c r="I71" s="355">
        <v>1810921.59</v>
      </c>
      <c r="J71" s="355">
        <v>658447.02</v>
      </c>
      <c r="K71" s="355">
        <v>2020707.95</v>
      </c>
      <c r="L71" s="355">
        <v>1077249.07</v>
      </c>
      <c r="M71" s="355">
        <v>1120011.27</v>
      </c>
      <c r="N71" s="355">
        <v>1238335.1599999999</v>
      </c>
      <c r="O71" s="355">
        <v>1417252.98</v>
      </c>
      <c r="P71" s="355">
        <v>1349685.24</v>
      </c>
      <c r="Q71" s="598">
        <f t="shared" si="2"/>
        <v>13497405.870000001</v>
      </c>
      <c r="R71" s="565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</row>
    <row r="72" spans="1:33">
      <c r="A72" s="69"/>
      <c r="B72" s="69"/>
      <c r="C72" s="69"/>
      <c r="D72" s="302" t="s">
        <v>97</v>
      </c>
      <c r="E72" s="354">
        <v>89988.89</v>
      </c>
      <c r="F72" s="356">
        <v>592460.8899999999</v>
      </c>
      <c r="G72" s="356">
        <v>319998.40000000002</v>
      </c>
      <c r="H72" s="355">
        <v>842181.07000000007</v>
      </c>
      <c r="I72" s="355">
        <v>693876.97</v>
      </c>
      <c r="J72" s="355">
        <v>419296.98000000004</v>
      </c>
      <c r="K72" s="355">
        <v>737086.65</v>
      </c>
      <c r="L72" s="355">
        <v>1060987.3999999999</v>
      </c>
      <c r="M72" s="355">
        <v>520227.19</v>
      </c>
      <c r="N72" s="355">
        <v>817615.87999999989</v>
      </c>
      <c r="O72" s="355">
        <v>623440.73</v>
      </c>
      <c r="P72" s="355">
        <v>1137888.3599999999</v>
      </c>
      <c r="Q72" s="598">
        <f t="shared" si="2"/>
        <v>7855049.4100000001</v>
      </c>
      <c r="R72" s="565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</row>
    <row r="73" spans="1:33" ht="15.75" customHeight="1">
      <c r="A73" s="69"/>
      <c r="B73" s="69"/>
      <c r="C73" s="69"/>
      <c r="D73" s="383" t="s">
        <v>100</v>
      </c>
      <c r="E73" s="318">
        <f>+SUM(E74:E78)</f>
        <v>442338.09</v>
      </c>
      <c r="F73" s="389">
        <f t="shared" ref="F73:P73" si="14">+SUM(F74:F78)</f>
        <v>2805814.11</v>
      </c>
      <c r="G73" s="389">
        <f t="shared" si="14"/>
        <v>992842.58</v>
      </c>
      <c r="H73" s="499">
        <f t="shared" si="14"/>
        <v>4069831.04</v>
      </c>
      <c r="I73" s="499">
        <f t="shared" si="14"/>
        <v>2468513.6399999997</v>
      </c>
      <c r="J73" s="499">
        <f t="shared" si="14"/>
        <v>2427947.75</v>
      </c>
      <c r="K73" s="499">
        <f t="shared" si="14"/>
        <v>2319910.83</v>
      </c>
      <c r="L73" s="499">
        <f t="shared" si="14"/>
        <v>2060764.41</v>
      </c>
      <c r="M73" s="499">
        <f t="shared" si="14"/>
        <v>2677803.0700000003</v>
      </c>
      <c r="N73" s="499">
        <f t="shared" si="14"/>
        <v>2974174.89</v>
      </c>
      <c r="O73" s="499">
        <f t="shared" si="14"/>
        <v>2032800.4700000002</v>
      </c>
      <c r="P73" s="499">
        <f t="shared" si="14"/>
        <v>6239525.4100000001</v>
      </c>
      <c r="Q73" s="600">
        <f t="shared" si="2"/>
        <v>31512266.289999999</v>
      </c>
      <c r="R73" s="565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</row>
    <row r="74" spans="1:33">
      <c r="A74" s="69"/>
      <c r="B74" s="69"/>
      <c r="C74" s="69"/>
      <c r="D74" s="302" t="s">
        <v>102</v>
      </c>
      <c r="E74" s="354">
        <v>180794.57</v>
      </c>
      <c r="F74" s="356">
        <v>973625.26</v>
      </c>
      <c r="G74" s="356">
        <v>286908.57</v>
      </c>
      <c r="H74" s="355">
        <v>1612546.99</v>
      </c>
      <c r="I74" s="355">
        <v>1303321.6299999999</v>
      </c>
      <c r="J74" s="355">
        <v>886080.96</v>
      </c>
      <c r="K74" s="355">
        <v>1106414.21</v>
      </c>
      <c r="L74" s="355">
        <v>436602.5</v>
      </c>
      <c r="M74" s="355">
        <v>1185849.8700000001</v>
      </c>
      <c r="N74" s="355">
        <v>1032204.8999999999</v>
      </c>
      <c r="O74" s="355">
        <v>681492.05</v>
      </c>
      <c r="P74" s="355">
        <v>3781227.46</v>
      </c>
      <c r="Q74" s="598">
        <f t="shared" si="2"/>
        <v>13467068.969999999</v>
      </c>
      <c r="R74" s="565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</row>
    <row r="75" spans="1:33">
      <c r="A75" s="69"/>
      <c r="B75" s="69"/>
      <c r="C75" s="69"/>
      <c r="D75" s="302" t="s">
        <v>104</v>
      </c>
      <c r="E75" s="354">
        <v>253000</v>
      </c>
      <c r="F75" s="356">
        <v>532747.41999999993</v>
      </c>
      <c r="G75" s="356">
        <v>293479.06</v>
      </c>
      <c r="H75" s="355">
        <v>834504.14</v>
      </c>
      <c r="I75" s="355">
        <v>293789.06</v>
      </c>
      <c r="J75" s="355">
        <v>273109.06</v>
      </c>
      <c r="K75" s="355">
        <v>321292.39</v>
      </c>
      <c r="L75" s="355">
        <v>264742.39</v>
      </c>
      <c r="M75" s="355">
        <v>434992.39</v>
      </c>
      <c r="N75" s="355">
        <v>278192.39</v>
      </c>
      <c r="O75" s="355">
        <v>205427.01</v>
      </c>
      <c r="P75" s="355">
        <v>604477.73</v>
      </c>
      <c r="Q75" s="598">
        <f t="shared" si="2"/>
        <v>4589753.040000001</v>
      </c>
      <c r="R75" s="565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</row>
    <row r="76" spans="1:33">
      <c r="A76" s="69"/>
      <c r="B76" s="69"/>
      <c r="C76" s="69"/>
      <c r="D76" s="302" t="s">
        <v>106</v>
      </c>
      <c r="E76" s="354">
        <v>8543.52</v>
      </c>
      <c r="F76" s="356">
        <v>1289941.43</v>
      </c>
      <c r="G76" s="356">
        <v>408004.94999999995</v>
      </c>
      <c r="H76" s="355">
        <v>1609014.91</v>
      </c>
      <c r="I76" s="355">
        <v>864201.95</v>
      </c>
      <c r="J76" s="355">
        <v>971963.56</v>
      </c>
      <c r="K76" s="355">
        <v>875604.23</v>
      </c>
      <c r="L76" s="355">
        <v>887463.7</v>
      </c>
      <c r="M76" s="355">
        <v>1047260.81</v>
      </c>
      <c r="N76" s="355">
        <v>1654802.6</v>
      </c>
      <c r="O76" s="355">
        <v>1143581.4100000001</v>
      </c>
      <c r="P76" s="355">
        <v>1848040.2200000002</v>
      </c>
      <c r="Q76" s="598">
        <f t="shared" si="2"/>
        <v>12608423.290000001</v>
      </c>
      <c r="R76" s="565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</row>
    <row r="77" spans="1:33">
      <c r="A77" s="69"/>
      <c r="B77" s="69"/>
      <c r="C77" s="69"/>
      <c r="D77" s="302" t="s">
        <v>108</v>
      </c>
      <c r="E77" s="354">
        <v>0</v>
      </c>
      <c r="F77" s="356">
        <v>9500</v>
      </c>
      <c r="G77" s="356">
        <v>4450</v>
      </c>
      <c r="H77" s="355">
        <v>13765</v>
      </c>
      <c r="I77" s="355">
        <v>7201</v>
      </c>
      <c r="J77" s="355">
        <v>296794.17</v>
      </c>
      <c r="K77" s="355">
        <v>16600</v>
      </c>
      <c r="L77" s="355">
        <v>471955.82</v>
      </c>
      <c r="M77" s="355">
        <v>9700</v>
      </c>
      <c r="N77" s="355">
        <v>8975</v>
      </c>
      <c r="O77" s="355">
        <v>2300</v>
      </c>
      <c r="P77" s="355">
        <v>5780</v>
      </c>
      <c r="Q77" s="598">
        <f t="shared" si="2"/>
        <v>847020.99</v>
      </c>
      <c r="R77" s="565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</row>
    <row r="78" spans="1:33" ht="13.5" thickBot="1">
      <c r="A78" s="69"/>
      <c r="B78" s="69"/>
      <c r="C78" s="69"/>
      <c r="D78" s="635" t="s">
        <v>109</v>
      </c>
      <c r="E78" s="394">
        <v>0</v>
      </c>
      <c r="F78" s="396">
        <v>0</v>
      </c>
      <c r="G78" s="396">
        <v>0</v>
      </c>
      <c r="H78" s="395">
        <v>0</v>
      </c>
      <c r="I78" s="395">
        <v>0</v>
      </c>
      <c r="J78" s="395">
        <v>0</v>
      </c>
      <c r="K78" s="395">
        <v>0</v>
      </c>
      <c r="L78" s="395">
        <v>0</v>
      </c>
      <c r="M78" s="395">
        <v>0</v>
      </c>
      <c r="N78" s="395">
        <v>0</v>
      </c>
      <c r="O78" s="395">
        <v>0</v>
      </c>
      <c r="P78" s="395">
        <v>0</v>
      </c>
      <c r="Q78" s="601">
        <f t="shared" si="2"/>
        <v>0</v>
      </c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</row>
    <row r="79" spans="1:33" ht="14.25" thickTop="1" thickBot="1">
      <c r="A79" s="69"/>
      <c r="B79" s="69"/>
      <c r="C79" s="69"/>
      <c r="D79" s="358" t="s">
        <v>131</v>
      </c>
      <c r="E79" s="638">
        <f>1998169.09+369916</f>
        <v>2368085.09</v>
      </c>
      <c r="F79" s="449">
        <f>3393159+369916</f>
        <v>3763075</v>
      </c>
      <c r="G79" s="449">
        <f>1273979.47+369916</f>
        <v>1643895.47</v>
      </c>
      <c r="H79" s="641">
        <f>4315733.87+369916</f>
        <v>4685649.87</v>
      </c>
      <c r="I79" s="641">
        <f>5499146.23+369916</f>
        <v>5869062.2300000004</v>
      </c>
      <c r="J79" s="641">
        <f>4113684.61+369916</f>
        <v>4483600.6099999994</v>
      </c>
      <c r="K79" s="641">
        <f>6136018.98+369916</f>
        <v>6505934.9800000004</v>
      </c>
      <c r="L79" s="642">
        <f>7882686.2+369916</f>
        <v>8252602.2000000002</v>
      </c>
      <c r="M79" s="642">
        <f>4643025.12+369916</f>
        <v>5012941.12</v>
      </c>
      <c r="N79" s="642">
        <f>5849817.61+369916</f>
        <v>6219733.6100000003</v>
      </c>
      <c r="O79" s="399">
        <f>6169046.94+369916</f>
        <v>6538962.9400000004</v>
      </c>
      <c r="P79" s="399">
        <f>16415068.71+369916</f>
        <v>16784984.710000001</v>
      </c>
      <c r="Q79" s="602">
        <f t="shared" si="2"/>
        <v>72128527.829999998</v>
      </c>
      <c r="R79" s="69">
        <f>72129-67690</f>
        <v>4439</v>
      </c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</row>
    <row r="80" spans="1:33" ht="13.5" thickTop="1">
      <c r="A80" s="69"/>
      <c r="B80" s="69"/>
      <c r="C80" s="69"/>
      <c r="D80" s="302" t="s">
        <v>111</v>
      </c>
      <c r="E80" s="354">
        <v>0</v>
      </c>
      <c r="F80" s="356">
        <v>327340.79999999999</v>
      </c>
      <c r="G80" s="356">
        <v>125713</v>
      </c>
      <c r="H80" s="355">
        <v>160911</v>
      </c>
      <c r="I80" s="355">
        <v>139637</v>
      </c>
      <c r="J80" s="355">
        <v>154669</v>
      </c>
      <c r="K80" s="355">
        <v>30000</v>
      </c>
      <c r="L80" s="355">
        <v>50000</v>
      </c>
      <c r="M80" s="355">
        <v>214389</v>
      </c>
      <c r="N80" s="355">
        <v>139389</v>
      </c>
      <c r="O80" s="355">
        <v>45000</v>
      </c>
      <c r="P80" s="355">
        <v>388584.89</v>
      </c>
      <c r="Q80" s="603">
        <f t="shared" si="2"/>
        <v>1775633.69</v>
      </c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</row>
    <row r="81" spans="1:33" ht="13.5" thickBot="1">
      <c r="A81" s="69"/>
      <c r="B81" s="69"/>
      <c r="C81" s="69"/>
      <c r="D81" s="635" t="s">
        <v>118</v>
      </c>
      <c r="E81" s="394">
        <v>871031.87</v>
      </c>
      <c r="F81" s="396">
        <v>806208.72</v>
      </c>
      <c r="G81" s="396">
        <v>2733199.57</v>
      </c>
      <c r="H81" s="395">
        <v>292935.40000000002</v>
      </c>
      <c r="I81" s="395">
        <v>125197.02</v>
      </c>
      <c r="J81" s="395">
        <v>1282874.5</v>
      </c>
      <c r="K81" s="395">
        <v>492037.8</v>
      </c>
      <c r="L81" s="395">
        <v>299044.5</v>
      </c>
      <c r="M81" s="395">
        <v>2136675.4700000002</v>
      </c>
      <c r="N81" s="395">
        <v>2009396.54</v>
      </c>
      <c r="O81" s="395">
        <v>3454164.1</v>
      </c>
      <c r="P81" s="395">
        <v>3575252.97</v>
      </c>
      <c r="Q81" s="601">
        <f t="shared" si="2"/>
        <v>18078018.460000001</v>
      </c>
      <c r="R81" s="69"/>
      <c r="S81" s="69">
        <f>R79/12</f>
        <v>369.91666666666669</v>
      </c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</row>
    <row r="82" spans="1:33" ht="14.25" thickTop="1" thickBot="1">
      <c r="A82" s="69"/>
      <c r="B82" s="69"/>
      <c r="C82" s="69"/>
      <c r="D82" s="635" t="s">
        <v>113</v>
      </c>
      <c r="E82" s="998">
        <v>0</v>
      </c>
      <c r="F82" s="999">
        <v>0</v>
      </c>
      <c r="G82" s="999">
        <v>0</v>
      </c>
      <c r="H82" s="999">
        <v>23427740.18</v>
      </c>
      <c r="I82" s="1000">
        <v>0</v>
      </c>
      <c r="J82" s="1000">
        <v>0</v>
      </c>
      <c r="K82" s="1000">
        <v>0</v>
      </c>
      <c r="L82" s="1000">
        <v>0</v>
      </c>
      <c r="M82" s="1000">
        <v>0</v>
      </c>
      <c r="N82" s="1000">
        <v>544740.9</v>
      </c>
      <c r="O82" s="1000">
        <v>0</v>
      </c>
      <c r="P82" s="1000">
        <v>747351.55</v>
      </c>
      <c r="Q82" s="1001">
        <f>SUM(E82:P82)</f>
        <v>24719832.629999999</v>
      </c>
      <c r="R82" s="73">
        <f>H82-N82-P82</f>
        <v>22135647.73</v>
      </c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</row>
    <row r="83" spans="1:33" ht="14.25" thickTop="1" thickBot="1">
      <c r="A83" s="69"/>
      <c r="B83" s="69"/>
      <c r="C83" s="69"/>
      <c r="D83" s="635" t="str">
        <f>IF(MasterSheet!$A$1=1,MasterSheet!C134,MasterSheet!B136)</f>
        <v>Neto povećanje obaveza</v>
      </c>
      <c r="E83" s="354">
        <v>0</v>
      </c>
      <c r="F83" s="356">
        <v>0</v>
      </c>
      <c r="G83" s="356">
        <v>0</v>
      </c>
      <c r="H83" s="356">
        <v>0</v>
      </c>
      <c r="I83" s="356">
        <v>0</v>
      </c>
      <c r="J83" s="356">
        <v>0</v>
      </c>
      <c r="K83" s="356">
        <v>0</v>
      </c>
      <c r="L83" s="356">
        <v>0</v>
      </c>
      <c r="M83" s="356">
        <v>0</v>
      </c>
      <c r="N83" s="356">
        <v>0</v>
      </c>
      <c r="O83" s="356">
        <v>0</v>
      </c>
      <c r="P83" s="1015">
        <v>33114247.129999999</v>
      </c>
      <c r="Q83" s="598">
        <v>33114247.129999999</v>
      </c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</row>
    <row r="84" spans="1:33" ht="14.25" thickTop="1" thickBot="1">
      <c r="A84" s="69"/>
      <c r="B84" s="69"/>
      <c r="C84" s="69"/>
      <c r="D84" s="358" t="s">
        <v>132</v>
      </c>
      <c r="E84" s="432">
        <f t="shared" ref="E84:P84" si="15">E19-E51</f>
        <v>-35631140.930833332</v>
      </c>
      <c r="F84" s="432">
        <f t="shared" si="15"/>
        <v>-31878721.520833343</v>
      </c>
      <c r="G84" s="432">
        <f t="shared" si="15"/>
        <v>-8687734.8408333212</v>
      </c>
      <c r="H84" s="432">
        <f t="shared" si="15"/>
        <v>-51386794.30083333</v>
      </c>
      <c r="I84" s="432">
        <f t="shared" si="15"/>
        <v>-15988519.610833287</v>
      </c>
      <c r="J84" s="432">
        <f t="shared" si="15"/>
        <v>-3831705.960833326</v>
      </c>
      <c r="K84" s="432">
        <f t="shared" si="15"/>
        <v>26517981.229166687</v>
      </c>
      <c r="L84" s="432">
        <f t="shared" si="15"/>
        <v>10701165.399166688</v>
      </c>
      <c r="M84" s="432">
        <f t="shared" si="15"/>
        <v>-21905385.890833333</v>
      </c>
      <c r="N84" s="432">
        <f t="shared" si="15"/>
        <v>-4888498.6208333075</v>
      </c>
      <c r="O84" s="432">
        <f t="shared" si="15"/>
        <v>-15273751.640833303</v>
      </c>
      <c r="P84" s="432">
        <f t="shared" si="15"/>
        <v>-43314722.570833325</v>
      </c>
      <c r="Q84" s="596">
        <f>SUM(E84:P84)</f>
        <v>-195567829.25999987</v>
      </c>
      <c r="R84" s="630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</row>
    <row r="85" spans="1:33" ht="14.25" thickTop="1" thickBot="1">
      <c r="A85" s="69"/>
      <c r="B85" s="69"/>
      <c r="C85" s="69"/>
      <c r="D85" s="358" t="s">
        <v>133</v>
      </c>
      <c r="E85" s="432">
        <f t="shared" ref="E85:P85" si="16">E84+E63</f>
        <v>-31917742.000833333</v>
      </c>
      <c r="F85" s="432">
        <f t="shared" si="16"/>
        <v>-30150956.470833343</v>
      </c>
      <c r="G85" s="432">
        <f t="shared" si="16"/>
        <v>-5963656.6208333205</v>
      </c>
      <c r="H85" s="432">
        <f t="shared" si="16"/>
        <v>-37179453.040833332</v>
      </c>
      <c r="I85" s="432">
        <f t="shared" si="16"/>
        <v>-13891976.120833287</v>
      </c>
      <c r="J85" s="432">
        <f t="shared" si="16"/>
        <v>1110181.8391666738</v>
      </c>
      <c r="K85" s="432">
        <f t="shared" si="16"/>
        <v>27816958.889166687</v>
      </c>
      <c r="L85" s="432">
        <f t="shared" si="16"/>
        <v>13374375.079166688</v>
      </c>
      <c r="M85" s="432">
        <f t="shared" si="16"/>
        <v>-3655159.1808333322</v>
      </c>
      <c r="N85" s="432">
        <f t="shared" si="16"/>
        <v>-4298116.8708333075</v>
      </c>
      <c r="O85" s="432">
        <f t="shared" si="16"/>
        <v>-14401088.740833303</v>
      </c>
      <c r="P85" s="432">
        <f t="shared" si="16"/>
        <v>-39547289.400833324</v>
      </c>
      <c r="Q85" s="596">
        <f t="shared" ref="Q85:Q96" si="17">SUM(E85:P85)</f>
        <v>-138703922.63999984</v>
      </c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</row>
    <row r="86" spans="1:33" ht="14.25" thickTop="1" thickBot="1">
      <c r="A86" s="69"/>
      <c r="B86" s="69"/>
      <c r="C86" s="69"/>
      <c r="D86" s="358" t="s">
        <v>0</v>
      </c>
      <c r="E86" s="432">
        <f t="shared" ref="E86" si="18">SUM(E87:E89)</f>
        <v>14835839.039999999</v>
      </c>
      <c r="F86" s="432">
        <f t="shared" ref="F86:P86" si="19">SUM(F87:F89)</f>
        <v>9373436.9399999995</v>
      </c>
      <c r="G86" s="432">
        <f t="shared" si="19"/>
        <v>6921109.7300000004</v>
      </c>
      <c r="H86" s="432">
        <f t="shared" si="19"/>
        <v>10923608.130000001</v>
      </c>
      <c r="I86" s="432">
        <f t="shared" si="19"/>
        <v>10529456.99</v>
      </c>
      <c r="J86" s="432">
        <f t="shared" si="19"/>
        <v>18297991.399999999</v>
      </c>
      <c r="K86" s="432">
        <f t="shared" si="19"/>
        <v>12530807</v>
      </c>
      <c r="L86" s="432">
        <f t="shared" si="19"/>
        <v>20378192.059999999</v>
      </c>
      <c r="M86" s="432">
        <f t="shared" si="19"/>
        <v>11778486.48</v>
      </c>
      <c r="N86" s="432">
        <f t="shared" si="19"/>
        <v>3932312.91</v>
      </c>
      <c r="O86" s="432">
        <f t="shared" si="19"/>
        <v>3405411.31</v>
      </c>
      <c r="P86" s="432">
        <f t="shared" si="19"/>
        <v>12528992.050000001</v>
      </c>
      <c r="Q86" s="596">
        <f t="shared" si="17"/>
        <v>135435644.03999999</v>
      </c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</row>
    <row r="87" spans="1:33" ht="13.5" thickTop="1">
      <c r="A87" s="69"/>
      <c r="B87" s="69"/>
      <c r="C87" s="69"/>
      <c r="D87" s="302" t="s">
        <v>135</v>
      </c>
      <c r="E87" s="354">
        <v>4367230.4400000004</v>
      </c>
      <c r="F87" s="356">
        <v>5235864.3</v>
      </c>
      <c r="G87" s="356">
        <v>4138404.89</v>
      </c>
      <c r="H87" s="355">
        <v>8806701.6500000004</v>
      </c>
      <c r="I87" s="355">
        <v>8698958</v>
      </c>
      <c r="J87" s="355">
        <v>7125416.4000000004</v>
      </c>
      <c r="K87" s="355">
        <v>6912748.5</v>
      </c>
      <c r="L87" s="355">
        <v>19807243.84</v>
      </c>
      <c r="M87" s="355">
        <v>8131951.3399999999</v>
      </c>
      <c r="N87" s="355">
        <v>2641976.31</v>
      </c>
      <c r="O87" s="355">
        <v>870919.5</v>
      </c>
      <c r="P87" s="355">
        <v>1203417.48</v>
      </c>
      <c r="Q87" s="598">
        <f t="shared" si="17"/>
        <v>77940832.650000006</v>
      </c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</row>
    <row r="88" spans="1:33">
      <c r="A88" s="69"/>
      <c r="B88" s="69"/>
      <c r="C88" s="69"/>
      <c r="D88" s="302" t="s">
        <v>137</v>
      </c>
      <c r="E88" s="354">
        <v>10468608.6</v>
      </c>
      <c r="F88" s="356">
        <v>4137572.64</v>
      </c>
      <c r="G88" s="356">
        <v>2782704.84</v>
      </c>
      <c r="H88" s="355">
        <v>2116906.48</v>
      </c>
      <c r="I88" s="355">
        <v>1830498.99</v>
      </c>
      <c r="J88" s="355">
        <v>11172575</v>
      </c>
      <c r="K88" s="355">
        <v>2998058.5</v>
      </c>
      <c r="L88" s="355">
        <v>570948.22</v>
      </c>
      <c r="M88" s="355">
        <v>3646535.14</v>
      </c>
      <c r="N88" s="355">
        <v>1290336.6000000001</v>
      </c>
      <c r="O88" s="355">
        <v>2534491.81</v>
      </c>
      <c r="P88" s="355">
        <v>11325574.57</v>
      </c>
      <c r="Q88" s="598">
        <f t="shared" si="17"/>
        <v>54874811.390000001</v>
      </c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</row>
    <row r="89" spans="1:33" ht="13.5" thickBot="1">
      <c r="A89" s="69"/>
      <c r="B89" s="69"/>
      <c r="C89" s="69"/>
      <c r="D89" s="302" t="s">
        <v>116</v>
      </c>
      <c r="E89" s="354">
        <v>0</v>
      </c>
      <c r="F89" s="354">
        <v>0</v>
      </c>
      <c r="G89" s="354">
        <v>0</v>
      </c>
      <c r="H89" s="354">
        <v>0</v>
      </c>
      <c r="I89" s="354">
        <v>0</v>
      </c>
      <c r="J89" s="354">
        <v>0</v>
      </c>
      <c r="K89" s="355">
        <v>2620000</v>
      </c>
      <c r="L89" s="355">
        <v>0</v>
      </c>
      <c r="M89" s="355">
        <v>0</v>
      </c>
      <c r="N89" s="355">
        <v>0</v>
      </c>
      <c r="O89" s="355">
        <v>0</v>
      </c>
      <c r="P89" s="355">
        <v>0</v>
      </c>
      <c r="Q89" s="598">
        <f t="shared" si="17"/>
        <v>2620000</v>
      </c>
      <c r="R89" s="69">
        <f>33460000/12</f>
        <v>2788333.3333333335</v>
      </c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</row>
    <row r="90" spans="1:33" ht="14.25" thickTop="1" thickBot="1">
      <c r="A90" s="69"/>
      <c r="B90" s="69"/>
      <c r="C90" s="69"/>
      <c r="D90" s="358" t="s">
        <v>141</v>
      </c>
      <c r="E90" s="432">
        <f t="shared" ref="E90:P90" si="20">E84-E86</f>
        <v>-50466979.970833331</v>
      </c>
      <c r="F90" s="432">
        <f t="shared" si="20"/>
        <v>-41252158.460833341</v>
      </c>
      <c r="G90" s="432">
        <f t="shared" si="20"/>
        <v>-15608844.570833322</v>
      </c>
      <c r="H90" s="432">
        <f t="shared" si="20"/>
        <v>-62310402.430833332</v>
      </c>
      <c r="I90" s="432">
        <f t="shared" si="20"/>
        <v>-26517976.600833289</v>
      </c>
      <c r="J90" s="432">
        <f t="shared" si="20"/>
        <v>-22129697.360833324</v>
      </c>
      <c r="K90" s="432">
        <f t="shared" si="20"/>
        <v>13987174.229166687</v>
      </c>
      <c r="L90" s="432">
        <f t="shared" si="20"/>
        <v>-9677026.6608333103</v>
      </c>
      <c r="M90" s="432">
        <f t="shared" si="20"/>
        <v>-33683872.370833337</v>
      </c>
      <c r="N90" s="432">
        <f t="shared" si="20"/>
        <v>-8820811.5308333077</v>
      </c>
      <c r="O90" s="432">
        <f t="shared" si="20"/>
        <v>-18679162.950833302</v>
      </c>
      <c r="P90" s="385">
        <f t="shared" si="20"/>
        <v>-55843714.620833322</v>
      </c>
      <c r="Q90" s="596">
        <f>SUM(E90:P90)</f>
        <v>-331003473.29999983</v>
      </c>
      <c r="R90" s="73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</row>
    <row r="91" spans="1:33" ht="14.25" thickTop="1" thickBot="1">
      <c r="A91" s="69"/>
      <c r="B91" s="69"/>
      <c r="C91" s="69"/>
      <c r="D91" s="358" t="s">
        <v>121</v>
      </c>
      <c r="E91" s="432">
        <f t="shared" ref="E91" si="21">SUM(E92:E96)</f>
        <v>50466979.970833331</v>
      </c>
      <c r="F91" s="432">
        <f t="shared" ref="F91:P91" si="22">SUM(F92:F96)</f>
        <v>41252158.460833341</v>
      </c>
      <c r="G91" s="432">
        <f t="shared" si="22"/>
        <v>15608844.570833322</v>
      </c>
      <c r="H91" s="432">
        <f t="shared" si="22"/>
        <v>62310402.430833332</v>
      </c>
      <c r="I91" s="432">
        <f t="shared" si="22"/>
        <v>26517976.600833289</v>
      </c>
      <c r="J91" s="432">
        <f t="shared" si="22"/>
        <v>22129697.360833324</v>
      </c>
      <c r="K91" s="432">
        <f t="shared" si="22"/>
        <v>-13987174.229166687</v>
      </c>
      <c r="L91" s="432">
        <f t="shared" si="22"/>
        <v>9677026.6608333103</v>
      </c>
      <c r="M91" s="432">
        <f t="shared" si="22"/>
        <v>33683872.370833337</v>
      </c>
      <c r="N91" s="432">
        <f t="shared" si="22"/>
        <v>8820811.5308333077</v>
      </c>
      <c r="O91" s="432">
        <f t="shared" si="22"/>
        <v>18679162.950833302</v>
      </c>
      <c r="P91" s="385">
        <f t="shared" si="22"/>
        <v>55843714.620833322</v>
      </c>
      <c r="Q91" s="596">
        <f t="shared" si="17"/>
        <v>331003473.29999983</v>
      </c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</row>
    <row r="92" spans="1:33" ht="13.5" thickTop="1">
      <c r="A92" s="69"/>
      <c r="B92" s="69"/>
      <c r="C92" s="69"/>
      <c r="D92" s="302" t="s">
        <v>144</v>
      </c>
      <c r="E92" s="354">
        <v>10091646</v>
      </c>
      <c r="F92" s="356">
        <v>1500000</v>
      </c>
      <c r="G92" s="356">
        <v>5000000</v>
      </c>
      <c r="H92" s="640">
        <v>13979930</v>
      </c>
      <c r="I92" s="355">
        <v>0</v>
      </c>
      <c r="J92" s="355">
        <v>3689700</v>
      </c>
      <c r="K92" s="355">
        <v>8374900</v>
      </c>
      <c r="L92" s="355">
        <v>0</v>
      </c>
      <c r="M92" s="355">
        <v>0</v>
      </c>
      <c r="N92" s="355">
        <v>1308000</v>
      </c>
      <c r="O92" s="355">
        <v>0</v>
      </c>
      <c r="P92" s="419">
        <v>19510199.850000001</v>
      </c>
      <c r="Q92" s="598">
        <f t="shared" si="17"/>
        <v>63454375.850000001</v>
      </c>
      <c r="R92" s="69"/>
      <c r="S92" s="634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</row>
    <row r="93" spans="1:33">
      <c r="A93" s="69"/>
      <c r="B93" s="69"/>
      <c r="C93" s="69"/>
      <c r="D93" s="302" t="s">
        <v>122</v>
      </c>
      <c r="E93" s="354">
        <v>17753.55</v>
      </c>
      <c r="F93" s="356">
        <v>59500471.32</v>
      </c>
      <c r="G93" s="356">
        <v>308302.08000000002</v>
      </c>
      <c r="H93" s="355">
        <v>94423805.219999999</v>
      </c>
      <c r="I93" s="355">
        <v>185718.5</v>
      </c>
      <c r="J93" s="355">
        <v>257737.36</v>
      </c>
      <c r="K93" s="355">
        <v>97281898.599999994</v>
      </c>
      <c r="L93" s="355">
        <v>547054.86</v>
      </c>
      <c r="M93" s="355">
        <v>703927.59</v>
      </c>
      <c r="N93" s="355">
        <v>1587510.4</v>
      </c>
      <c r="O93" s="355">
        <v>1242648.76</v>
      </c>
      <c r="P93" s="419">
        <v>2072547.73</v>
      </c>
      <c r="Q93" s="598">
        <f>SUM(E93:P93)</f>
        <v>258129375.97</v>
      </c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</row>
    <row r="94" spans="1:33">
      <c r="A94" s="69"/>
      <c r="B94" s="69"/>
      <c r="C94" s="69"/>
      <c r="D94" s="302" t="s">
        <v>123</v>
      </c>
      <c r="E94" s="354">
        <v>120840.82</v>
      </c>
      <c r="F94" s="356">
        <v>462333.48700000002</v>
      </c>
      <c r="G94" s="356">
        <v>397655.88</v>
      </c>
      <c r="H94" s="355">
        <v>664302.91</v>
      </c>
      <c r="I94" s="355">
        <v>198856.38</v>
      </c>
      <c r="J94" s="355">
        <v>265058.73</v>
      </c>
      <c r="K94" s="355">
        <v>1010975.94</v>
      </c>
      <c r="L94" s="355">
        <v>111156.37</v>
      </c>
      <c r="M94" s="355">
        <v>301806.81</v>
      </c>
      <c r="N94" s="355">
        <v>567941.03</v>
      </c>
      <c r="O94" s="355">
        <v>523766.2</v>
      </c>
      <c r="P94" s="419">
        <v>412637.7</v>
      </c>
      <c r="Q94" s="598">
        <f t="shared" si="17"/>
        <v>5037332.2570000002</v>
      </c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69"/>
    </row>
    <row r="95" spans="1:33">
      <c r="A95" s="69"/>
      <c r="B95" s="69"/>
      <c r="C95" s="69"/>
      <c r="D95" s="302" t="s">
        <v>332</v>
      </c>
      <c r="E95" s="354">
        <v>103661.6</v>
      </c>
      <c r="F95" s="356">
        <v>231003.75</v>
      </c>
      <c r="G95" s="356">
        <v>52105.86</v>
      </c>
      <c r="H95" s="355">
        <v>555000.79</v>
      </c>
      <c r="I95" s="355">
        <v>299888.71999999997</v>
      </c>
      <c r="J95" s="355">
        <v>122462.67</v>
      </c>
      <c r="K95" s="355">
        <v>27365.52</v>
      </c>
      <c r="L95" s="355">
        <v>3199.35</v>
      </c>
      <c r="M95" s="355">
        <v>47613.4</v>
      </c>
      <c r="N95" s="355">
        <v>1116739.67</v>
      </c>
      <c r="O95" s="355">
        <v>216183.91</v>
      </c>
      <c r="P95" s="419">
        <v>709400.16</v>
      </c>
      <c r="Q95" s="598">
        <f t="shared" si="17"/>
        <v>3484625.4000000004</v>
      </c>
      <c r="R95" s="73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</row>
    <row r="96" spans="1:33" ht="13.5" thickBot="1">
      <c r="A96" s="69"/>
      <c r="B96" s="69"/>
      <c r="C96" s="69"/>
      <c r="D96" s="384" t="s">
        <v>125</v>
      </c>
      <c r="E96" s="369">
        <f t="shared" ref="E96:P96" si="23">-E90-SUM(E92:E95)</f>
        <v>40133078.000833333</v>
      </c>
      <c r="F96" s="371">
        <f t="shared" si="23"/>
        <v>-20441650.096166663</v>
      </c>
      <c r="G96" s="371">
        <f t="shared" si="23"/>
        <v>9850780.7508333214</v>
      </c>
      <c r="H96" s="370">
        <f t="shared" si="23"/>
        <v>-47312636.48916667</v>
      </c>
      <c r="I96" s="370">
        <f t="shared" si="23"/>
        <v>25833513.000833288</v>
      </c>
      <c r="J96" s="370">
        <f t="shared" si="23"/>
        <v>17794738.600833327</v>
      </c>
      <c r="K96" s="370">
        <f t="shared" si="23"/>
        <v>-120682314.28916667</v>
      </c>
      <c r="L96" s="370">
        <f t="shared" si="23"/>
        <v>9015616.0808333103</v>
      </c>
      <c r="M96" s="370">
        <f t="shared" si="23"/>
        <v>32630524.570833337</v>
      </c>
      <c r="N96" s="370">
        <f t="shared" si="23"/>
        <v>4240620.430833308</v>
      </c>
      <c r="O96" s="370">
        <f t="shared" si="23"/>
        <v>16696564.080833303</v>
      </c>
      <c r="P96" s="370">
        <f t="shared" si="23"/>
        <v>33138929.180833321</v>
      </c>
      <c r="Q96" s="599">
        <f t="shared" si="17"/>
        <v>897763.82299984619</v>
      </c>
      <c r="R96" s="380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</row>
    <row r="97" spans="1:33" ht="13.5" thickTop="1">
      <c r="A97" s="69"/>
      <c r="B97" s="69"/>
      <c r="C97" s="69"/>
      <c r="D97" s="379" t="s">
        <v>269</v>
      </c>
      <c r="E97" s="69"/>
      <c r="F97" s="532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</row>
    <row r="98" spans="1:33">
      <c r="A98" s="69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</row>
    <row r="99" spans="1:33">
      <c r="A99" s="69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</row>
    <row r="100" spans="1:33">
      <c r="A100" s="69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</row>
    <row r="101" spans="1:33">
      <c r="A101" s="69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</row>
    <row r="102" spans="1:33">
      <c r="A102" s="69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</row>
    <row r="103" spans="1:33">
      <c r="A103" s="69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</row>
    <row r="104" spans="1:33">
      <c r="A104" s="69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</row>
    <row r="105" spans="1:33">
      <c r="A105" s="69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</row>
    <row r="106" spans="1:33">
      <c r="A106" s="69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</row>
    <row r="107" spans="1:33">
      <c r="A107" s="69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</row>
    <row r="108" spans="1:33">
      <c r="A108" s="69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</row>
    <row r="109" spans="1:33">
      <c r="A109" s="69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</row>
    <row r="110" spans="1:33">
      <c r="A110" s="69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</row>
    <row r="111" spans="1:33">
      <c r="A111" s="69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</row>
    <row r="112" spans="1:33">
      <c r="A112" s="69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</row>
    <row r="113" spans="1:33">
      <c r="A113" s="69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</row>
    <row r="114" spans="1:33">
      <c r="A114" s="69"/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</row>
    <row r="115" spans="1:33">
      <c r="A115" s="69"/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</row>
    <row r="116" spans="1:33">
      <c r="A116" s="69"/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</row>
    <row r="117" spans="1:33">
      <c r="A117" s="69"/>
      <c r="B117" s="69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</row>
    <row r="118" spans="1:33">
      <c r="A118" s="69"/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</row>
    <row r="119" spans="1:33">
      <c r="A119" s="69"/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</row>
    <row r="120" spans="1:33">
      <c r="A120" s="69"/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</row>
    <row r="121" spans="1:33">
      <c r="A121" s="69"/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</row>
    <row r="122" spans="1:33">
      <c r="A122" s="69"/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</row>
    <row r="123" spans="1:33">
      <c r="A123" s="69"/>
      <c r="B123" s="69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</row>
    <row r="124" spans="1:33">
      <c r="A124" s="69"/>
      <c r="B124" s="69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</row>
    <row r="125" spans="1:33">
      <c r="A125" s="69"/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</row>
    <row r="126" spans="1:33">
      <c r="A126" s="69"/>
      <c r="B126" s="69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</row>
    <row r="127" spans="1:33">
      <c r="A127" s="69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</row>
    <row r="128" spans="1:33">
      <c r="A128" s="69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</row>
    <row r="129" spans="1:33">
      <c r="A129" s="69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</row>
    <row r="130" spans="1:33">
      <c r="A130" s="69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</row>
    <row r="131" spans="1:33">
      <c r="A131" s="69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</row>
    <row r="132" spans="1:33">
      <c r="A132" s="69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</row>
    <row r="133" spans="1:33">
      <c r="A133" s="69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</row>
    <row r="134" spans="1:33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</row>
    <row r="135" spans="1:33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</row>
    <row r="136" spans="1:33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</row>
    <row r="137" spans="1:33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</row>
    <row r="138" spans="1:33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</row>
    <row r="139" spans="1:33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</row>
    <row r="140" spans="1:33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</row>
    <row r="141" spans="1:33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</row>
    <row r="142" spans="1:33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</row>
    <row r="143" spans="1:33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</row>
    <row r="144" spans="1:33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</row>
    <row r="145" spans="1:33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</row>
    <row r="146" spans="1:33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</row>
    <row r="147" spans="1:33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</row>
    <row r="148" spans="1:33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69"/>
      <c r="AG148" s="69"/>
    </row>
    <row r="149" spans="1:33">
      <c r="A149" s="69"/>
      <c r="B149" s="69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69"/>
      <c r="AG149" s="69"/>
    </row>
    <row r="150" spans="1:33">
      <c r="A150" s="69"/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/>
      <c r="AE150" s="69"/>
      <c r="AF150" s="69"/>
      <c r="AG150" s="69"/>
    </row>
    <row r="151" spans="1:33">
      <c r="A151" s="69"/>
      <c r="B151" s="69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69"/>
    </row>
    <row r="152" spans="1:33">
      <c r="A152" s="69"/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</row>
    <row r="153" spans="1:33">
      <c r="A153" s="69"/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69"/>
    </row>
    <row r="154" spans="1:33">
      <c r="A154" s="69"/>
      <c r="B154" s="69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</row>
  </sheetData>
  <mergeCells count="5">
    <mergeCell ref="E8:Q8"/>
    <mergeCell ref="E9:Q9"/>
    <mergeCell ref="E14:Q14"/>
    <mergeCell ref="D17:D18"/>
    <mergeCell ref="E17:Q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25" orientation="landscape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0"/>
  <dimension ref="A1:W444"/>
  <sheetViews>
    <sheetView topLeftCell="C405" workbookViewId="0">
      <selection activeCell="J431" sqref="J431"/>
    </sheetView>
  </sheetViews>
  <sheetFormatPr defaultColWidth="9.140625" defaultRowHeight="12.75"/>
  <cols>
    <col min="1" max="1" width="2" style="541" customWidth="1"/>
    <col min="2" max="2" width="62" style="541" customWidth="1"/>
    <col min="3" max="3" width="63.140625" style="541" customWidth="1"/>
    <col min="4" max="4" width="41.7109375" style="541" customWidth="1"/>
    <col min="5" max="5" width="20" style="541" customWidth="1"/>
    <col min="6" max="6" width="8.5703125" style="541" customWidth="1"/>
    <col min="7" max="7" width="7.85546875" style="541" customWidth="1"/>
    <col min="8" max="8" width="6.42578125" style="541" customWidth="1"/>
    <col min="9" max="9" width="9" style="541" bestFit="1" customWidth="1"/>
    <col min="10" max="10" width="6.42578125" style="541" customWidth="1"/>
    <col min="11" max="11" width="9.28515625" style="541" customWidth="1"/>
    <col min="12" max="12" width="7.42578125" style="541" customWidth="1"/>
    <col min="13" max="13" width="17" style="541" customWidth="1"/>
    <col min="14" max="14" width="8.85546875" style="541" customWidth="1"/>
    <col min="15" max="15" width="83.140625" style="541" customWidth="1"/>
    <col min="16" max="16" width="6.42578125" style="541" customWidth="1"/>
    <col min="17" max="17" width="5.42578125" style="541" customWidth="1"/>
    <col min="18" max="18" width="6.42578125" style="541" customWidth="1"/>
    <col min="19" max="19" width="2.7109375" style="541" customWidth="1"/>
    <col min="20" max="20" width="6.5703125" style="541" customWidth="1"/>
    <col min="21" max="21" width="5.7109375" style="541" customWidth="1"/>
    <col min="22" max="22" width="11.7109375" style="300" customWidth="1"/>
    <col min="23" max="16384" width="9.140625" style="300"/>
  </cols>
  <sheetData>
    <row r="1" spans="1:3">
      <c r="A1" s="540">
        <v>2</v>
      </c>
      <c r="B1" s="541" t="s">
        <v>254</v>
      </c>
    </row>
    <row r="3" spans="1:3">
      <c r="B3" s="1272" t="s">
        <v>197</v>
      </c>
      <c r="C3" s="1272"/>
    </row>
    <row r="5" spans="1:3" ht="15" customHeight="1">
      <c r="B5" s="541" t="s">
        <v>200</v>
      </c>
      <c r="C5" s="541" t="s">
        <v>198</v>
      </c>
    </row>
    <row r="6" spans="1:3">
      <c r="B6" s="541" t="s">
        <v>201</v>
      </c>
      <c r="C6" s="541" t="s">
        <v>199</v>
      </c>
    </row>
    <row r="8" spans="1:3">
      <c r="B8" s="541" t="s">
        <v>209</v>
      </c>
      <c r="C8" s="541" t="s">
        <v>380</v>
      </c>
    </row>
    <row r="9" spans="1:3">
      <c r="B9" s="541" t="s">
        <v>207</v>
      </c>
      <c r="C9" s="541" t="s">
        <v>208</v>
      </c>
    </row>
    <row r="10" spans="1:3">
      <c r="B10" s="541" t="s">
        <v>214</v>
      </c>
      <c r="C10" s="541" t="s">
        <v>216</v>
      </c>
    </row>
    <row r="11" spans="1:3">
      <c r="B11" s="541" t="s">
        <v>215</v>
      </c>
      <c r="C11" s="541" t="s">
        <v>213</v>
      </c>
    </row>
    <row r="12" spans="1:3">
      <c r="B12" s="541" t="s">
        <v>217</v>
      </c>
      <c r="C12" s="541" t="s">
        <v>218</v>
      </c>
    </row>
    <row r="13" spans="1:3">
      <c r="B13" s="541" t="s">
        <v>212</v>
      </c>
      <c r="C13" s="541" t="s">
        <v>381</v>
      </c>
    </row>
    <row r="14" spans="1:3">
      <c r="B14" s="541" t="s">
        <v>382</v>
      </c>
      <c r="C14" s="541" t="s">
        <v>383</v>
      </c>
    </row>
    <row r="15" spans="1:3">
      <c r="B15" s="541" t="s">
        <v>210</v>
      </c>
      <c r="C15" s="541" t="s">
        <v>211</v>
      </c>
    </row>
    <row r="16" spans="1:3">
      <c r="B16" s="541" t="s">
        <v>202</v>
      </c>
      <c r="C16" s="541" t="s">
        <v>203</v>
      </c>
    </row>
    <row r="17" spans="2:3" ht="15" customHeight="1">
      <c r="B17" s="541" t="s">
        <v>204</v>
      </c>
      <c r="C17" s="541" t="s">
        <v>293</v>
      </c>
    </row>
    <row r="18" spans="2:3">
      <c r="B18" s="541" t="s">
        <v>384</v>
      </c>
      <c r="C18" s="541" t="s">
        <v>385</v>
      </c>
    </row>
    <row r="19" spans="2:3">
      <c r="B19" s="541" t="s">
        <v>294</v>
      </c>
      <c r="C19" s="541" t="s">
        <v>295</v>
      </c>
    </row>
    <row r="21" spans="2:3">
      <c r="B21" s="541" t="s">
        <v>222</v>
      </c>
      <c r="C21" s="541" t="s">
        <v>223</v>
      </c>
    </row>
    <row r="22" spans="2:3">
      <c r="B22" s="541" t="s">
        <v>205</v>
      </c>
      <c r="C22" s="541" t="s">
        <v>206</v>
      </c>
    </row>
    <row r="24" spans="2:3">
      <c r="B24" s="541" t="s">
        <v>334</v>
      </c>
    </row>
    <row r="25" spans="2:3">
      <c r="B25" s="541" t="s">
        <v>221</v>
      </c>
    </row>
    <row r="27" spans="2:3">
      <c r="B27" s="542" t="s">
        <v>173</v>
      </c>
    </row>
    <row r="28" spans="2:3">
      <c r="B28" s="542" t="s">
        <v>172</v>
      </c>
    </row>
    <row r="30" spans="2:3">
      <c r="B30" s="541" t="s">
        <v>219</v>
      </c>
    </row>
    <row r="31" spans="2:3">
      <c r="B31" s="541" t="s">
        <v>220</v>
      </c>
    </row>
    <row r="37" spans="2:20">
      <c r="B37" s="1272" t="s">
        <v>247</v>
      </c>
      <c r="C37" s="1272"/>
      <c r="D37" s="1272"/>
      <c r="E37" s="1272"/>
      <c r="F37" s="1272"/>
      <c r="G37" s="1272"/>
      <c r="H37" s="1272"/>
      <c r="I37" s="1272"/>
      <c r="J37" s="1272"/>
      <c r="K37" s="1272"/>
      <c r="L37" s="1272"/>
      <c r="M37" s="1272"/>
      <c r="N37" s="1272"/>
      <c r="O37" s="1272"/>
      <c r="P37" s="1272"/>
      <c r="Q37" s="1272"/>
      <c r="R37" s="1272"/>
      <c r="S37" s="1272"/>
      <c r="T37" s="1272"/>
    </row>
    <row r="40" spans="2:20" ht="12.75" customHeight="1">
      <c r="B40" s="1271" t="s">
        <v>242</v>
      </c>
      <c r="C40" s="1271"/>
      <c r="D40" s="1276" t="s">
        <v>248</v>
      </c>
      <c r="E40" s="1276"/>
      <c r="F40" s="1271" t="s">
        <v>243</v>
      </c>
      <c r="G40" s="1271"/>
      <c r="H40" s="1271"/>
      <c r="I40" s="366" t="s">
        <v>244</v>
      </c>
      <c r="J40" s="1271" t="s">
        <v>245</v>
      </c>
      <c r="K40" s="1271"/>
      <c r="L40" s="1271"/>
      <c r="M40" s="1271" t="s">
        <v>246</v>
      </c>
      <c r="N40" s="1271"/>
      <c r="O40" s="1271"/>
      <c r="P40" s="1271"/>
    </row>
    <row r="41" spans="2:20">
      <c r="B41" s="1271"/>
      <c r="C41" s="1271"/>
      <c r="D41" s="1276"/>
      <c r="E41" s="1276"/>
      <c r="F41" s="543">
        <v>2008</v>
      </c>
      <c r="G41" s="544">
        <v>2009</v>
      </c>
      <c r="H41" s="544">
        <v>2010</v>
      </c>
      <c r="I41" s="544">
        <v>2011</v>
      </c>
      <c r="J41" s="544">
        <v>2012</v>
      </c>
      <c r="K41" s="544">
        <v>2013</v>
      </c>
      <c r="L41" s="544">
        <v>2014</v>
      </c>
      <c r="M41" s="544">
        <v>2011</v>
      </c>
      <c r="N41" s="544">
        <v>2012</v>
      </c>
      <c r="O41" s="544">
        <v>2013</v>
      </c>
      <c r="P41" s="544">
        <v>2014</v>
      </c>
    </row>
    <row r="42" spans="2:20">
      <c r="B42" s="1274" t="s">
        <v>226</v>
      </c>
      <c r="C42" s="545" t="s">
        <v>227</v>
      </c>
      <c r="D42" s="1277" t="s">
        <v>182</v>
      </c>
      <c r="E42" s="546" t="s">
        <v>183</v>
      </c>
      <c r="F42" s="1277" t="s">
        <v>250</v>
      </c>
      <c r="G42" s="1277"/>
      <c r="H42" s="1277"/>
      <c r="I42" s="547" t="s">
        <v>251</v>
      </c>
      <c r="J42" s="1278" t="s">
        <v>252</v>
      </c>
      <c r="K42" s="1278"/>
      <c r="L42" s="1278"/>
      <c r="M42" s="1277" t="s">
        <v>253</v>
      </c>
      <c r="N42" s="1277"/>
      <c r="O42" s="1277"/>
      <c r="P42" s="1277"/>
    </row>
    <row r="43" spans="2:20">
      <c r="B43" s="1274"/>
      <c r="C43" s="548" t="s">
        <v>228</v>
      </c>
      <c r="D43" s="1277"/>
      <c r="E43" s="546" t="s">
        <v>184</v>
      </c>
      <c r="G43" s="546"/>
      <c r="H43" s="546"/>
      <c r="I43" s="547"/>
      <c r="J43" s="546"/>
      <c r="K43" s="547"/>
      <c r="L43" s="546"/>
      <c r="M43" s="547"/>
      <c r="N43" s="546"/>
    </row>
    <row r="44" spans="2:20">
      <c r="B44" s="1274"/>
      <c r="C44" s="545" t="s">
        <v>229</v>
      </c>
      <c r="D44" s="1277"/>
      <c r="E44" s="546" t="s">
        <v>185</v>
      </c>
      <c r="F44" s="546"/>
      <c r="G44" s="547"/>
      <c r="H44" s="546"/>
      <c r="I44" s="547"/>
      <c r="J44" s="547"/>
      <c r="K44" s="547"/>
      <c r="L44" s="546"/>
      <c r="M44" s="546"/>
      <c r="N44" s="546"/>
    </row>
    <row r="45" spans="2:20">
      <c r="B45" s="1274"/>
      <c r="C45" s="545" t="s">
        <v>230</v>
      </c>
      <c r="D45" s="1277"/>
      <c r="E45" s="547" t="s">
        <v>186</v>
      </c>
      <c r="F45" s="547"/>
      <c r="G45" s="547"/>
      <c r="H45" s="547"/>
      <c r="I45" s="547"/>
      <c r="J45" s="547"/>
      <c r="K45" s="547"/>
      <c r="L45" s="547"/>
      <c r="M45" s="547"/>
      <c r="N45" s="547"/>
    </row>
    <row r="46" spans="2:20">
      <c r="B46" s="1274"/>
      <c r="C46" s="545" t="s">
        <v>231</v>
      </c>
      <c r="D46" s="1277"/>
      <c r="E46" s="547" t="s">
        <v>187</v>
      </c>
      <c r="F46" s="547"/>
      <c r="G46" s="547"/>
      <c r="H46" s="547"/>
      <c r="I46" s="547"/>
      <c r="J46" s="547"/>
      <c r="K46" s="547"/>
      <c r="L46" s="547"/>
      <c r="M46" s="547"/>
      <c r="N46" s="547"/>
    </row>
    <row r="47" spans="2:20">
      <c r="B47" s="1274"/>
      <c r="C47" s="545" t="s">
        <v>232</v>
      </c>
      <c r="D47" s="1277"/>
      <c r="E47" s="546" t="s">
        <v>188</v>
      </c>
      <c r="F47" s="547"/>
      <c r="G47" s="547"/>
      <c r="H47" s="547"/>
      <c r="I47" s="546"/>
      <c r="J47" s="546"/>
      <c r="K47" s="546"/>
      <c r="L47" s="546"/>
      <c r="M47" s="546"/>
      <c r="N47" s="546"/>
    </row>
    <row r="48" spans="2:20">
      <c r="B48" s="1274"/>
      <c r="C48" s="545" t="s">
        <v>233</v>
      </c>
      <c r="D48" s="1277"/>
      <c r="E48" s="547" t="s">
        <v>189</v>
      </c>
      <c r="F48" s="547"/>
      <c r="G48" s="547"/>
      <c r="H48" s="547"/>
      <c r="I48" s="547"/>
      <c r="J48" s="547"/>
      <c r="K48" s="547"/>
      <c r="L48" s="547"/>
      <c r="M48" s="547"/>
      <c r="N48" s="547"/>
    </row>
    <row r="49" spans="2:20">
      <c r="B49" s="1274"/>
      <c r="C49" s="549" t="s">
        <v>234</v>
      </c>
      <c r="D49" s="1277"/>
      <c r="E49" s="546" t="s">
        <v>249</v>
      </c>
      <c r="F49" s="547"/>
      <c r="G49" s="546"/>
      <c r="H49" s="546"/>
      <c r="I49" s="546"/>
      <c r="J49" s="546"/>
      <c r="K49" s="546"/>
      <c r="L49" s="546"/>
      <c r="M49" s="546"/>
      <c r="N49" s="546"/>
    </row>
    <row r="50" spans="2:20">
      <c r="B50" s="1274"/>
      <c r="C50" s="545" t="s">
        <v>235</v>
      </c>
      <c r="D50" s="1277"/>
      <c r="E50" s="547" t="s">
        <v>190</v>
      </c>
      <c r="F50" s="547"/>
      <c r="G50" s="547"/>
      <c r="H50" s="547"/>
      <c r="I50" s="547"/>
      <c r="J50" s="547"/>
      <c r="K50" s="547"/>
      <c r="L50" s="547"/>
      <c r="M50" s="547"/>
      <c r="N50" s="547"/>
    </row>
    <row r="51" spans="2:20">
      <c r="B51" s="1274"/>
      <c r="C51" s="545" t="s">
        <v>400</v>
      </c>
      <c r="D51" s="1277"/>
      <c r="E51" s="547" t="s">
        <v>401</v>
      </c>
      <c r="F51" s="547"/>
      <c r="G51" s="547"/>
      <c r="H51" s="547"/>
      <c r="I51" s="547"/>
      <c r="J51" s="547"/>
      <c r="K51" s="547"/>
      <c r="L51" s="547"/>
      <c r="M51" s="547"/>
      <c r="N51" s="547"/>
    </row>
    <row r="52" spans="2:20">
      <c r="B52" s="1275" t="s">
        <v>236</v>
      </c>
      <c r="C52" s="550" t="s">
        <v>237</v>
      </c>
      <c r="D52" s="1277" t="s">
        <v>191</v>
      </c>
      <c r="E52" s="547" t="s">
        <v>192</v>
      </c>
      <c r="F52" s="547"/>
      <c r="G52" s="547"/>
      <c r="H52" s="547"/>
      <c r="I52" s="547"/>
      <c r="J52" s="547"/>
      <c r="K52" s="547"/>
      <c r="L52" s="547"/>
      <c r="M52" s="547"/>
      <c r="N52" s="547"/>
    </row>
    <row r="53" spans="2:20">
      <c r="B53" s="1275"/>
      <c r="C53" s="550" t="s">
        <v>238</v>
      </c>
      <c r="D53" s="1277"/>
      <c r="E53" s="547" t="s">
        <v>193</v>
      </c>
      <c r="F53" s="547"/>
      <c r="G53" s="547"/>
      <c r="H53" s="547"/>
      <c r="I53" s="547"/>
      <c r="J53" s="547"/>
      <c r="K53" s="547"/>
      <c r="L53" s="547"/>
      <c r="M53" s="547"/>
      <c r="N53" s="547"/>
    </row>
    <row r="54" spans="2:20">
      <c r="B54" s="1275"/>
      <c r="C54" s="550" t="s">
        <v>239</v>
      </c>
      <c r="D54" s="1277"/>
      <c r="E54" s="547" t="s">
        <v>389</v>
      </c>
      <c r="F54" s="547"/>
      <c r="G54" s="547"/>
      <c r="H54" s="547"/>
      <c r="I54" s="547"/>
      <c r="J54" s="547"/>
      <c r="K54" s="546"/>
      <c r="L54" s="547"/>
      <c r="M54" s="547"/>
      <c r="N54" s="547"/>
    </row>
    <row r="55" spans="2:20">
      <c r="B55" s="1275"/>
      <c r="C55" s="550" t="s">
        <v>390</v>
      </c>
      <c r="D55" s="1277"/>
      <c r="E55" s="550" t="s">
        <v>392</v>
      </c>
      <c r="F55" s="547"/>
      <c r="G55" s="547"/>
      <c r="H55" s="547"/>
      <c r="I55" s="547"/>
      <c r="J55" s="547"/>
      <c r="K55" s="546"/>
      <c r="L55" s="547"/>
      <c r="M55" s="547"/>
      <c r="N55" s="547"/>
    </row>
    <row r="56" spans="2:20">
      <c r="B56" s="1275"/>
      <c r="C56" s="550" t="s">
        <v>80</v>
      </c>
      <c r="D56" s="1277"/>
      <c r="E56" s="547" t="s">
        <v>194</v>
      </c>
      <c r="F56" s="547"/>
      <c r="G56" s="546"/>
      <c r="H56" s="551"/>
      <c r="I56" s="551"/>
      <c r="J56" s="551"/>
      <c r="K56" s="551"/>
      <c r="L56" s="551"/>
      <c r="M56" s="551"/>
      <c r="N56" s="546"/>
    </row>
    <row r="57" spans="2:20">
      <c r="B57" s="1275"/>
      <c r="C57" s="550" t="s">
        <v>240</v>
      </c>
      <c r="D57" s="1277"/>
      <c r="E57" s="547" t="s">
        <v>195</v>
      </c>
      <c r="F57" s="547"/>
      <c r="G57" s="547"/>
      <c r="H57" s="547"/>
      <c r="I57" s="547"/>
      <c r="J57" s="551"/>
      <c r="K57" s="546"/>
      <c r="L57" s="547"/>
      <c r="M57" s="547"/>
      <c r="N57" s="547"/>
    </row>
    <row r="58" spans="2:20">
      <c r="B58" s="1275"/>
      <c r="C58" s="550" t="s">
        <v>391</v>
      </c>
      <c r="D58" s="1277"/>
      <c r="E58" s="547" t="s">
        <v>393</v>
      </c>
      <c r="F58" s="547"/>
      <c r="G58" s="547"/>
      <c r="H58" s="547"/>
      <c r="I58" s="547"/>
      <c r="J58" s="551"/>
      <c r="K58" s="546"/>
      <c r="L58" s="547"/>
      <c r="M58" s="547"/>
      <c r="N58" s="547"/>
    </row>
    <row r="59" spans="2:20">
      <c r="B59" s="1275"/>
      <c r="C59" s="550" t="s">
        <v>241</v>
      </c>
      <c r="D59" s="1277"/>
      <c r="E59" s="547" t="s">
        <v>196</v>
      </c>
      <c r="F59" s="547"/>
      <c r="G59" s="547"/>
      <c r="H59" s="547"/>
      <c r="I59" s="547"/>
      <c r="J59" s="547"/>
      <c r="K59" s="547"/>
      <c r="L59" s="551"/>
      <c r="M59" s="547"/>
      <c r="N59" s="547"/>
    </row>
    <row r="60" spans="2:20">
      <c r="B60" s="541" t="s">
        <v>336</v>
      </c>
      <c r="D60" s="541" t="s">
        <v>335</v>
      </c>
    </row>
    <row r="62" spans="2:20">
      <c r="B62" s="1272" t="s">
        <v>255</v>
      </c>
      <c r="C62" s="1272"/>
      <c r="D62" s="1272"/>
      <c r="E62" s="1272"/>
      <c r="F62" s="1272"/>
      <c r="G62" s="1272"/>
      <c r="H62" s="1272"/>
      <c r="I62" s="1272"/>
      <c r="J62" s="1272"/>
      <c r="K62" s="1272"/>
      <c r="L62" s="1272"/>
      <c r="M62" s="1272"/>
      <c r="N62" s="1272"/>
      <c r="O62" s="1272"/>
      <c r="P62" s="1272"/>
      <c r="Q62" s="1272"/>
      <c r="R62" s="1272"/>
      <c r="S62" s="1272"/>
      <c r="T62" s="1272"/>
    </row>
    <row r="66" spans="2:22">
      <c r="B66" s="541" t="s">
        <v>386</v>
      </c>
    </row>
    <row r="67" spans="2:22">
      <c r="B67" s="541" t="s">
        <v>387</v>
      </c>
      <c r="M67" s="541" t="s">
        <v>351</v>
      </c>
      <c r="O67" s="541" t="s">
        <v>403</v>
      </c>
    </row>
    <row r="68" spans="2:22">
      <c r="D68" s="552"/>
      <c r="E68" s="553"/>
      <c r="F68" s="552"/>
      <c r="G68" s="553"/>
      <c r="H68" s="552"/>
      <c r="I68" s="553"/>
      <c r="J68" s="552"/>
      <c r="K68" s="553"/>
      <c r="L68" s="552"/>
      <c r="M68" s="553" t="s">
        <v>350</v>
      </c>
      <c r="N68" s="552"/>
      <c r="O68" s="553" t="s">
        <v>404</v>
      </c>
      <c r="P68" s="552"/>
      <c r="Q68" s="553"/>
      <c r="R68" s="552"/>
      <c r="S68" s="553"/>
      <c r="T68" s="552"/>
    </row>
    <row r="69" spans="2:22">
      <c r="C69" s="534">
        <v>2006</v>
      </c>
      <c r="D69" s="534"/>
      <c r="E69" s="534">
        <v>2007</v>
      </c>
      <c r="F69" s="534"/>
      <c r="G69" s="534">
        <v>2008</v>
      </c>
      <c r="H69" s="534"/>
      <c r="I69" s="534">
        <v>2009</v>
      </c>
      <c r="J69" s="534"/>
      <c r="K69" s="534">
        <v>2010</v>
      </c>
      <c r="L69" s="534"/>
      <c r="M69" s="534">
        <v>2011</v>
      </c>
      <c r="N69" s="534"/>
      <c r="O69" s="534">
        <v>2012</v>
      </c>
      <c r="P69" s="534"/>
      <c r="Q69" s="534">
        <v>2013</v>
      </c>
      <c r="R69" s="534"/>
      <c r="S69" s="534">
        <v>2014</v>
      </c>
      <c r="T69" s="534"/>
      <c r="U69" s="541">
        <v>2015</v>
      </c>
    </row>
    <row r="70" spans="2:22">
      <c r="B70" s="535" t="s">
        <v>127</v>
      </c>
      <c r="C70" s="536" t="s">
        <v>266</v>
      </c>
      <c r="D70" s="536" t="s">
        <v>150</v>
      </c>
      <c r="E70" s="536" t="s">
        <v>266</v>
      </c>
      <c r="F70" s="536" t="s">
        <v>150</v>
      </c>
      <c r="G70" s="536" t="s">
        <v>266</v>
      </c>
      <c r="H70" s="536" t="s">
        <v>150</v>
      </c>
      <c r="I70" s="536" t="s">
        <v>266</v>
      </c>
      <c r="J70" s="536" t="s">
        <v>150</v>
      </c>
      <c r="K70" s="536" t="s">
        <v>266</v>
      </c>
      <c r="L70" s="536" t="s">
        <v>150</v>
      </c>
      <c r="M70" s="536" t="s">
        <v>266</v>
      </c>
      <c r="N70" s="536" t="s">
        <v>150</v>
      </c>
      <c r="O70" s="536" t="s">
        <v>266</v>
      </c>
      <c r="P70" s="536" t="s">
        <v>150</v>
      </c>
      <c r="Q70" s="536" t="s">
        <v>266</v>
      </c>
      <c r="R70" s="536" t="s">
        <v>150</v>
      </c>
      <c r="S70" s="536" t="s">
        <v>266</v>
      </c>
      <c r="T70" s="536" t="s">
        <v>150</v>
      </c>
      <c r="U70" s="536" t="s">
        <v>266</v>
      </c>
      <c r="V70" s="367" t="s">
        <v>150</v>
      </c>
    </row>
    <row r="71" spans="2:22">
      <c r="B71" s="535" t="s">
        <v>256</v>
      </c>
      <c r="C71" s="536" t="s">
        <v>266</v>
      </c>
      <c r="D71" s="536" t="s">
        <v>167</v>
      </c>
      <c r="E71" s="536" t="s">
        <v>266</v>
      </c>
      <c r="F71" s="536" t="s">
        <v>167</v>
      </c>
      <c r="G71" s="536" t="s">
        <v>266</v>
      </c>
      <c r="H71" s="536" t="s">
        <v>167</v>
      </c>
      <c r="I71" s="536" t="s">
        <v>266</v>
      </c>
      <c r="J71" s="536" t="s">
        <v>167</v>
      </c>
      <c r="K71" s="536" t="s">
        <v>266</v>
      </c>
      <c r="L71" s="536" t="s">
        <v>167</v>
      </c>
      <c r="M71" s="536" t="s">
        <v>266</v>
      </c>
      <c r="N71" s="536" t="s">
        <v>167</v>
      </c>
      <c r="O71" s="536" t="s">
        <v>266</v>
      </c>
      <c r="P71" s="536" t="s">
        <v>167</v>
      </c>
      <c r="Q71" s="536" t="s">
        <v>266</v>
      </c>
      <c r="R71" s="536" t="s">
        <v>167</v>
      </c>
      <c r="S71" s="536" t="s">
        <v>266</v>
      </c>
      <c r="T71" s="536" t="s">
        <v>167</v>
      </c>
      <c r="U71" s="536" t="s">
        <v>266</v>
      </c>
      <c r="V71" s="367" t="s">
        <v>167</v>
      </c>
    </row>
    <row r="72" spans="2:22">
      <c r="B72" s="537" t="s">
        <v>128</v>
      </c>
      <c r="C72" s="553" t="s">
        <v>1</v>
      </c>
      <c r="D72" s="554"/>
      <c r="E72" s="555"/>
      <c r="F72" s="554"/>
      <c r="G72" s="555"/>
      <c r="H72" s="554"/>
      <c r="I72" s="555"/>
      <c r="J72" s="554"/>
      <c r="K72" s="555"/>
      <c r="L72" s="554"/>
      <c r="M72" s="555"/>
      <c r="N72" s="554"/>
      <c r="O72" s="555"/>
      <c r="P72" s="554"/>
      <c r="Q72" s="555"/>
      <c r="R72" s="554"/>
      <c r="S72" s="555"/>
      <c r="T72" s="554"/>
    </row>
    <row r="73" spans="2:22">
      <c r="B73" s="537" t="s">
        <v>2</v>
      </c>
      <c r="C73" s="553" t="s">
        <v>168</v>
      </c>
      <c r="D73" s="552"/>
      <c r="E73" s="553"/>
      <c r="F73" s="552"/>
      <c r="G73" s="553"/>
      <c r="H73" s="552"/>
      <c r="I73" s="553"/>
      <c r="J73" s="552"/>
      <c r="K73" s="553"/>
      <c r="L73" s="552"/>
      <c r="M73" s="553"/>
      <c r="N73" s="552"/>
      <c r="O73" s="553"/>
      <c r="P73" s="552"/>
      <c r="Q73" s="553"/>
      <c r="R73" s="552"/>
      <c r="S73" s="553"/>
      <c r="T73" s="552"/>
    </row>
    <row r="74" spans="2:22">
      <c r="B74" s="538" t="s">
        <v>3</v>
      </c>
      <c r="C74" s="553" t="s">
        <v>69</v>
      </c>
      <c r="D74" s="552"/>
      <c r="E74" s="553"/>
      <c r="F74" s="552"/>
      <c r="G74" s="553"/>
      <c r="H74" s="552"/>
      <c r="I74" s="553"/>
      <c r="J74" s="552"/>
      <c r="K74" s="553"/>
      <c r="L74" s="552"/>
      <c r="M74" s="553"/>
      <c r="N74" s="552"/>
      <c r="O74" s="553"/>
      <c r="P74" s="552"/>
      <c r="Q74" s="553"/>
      <c r="R74" s="552"/>
      <c r="S74" s="553"/>
      <c r="T74" s="552"/>
    </row>
    <row r="75" spans="2:22">
      <c r="B75" s="537" t="s">
        <v>5</v>
      </c>
      <c r="C75" s="553" t="s">
        <v>257</v>
      </c>
      <c r="D75" s="552"/>
      <c r="E75" s="553"/>
      <c r="F75" s="552"/>
      <c r="G75" s="553"/>
      <c r="H75" s="552"/>
      <c r="I75" s="553"/>
      <c r="J75" s="552"/>
      <c r="K75" s="553"/>
      <c r="L75" s="552"/>
      <c r="M75" s="553"/>
      <c r="N75" s="552"/>
      <c r="O75" s="553"/>
      <c r="P75" s="552"/>
      <c r="Q75" s="553"/>
      <c r="R75" s="552"/>
      <c r="S75" s="553"/>
      <c r="T75" s="552"/>
    </row>
    <row r="76" spans="2:22">
      <c r="B76" s="537" t="s">
        <v>7</v>
      </c>
      <c r="C76" s="556" t="s">
        <v>8</v>
      </c>
      <c r="D76" s="552"/>
      <c r="E76" s="553"/>
      <c r="F76" s="552"/>
      <c r="G76" s="553"/>
      <c r="H76" s="552"/>
      <c r="I76" s="553"/>
      <c r="J76" s="552"/>
      <c r="K76" s="553"/>
      <c r="L76" s="552"/>
      <c r="M76" s="553"/>
      <c r="N76" s="552"/>
      <c r="O76" s="553"/>
      <c r="P76" s="552"/>
      <c r="Q76" s="553"/>
      <c r="R76" s="552"/>
      <c r="S76" s="553"/>
      <c r="T76" s="552"/>
    </row>
    <row r="77" spans="2:22">
      <c r="B77" s="537" t="s">
        <v>9</v>
      </c>
      <c r="C77" s="556" t="s">
        <v>10</v>
      </c>
      <c r="D77" s="554"/>
      <c r="E77" s="555"/>
      <c r="F77" s="554"/>
      <c r="G77" s="555"/>
      <c r="H77" s="554"/>
      <c r="I77" s="555"/>
      <c r="J77" s="554"/>
      <c r="K77" s="555"/>
      <c r="L77" s="554"/>
      <c r="M77" s="555"/>
      <c r="N77" s="554"/>
      <c r="O77" s="555"/>
      <c r="P77" s="554"/>
      <c r="Q77" s="555"/>
      <c r="R77" s="554"/>
      <c r="S77" s="555"/>
      <c r="T77" s="554"/>
    </row>
    <row r="78" spans="2:22">
      <c r="B78" s="537" t="s">
        <v>12</v>
      </c>
      <c r="C78" s="556" t="s">
        <v>13</v>
      </c>
      <c r="D78" s="554"/>
      <c r="E78" s="553"/>
      <c r="F78" s="554"/>
      <c r="G78" s="553"/>
      <c r="H78" s="554"/>
      <c r="I78" s="553"/>
      <c r="J78" s="554"/>
      <c r="K78" s="553"/>
      <c r="L78" s="554"/>
      <c r="M78" s="553"/>
      <c r="N78" s="554"/>
      <c r="O78" s="553"/>
      <c r="P78" s="554"/>
      <c r="Q78" s="553"/>
      <c r="R78" s="554"/>
      <c r="S78" s="553"/>
      <c r="T78" s="554"/>
    </row>
    <row r="79" spans="2:22">
      <c r="B79" s="537" t="s">
        <v>14</v>
      </c>
      <c r="C79" s="556" t="s">
        <v>15</v>
      </c>
      <c r="D79" s="554"/>
      <c r="E79" s="553"/>
      <c r="F79" s="554"/>
      <c r="G79" s="553"/>
      <c r="H79" s="554"/>
      <c r="I79" s="553"/>
      <c r="J79" s="554"/>
      <c r="K79" s="553"/>
      <c r="L79" s="554"/>
      <c r="M79" s="553"/>
      <c r="N79" s="554"/>
      <c r="O79" s="553"/>
      <c r="P79" s="554"/>
      <c r="Q79" s="553"/>
      <c r="R79" s="554"/>
      <c r="S79" s="553"/>
      <c r="T79" s="554"/>
    </row>
    <row r="80" spans="2:22">
      <c r="B80" s="537" t="s">
        <v>17</v>
      </c>
      <c r="C80" s="556" t="s">
        <v>18</v>
      </c>
      <c r="D80" s="554"/>
      <c r="E80" s="553"/>
      <c r="F80" s="554"/>
      <c r="G80" s="553"/>
      <c r="H80" s="554"/>
      <c r="I80" s="553"/>
      <c r="J80" s="554"/>
      <c r="K80" s="553"/>
      <c r="L80" s="554"/>
      <c r="M80" s="553"/>
      <c r="N80" s="554"/>
      <c r="O80" s="553"/>
      <c r="P80" s="554"/>
      <c r="Q80" s="553"/>
      <c r="R80" s="554"/>
      <c r="S80" s="553"/>
      <c r="T80" s="554"/>
    </row>
    <row r="81" spans="2:20">
      <c r="B81" s="537" t="s">
        <v>19</v>
      </c>
      <c r="C81" s="556" t="s">
        <v>20</v>
      </c>
      <c r="D81" s="554"/>
      <c r="E81" s="553"/>
      <c r="F81" s="554"/>
      <c r="G81" s="553"/>
      <c r="H81" s="554"/>
      <c r="I81" s="553"/>
      <c r="J81" s="554"/>
      <c r="K81" s="553"/>
      <c r="L81" s="554"/>
      <c r="M81" s="553"/>
      <c r="N81" s="554"/>
      <c r="O81" s="553"/>
      <c r="P81" s="554"/>
      <c r="Q81" s="553"/>
      <c r="R81" s="554"/>
      <c r="S81" s="553"/>
      <c r="T81" s="554"/>
    </row>
    <row r="82" spans="2:20">
      <c r="B82" s="537" t="s">
        <v>21</v>
      </c>
      <c r="C82" s="556" t="s">
        <v>22</v>
      </c>
      <c r="D82" s="554"/>
      <c r="E82" s="555"/>
      <c r="F82" s="554"/>
      <c r="G82" s="555"/>
      <c r="H82" s="554"/>
      <c r="I82" s="555"/>
      <c r="J82" s="554"/>
      <c r="K82" s="555"/>
      <c r="L82" s="554"/>
      <c r="M82" s="555"/>
      <c r="N82" s="554"/>
      <c r="O82" s="555"/>
      <c r="P82" s="554"/>
      <c r="Q82" s="555"/>
      <c r="R82" s="554"/>
      <c r="S82" s="555"/>
      <c r="T82" s="554"/>
    </row>
    <row r="83" spans="2:20">
      <c r="B83" s="537" t="s">
        <v>23</v>
      </c>
      <c r="C83" s="556" t="s">
        <v>24</v>
      </c>
      <c r="D83" s="554"/>
      <c r="E83" s="553"/>
      <c r="F83" s="554"/>
      <c r="G83" s="553"/>
      <c r="H83" s="554"/>
      <c r="I83" s="553"/>
      <c r="J83" s="554"/>
      <c r="K83" s="553"/>
      <c r="L83" s="554"/>
      <c r="M83" s="553"/>
      <c r="N83" s="554"/>
      <c r="O83" s="553"/>
      <c r="P83" s="554"/>
      <c r="Q83" s="553"/>
      <c r="R83" s="554"/>
      <c r="S83" s="553"/>
      <c r="T83" s="554"/>
    </row>
    <row r="84" spans="2:20">
      <c r="B84" s="537" t="s">
        <v>25</v>
      </c>
      <c r="C84" s="556" t="s">
        <v>26</v>
      </c>
      <c r="D84" s="554"/>
      <c r="E84" s="553"/>
      <c r="F84" s="554"/>
      <c r="G84" s="553"/>
      <c r="H84" s="554"/>
      <c r="I84" s="553"/>
      <c r="J84" s="554"/>
      <c r="K84" s="553"/>
      <c r="L84" s="554"/>
      <c r="M84" s="553"/>
      <c r="N84" s="554"/>
      <c r="O84" s="553"/>
      <c r="P84" s="554"/>
      <c r="Q84" s="553"/>
      <c r="R84" s="554"/>
      <c r="S84" s="553"/>
      <c r="T84" s="554"/>
    </row>
    <row r="85" spans="2:20">
      <c r="B85" s="537" t="s">
        <v>27</v>
      </c>
      <c r="C85" s="556" t="s">
        <v>28</v>
      </c>
      <c r="D85" s="554"/>
      <c r="E85" s="553"/>
      <c r="F85" s="554"/>
      <c r="G85" s="553"/>
      <c r="H85" s="554"/>
      <c r="I85" s="553"/>
      <c r="J85" s="554"/>
      <c r="K85" s="553"/>
      <c r="L85" s="554"/>
      <c r="M85" s="553"/>
      <c r="N85" s="554"/>
      <c r="O85" s="553"/>
      <c r="P85" s="554"/>
      <c r="Q85" s="553"/>
      <c r="R85" s="554"/>
      <c r="S85" s="553"/>
      <c r="T85" s="554"/>
    </row>
    <row r="86" spans="2:20">
      <c r="B86" s="537" t="s">
        <v>29</v>
      </c>
      <c r="C86" s="556" t="s">
        <v>30</v>
      </c>
      <c r="D86" s="554"/>
      <c r="E86" s="553"/>
      <c r="F86" s="554"/>
      <c r="G86" s="553"/>
      <c r="H86" s="554"/>
      <c r="I86" s="553"/>
      <c r="J86" s="554"/>
      <c r="K86" s="553"/>
      <c r="L86" s="554"/>
      <c r="M86" s="553"/>
      <c r="N86" s="554"/>
      <c r="O86" s="553"/>
      <c r="P86" s="554"/>
      <c r="Q86" s="553"/>
      <c r="R86" s="554"/>
      <c r="S86" s="553"/>
      <c r="T86" s="554"/>
    </row>
    <row r="87" spans="2:20">
      <c r="B87" s="537" t="s">
        <v>31</v>
      </c>
      <c r="C87" s="556" t="s">
        <v>176</v>
      </c>
      <c r="D87" s="554"/>
      <c r="E87" s="553"/>
      <c r="F87" s="554"/>
      <c r="G87" s="553"/>
      <c r="H87" s="554"/>
      <c r="I87" s="553"/>
      <c r="J87" s="554"/>
      <c r="K87" s="553"/>
      <c r="L87" s="554"/>
      <c r="M87" s="553"/>
      <c r="N87" s="554"/>
      <c r="O87" s="553"/>
      <c r="P87" s="554"/>
      <c r="Q87" s="553"/>
      <c r="R87" s="554"/>
      <c r="S87" s="553"/>
      <c r="T87" s="554"/>
    </row>
    <row r="88" spans="2:20">
      <c r="B88" s="537" t="s">
        <v>32</v>
      </c>
      <c r="C88" s="542" t="s">
        <v>33</v>
      </c>
      <c r="D88" s="554"/>
      <c r="E88" s="553"/>
      <c r="F88" s="554"/>
      <c r="G88" s="553"/>
      <c r="H88" s="554"/>
      <c r="I88" s="553"/>
      <c r="J88" s="554"/>
      <c r="K88" s="553"/>
      <c r="L88" s="554"/>
      <c r="M88" s="553"/>
      <c r="N88" s="554"/>
      <c r="O88" s="553"/>
      <c r="P88" s="554"/>
      <c r="Q88" s="553"/>
      <c r="R88" s="554"/>
      <c r="S88" s="553"/>
      <c r="T88" s="554"/>
    </row>
    <row r="89" spans="2:20">
      <c r="B89" s="537" t="s">
        <v>34</v>
      </c>
      <c r="C89" s="542" t="s">
        <v>35</v>
      </c>
      <c r="D89" s="554"/>
      <c r="E89" s="555"/>
      <c r="F89" s="554"/>
      <c r="G89" s="555"/>
      <c r="H89" s="554"/>
      <c r="I89" s="555"/>
      <c r="J89" s="554"/>
      <c r="K89" s="555"/>
      <c r="L89" s="554"/>
      <c r="M89" s="555"/>
      <c r="N89" s="554"/>
      <c r="O89" s="555"/>
      <c r="P89" s="554"/>
      <c r="Q89" s="555"/>
      <c r="R89" s="554"/>
      <c r="S89" s="555"/>
      <c r="T89" s="554"/>
    </row>
    <row r="90" spans="2:20">
      <c r="B90" s="537" t="s">
        <v>37</v>
      </c>
      <c r="C90" s="542" t="s">
        <v>38</v>
      </c>
      <c r="D90" s="554"/>
      <c r="E90" s="553"/>
      <c r="F90" s="554"/>
      <c r="G90" s="553"/>
      <c r="H90" s="554"/>
      <c r="I90" s="553"/>
      <c r="J90" s="554"/>
      <c r="K90" s="553"/>
      <c r="L90" s="554"/>
      <c r="M90" s="553"/>
      <c r="N90" s="554"/>
      <c r="O90" s="553"/>
      <c r="P90" s="554"/>
      <c r="Q90" s="553"/>
      <c r="R90" s="554"/>
      <c r="S90" s="553"/>
      <c r="T90" s="554"/>
    </row>
    <row r="91" spans="2:20">
      <c r="B91" s="537" t="s">
        <v>39</v>
      </c>
      <c r="C91" s="542" t="s">
        <v>169</v>
      </c>
      <c r="D91" s="554"/>
      <c r="E91" s="553"/>
      <c r="F91" s="554"/>
      <c r="G91" s="553"/>
      <c r="H91" s="554"/>
      <c r="I91" s="553"/>
      <c r="J91" s="554"/>
      <c r="K91" s="553"/>
      <c r="L91" s="554"/>
      <c r="M91" s="553"/>
      <c r="N91" s="554"/>
      <c r="O91" s="553"/>
      <c r="P91" s="554"/>
      <c r="Q91" s="553"/>
      <c r="R91" s="554"/>
      <c r="S91" s="553"/>
      <c r="T91" s="554"/>
    </row>
    <row r="92" spans="2:20">
      <c r="B92" s="537" t="s">
        <v>40</v>
      </c>
      <c r="C92" s="542" t="s">
        <v>41</v>
      </c>
      <c r="D92" s="554"/>
      <c r="E92" s="553"/>
      <c r="F92" s="554"/>
      <c r="G92" s="553"/>
      <c r="H92" s="554"/>
      <c r="I92" s="553"/>
      <c r="J92" s="554"/>
      <c r="K92" s="553"/>
      <c r="L92" s="554"/>
      <c r="M92" s="553"/>
      <c r="N92" s="554"/>
      <c r="O92" s="553"/>
      <c r="P92" s="554"/>
      <c r="Q92" s="553"/>
      <c r="R92" s="554"/>
      <c r="S92" s="553"/>
      <c r="T92" s="554"/>
    </row>
    <row r="93" spans="2:20">
      <c r="B93" s="537" t="s">
        <v>42</v>
      </c>
      <c r="C93" s="542" t="s">
        <v>43</v>
      </c>
      <c r="D93" s="554"/>
      <c r="E93" s="553"/>
      <c r="F93" s="554"/>
      <c r="G93" s="553"/>
      <c r="H93" s="554"/>
      <c r="I93" s="553"/>
      <c r="J93" s="554"/>
      <c r="K93" s="553"/>
      <c r="L93" s="554"/>
      <c r="M93" s="553"/>
      <c r="N93" s="554"/>
      <c r="O93" s="553"/>
      <c r="P93" s="554"/>
      <c r="Q93" s="553"/>
      <c r="R93" s="554"/>
      <c r="S93" s="553"/>
      <c r="T93" s="554"/>
    </row>
    <row r="94" spans="2:20">
      <c r="B94" s="537" t="s">
        <v>45</v>
      </c>
      <c r="C94" s="542" t="s">
        <v>46</v>
      </c>
      <c r="D94" s="554"/>
      <c r="E94" s="555"/>
      <c r="F94" s="554"/>
      <c r="G94" s="555"/>
      <c r="H94" s="554"/>
      <c r="I94" s="555"/>
      <c r="J94" s="554"/>
      <c r="K94" s="555"/>
      <c r="L94" s="554"/>
      <c r="M94" s="555"/>
      <c r="N94" s="554"/>
      <c r="O94" s="555"/>
      <c r="P94" s="554"/>
      <c r="Q94" s="555"/>
      <c r="R94" s="554"/>
      <c r="S94" s="555"/>
      <c r="T94" s="554"/>
    </row>
    <row r="95" spans="2:20">
      <c r="B95" s="537" t="s">
        <v>47</v>
      </c>
      <c r="C95" s="542" t="s">
        <v>48</v>
      </c>
      <c r="D95" s="554"/>
      <c r="E95" s="555"/>
      <c r="F95" s="554"/>
      <c r="G95" s="555"/>
      <c r="H95" s="554"/>
      <c r="I95" s="555"/>
      <c r="J95" s="554"/>
      <c r="K95" s="555"/>
      <c r="L95" s="554"/>
      <c r="M95" s="555"/>
      <c r="N95" s="554"/>
      <c r="O95" s="555"/>
      <c r="P95" s="554"/>
      <c r="Q95" s="555"/>
      <c r="R95" s="554"/>
      <c r="S95" s="555"/>
      <c r="T95" s="554"/>
    </row>
    <row r="96" spans="2:20">
      <c r="B96" s="537" t="s">
        <v>50</v>
      </c>
      <c r="C96" s="542" t="s">
        <v>170</v>
      </c>
      <c r="D96" s="554"/>
      <c r="E96" s="555"/>
      <c r="F96" s="554"/>
      <c r="G96" s="555"/>
      <c r="H96" s="554"/>
      <c r="I96" s="555"/>
      <c r="J96" s="554"/>
      <c r="K96" s="555"/>
      <c r="L96" s="554"/>
      <c r="M96" s="555"/>
      <c r="N96" s="554"/>
      <c r="O96" s="555"/>
      <c r="P96" s="554"/>
      <c r="Q96" s="555"/>
      <c r="R96" s="554"/>
      <c r="S96" s="555"/>
      <c r="T96" s="554"/>
    </row>
    <row r="97" spans="2:20">
      <c r="B97" s="537" t="s">
        <v>51</v>
      </c>
      <c r="C97" s="542" t="s">
        <v>52</v>
      </c>
      <c r="D97" s="552"/>
      <c r="E97" s="553"/>
      <c r="F97" s="552"/>
      <c r="G97" s="553"/>
      <c r="H97" s="552"/>
      <c r="I97" s="553"/>
      <c r="J97" s="552"/>
      <c r="K97" s="553"/>
      <c r="L97" s="552"/>
      <c r="M97" s="553"/>
      <c r="N97" s="552"/>
      <c r="O97" s="553"/>
      <c r="P97" s="552"/>
      <c r="Q97" s="553"/>
      <c r="R97" s="552"/>
      <c r="S97" s="553"/>
      <c r="T97" s="552"/>
    </row>
    <row r="98" spans="2:20">
      <c r="B98" s="537" t="s">
        <v>53</v>
      </c>
      <c r="C98" s="542" t="s">
        <v>54</v>
      </c>
      <c r="D98" s="552"/>
      <c r="E98" s="553"/>
      <c r="F98" s="552"/>
      <c r="G98" s="553"/>
      <c r="H98" s="552"/>
      <c r="I98" s="553"/>
      <c r="J98" s="552"/>
      <c r="K98" s="553"/>
      <c r="L98" s="552"/>
      <c r="M98" s="553"/>
      <c r="N98" s="552"/>
      <c r="O98" s="553"/>
      <c r="P98" s="552"/>
      <c r="Q98" s="553"/>
      <c r="R98" s="552"/>
      <c r="S98" s="553"/>
      <c r="T98" s="552"/>
    </row>
    <row r="99" spans="2:20">
      <c r="B99" s="537" t="s">
        <v>55</v>
      </c>
      <c r="C99" s="542" t="s">
        <v>56</v>
      </c>
      <c r="D99" s="552"/>
      <c r="E99" s="553"/>
      <c r="F99" s="552"/>
      <c r="G99" s="553"/>
      <c r="H99" s="552"/>
      <c r="I99" s="553"/>
      <c r="J99" s="552"/>
      <c r="K99" s="553"/>
      <c r="L99" s="552"/>
      <c r="M99" s="553"/>
      <c r="N99" s="552"/>
      <c r="O99" s="553"/>
      <c r="P99" s="552"/>
      <c r="Q99" s="553"/>
      <c r="R99" s="552"/>
      <c r="S99" s="553"/>
      <c r="T99" s="552"/>
    </row>
    <row r="100" spans="2:20">
      <c r="B100" s="537" t="s">
        <v>57</v>
      </c>
      <c r="C100" s="542" t="s">
        <v>58</v>
      </c>
      <c r="D100" s="552"/>
      <c r="E100" s="553"/>
      <c r="F100" s="552"/>
      <c r="G100" s="553"/>
      <c r="H100" s="552"/>
      <c r="I100" s="553"/>
      <c r="J100" s="552"/>
      <c r="K100" s="553"/>
      <c r="L100" s="552"/>
      <c r="M100" s="553"/>
      <c r="N100" s="552"/>
      <c r="O100" s="553"/>
      <c r="P100" s="552"/>
      <c r="Q100" s="553"/>
      <c r="R100" s="552"/>
      <c r="S100" s="553"/>
      <c r="T100" s="552"/>
    </row>
    <row r="101" spans="2:20">
      <c r="B101" s="537" t="s">
        <v>59</v>
      </c>
      <c r="C101" s="542" t="s">
        <v>60</v>
      </c>
      <c r="D101" s="552"/>
      <c r="E101" s="553"/>
      <c r="F101" s="552"/>
      <c r="G101" s="553"/>
      <c r="H101" s="552"/>
      <c r="I101" s="553"/>
      <c r="J101" s="552"/>
      <c r="K101" s="553"/>
      <c r="L101" s="552"/>
      <c r="M101" s="553"/>
      <c r="N101" s="552"/>
      <c r="O101" s="553"/>
      <c r="P101" s="552"/>
      <c r="Q101" s="553"/>
      <c r="R101" s="552"/>
      <c r="S101" s="553"/>
      <c r="T101" s="552"/>
    </row>
    <row r="102" spans="2:20">
      <c r="B102" s="537" t="s">
        <v>53</v>
      </c>
      <c r="C102" s="542" t="s">
        <v>54</v>
      </c>
      <c r="D102" s="552"/>
      <c r="E102" s="553"/>
      <c r="F102" s="552"/>
      <c r="G102" s="553"/>
      <c r="H102" s="552"/>
      <c r="I102" s="553"/>
      <c r="J102" s="552"/>
      <c r="K102" s="553"/>
      <c r="L102" s="552"/>
      <c r="M102" s="553"/>
      <c r="N102" s="552"/>
      <c r="O102" s="553"/>
      <c r="P102" s="552"/>
      <c r="Q102" s="553"/>
      <c r="R102" s="552"/>
      <c r="S102" s="553"/>
      <c r="T102" s="552"/>
    </row>
    <row r="103" spans="2:20">
      <c r="B103" s="537" t="s">
        <v>258</v>
      </c>
      <c r="C103" s="542" t="s">
        <v>61</v>
      </c>
      <c r="D103" s="552"/>
      <c r="E103" s="553"/>
      <c r="F103" s="552"/>
      <c r="G103" s="553"/>
      <c r="H103" s="552"/>
      <c r="I103" s="553"/>
      <c r="J103" s="552"/>
      <c r="K103" s="553"/>
      <c r="L103" s="552"/>
      <c r="M103" s="553"/>
      <c r="N103" s="552"/>
      <c r="O103" s="553"/>
      <c r="P103" s="552"/>
      <c r="Q103" s="553"/>
      <c r="R103" s="552"/>
      <c r="S103" s="553"/>
      <c r="T103" s="552"/>
    </row>
    <row r="104" spans="2:20">
      <c r="B104" s="537" t="s">
        <v>62</v>
      </c>
      <c r="C104" s="542" t="s">
        <v>353</v>
      </c>
      <c r="D104" s="552"/>
      <c r="E104" s="553"/>
      <c r="F104" s="552"/>
      <c r="G104" s="553"/>
      <c r="H104" s="552"/>
      <c r="I104" s="553"/>
      <c r="J104" s="552"/>
      <c r="K104" s="553"/>
      <c r="L104" s="552"/>
      <c r="M104" s="553"/>
      <c r="N104" s="552"/>
      <c r="O104" s="553"/>
      <c r="P104" s="552"/>
      <c r="Q104" s="553"/>
      <c r="R104" s="552"/>
      <c r="S104" s="553"/>
      <c r="T104" s="552"/>
    </row>
    <row r="105" spans="2:20">
      <c r="B105" s="537" t="s">
        <v>126</v>
      </c>
      <c r="C105" s="542" t="s">
        <v>171</v>
      </c>
      <c r="D105" s="552"/>
      <c r="E105" s="553"/>
      <c r="F105" s="552"/>
      <c r="G105" s="553"/>
      <c r="H105" s="552"/>
      <c r="I105" s="553"/>
      <c r="J105" s="552"/>
      <c r="K105" s="553"/>
      <c r="L105" s="552"/>
      <c r="M105" s="553"/>
      <c r="N105" s="552"/>
      <c r="O105" s="553"/>
      <c r="P105" s="552"/>
      <c r="Q105" s="553"/>
      <c r="R105" s="552"/>
      <c r="S105" s="553"/>
      <c r="T105" s="552"/>
    </row>
    <row r="106" spans="2:20">
      <c r="B106" s="539" t="s">
        <v>63</v>
      </c>
      <c r="C106" s="542" t="s">
        <v>354</v>
      </c>
      <c r="D106" s="552"/>
      <c r="E106" s="553"/>
      <c r="F106" s="552"/>
      <c r="G106" s="553"/>
      <c r="H106" s="552"/>
      <c r="I106" s="553"/>
      <c r="J106" s="552"/>
      <c r="K106" s="553"/>
      <c r="L106" s="552"/>
      <c r="M106" s="553"/>
      <c r="N106" s="552"/>
      <c r="O106" s="553"/>
      <c r="P106" s="552"/>
      <c r="Q106" s="553"/>
      <c r="R106" s="552"/>
      <c r="S106" s="553"/>
      <c r="T106" s="552"/>
    </row>
    <row r="107" spans="2:20">
      <c r="B107" s="539" t="s">
        <v>64</v>
      </c>
      <c r="C107" s="542" t="s">
        <v>65</v>
      </c>
      <c r="D107" s="552"/>
      <c r="E107" s="553"/>
      <c r="F107" s="552"/>
      <c r="G107" s="553"/>
      <c r="H107" s="552"/>
      <c r="I107" s="553"/>
      <c r="J107" s="552"/>
      <c r="K107" s="553"/>
      <c r="L107" s="552"/>
      <c r="M107" s="553"/>
      <c r="N107" s="552"/>
      <c r="O107" s="553"/>
      <c r="P107" s="552"/>
      <c r="Q107" s="553"/>
      <c r="R107" s="552"/>
      <c r="S107" s="553"/>
      <c r="T107" s="552"/>
    </row>
    <row r="108" spans="2:20">
      <c r="B108" s="539" t="s">
        <v>66</v>
      </c>
      <c r="C108" s="542" t="s">
        <v>67</v>
      </c>
      <c r="D108" s="552"/>
      <c r="E108" s="553"/>
      <c r="F108" s="552"/>
      <c r="G108" s="553"/>
      <c r="H108" s="552"/>
      <c r="I108" s="553"/>
      <c r="J108" s="552"/>
      <c r="K108" s="553"/>
      <c r="L108" s="552"/>
      <c r="M108" s="553"/>
      <c r="N108" s="552"/>
      <c r="O108" s="553"/>
      <c r="P108" s="552"/>
      <c r="Q108" s="553"/>
      <c r="R108" s="552"/>
      <c r="S108" s="553"/>
      <c r="T108" s="552"/>
    </row>
    <row r="109" spans="2:20">
      <c r="B109" s="539" t="s">
        <v>68</v>
      </c>
      <c r="C109" s="542" t="s">
        <v>69</v>
      </c>
      <c r="D109" s="552"/>
      <c r="E109" s="553"/>
      <c r="F109" s="552"/>
      <c r="G109" s="553"/>
      <c r="H109" s="552"/>
      <c r="I109" s="553"/>
      <c r="J109" s="552"/>
      <c r="K109" s="553"/>
      <c r="L109" s="552"/>
      <c r="M109" s="553"/>
      <c r="N109" s="552"/>
      <c r="O109" s="553"/>
      <c r="P109" s="552"/>
      <c r="Q109" s="553"/>
      <c r="R109" s="552"/>
      <c r="S109" s="553"/>
      <c r="T109" s="552"/>
    </row>
    <row r="110" spans="2:20">
      <c r="B110" s="539" t="s">
        <v>70</v>
      </c>
      <c r="C110" s="542" t="s">
        <v>71</v>
      </c>
      <c r="D110" s="552"/>
      <c r="E110" s="553"/>
      <c r="F110" s="552"/>
      <c r="G110" s="553"/>
      <c r="H110" s="552"/>
      <c r="I110" s="553"/>
      <c r="J110" s="552"/>
      <c r="K110" s="553"/>
      <c r="L110" s="552"/>
      <c r="M110" s="553"/>
      <c r="N110" s="552"/>
      <c r="O110" s="553"/>
      <c r="P110" s="552"/>
      <c r="Q110" s="553"/>
      <c r="R110" s="552"/>
      <c r="S110" s="553"/>
      <c r="T110" s="552"/>
    </row>
    <row r="111" spans="2:20">
      <c r="B111" s="539" t="s">
        <v>72</v>
      </c>
      <c r="C111" s="542" t="s">
        <v>73</v>
      </c>
      <c r="D111" s="552"/>
      <c r="E111" s="553"/>
      <c r="F111" s="552"/>
      <c r="G111" s="553"/>
      <c r="H111" s="552"/>
      <c r="I111" s="553"/>
      <c r="J111" s="552"/>
      <c r="K111" s="553"/>
      <c r="L111" s="552"/>
      <c r="M111" s="553"/>
      <c r="N111" s="552"/>
      <c r="O111" s="553"/>
      <c r="P111" s="552"/>
      <c r="Q111" s="553"/>
      <c r="R111" s="552"/>
      <c r="S111" s="553"/>
      <c r="T111" s="552"/>
    </row>
    <row r="112" spans="2:20">
      <c r="B112" s="539" t="s">
        <v>129</v>
      </c>
      <c r="C112" s="542" t="s">
        <v>180</v>
      </c>
      <c r="D112" s="554"/>
      <c r="E112" s="555"/>
      <c r="F112" s="554"/>
      <c r="G112" s="555"/>
      <c r="H112" s="554"/>
      <c r="I112" s="555"/>
      <c r="J112" s="554"/>
      <c r="K112" s="555"/>
      <c r="L112" s="554"/>
      <c r="M112" s="555"/>
      <c r="N112" s="554"/>
      <c r="O112" s="555"/>
      <c r="P112" s="554"/>
      <c r="Q112" s="555"/>
      <c r="R112" s="554"/>
      <c r="S112" s="555"/>
      <c r="T112" s="554"/>
    </row>
    <row r="113" spans="2:20">
      <c r="B113" s="539" t="s">
        <v>75</v>
      </c>
      <c r="C113" s="542" t="s">
        <v>76</v>
      </c>
      <c r="D113" s="552"/>
      <c r="E113" s="553"/>
      <c r="F113" s="552"/>
      <c r="G113" s="553"/>
      <c r="H113" s="552"/>
      <c r="I113" s="553"/>
      <c r="J113" s="552"/>
      <c r="K113" s="553"/>
      <c r="L113" s="552"/>
      <c r="M113" s="553"/>
      <c r="N113" s="552"/>
      <c r="O113" s="553"/>
      <c r="P113" s="552"/>
      <c r="Q113" s="553"/>
      <c r="R113" s="552"/>
      <c r="S113" s="553"/>
      <c r="T113" s="552"/>
    </row>
    <row r="114" spans="2:20">
      <c r="B114" s="539" t="s">
        <v>77</v>
      </c>
      <c r="C114" s="542" t="s">
        <v>78</v>
      </c>
      <c r="D114" s="552"/>
      <c r="E114" s="553"/>
      <c r="F114" s="552"/>
      <c r="G114" s="553"/>
      <c r="H114" s="552"/>
      <c r="I114" s="553"/>
      <c r="J114" s="552"/>
      <c r="K114" s="553"/>
      <c r="L114" s="552"/>
      <c r="M114" s="553"/>
      <c r="N114" s="552"/>
      <c r="O114" s="553"/>
      <c r="P114" s="552"/>
      <c r="Q114" s="553"/>
      <c r="R114" s="552"/>
      <c r="S114" s="553"/>
      <c r="T114" s="552"/>
    </row>
    <row r="115" spans="2:20">
      <c r="B115" s="539" t="s">
        <v>79</v>
      </c>
      <c r="C115" s="542" t="s">
        <v>151</v>
      </c>
      <c r="D115" s="552"/>
      <c r="E115" s="553"/>
      <c r="F115" s="552"/>
      <c r="G115" s="553"/>
      <c r="H115" s="552"/>
      <c r="I115" s="553"/>
      <c r="J115" s="552"/>
      <c r="K115" s="553"/>
      <c r="L115" s="552"/>
      <c r="M115" s="553"/>
      <c r="N115" s="552"/>
      <c r="O115" s="553"/>
      <c r="P115" s="552"/>
      <c r="Q115" s="553"/>
      <c r="R115" s="552"/>
      <c r="S115" s="553"/>
      <c r="T115" s="552"/>
    </row>
    <row r="116" spans="2:20">
      <c r="B116" s="539" t="s">
        <v>80</v>
      </c>
      <c r="C116" s="542" t="s">
        <v>81</v>
      </c>
      <c r="D116" s="552"/>
      <c r="E116" s="553"/>
      <c r="F116" s="552"/>
      <c r="G116" s="553"/>
      <c r="H116" s="552"/>
      <c r="I116" s="553"/>
      <c r="J116" s="552"/>
      <c r="K116" s="553"/>
      <c r="L116" s="552"/>
      <c r="M116" s="553"/>
      <c r="N116" s="552"/>
      <c r="O116" s="553"/>
      <c r="P116" s="552"/>
      <c r="Q116" s="553"/>
      <c r="R116" s="552"/>
      <c r="S116" s="553"/>
      <c r="T116" s="552"/>
    </row>
    <row r="117" spans="2:20">
      <c r="B117" s="539" t="s">
        <v>82</v>
      </c>
      <c r="C117" s="542" t="s">
        <v>83</v>
      </c>
      <c r="D117" s="552"/>
      <c r="E117" s="553"/>
      <c r="F117" s="552"/>
      <c r="G117" s="553"/>
      <c r="H117" s="552"/>
      <c r="I117" s="553"/>
      <c r="J117" s="552"/>
      <c r="K117" s="553"/>
      <c r="L117" s="552"/>
      <c r="M117" s="553"/>
      <c r="N117" s="552"/>
      <c r="O117" s="553"/>
      <c r="P117" s="552"/>
      <c r="Q117" s="553"/>
      <c r="R117" s="552"/>
      <c r="S117" s="553"/>
      <c r="T117" s="552"/>
    </row>
    <row r="118" spans="2:20">
      <c r="B118" s="539" t="s">
        <v>84</v>
      </c>
      <c r="C118" s="542" t="s">
        <v>85</v>
      </c>
      <c r="D118" s="554"/>
      <c r="E118" s="555"/>
      <c r="F118" s="554"/>
      <c r="G118" s="555"/>
      <c r="H118" s="554"/>
      <c r="I118" s="555"/>
      <c r="J118" s="554"/>
      <c r="K118" s="555"/>
      <c r="L118" s="554"/>
      <c r="M118" s="555"/>
      <c r="N118" s="554"/>
      <c r="O118" s="555"/>
      <c r="P118" s="554"/>
      <c r="Q118" s="555"/>
      <c r="R118" s="554"/>
      <c r="S118" s="555"/>
      <c r="T118" s="554"/>
    </row>
    <row r="119" spans="2:20">
      <c r="B119" s="539" t="s">
        <v>86</v>
      </c>
      <c r="C119" s="542" t="s">
        <v>355</v>
      </c>
      <c r="D119" s="552"/>
      <c r="E119" s="553"/>
      <c r="F119" s="552"/>
      <c r="G119" s="553"/>
      <c r="H119" s="552"/>
      <c r="I119" s="553"/>
      <c r="J119" s="552"/>
      <c r="K119" s="553"/>
      <c r="L119" s="552"/>
      <c r="M119" s="553"/>
      <c r="N119" s="552"/>
      <c r="O119" s="553"/>
      <c r="P119" s="552"/>
      <c r="Q119" s="553"/>
      <c r="R119" s="552"/>
      <c r="S119" s="553"/>
      <c r="T119" s="552"/>
    </row>
    <row r="120" spans="2:20">
      <c r="B120" s="539" t="s">
        <v>130</v>
      </c>
      <c r="C120" s="542" t="s">
        <v>181</v>
      </c>
      <c r="D120" s="552"/>
      <c r="E120" s="553"/>
      <c r="F120" s="552"/>
      <c r="G120" s="553"/>
      <c r="H120" s="552"/>
      <c r="I120" s="553"/>
      <c r="J120" s="552"/>
      <c r="K120" s="553"/>
      <c r="L120" s="552"/>
      <c r="M120" s="553"/>
      <c r="N120" s="552"/>
      <c r="O120" s="553"/>
      <c r="P120" s="552"/>
      <c r="Q120" s="553"/>
      <c r="R120" s="552"/>
      <c r="S120" s="553"/>
      <c r="T120" s="552"/>
    </row>
    <row r="121" spans="2:20">
      <c r="B121" s="539" t="s">
        <v>87</v>
      </c>
      <c r="C121" s="542" t="s">
        <v>88</v>
      </c>
      <c r="D121" s="552"/>
      <c r="E121" s="553"/>
      <c r="F121" s="552"/>
      <c r="G121" s="553"/>
      <c r="H121" s="552"/>
      <c r="I121" s="553"/>
      <c r="J121" s="552"/>
      <c r="K121" s="553"/>
      <c r="L121" s="552"/>
      <c r="M121" s="553"/>
      <c r="N121" s="552"/>
      <c r="O121" s="553"/>
      <c r="P121" s="552"/>
      <c r="Q121" s="553"/>
      <c r="R121" s="552"/>
      <c r="S121" s="553"/>
      <c r="T121" s="552"/>
    </row>
    <row r="122" spans="2:20">
      <c r="B122" s="539" t="s">
        <v>89</v>
      </c>
      <c r="C122" s="542" t="s">
        <v>90</v>
      </c>
      <c r="D122" s="552"/>
      <c r="E122" s="553"/>
      <c r="F122" s="552"/>
      <c r="G122" s="553"/>
      <c r="H122" s="552"/>
      <c r="I122" s="553"/>
      <c r="J122" s="552"/>
      <c r="K122" s="553"/>
      <c r="L122" s="552"/>
      <c r="M122" s="553"/>
      <c r="N122" s="552"/>
      <c r="O122" s="553"/>
      <c r="P122" s="552"/>
      <c r="Q122" s="553"/>
      <c r="R122" s="552"/>
      <c r="S122" s="553"/>
      <c r="T122" s="552"/>
    </row>
    <row r="123" spans="2:20">
      <c r="B123" s="539" t="s">
        <v>91</v>
      </c>
      <c r="C123" s="542" t="s">
        <v>92</v>
      </c>
      <c r="D123" s="552"/>
      <c r="E123" s="553"/>
      <c r="F123" s="552"/>
      <c r="G123" s="553"/>
      <c r="H123" s="552"/>
      <c r="I123" s="553"/>
      <c r="J123" s="552"/>
      <c r="K123" s="553"/>
      <c r="L123" s="552"/>
      <c r="M123" s="553"/>
      <c r="N123" s="552"/>
      <c r="O123" s="553"/>
      <c r="P123" s="552"/>
      <c r="Q123" s="553"/>
      <c r="R123" s="552"/>
      <c r="S123" s="553"/>
      <c r="T123" s="552"/>
    </row>
    <row r="124" spans="2:20">
      <c r="B124" s="539" t="s">
        <v>93</v>
      </c>
      <c r="C124" s="542" t="s">
        <v>94</v>
      </c>
      <c r="D124" s="554"/>
      <c r="E124" s="555"/>
      <c r="F124" s="554"/>
      <c r="G124" s="555"/>
      <c r="H124" s="554"/>
      <c r="I124" s="555"/>
      <c r="J124" s="554"/>
      <c r="K124" s="555"/>
      <c r="L124" s="554"/>
      <c r="M124" s="555"/>
      <c r="N124" s="554"/>
      <c r="O124" s="555"/>
      <c r="P124" s="554"/>
      <c r="Q124" s="555"/>
      <c r="R124" s="554"/>
      <c r="S124" s="555"/>
      <c r="T124" s="554"/>
    </row>
    <row r="125" spans="2:20">
      <c r="B125" s="539" t="s">
        <v>95</v>
      </c>
      <c r="C125" s="542" t="s">
        <v>96</v>
      </c>
      <c r="D125" s="554"/>
      <c r="E125" s="555"/>
      <c r="F125" s="554"/>
      <c r="G125" s="555"/>
      <c r="H125" s="554"/>
      <c r="I125" s="555"/>
      <c r="J125" s="554"/>
      <c r="K125" s="555"/>
      <c r="L125" s="554"/>
      <c r="M125" s="555"/>
      <c r="N125" s="554"/>
      <c r="O125" s="555"/>
      <c r="P125" s="554"/>
      <c r="Q125" s="555"/>
      <c r="R125" s="554"/>
      <c r="S125" s="555"/>
      <c r="T125" s="554"/>
    </row>
    <row r="126" spans="2:20">
      <c r="B126" s="539" t="s">
        <v>97</v>
      </c>
      <c r="C126" s="542" t="s">
        <v>98</v>
      </c>
      <c r="D126" s="554"/>
      <c r="E126" s="555"/>
      <c r="F126" s="554"/>
      <c r="G126" s="555"/>
      <c r="H126" s="554"/>
      <c r="I126" s="555"/>
      <c r="J126" s="554"/>
      <c r="K126" s="555"/>
      <c r="L126" s="554"/>
      <c r="M126" s="555"/>
      <c r="N126" s="554"/>
      <c r="O126" s="555"/>
      <c r="P126" s="554"/>
      <c r="Q126" s="555"/>
      <c r="R126" s="554"/>
      <c r="S126" s="555"/>
      <c r="T126" s="554"/>
    </row>
    <row r="127" spans="2:20">
      <c r="B127" s="539" t="s">
        <v>100</v>
      </c>
      <c r="C127" s="542" t="s">
        <v>101</v>
      </c>
      <c r="D127" s="554"/>
      <c r="E127" s="555"/>
      <c r="F127" s="554"/>
      <c r="G127" s="555"/>
      <c r="H127" s="554"/>
      <c r="I127" s="555"/>
      <c r="J127" s="554"/>
      <c r="K127" s="555"/>
      <c r="L127" s="554"/>
      <c r="M127" s="555"/>
      <c r="N127" s="554"/>
      <c r="O127" s="555"/>
      <c r="P127" s="554"/>
      <c r="Q127" s="555"/>
      <c r="R127" s="554"/>
      <c r="S127" s="555"/>
      <c r="T127" s="554"/>
    </row>
    <row r="128" spans="2:20">
      <c r="B128" s="539" t="s">
        <v>102</v>
      </c>
      <c r="C128" s="542" t="s">
        <v>103</v>
      </c>
      <c r="D128" s="554"/>
      <c r="E128" s="555"/>
      <c r="F128" s="554"/>
      <c r="G128" s="555"/>
      <c r="H128" s="554"/>
      <c r="I128" s="555"/>
      <c r="J128" s="554"/>
      <c r="K128" s="555"/>
      <c r="L128" s="554"/>
      <c r="M128" s="555"/>
      <c r="N128" s="554"/>
      <c r="O128" s="555"/>
      <c r="P128" s="554"/>
      <c r="Q128" s="555"/>
      <c r="R128" s="554"/>
      <c r="S128" s="555"/>
      <c r="T128" s="554"/>
    </row>
    <row r="129" spans="2:20">
      <c r="B129" s="539" t="s">
        <v>104</v>
      </c>
      <c r="C129" s="542" t="s">
        <v>105</v>
      </c>
      <c r="D129" s="554"/>
      <c r="E129" s="555"/>
      <c r="F129" s="554"/>
      <c r="G129" s="555"/>
      <c r="H129" s="554"/>
      <c r="I129" s="555"/>
      <c r="J129" s="554"/>
      <c r="K129" s="555"/>
      <c r="L129" s="554"/>
      <c r="M129" s="555"/>
      <c r="N129" s="554"/>
      <c r="O129" s="555"/>
      <c r="P129" s="554"/>
      <c r="Q129" s="555"/>
      <c r="R129" s="554"/>
      <c r="S129" s="555"/>
      <c r="T129" s="554"/>
    </row>
    <row r="130" spans="2:20">
      <c r="B130" s="539" t="s">
        <v>106</v>
      </c>
      <c r="C130" s="542" t="s">
        <v>107</v>
      </c>
      <c r="D130" s="554"/>
      <c r="E130" s="555"/>
      <c r="F130" s="554"/>
      <c r="G130" s="555"/>
      <c r="H130" s="554"/>
      <c r="I130" s="555"/>
      <c r="J130" s="554"/>
      <c r="K130" s="555"/>
      <c r="L130" s="554"/>
      <c r="M130" s="555"/>
      <c r="N130" s="554"/>
      <c r="O130" s="555"/>
      <c r="P130" s="554"/>
      <c r="Q130" s="555"/>
      <c r="R130" s="554"/>
      <c r="S130" s="555"/>
      <c r="T130" s="554"/>
    </row>
    <row r="131" spans="2:20">
      <c r="B131" s="539" t="s">
        <v>108</v>
      </c>
      <c r="C131" s="542" t="s">
        <v>174</v>
      </c>
      <c r="D131" s="554"/>
      <c r="E131" s="555"/>
      <c r="F131" s="554"/>
      <c r="G131" s="555"/>
      <c r="H131" s="554"/>
      <c r="I131" s="555"/>
      <c r="J131" s="554"/>
      <c r="K131" s="555"/>
      <c r="L131" s="554"/>
      <c r="M131" s="555"/>
      <c r="N131" s="554"/>
      <c r="O131" s="555"/>
      <c r="P131" s="554"/>
      <c r="Q131" s="555"/>
      <c r="R131" s="554"/>
      <c r="S131" s="555"/>
      <c r="T131" s="554"/>
    </row>
    <row r="132" spans="2:20">
      <c r="B132" s="539" t="s">
        <v>109</v>
      </c>
      <c r="C132" s="542" t="s">
        <v>175</v>
      </c>
      <c r="D132" s="552"/>
      <c r="E132" s="553"/>
      <c r="F132" s="552"/>
      <c r="G132" s="553"/>
      <c r="H132" s="552"/>
      <c r="I132" s="553"/>
      <c r="J132" s="552"/>
      <c r="K132" s="553"/>
      <c r="L132" s="552"/>
      <c r="M132" s="553"/>
      <c r="N132" s="552"/>
      <c r="O132" s="553"/>
      <c r="P132" s="552"/>
      <c r="Q132" s="553"/>
      <c r="R132" s="552"/>
      <c r="S132" s="553"/>
      <c r="T132" s="552"/>
    </row>
    <row r="133" spans="2:20">
      <c r="B133" s="539" t="s">
        <v>131</v>
      </c>
      <c r="C133" s="542" t="s">
        <v>177</v>
      </c>
      <c r="D133" s="552"/>
      <c r="E133" s="553"/>
      <c r="F133" s="552"/>
      <c r="G133" s="553"/>
      <c r="H133" s="552"/>
      <c r="I133" s="553"/>
      <c r="J133" s="552"/>
      <c r="K133" s="553"/>
      <c r="L133" s="552"/>
      <c r="M133" s="553"/>
      <c r="N133" s="552"/>
      <c r="O133" s="553"/>
      <c r="P133" s="552"/>
      <c r="Q133" s="553"/>
      <c r="R133" s="552"/>
      <c r="S133" s="553"/>
      <c r="T133" s="552"/>
    </row>
    <row r="134" spans="2:20">
      <c r="B134" s="539" t="s">
        <v>111</v>
      </c>
      <c r="C134" s="542" t="s">
        <v>112</v>
      </c>
      <c r="D134" s="552"/>
      <c r="E134" s="553"/>
      <c r="F134" s="552"/>
      <c r="G134" s="553"/>
      <c r="H134" s="552"/>
      <c r="I134" s="553"/>
      <c r="J134" s="552"/>
      <c r="K134" s="553"/>
      <c r="L134" s="552"/>
      <c r="M134" s="553"/>
      <c r="N134" s="552"/>
      <c r="O134" s="553"/>
      <c r="P134" s="552"/>
      <c r="Q134" s="553"/>
      <c r="R134" s="552"/>
      <c r="S134" s="553"/>
      <c r="T134" s="552"/>
    </row>
    <row r="135" spans="2:20">
      <c r="B135" s="539" t="s">
        <v>118</v>
      </c>
      <c r="C135" s="542" t="s">
        <v>119</v>
      </c>
      <c r="D135" s="552"/>
      <c r="E135" s="553"/>
      <c r="F135" s="552"/>
      <c r="G135" s="553"/>
      <c r="H135" s="552"/>
      <c r="I135" s="553"/>
      <c r="J135" s="552"/>
      <c r="K135" s="553"/>
      <c r="L135" s="552"/>
      <c r="M135" s="553"/>
      <c r="N135" s="552"/>
      <c r="O135" s="553"/>
      <c r="P135" s="552"/>
      <c r="Q135" s="553"/>
      <c r="R135" s="552"/>
      <c r="S135" s="553"/>
      <c r="T135" s="552"/>
    </row>
    <row r="136" spans="2:20">
      <c r="B136" s="539" t="s">
        <v>152</v>
      </c>
      <c r="C136" s="542" t="s">
        <v>178</v>
      </c>
      <c r="D136" s="554"/>
      <c r="E136" s="555"/>
      <c r="F136" s="554"/>
      <c r="G136" s="555"/>
      <c r="H136" s="554"/>
      <c r="I136" s="555"/>
      <c r="J136" s="554"/>
      <c r="K136" s="555"/>
      <c r="L136" s="554"/>
      <c r="M136" s="555"/>
      <c r="N136" s="554"/>
      <c r="O136" s="555"/>
      <c r="P136" s="554"/>
      <c r="Q136" s="555"/>
      <c r="R136" s="554"/>
      <c r="S136" s="555"/>
      <c r="T136" s="554"/>
    </row>
    <row r="137" spans="2:20">
      <c r="B137" s="539" t="s">
        <v>132</v>
      </c>
      <c r="C137" s="542" t="s">
        <v>120</v>
      </c>
      <c r="D137" s="554"/>
      <c r="E137" s="555"/>
      <c r="F137" s="554"/>
      <c r="G137" s="555"/>
      <c r="H137" s="554"/>
      <c r="I137" s="555"/>
      <c r="J137" s="554"/>
      <c r="K137" s="555"/>
      <c r="L137" s="554"/>
      <c r="M137" s="555"/>
      <c r="N137" s="554"/>
      <c r="O137" s="555"/>
      <c r="P137" s="554"/>
      <c r="Q137" s="555"/>
      <c r="R137" s="554"/>
      <c r="S137" s="555"/>
      <c r="T137" s="554"/>
    </row>
    <row r="138" spans="2:20">
      <c r="B138" s="539" t="s">
        <v>133</v>
      </c>
      <c r="C138" s="542" t="s">
        <v>179</v>
      </c>
      <c r="D138" s="552"/>
      <c r="E138" s="553"/>
      <c r="F138" s="552"/>
      <c r="G138" s="553"/>
      <c r="H138" s="552"/>
      <c r="I138" s="553"/>
      <c r="J138" s="552"/>
      <c r="K138" s="553"/>
      <c r="L138" s="552"/>
      <c r="M138" s="553"/>
      <c r="N138" s="552"/>
      <c r="O138" s="553"/>
      <c r="P138" s="552"/>
      <c r="Q138" s="553"/>
      <c r="R138" s="552"/>
      <c r="S138" s="553"/>
      <c r="T138" s="552"/>
    </row>
    <row r="139" spans="2:20">
      <c r="B139" s="539" t="s">
        <v>0</v>
      </c>
      <c r="C139" s="542" t="s">
        <v>134</v>
      </c>
      <c r="D139" s="552"/>
      <c r="E139" s="553"/>
      <c r="F139" s="552"/>
      <c r="G139" s="553"/>
      <c r="H139" s="552"/>
      <c r="I139" s="553"/>
      <c r="J139" s="552"/>
      <c r="K139" s="553"/>
      <c r="L139" s="552"/>
      <c r="M139" s="553"/>
      <c r="N139" s="552"/>
      <c r="O139" s="553"/>
      <c r="P139" s="552"/>
      <c r="Q139" s="553"/>
      <c r="R139" s="552"/>
      <c r="S139" s="553"/>
      <c r="T139" s="552"/>
    </row>
    <row r="140" spans="2:20">
      <c r="B140" s="539" t="s">
        <v>135</v>
      </c>
      <c r="C140" s="542" t="s">
        <v>136</v>
      </c>
      <c r="D140" s="552"/>
      <c r="E140" s="553"/>
      <c r="F140" s="552"/>
      <c r="G140" s="553"/>
      <c r="H140" s="552"/>
      <c r="I140" s="553"/>
      <c r="J140" s="552"/>
      <c r="K140" s="553"/>
      <c r="L140" s="552"/>
      <c r="M140" s="553"/>
      <c r="N140" s="552"/>
      <c r="O140" s="553"/>
      <c r="P140" s="552"/>
      <c r="Q140" s="553"/>
      <c r="R140" s="552"/>
      <c r="S140" s="553"/>
      <c r="T140" s="552"/>
    </row>
    <row r="141" spans="2:20">
      <c r="B141" s="539" t="s">
        <v>137</v>
      </c>
      <c r="C141" s="542" t="s">
        <v>138</v>
      </c>
      <c r="D141" s="552"/>
      <c r="E141" s="553"/>
      <c r="F141" s="552"/>
      <c r="G141" s="553"/>
      <c r="H141" s="552"/>
      <c r="I141" s="553"/>
      <c r="J141" s="552"/>
      <c r="K141" s="553"/>
      <c r="L141" s="552"/>
      <c r="M141" s="553"/>
      <c r="N141" s="552"/>
      <c r="O141" s="553"/>
      <c r="P141" s="552"/>
      <c r="Q141" s="553"/>
      <c r="R141" s="552"/>
      <c r="S141" s="553"/>
      <c r="T141" s="552"/>
    </row>
    <row r="142" spans="2:20">
      <c r="B142" s="539" t="s">
        <v>116</v>
      </c>
      <c r="C142" s="542" t="s">
        <v>139</v>
      </c>
    </row>
    <row r="143" spans="2:20">
      <c r="B143" s="539" t="s">
        <v>113</v>
      </c>
      <c r="C143" s="542" t="s">
        <v>140</v>
      </c>
    </row>
    <row r="144" spans="2:20">
      <c r="B144" s="539" t="s">
        <v>141</v>
      </c>
      <c r="C144" s="542" t="s">
        <v>142</v>
      </c>
    </row>
    <row r="145" spans="2:22">
      <c r="B145" s="539" t="s">
        <v>121</v>
      </c>
      <c r="C145" s="542" t="s">
        <v>143</v>
      </c>
    </row>
    <row r="146" spans="2:22">
      <c r="B146" s="539" t="s">
        <v>144</v>
      </c>
      <c r="C146" s="542" t="s">
        <v>145</v>
      </c>
    </row>
    <row r="147" spans="2:22">
      <c r="B147" s="539" t="s">
        <v>122</v>
      </c>
      <c r="C147" s="542" t="s">
        <v>146</v>
      </c>
    </row>
    <row r="148" spans="2:22">
      <c r="B148" s="539" t="s">
        <v>123</v>
      </c>
      <c r="C148" s="542" t="s">
        <v>147</v>
      </c>
    </row>
    <row r="149" spans="2:22">
      <c r="B149" s="539" t="s">
        <v>332</v>
      </c>
      <c r="C149" s="542" t="s">
        <v>148</v>
      </c>
    </row>
    <row r="150" spans="2:22">
      <c r="B150" s="539" t="s">
        <v>125</v>
      </c>
      <c r="C150" s="542" t="s">
        <v>149</v>
      </c>
    </row>
    <row r="151" spans="2:22">
      <c r="B151" s="541" t="s">
        <v>269</v>
      </c>
      <c r="C151" s="541" t="s">
        <v>270</v>
      </c>
    </row>
    <row r="154" spans="2:22">
      <c r="B154" s="1272" t="s">
        <v>259</v>
      </c>
      <c r="C154" s="1272"/>
      <c r="D154" s="1272"/>
      <c r="E154" s="1272"/>
      <c r="F154" s="1272"/>
      <c r="G154" s="1272"/>
      <c r="H154" s="1272"/>
      <c r="I154" s="1272"/>
      <c r="J154" s="1272"/>
      <c r="K154" s="1272"/>
      <c r="L154" s="1272"/>
      <c r="M154" s="1272"/>
      <c r="N154" s="1272"/>
      <c r="O154" s="1272"/>
      <c r="P154" s="1272"/>
      <c r="Q154" s="1272"/>
      <c r="R154" s="1272"/>
      <c r="S154" s="1272"/>
      <c r="T154" s="1272"/>
    </row>
    <row r="158" spans="2:22">
      <c r="C158" s="541">
        <v>2006</v>
      </c>
      <c r="E158" s="541">
        <v>2007</v>
      </c>
      <c r="G158" s="541">
        <v>2008</v>
      </c>
      <c r="I158" s="541">
        <v>2009</v>
      </c>
      <c r="K158" s="541">
        <v>2010</v>
      </c>
      <c r="M158" s="541">
        <v>2011</v>
      </c>
      <c r="O158" s="541">
        <v>2012</v>
      </c>
      <c r="Q158" s="541">
        <v>2013</v>
      </c>
      <c r="S158" s="541">
        <v>2014</v>
      </c>
      <c r="U158" s="541">
        <v>2015</v>
      </c>
    </row>
    <row r="159" spans="2:22">
      <c r="B159" s="541" t="s">
        <v>262</v>
      </c>
      <c r="C159" s="541" t="s">
        <v>266</v>
      </c>
      <c r="D159" s="541" t="s">
        <v>154</v>
      </c>
      <c r="E159" s="541" t="s">
        <v>266</v>
      </c>
      <c r="F159" s="541" t="s">
        <v>154</v>
      </c>
      <c r="G159" s="541" t="s">
        <v>266</v>
      </c>
      <c r="H159" s="541" t="s">
        <v>154</v>
      </c>
      <c r="I159" s="541" t="s">
        <v>266</v>
      </c>
      <c r="J159" s="541" t="s">
        <v>154</v>
      </c>
      <c r="K159" s="541" t="s">
        <v>266</v>
      </c>
      <c r="L159" s="541" t="s">
        <v>154</v>
      </c>
      <c r="M159" s="541" t="s">
        <v>266</v>
      </c>
      <c r="N159" s="541" t="s">
        <v>154</v>
      </c>
      <c r="O159" s="541" t="s">
        <v>266</v>
      </c>
      <c r="P159" s="541" t="s">
        <v>154</v>
      </c>
      <c r="Q159" s="541" t="s">
        <v>266</v>
      </c>
      <c r="R159" s="541" t="s">
        <v>154</v>
      </c>
      <c r="S159" s="541" t="s">
        <v>266</v>
      </c>
      <c r="T159" s="541" t="s">
        <v>154</v>
      </c>
      <c r="U159" s="541" t="s">
        <v>266</v>
      </c>
      <c r="V159" s="300" t="s">
        <v>154</v>
      </c>
    </row>
    <row r="160" spans="2:22">
      <c r="B160" s="541" t="s">
        <v>261</v>
      </c>
      <c r="C160" s="541" t="s">
        <v>266</v>
      </c>
      <c r="D160" s="541" t="s">
        <v>260</v>
      </c>
      <c r="E160" s="541" t="s">
        <v>266</v>
      </c>
      <c r="F160" s="541" t="s">
        <v>260</v>
      </c>
      <c r="G160" s="541" t="s">
        <v>266</v>
      </c>
      <c r="H160" s="541" t="s">
        <v>260</v>
      </c>
      <c r="I160" s="541" t="s">
        <v>266</v>
      </c>
      <c r="J160" s="541" t="s">
        <v>260</v>
      </c>
      <c r="K160" s="541" t="s">
        <v>266</v>
      </c>
      <c r="L160" s="541" t="s">
        <v>260</v>
      </c>
      <c r="M160" s="541" t="s">
        <v>266</v>
      </c>
      <c r="N160" s="541" t="s">
        <v>260</v>
      </c>
      <c r="O160" s="541" t="s">
        <v>266</v>
      </c>
      <c r="P160" s="541" t="s">
        <v>260</v>
      </c>
      <c r="Q160" s="541" t="s">
        <v>266</v>
      </c>
      <c r="R160" s="541" t="s">
        <v>260</v>
      </c>
      <c r="S160" s="541" t="s">
        <v>266</v>
      </c>
      <c r="T160" s="541" t="s">
        <v>260</v>
      </c>
      <c r="U160" s="541" t="s">
        <v>266</v>
      </c>
      <c r="V160" s="300" t="s">
        <v>260</v>
      </c>
    </row>
    <row r="161" spans="2:3">
      <c r="B161" s="541" t="s">
        <v>264</v>
      </c>
      <c r="C161" s="541" t="s">
        <v>263</v>
      </c>
    </row>
    <row r="162" spans="2:3">
      <c r="B162" s="541" t="s">
        <v>128</v>
      </c>
      <c r="C162" s="541" t="s">
        <v>1</v>
      </c>
    </row>
    <row r="163" spans="2:3">
      <c r="B163" s="541" t="s">
        <v>2</v>
      </c>
      <c r="C163" s="541" t="s">
        <v>168</v>
      </c>
    </row>
    <row r="164" spans="2:3">
      <c r="B164" s="541" t="s">
        <v>3</v>
      </c>
      <c r="C164" s="541" t="s">
        <v>4</v>
      </c>
    </row>
    <row r="165" spans="2:3">
      <c r="B165" s="541" t="s">
        <v>5</v>
      </c>
      <c r="C165" s="541" t="s">
        <v>6</v>
      </c>
    </row>
    <row r="166" spans="2:3">
      <c r="B166" s="541" t="s">
        <v>7</v>
      </c>
      <c r="C166" s="541" t="s">
        <v>8</v>
      </c>
    </row>
    <row r="167" spans="2:3">
      <c r="B167" s="541" t="s">
        <v>9</v>
      </c>
      <c r="C167" s="541" t="s">
        <v>10</v>
      </c>
    </row>
    <row r="168" spans="2:3">
      <c r="B168" s="541" t="s">
        <v>11</v>
      </c>
      <c r="C168" s="541" t="s">
        <v>267</v>
      </c>
    </row>
    <row r="169" spans="2:3">
      <c r="B169" s="541" t="s">
        <v>12</v>
      </c>
      <c r="C169" s="541" t="s">
        <v>13</v>
      </c>
    </row>
    <row r="170" spans="2:3">
      <c r="B170" s="541" t="s">
        <v>14</v>
      </c>
      <c r="C170" s="541" t="s">
        <v>15</v>
      </c>
    </row>
    <row r="171" spans="2:3">
      <c r="B171" s="541" t="s">
        <v>16</v>
      </c>
      <c r="C171" s="541" t="s">
        <v>18</v>
      </c>
    </row>
    <row r="172" spans="2:3">
      <c r="B172" s="541" t="s">
        <v>19</v>
      </c>
      <c r="C172" s="541" t="s">
        <v>20</v>
      </c>
    </row>
    <row r="173" spans="2:3">
      <c r="B173" s="541" t="s">
        <v>21</v>
      </c>
      <c r="C173" s="541" t="s">
        <v>22</v>
      </c>
    </row>
    <row r="174" spans="2:3">
      <c r="B174" s="541" t="s">
        <v>23</v>
      </c>
      <c r="C174" s="541" t="s">
        <v>24</v>
      </c>
    </row>
    <row r="175" spans="2:3">
      <c r="B175" s="541" t="s">
        <v>25</v>
      </c>
      <c r="C175" s="541" t="s">
        <v>26</v>
      </c>
    </row>
    <row r="176" spans="2:3">
      <c r="B176" s="541" t="s">
        <v>27</v>
      </c>
      <c r="C176" s="541" t="s">
        <v>28</v>
      </c>
    </row>
    <row r="177" spans="2:3">
      <c r="B177" s="541" t="s">
        <v>29</v>
      </c>
      <c r="C177" s="541" t="s">
        <v>30</v>
      </c>
    </row>
    <row r="178" spans="2:3">
      <c r="B178" s="541" t="s">
        <v>31</v>
      </c>
      <c r="C178" s="541" t="s">
        <v>176</v>
      </c>
    </row>
    <row r="179" spans="2:3">
      <c r="B179" s="541" t="s">
        <v>32</v>
      </c>
      <c r="C179" s="541" t="s">
        <v>33</v>
      </c>
    </row>
    <row r="180" spans="2:3">
      <c r="B180" s="541" t="s">
        <v>34</v>
      </c>
      <c r="C180" s="541" t="s">
        <v>271</v>
      </c>
    </row>
    <row r="181" spans="2:3">
      <c r="B181" s="541" t="s">
        <v>36</v>
      </c>
      <c r="C181" s="541" t="s">
        <v>276</v>
      </c>
    </row>
    <row r="182" spans="2:3">
      <c r="B182" s="541" t="s">
        <v>37</v>
      </c>
      <c r="C182" s="541" t="s">
        <v>38</v>
      </c>
    </row>
    <row r="183" spans="2:3">
      <c r="B183" s="541" t="s">
        <v>39</v>
      </c>
      <c r="C183" s="541" t="s">
        <v>169</v>
      </c>
    </row>
    <row r="184" spans="2:3">
      <c r="B184" s="541" t="s">
        <v>40</v>
      </c>
      <c r="C184" s="541" t="s">
        <v>41</v>
      </c>
    </row>
    <row r="185" spans="2:3">
      <c r="B185" s="541" t="s">
        <v>42</v>
      </c>
      <c r="C185" s="541" t="s">
        <v>43</v>
      </c>
    </row>
    <row r="186" spans="2:3">
      <c r="B186" s="541" t="s">
        <v>163</v>
      </c>
      <c r="C186" s="541" t="s">
        <v>281</v>
      </c>
    </row>
    <row r="187" spans="2:3">
      <c r="B187" s="541" t="s">
        <v>44</v>
      </c>
      <c r="C187" s="541" t="s">
        <v>280</v>
      </c>
    </row>
    <row r="188" spans="2:3">
      <c r="B188" s="541" t="s">
        <v>45</v>
      </c>
      <c r="C188" s="541" t="s">
        <v>46</v>
      </c>
    </row>
    <row r="189" spans="2:3">
      <c r="B189" s="541" t="s">
        <v>47</v>
      </c>
      <c r="C189" s="541" t="s">
        <v>48</v>
      </c>
    </row>
    <row r="190" spans="2:3">
      <c r="B190" s="541" t="s">
        <v>49</v>
      </c>
      <c r="C190" s="541" t="s">
        <v>272</v>
      </c>
    </row>
    <row r="191" spans="2:3">
      <c r="B191" s="541" t="s">
        <v>50</v>
      </c>
      <c r="C191" s="541" t="s">
        <v>170</v>
      </c>
    </row>
    <row r="192" spans="2:3">
      <c r="B192" s="541" t="s">
        <v>51</v>
      </c>
      <c r="C192" s="541" t="s">
        <v>52</v>
      </c>
    </row>
    <row r="193" spans="2:3">
      <c r="B193" s="541" t="s">
        <v>53</v>
      </c>
      <c r="C193" s="541" t="s">
        <v>54</v>
      </c>
    </row>
    <row r="194" spans="2:3">
      <c r="B194" s="541" t="s">
        <v>55</v>
      </c>
      <c r="C194" s="541" t="s">
        <v>56</v>
      </c>
    </row>
    <row r="195" spans="2:3">
      <c r="B195" s="541" t="s">
        <v>57</v>
      </c>
      <c r="C195" s="541" t="s">
        <v>58</v>
      </c>
    </row>
    <row r="196" spans="2:3">
      <c r="B196" s="541" t="s">
        <v>59</v>
      </c>
      <c r="C196" s="541" t="s">
        <v>60</v>
      </c>
    </row>
    <row r="197" spans="2:3">
      <c r="B197" s="541" t="s">
        <v>53</v>
      </c>
      <c r="C197" s="541" t="s">
        <v>54</v>
      </c>
    </row>
    <row r="198" spans="2:3">
      <c r="B198" s="537" t="s">
        <v>258</v>
      </c>
      <c r="C198" s="541" t="s">
        <v>61</v>
      </c>
    </row>
    <row r="199" spans="2:3">
      <c r="B199" s="541" t="s">
        <v>123</v>
      </c>
      <c r="C199" s="541" t="s">
        <v>147</v>
      </c>
    </row>
    <row r="200" spans="2:3">
      <c r="B200" s="541" t="s">
        <v>62</v>
      </c>
      <c r="C200" s="541" t="s">
        <v>353</v>
      </c>
    </row>
    <row r="201" spans="2:3">
      <c r="B201" s="541" t="s">
        <v>265</v>
      </c>
      <c r="C201" s="541" t="s">
        <v>273</v>
      </c>
    </row>
    <row r="202" spans="2:3">
      <c r="B202" s="541" t="s">
        <v>63</v>
      </c>
      <c r="C202" s="541" t="s">
        <v>354</v>
      </c>
    </row>
    <row r="203" spans="2:3">
      <c r="B203" s="541" t="s">
        <v>64</v>
      </c>
      <c r="C203" s="541" t="s">
        <v>65</v>
      </c>
    </row>
    <row r="204" spans="2:3">
      <c r="B204" s="541" t="s">
        <v>66</v>
      </c>
      <c r="C204" s="541" t="s">
        <v>67</v>
      </c>
    </row>
    <row r="205" spans="2:3">
      <c r="B205" s="541" t="s">
        <v>68</v>
      </c>
      <c r="C205" s="541" t="s">
        <v>69</v>
      </c>
    </row>
    <row r="206" spans="2:3">
      <c r="B206" s="541" t="s">
        <v>70</v>
      </c>
      <c r="C206" s="541" t="s">
        <v>71</v>
      </c>
    </row>
    <row r="207" spans="2:3">
      <c r="B207" s="541" t="s">
        <v>72</v>
      </c>
      <c r="C207" s="541" t="s">
        <v>73</v>
      </c>
    </row>
    <row r="208" spans="2:3">
      <c r="B208" s="541" t="s">
        <v>74</v>
      </c>
      <c r="C208" s="541" t="s">
        <v>274</v>
      </c>
    </row>
    <row r="209" spans="2:3">
      <c r="B209" s="541" t="s">
        <v>75</v>
      </c>
      <c r="C209" s="541" t="s">
        <v>76</v>
      </c>
    </row>
    <row r="210" spans="2:3">
      <c r="B210" s="541" t="s">
        <v>77</v>
      </c>
      <c r="C210" s="541" t="s">
        <v>78</v>
      </c>
    </row>
    <row r="211" spans="2:3">
      <c r="B211" s="541" t="s">
        <v>79</v>
      </c>
      <c r="C211" s="541" t="s">
        <v>275</v>
      </c>
    </row>
    <row r="212" spans="2:3">
      <c r="B212" s="541" t="s">
        <v>80</v>
      </c>
      <c r="C212" s="541" t="s">
        <v>81</v>
      </c>
    </row>
    <row r="213" spans="2:3">
      <c r="B213" s="541" t="s">
        <v>82</v>
      </c>
      <c r="C213" s="541" t="s">
        <v>83</v>
      </c>
    </row>
    <row r="214" spans="2:3">
      <c r="B214" s="541" t="s">
        <v>84</v>
      </c>
      <c r="C214" s="541" t="s">
        <v>85</v>
      </c>
    </row>
    <row r="215" spans="2:3">
      <c r="B215" s="541" t="s">
        <v>86</v>
      </c>
      <c r="C215" s="541" t="s">
        <v>355</v>
      </c>
    </row>
    <row r="216" spans="2:3">
      <c r="B216" s="541" t="s">
        <v>87</v>
      </c>
      <c r="C216" s="541" t="s">
        <v>88</v>
      </c>
    </row>
    <row r="217" spans="2:3">
      <c r="B217" s="541" t="s">
        <v>89</v>
      </c>
      <c r="C217" s="541" t="s">
        <v>90</v>
      </c>
    </row>
    <row r="218" spans="2:3">
      <c r="B218" s="541" t="s">
        <v>91</v>
      </c>
      <c r="C218" s="541" t="s">
        <v>92</v>
      </c>
    </row>
    <row r="219" spans="2:3">
      <c r="B219" s="541" t="s">
        <v>93</v>
      </c>
      <c r="C219" s="541" t="s">
        <v>94</v>
      </c>
    </row>
    <row r="220" spans="2:3">
      <c r="B220" s="541" t="s">
        <v>95</v>
      </c>
      <c r="C220" s="541" t="s">
        <v>96</v>
      </c>
    </row>
    <row r="221" spans="2:3">
      <c r="B221" s="541" t="s">
        <v>97</v>
      </c>
      <c r="C221" s="541" t="s">
        <v>98</v>
      </c>
    </row>
    <row r="222" spans="2:3">
      <c r="B222" s="541" t="s">
        <v>99</v>
      </c>
      <c r="C222" s="541" t="s">
        <v>101</v>
      </c>
    </row>
    <row r="223" spans="2:3">
      <c r="B223" s="541" t="s">
        <v>102</v>
      </c>
      <c r="C223" s="541" t="s">
        <v>103</v>
      </c>
    </row>
    <row r="224" spans="2:3">
      <c r="B224" s="541" t="s">
        <v>104</v>
      </c>
      <c r="C224" s="541" t="s">
        <v>105</v>
      </c>
    </row>
    <row r="225" spans="2:3">
      <c r="B225" s="541" t="s">
        <v>106</v>
      </c>
      <c r="C225" s="541" t="s">
        <v>107</v>
      </c>
    </row>
    <row r="226" spans="2:3">
      <c r="B226" s="541" t="s">
        <v>108</v>
      </c>
      <c r="C226" s="542" t="s">
        <v>174</v>
      </c>
    </row>
    <row r="227" spans="2:3">
      <c r="B227" s="541" t="s">
        <v>109</v>
      </c>
      <c r="C227" s="542" t="s">
        <v>175</v>
      </c>
    </row>
    <row r="228" spans="2:3">
      <c r="B228" s="541" t="s">
        <v>164</v>
      </c>
      <c r="C228" s="541" t="s">
        <v>356</v>
      </c>
    </row>
    <row r="229" spans="2:3">
      <c r="B229" s="541" t="s">
        <v>110</v>
      </c>
      <c r="C229" s="542" t="s">
        <v>177</v>
      </c>
    </row>
    <row r="230" spans="2:3">
      <c r="B230" s="541" t="s">
        <v>111</v>
      </c>
      <c r="C230" s="541" t="s">
        <v>112</v>
      </c>
    </row>
    <row r="231" spans="2:3">
      <c r="B231" s="541" t="s">
        <v>113</v>
      </c>
      <c r="C231" s="541" t="s">
        <v>114</v>
      </c>
    </row>
    <row r="232" spans="2:3">
      <c r="B232" s="541" t="s">
        <v>115</v>
      </c>
      <c r="C232" s="541" t="s">
        <v>117</v>
      </c>
    </row>
    <row r="233" spans="2:3">
      <c r="B233" s="541" t="s">
        <v>118</v>
      </c>
      <c r="C233" s="541" t="s">
        <v>119</v>
      </c>
    </row>
    <row r="234" spans="2:3">
      <c r="B234" s="541" t="s">
        <v>152</v>
      </c>
      <c r="C234" s="542" t="s">
        <v>178</v>
      </c>
    </row>
    <row r="235" spans="2:3">
      <c r="B235" s="541" t="s">
        <v>268</v>
      </c>
      <c r="C235" s="541" t="s">
        <v>290</v>
      </c>
    </row>
    <row r="236" spans="2:3">
      <c r="B236" s="541" t="s">
        <v>133</v>
      </c>
      <c r="C236" s="542" t="s">
        <v>179</v>
      </c>
    </row>
    <row r="237" spans="2:3">
      <c r="B237" s="541" t="s">
        <v>0</v>
      </c>
      <c r="C237" s="542" t="s">
        <v>134</v>
      </c>
    </row>
    <row r="238" spans="2:3">
      <c r="B238" s="541" t="s">
        <v>159</v>
      </c>
      <c r="C238" s="542" t="s">
        <v>136</v>
      </c>
    </row>
    <row r="239" spans="2:3">
      <c r="B239" s="541" t="s">
        <v>160</v>
      </c>
      <c r="C239" s="542" t="s">
        <v>138</v>
      </c>
    </row>
    <row r="240" spans="2:3">
      <c r="B240" s="541" t="s">
        <v>161</v>
      </c>
      <c r="C240" s="542" t="s">
        <v>139</v>
      </c>
    </row>
    <row r="241" spans="2:21">
      <c r="B241" s="541" t="s">
        <v>113</v>
      </c>
      <c r="C241" s="542" t="s">
        <v>140</v>
      </c>
    </row>
    <row r="242" spans="2:21">
      <c r="B242" s="541" t="s">
        <v>141</v>
      </c>
      <c r="C242" s="542" t="s">
        <v>142</v>
      </c>
    </row>
    <row r="243" spans="2:21">
      <c r="B243" s="541" t="s">
        <v>121</v>
      </c>
      <c r="C243" s="542" t="s">
        <v>143</v>
      </c>
    </row>
    <row r="244" spans="2:21">
      <c r="B244" s="541" t="s">
        <v>144</v>
      </c>
      <c r="C244" s="542" t="s">
        <v>145</v>
      </c>
    </row>
    <row r="245" spans="2:21">
      <c r="B245" s="541" t="s">
        <v>122</v>
      </c>
      <c r="C245" s="542" t="s">
        <v>146</v>
      </c>
    </row>
    <row r="246" spans="2:21">
      <c r="B246" s="541" t="s">
        <v>124</v>
      </c>
      <c r="C246" s="542" t="s">
        <v>148</v>
      </c>
    </row>
    <row r="247" spans="2:21">
      <c r="B247" s="541" t="s">
        <v>123</v>
      </c>
      <c r="C247" s="535" t="s">
        <v>147</v>
      </c>
    </row>
    <row r="248" spans="2:21">
      <c r="B248" s="541" t="s">
        <v>165</v>
      </c>
      <c r="C248" s="535" t="s">
        <v>278</v>
      </c>
    </row>
    <row r="249" spans="2:21">
      <c r="B249" s="541" t="s">
        <v>166</v>
      </c>
      <c r="C249" s="535" t="s">
        <v>279</v>
      </c>
    </row>
    <row r="250" spans="2:21">
      <c r="B250" s="541" t="s">
        <v>269</v>
      </c>
      <c r="C250" s="541" t="s">
        <v>277</v>
      </c>
    </row>
    <row r="253" spans="2:21">
      <c r="B253" s="1272" t="s">
        <v>282</v>
      </c>
      <c r="C253" s="1272"/>
      <c r="D253" s="1272"/>
      <c r="E253" s="1272"/>
      <c r="F253" s="1272"/>
      <c r="G253" s="1272"/>
      <c r="H253" s="1272"/>
      <c r="I253" s="1272"/>
      <c r="J253" s="1272"/>
      <c r="K253" s="1272"/>
      <c r="L253" s="1272"/>
      <c r="M253" s="1272"/>
      <c r="N253" s="1272"/>
      <c r="O253" s="1272"/>
      <c r="P253" s="1272"/>
      <c r="Q253" s="1272"/>
      <c r="R253" s="1272"/>
      <c r="S253" s="1272"/>
      <c r="T253" s="1272"/>
    </row>
    <row r="256" spans="2:21">
      <c r="C256" s="541">
        <v>2006</v>
      </c>
      <c r="E256" s="541">
        <v>2007</v>
      </c>
      <c r="G256" s="541">
        <v>2008</v>
      </c>
      <c r="I256" s="541">
        <v>2009</v>
      </c>
      <c r="K256" s="541">
        <v>2010</v>
      </c>
      <c r="M256" s="541">
        <v>2011</v>
      </c>
      <c r="O256" s="541">
        <v>2012</v>
      </c>
      <c r="Q256" s="541">
        <v>2013</v>
      </c>
      <c r="S256" s="541">
        <v>2014</v>
      </c>
      <c r="U256" s="541">
        <v>2015</v>
      </c>
    </row>
    <row r="257" spans="2:22">
      <c r="B257" s="541" t="s">
        <v>238</v>
      </c>
      <c r="C257" s="541" t="s">
        <v>266</v>
      </c>
      <c r="D257" s="541" t="s">
        <v>154</v>
      </c>
      <c r="E257" s="541" t="s">
        <v>266</v>
      </c>
      <c r="F257" s="541" t="s">
        <v>154</v>
      </c>
      <c r="G257" s="541" t="s">
        <v>266</v>
      </c>
      <c r="H257" s="541" t="s">
        <v>154</v>
      </c>
      <c r="I257" s="541" t="s">
        <v>266</v>
      </c>
      <c r="J257" s="541" t="s">
        <v>154</v>
      </c>
      <c r="K257" s="541" t="s">
        <v>266</v>
      </c>
      <c r="L257" s="541" t="s">
        <v>154</v>
      </c>
      <c r="M257" s="541" t="s">
        <v>266</v>
      </c>
      <c r="N257" s="541" t="s">
        <v>154</v>
      </c>
      <c r="O257" s="541" t="s">
        <v>266</v>
      </c>
      <c r="P257" s="541" t="s">
        <v>154</v>
      </c>
      <c r="Q257" s="541" t="s">
        <v>266</v>
      </c>
      <c r="R257" s="541" t="s">
        <v>154</v>
      </c>
      <c r="S257" s="541" t="s">
        <v>266</v>
      </c>
      <c r="T257" s="541" t="s">
        <v>154</v>
      </c>
      <c r="U257" s="541" t="s">
        <v>266</v>
      </c>
      <c r="V257" s="300" t="s">
        <v>154</v>
      </c>
    </row>
    <row r="258" spans="2:22">
      <c r="B258" s="541" t="s">
        <v>193</v>
      </c>
      <c r="C258" s="541" t="s">
        <v>266</v>
      </c>
      <c r="D258" s="541" t="s">
        <v>260</v>
      </c>
      <c r="E258" s="541" t="s">
        <v>266</v>
      </c>
      <c r="F258" s="541" t="s">
        <v>260</v>
      </c>
      <c r="G258" s="541" t="s">
        <v>266</v>
      </c>
      <c r="H258" s="541" t="s">
        <v>260</v>
      </c>
      <c r="I258" s="541" t="s">
        <v>266</v>
      </c>
      <c r="J258" s="541" t="s">
        <v>260</v>
      </c>
      <c r="K258" s="541" t="s">
        <v>266</v>
      </c>
      <c r="L258" s="541" t="s">
        <v>260</v>
      </c>
      <c r="M258" s="541" t="s">
        <v>266</v>
      </c>
      <c r="N258" s="541" t="s">
        <v>260</v>
      </c>
      <c r="O258" s="541" t="s">
        <v>266</v>
      </c>
      <c r="P258" s="541" t="s">
        <v>260</v>
      </c>
      <c r="Q258" s="541" t="s">
        <v>266</v>
      </c>
      <c r="R258" s="541" t="s">
        <v>260</v>
      </c>
      <c r="S258" s="541" t="s">
        <v>266</v>
      </c>
      <c r="T258" s="541" t="s">
        <v>260</v>
      </c>
      <c r="U258" s="541" t="s">
        <v>266</v>
      </c>
      <c r="V258" s="300" t="s">
        <v>260</v>
      </c>
    </row>
    <row r="259" spans="2:22">
      <c r="B259" s="541" t="s">
        <v>128</v>
      </c>
      <c r="C259" s="541" t="s">
        <v>1</v>
      </c>
    </row>
    <row r="260" spans="2:22">
      <c r="B260" s="541" t="s">
        <v>2</v>
      </c>
      <c r="C260" s="541" t="s">
        <v>168</v>
      </c>
    </row>
    <row r="261" spans="2:22">
      <c r="B261" s="541" t="s">
        <v>3</v>
      </c>
      <c r="C261" s="541" t="s">
        <v>4</v>
      </c>
    </row>
    <row r="262" spans="2:22">
      <c r="B262" s="541" t="s">
        <v>5</v>
      </c>
      <c r="C262" s="541" t="s">
        <v>6</v>
      </c>
    </row>
    <row r="263" spans="2:22">
      <c r="B263" s="541" t="s">
        <v>7</v>
      </c>
      <c r="C263" s="541" t="s">
        <v>8</v>
      </c>
    </row>
    <row r="264" spans="2:22">
      <c r="B264" s="541" t="s">
        <v>9</v>
      </c>
      <c r="C264" s="541" t="s">
        <v>10</v>
      </c>
    </row>
    <row r="265" spans="2:22">
      <c r="B265" s="541" t="s">
        <v>12</v>
      </c>
      <c r="C265" s="541" t="s">
        <v>13</v>
      </c>
    </row>
    <row r="266" spans="2:22">
      <c r="B266" s="541" t="s">
        <v>14</v>
      </c>
      <c r="C266" s="541" t="s">
        <v>15</v>
      </c>
    </row>
    <row r="267" spans="2:22">
      <c r="B267" s="541" t="s">
        <v>11</v>
      </c>
      <c r="C267" s="541" t="s">
        <v>285</v>
      </c>
    </row>
    <row r="268" spans="2:22">
      <c r="B268" s="541" t="s">
        <v>16</v>
      </c>
      <c r="C268" s="541" t="s">
        <v>18</v>
      </c>
    </row>
    <row r="269" spans="2:22">
      <c r="B269" s="541" t="s">
        <v>19</v>
      </c>
      <c r="C269" s="541" t="s">
        <v>20</v>
      </c>
    </row>
    <row r="270" spans="2:22">
      <c r="B270" s="541" t="s">
        <v>21</v>
      </c>
      <c r="C270" s="541" t="s">
        <v>22</v>
      </c>
    </row>
    <row r="271" spans="2:22">
      <c r="B271" s="541" t="s">
        <v>23</v>
      </c>
      <c r="C271" s="541" t="s">
        <v>24</v>
      </c>
    </row>
    <row r="272" spans="2:22">
      <c r="B272" s="541" t="s">
        <v>25</v>
      </c>
      <c r="C272" s="541" t="s">
        <v>26</v>
      </c>
    </row>
    <row r="273" spans="2:3">
      <c r="B273" s="541" t="s">
        <v>27</v>
      </c>
      <c r="C273" s="541" t="s">
        <v>28</v>
      </c>
    </row>
    <row r="274" spans="2:3">
      <c r="B274" s="541" t="s">
        <v>29</v>
      </c>
      <c r="C274" s="541" t="s">
        <v>30</v>
      </c>
    </row>
    <row r="275" spans="2:3">
      <c r="B275" s="541" t="s">
        <v>39</v>
      </c>
      <c r="C275" s="541" t="s">
        <v>169</v>
      </c>
    </row>
    <row r="276" spans="2:3">
      <c r="B276" s="541" t="s">
        <v>53</v>
      </c>
      <c r="C276" s="541" t="s">
        <v>54</v>
      </c>
    </row>
    <row r="277" spans="2:3">
      <c r="B277" s="537" t="s">
        <v>258</v>
      </c>
      <c r="C277" s="541" t="s">
        <v>61</v>
      </c>
    </row>
    <row r="278" spans="2:3">
      <c r="B278" s="541" t="s">
        <v>238</v>
      </c>
      <c r="C278" s="541" t="s">
        <v>286</v>
      </c>
    </row>
    <row r="279" spans="2:3">
      <c r="B279" s="541" t="s">
        <v>283</v>
      </c>
      <c r="C279" s="541" t="s">
        <v>287</v>
      </c>
    </row>
    <row r="280" spans="2:3">
      <c r="B280" s="541" t="s">
        <v>63</v>
      </c>
      <c r="C280" s="541" t="s">
        <v>354</v>
      </c>
    </row>
    <row r="281" spans="2:3">
      <c r="B281" s="541" t="s">
        <v>64</v>
      </c>
      <c r="C281" s="541" t="s">
        <v>65</v>
      </c>
    </row>
    <row r="282" spans="2:3">
      <c r="B282" s="541" t="s">
        <v>66</v>
      </c>
      <c r="C282" s="541" t="s">
        <v>67</v>
      </c>
    </row>
    <row r="283" spans="2:3">
      <c r="B283" s="541" t="s">
        <v>68</v>
      </c>
      <c r="C283" s="541" t="s">
        <v>69</v>
      </c>
    </row>
    <row r="284" spans="2:3">
      <c r="B284" s="541" t="s">
        <v>70</v>
      </c>
      <c r="C284" s="541" t="s">
        <v>71</v>
      </c>
    </row>
    <row r="285" spans="2:3">
      <c r="B285" s="541" t="s">
        <v>72</v>
      </c>
      <c r="C285" s="541" t="s">
        <v>73</v>
      </c>
    </row>
    <row r="286" spans="2:3">
      <c r="B286" s="541" t="s">
        <v>155</v>
      </c>
      <c r="C286" s="541" t="s">
        <v>274</v>
      </c>
    </row>
    <row r="287" spans="2:3">
      <c r="B287" s="541" t="s">
        <v>75</v>
      </c>
      <c r="C287" s="541" t="s">
        <v>76</v>
      </c>
    </row>
    <row r="288" spans="2:3">
      <c r="B288" s="541" t="s">
        <v>77</v>
      </c>
      <c r="C288" s="541" t="s">
        <v>78</v>
      </c>
    </row>
    <row r="289" spans="2:3">
      <c r="B289" s="541" t="s">
        <v>79</v>
      </c>
      <c r="C289" s="541" t="s">
        <v>275</v>
      </c>
    </row>
    <row r="290" spans="2:3">
      <c r="B290" s="541" t="s">
        <v>80</v>
      </c>
      <c r="C290" s="541" t="s">
        <v>81</v>
      </c>
    </row>
    <row r="291" spans="2:3">
      <c r="B291" s="541" t="s">
        <v>82</v>
      </c>
      <c r="C291" s="541" t="s">
        <v>83</v>
      </c>
    </row>
    <row r="292" spans="2:3">
      <c r="B292" s="541" t="s">
        <v>84</v>
      </c>
      <c r="C292" s="541" t="s">
        <v>85</v>
      </c>
    </row>
    <row r="293" spans="2:3">
      <c r="B293" s="541" t="s">
        <v>86</v>
      </c>
      <c r="C293" s="541" t="s">
        <v>355</v>
      </c>
    </row>
    <row r="294" spans="2:3">
      <c r="B294" s="541" t="s">
        <v>156</v>
      </c>
      <c r="C294" s="541" t="s">
        <v>357</v>
      </c>
    </row>
    <row r="295" spans="2:3">
      <c r="B295" s="541" t="s">
        <v>87</v>
      </c>
      <c r="C295" s="541" t="s">
        <v>88</v>
      </c>
    </row>
    <row r="296" spans="2:3">
      <c r="B296" s="541" t="s">
        <v>89</v>
      </c>
      <c r="C296" s="541" t="s">
        <v>90</v>
      </c>
    </row>
    <row r="297" spans="2:3">
      <c r="B297" s="541" t="s">
        <v>91</v>
      </c>
      <c r="C297" s="541" t="s">
        <v>92</v>
      </c>
    </row>
    <row r="298" spans="2:3">
      <c r="B298" s="541" t="s">
        <v>93</v>
      </c>
      <c r="C298" s="541" t="s">
        <v>94</v>
      </c>
    </row>
    <row r="299" spans="2:3">
      <c r="B299" s="541" t="s">
        <v>95</v>
      </c>
      <c r="C299" s="541" t="s">
        <v>96</v>
      </c>
    </row>
    <row r="300" spans="2:3">
      <c r="B300" s="541" t="s">
        <v>97</v>
      </c>
      <c r="C300" s="541" t="s">
        <v>98</v>
      </c>
    </row>
    <row r="301" spans="2:3">
      <c r="B301" s="541" t="s">
        <v>157</v>
      </c>
      <c r="C301" s="541" t="s">
        <v>101</v>
      </c>
    </row>
    <row r="302" spans="2:3">
      <c r="B302" s="541" t="s">
        <v>102</v>
      </c>
      <c r="C302" s="541" t="s">
        <v>103</v>
      </c>
    </row>
    <row r="303" spans="2:3">
      <c r="B303" s="541" t="s">
        <v>104</v>
      </c>
      <c r="C303" s="541" t="s">
        <v>105</v>
      </c>
    </row>
    <row r="304" spans="2:3">
      <c r="B304" s="541" t="s">
        <v>109</v>
      </c>
      <c r="C304" s="542" t="s">
        <v>175</v>
      </c>
    </row>
    <row r="305" spans="2:3">
      <c r="B305" s="541" t="s">
        <v>106</v>
      </c>
      <c r="C305" s="541" t="s">
        <v>107</v>
      </c>
    </row>
    <row r="306" spans="2:3">
      <c r="B306" s="541" t="s">
        <v>284</v>
      </c>
      <c r="C306" s="541" t="s">
        <v>356</v>
      </c>
    </row>
    <row r="307" spans="2:3">
      <c r="B307" s="541" t="s">
        <v>110</v>
      </c>
      <c r="C307" s="541" t="s">
        <v>288</v>
      </c>
    </row>
    <row r="308" spans="2:3">
      <c r="B308" s="541" t="s">
        <v>158</v>
      </c>
      <c r="C308" s="541" t="s">
        <v>289</v>
      </c>
    </row>
    <row r="309" spans="2:3">
      <c r="B309" s="541" t="s">
        <v>111</v>
      </c>
      <c r="C309" s="541" t="s">
        <v>112</v>
      </c>
    </row>
    <row r="310" spans="2:3">
      <c r="B310" s="541" t="s">
        <v>113</v>
      </c>
      <c r="C310" s="541" t="s">
        <v>114</v>
      </c>
    </row>
    <row r="311" spans="2:3">
      <c r="B311" s="541" t="s">
        <v>116</v>
      </c>
      <c r="C311" s="541" t="s">
        <v>117</v>
      </c>
    </row>
    <row r="312" spans="2:3">
      <c r="B312" s="541" t="s">
        <v>118</v>
      </c>
      <c r="C312" s="541" t="s">
        <v>119</v>
      </c>
    </row>
    <row r="313" spans="2:3">
      <c r="B313" s="541" t="s">
        <v>152</v>
      </c>
      <c r="C313" s="542" t="s">
        <v>178</v>
      </c>
    </row>
    <row r="314" spans="2:3">
      <c r="B314" s="541" t="s">
        <v>268</v>
      </c>
      <c r="C314" s="541" t="s">
        <v>290</v>
      </c>
    </row>
    <row r="315" spans="2:3">
      <c r="B315" s="541" t="s">
        <v>133</v>
      </c>
      <c r="C315" s="542" t="s">
        <v>179</v>
      </c>
    </row>
    <row r="316" spans="2:3">
      <c r="B316" s="541" t="s">
        <v>0</v>
      </c>
      <c r="C316" s="542" t="s">
        <v>134</v>
      </c>
    </row>
    <row r="317" spans="2:3">
      <c r="B317" s="541" t="s">
        <v>159</v>
      </c>
      <c r="C317" s="542" t="s">
        <v>136</v>
      </c>
    </row>
    <row r="318" spans="2:3">
      <c r="B318" s="541" t="s">
        <v>160</v>
      </c>
      <c r="C318" s="542" t="s">
        <v>138</v>
      </c>
    </row>
    <row r="319" spans="2:3">
      <c r="B319" s="541" t="s">
        <v>116</v>
      </c>
      <c r="C319" s="542" t="s">
        <v>139</v>
      </c>
    </row>
    <row r="320" spans="2:3">
      <c r="B320" s="541" t="s">
        <v>113</v>
      </c>
      <c r="C320" s="542" t="s">
        <v>140</v>
      </c>
    </row>
    <row r="321" spans="2:20">
      <c r="B321" s="541" t="s">
        <v>141</v>
      </c>
      <c r="C321" s="542" t="s">
        <v>142</v>
      </c>
    </row>
    <row r="322" spans="2:20">
      <c r="B322" s="541" t="s">
        <v>121</v>
      </c>
      <c r="C322" s="542" t="s">
        <v>291</v>
      </c>
    </row>
    <row r="323" spans="2:20">
      <c r="B323" s="541" t="s">
        <v>144</v>
      </c>
      <c r="C323" s="542" t="s">
        <v>145</v>
      </c>
    </row>
    <row r="324" spans="2:20">
      <c r="B324" s="541" t="s">
        <v>122</v>
      </c>
      <c r="C324" s="542" t="s">
        <v>146</v>
      </c>
    </row>
    <row r="325" spans="2:20">
      <c r="B325" s="541" t="s">
        <v>123</v>
      </c>
      <c r="C325" s="535" t="s">
        <v>147</v>
      </c>
    </row>
    <row r="326" spans="2:20">
      <c r="B326" s="541" t="s">
        <v>124</v>
      </c>
      <c r="C326" s="542" t="s">
        <v>292</v>
      </c>
    </row>
    <row r="327" spans="2:20">
      <c r="B327" s="541" t="s">
        <v>162</v>
      </c>
      <c r="C327" s="542" t="s">
        <v>149</v>
      </c>
    </row>
    <row r="328" spans="2:20">
      <c r="B328" s="541" t="s">
        <v>269</v>
      </c>
      <c r="C328" s="541" t="s">
        <v>277</v>
      </c>
    </row>
    <row r="331" spans="2:20">
      <c r="B331" s="1272" t="s">
        <v>318</v>
      </c>
      <c r="C331" s="1272"/>
      <c r="D331" s="1272"/>
      <c r="E331" s="1272"/>
      <c r="F331" s="1272"/>
      <c r="G331" s="1272"/>
      <c r="H331" s="1272"/>
      <c r="I331" s="1272"/>
      <c r="J331" s="1272"/>
      <c r="K331" s="1272"/>
      <c r="L331" s="1272"/>
      <c r="M331" s="1272"/>
      <c r="N331" s="1272"/>
      <c r="O331" s="1272"/>
      <c r="P331" s="1272"/>
      <c r="Q331" s="1272"/>
      <c r="R331" s="1272"/>
      <c r="S331" s="1272"/>
      <c r="T331" s="1272"/>
    </row>
    <row r="334" spans="2:20">
      <c r="C334" s="541">
        <v>2013</v>
      </c>
    </row>
    <row r="335" spans="2:20">
      <c r="B335" s="541" t="s">
        <v>410</v>
      </c>
      <c r="C335" s="541" t="s">
        <v>296</v>
      </c>
      <c r="D335" s="541" t="s">
        <v>297</v>
      </c>
      <c r="E335" s="541" t="s">
        <v>298</v>
      </c>
      <c r="F335" s="541" t="s">
        <v>299</v>
      </c>
      <c r="G335" s="541" t="s">
        <v>300</v>
      </c>
      <c r="H335" s="541" t="s">
        <v>301</v>
      </c>
      <c r="I335" s="541" t="s">
        <v>302</v>
      </c>
      <c r="J335" s="541" t="s">
        <v>303</v>
      </c>
      <c r="K335" s="541" t="s">
        <v>304</v>
      </c>
      <c r="L335" s="541" t="s">
        <v>305</v>
      </c>
      <c r="M335" s="541" t="s">
        <v>306</v>
      </c>
      <c r="N335" s="541" t="s">
        <v>307</v>
      </c>
      <c r="O335" s="541" t="s">
        <v>409</v>
      </c>
    </row>
    <row r="336" spans="2:20">
      <c r="B336" s="541" t="s">
        <v>411</v>
      </c>
      <c r="C336" s="541" t="s">
        <v>319</v>
      </c>
      <c r="D336" s="541" t="s">
        <v>320</v>
      </c>
      <c r="E336" s="541" t="s">
        <v>321</v>
      </c>
      <c r="F336" s="541" t="s">
        <v>299</v>
      </c>
      <c r="G336" s="541" t="s">
        <v>322</v>
      </c>
      <c r="H336" s="541" t="s">
        <v>323</v>
      </c>
      <c r="I336" s="541" t="s">
        <v>324</v>
      </c>
      <c r="J336" s="541" t="s">
        <v>325</v>
      </c>
      <c r="K336" s="541" t="s">
        <v>326</v>
      </c>
      <c r="L336" s="541" t="s">
        <v>327</v>
      </c>
      <c r="M336" s="541" t="s">
        <v>328</v>
      </c>
      <c r="N336" s="541" t="s">
        <v>329</v>
      </c>
      <c r="O336" s="541" t="s">
        <v>408</v>
      </c>
    </row>
    <row r="337" spans="2:3">
      <c r="B337" s="541" t="s">
        <v>128</v>
      </c>
      <c r="C337" s="541" t="s">
        <v>1</v>
      </c>
    </row>
    <row r="338" spans="2:3">
      <c r="B338" s="541" t="s">
        <v>2</v>
      </c>
      <c r="C338" s="541" t="s">
        <v>168</v>
      </c>
    </row>
    <row r="339" spans="2:3">
      <c r="B339" s="541" t="s">
        <v>3</v>
      </c>
      <c r="C339" s="541" t="s">
        <v>4</v>
      </c>
    </row>
    <row r="340" spans="2:3">
      <c r="B340" s="541" t="s">
        <v>5</v>
      </c>
      <c r="C340" s="541" t="s">
        <v>6</v>
      </c>
    </row>
    <row r="341" spans="2:3">
      <c r="B341" s="541" t="s">
        <v>308</v>
      </c>
      <c r="C341" s="541" t="s">
        <v>8</v>
      </c>
    </row>
    <row r="342" spans="2:3">
      <c r="B342" s="541" t="s">
        <v>9</v>
      </c>
      <c r="C342" s="541" t="s">
        <v>10</v>
      </c>
    </row>
    <row r="343" spans="2:3">
      <c r="B343" s="541" t="s">
        <v>309</v>
      </c>
      <c r="C343" s="541" t="s">
        <v>13</v>
      </c>
    </row>
    <row r="344" spans="2:3">
      <c r="B344" s="541" t="s">
        <v>310</v>
      </c>
      <c r="C344" s="541" t="s">
        <v>15</v>
      </c>
    </row>
    <row r="345" spans="2:3">
      <c r="B345" s="541" t="s">
        <v>16</v>
      </c>
      <c r="C345" s="541" t="s">
        <v>18</v>
      </c>
    </row>
    <row r="346" spans="2:3">
      <c r="B346" s="541" t="s">
        <v>19</v>
      </c>
      <c r="C346" s="541" t="s">
        <v>20</v>
      </c>
    </row>
    <row r="347" spans="2:3">
      <c r="B347" s="541" t="s">
        <v>311</v>
      </c>
      <c r="C347" s="541" t="s">
        <v>22</v>
      </c>
    </row>
    <row r="348" spans="2:3">
      <c r="B348" s="541" t="s">
        <v>312</v>
      </c>
      <c r="C348" s="541" t="s">
        <v>24</v>
      </c>
    </row>
    <row r="349" spans="2:3">
      <c r="B349" s="541" t="s">
        <v>313</v>
      </c>
      <c r="C349" s="541" t="s">
        <v>26</v>
      </c>
    </row>
    <row r="350" spans="2:3">
      <c r="B350" s="541" t="s">
        <v>27</v>
      </c>
      <c r="C350" s="541" t="s">
        <v>28</v>
      </c>
    </row>
    <row r="351" spans="2:3">
      <c r="B351" s="541" t="s">
        <v>29</v>
      </c>
      <c r="C351" s="541" t="s">
        <v>30</v>
      </c>
    </row>
    <row r="352" spans="2:3">
      <c r="B352" s="541" t="s">
        <v>31</v>
      </c>
      <c r="C352" s="541" t="s">
        <v>176</v>
      </c>
    </row>
    <row r="353" spans="2:3">
      <c r="B353" s="541" t="s">
        <v>32</v>
      </c>
      <c r="C353" s="541" t="s">
        <v>33</v>
      </c>
    </row>
    <row r="354" spans="2:3">
      <c r="B354" s="541" t="s">
        <v>34</v>
      </c>
      <c r="C354" s="541" t="s">
        <v>35</v>
      </c>
    </row>
    <row r="355" spans="2:3">
      <c r="B355" s="541" t="s">
        <v>37</v>
      </c>
      <c r="C355" s="541" t="s">
        <v>38</v>
      </c>
    </row>
    <row r="356" spans="2:3">
      <c r="B356" s="541" t="s">
        <v>39</v>
      </c>
      <c r="C356" s="541" t="s">
        <v>169</v>
      </c>
    </row>
    <row r="357" spans="2:3">
      <c r="B357" s="541" t="s">
        <v>331</v>
      </c>
      <c r="C357" s="541" t="s">
        <v>41</v>
      </c>
    </row>
    <row r="358" spans="2:3">
      <c r="B358" s="541" t="s">
        <v>314</v>
      </c>
      <c r="C358" s="541" t="s">
        <v>43</v>
      </c>
    </row>
    <row r="359" spans="2:3">
      <c r="B359" s="541" t="s">
        <v>45</v>
      </c>
      <c r="C359" s="541" t="s">
        <v>46</v>
      </c>
    </row>
    <row r="360" spans="2:3">
      <c r="B360" s="541" t="s">
        <v>315</v>
      </c>
      <c r="C360" s="541" t="s">
        <v>48</v>
      </c>
    </row>
    <row r="361" spans="2:3">
      <c r="B361" s="541" t="s">
        <v>316</v>
      </c>
      <c r="C361" s="541" t="s">
        <v>170</v>
      </c>
    </row>
    <row r="362" spans="2:3">
      <c r="B362" s="541" t="s">
        <v>51</v>
      </c>
      <c r="C362" s="541" t="s">
        <v>52</v>
      </c>
    </row>
    <row r="363" spans="2:3">
      <c r="B363" s="541" t="s">
        <v>53</v>
      </c>
      <c r="C363" s="541" t="s">
        <v>54</v>
      </c>
    </row>
    <row r="364" spans="2:3">
      <c r="B364" s="541" t="s">
        <v>55</v>
      </c>
      <c r="C364" s="541" t="s">
        <v>56</v>
      </c>
    </row>
    <row r="365" spans="2:3">
      <c r="B365" s="541" t="s">
        <v>57</v>
      </c>
      <c r="C365" s="541" t="s">
        <v>58</v>
      </c>
    </row>
    <row r="366" spans="2:3">
      <c r="B366" s="541" t="s">
        <v>317</v>
      </c>
      <c r="C366" s="541" t="s">
        <v>60</v>
      </c>
    </row>
    <row r="367" spans="2:3">
      <c r="B367" s="541" t="s">
        <v>53</v>
      </c>
      <c r="C367" s="541" t="s">
        <v>54</v>
      </c>
    </row>
    <row r="368" spans="2:3">
      <c r="B368" s="537" t="s">
        <v>258</v>
      </c>
      <c r="C368" s="541" t="s">
        <v>61</v>
      </c>
    </row>
    <row r="369" spans="2:3">
      <c r="B369" s="541" t="s">
        <v>62</v>
      </c>
      <c r="C369" s="541" t="s">
        <v>353</v>
      </c>
    </row>
    <row r="370" spans="2:3">
      <c r="B370" s="541" t="s">
        <v>126</v>
      </c>
      <c r="C370" s="541" t="s">
        <v>171</v>
      </c>
    </row>
    <row r="371" spans="2:3">
      <c r="B371" s="541" t="s">
        <v>63</v>
      </c>
      <c r="C371" s="541" t="s">
        <v>354</v>
      </c>
    </row>
    <row r="372" spans="2:3">
      <c r="B372" s="541" t="s">
        <v>64</v>
      </c>
      <c r="C372" s="541" t="s">
        <v>65</v>
      </c>
    </row>
    <row r="373" spans="2:3">
      <c r="B373" s="541" t="s">
        <v>66</v>
      </c>
      <c r="C373" s="541" t="s">
        <v>67</v>
      </c>
    </row>
    <row r="374" spans="2:3">
      <c r="B374" s="541" t="s">
        <v>68</v>
      </c>
      <c r="C374" s="541" t="s">
        <v>69</v>
      </c>
    </row>
    <row r="375" spans="2:3">
      <c r="B375" s="541" t="s">
        <v>70</v>
      </c>
      <c r="C375" s="541" t="s">
        <v>71</v>
      </c>
    </row>
    <row r="376" spans="2:3">
      <c r="B376" s="541" t="s">
        <v>72</v>
      </c>
      <c r="C376" s="541" t="s">
        <v>73</v>
      </c>
    </row>
    <row r="377" spans="2:3">
      <c r="B377" s="541" t="s">
        <v>129</v>
      </c>
      <c r="C377" s="541" t="s">
        <v>180</v>
      </c>
    </row>
    <row r="378" spans="2:3">
      <c r="B378" s="541" t="s">
        <v>75</v>
      </c>
      <c r="C378" s="541" t="s">
        <v>76</v>
      </c>
    </row>
    <row r="379" spans="2:3">
      <c r="B379" s="541" t="s">
        <v>77</v>
      </c>
      <c r="C379" s="541" t="s">
        <v>78</v>
      </c>
    </row>
    <row r="380" spans="2:3">
      <c r="B380" s="541" t="s">
        <v>79</v>
      </c>
      <c r="C380" s="541" t="s">
        <v>151</v>
      </c>
    </row>
    <row r="381" spans="2:3">
      <c r="B381" s="541" t="s">
        <v>80</v>
      </c>
      <c r="C381" s="541" t="s">
        <v>81</v>
      </c>
    </row>
    <row r="382" spans="2:3">
      <c r="B382" s="541" t="s">
        <v>82</v>
      </c>
      <c r="C382" s="541" t="s">
        <v>83</v>
      </c>
    </row>
    <row r="383" spans="2:3">
      <c r="B383" s="541" t="s">
        <v>84</v>
      </c>
      <c r="C383" s="541" t="s">
        <v>85</v>
      </c>
    </row>
    <row r="384" spans="2:3">
      <c r="B384" s="541" t="s">
        <v>86</v>
      </c>
      <c r="C384" s="541" t="s">
        <v>355</v>
      </c>
    </row>
    <row r="385" spans="2:3">
      <c r="B385" s="541" t="s">
        <v>130</v>
      </c>
      <c r="C385" s="541" t="s">
        <v>181</v>
      </c>
    </row>
    <row r="386" spans="2:3">
      <c r="B386" s="541" t="s">
        <v>87</v>
      </c>
      <c r="C386" s="541" t="s">
        <v>88</v>
      </c>
    </row>
    <row r="387" spans="2:3">
      <c r="B387" s="541" t="s">
        <v>89</v>
      </c>
      <c r="C387" s="541" t="s">
        <v>90</v>
      </c>
    </row>
    <row r="388" spans="2:3">
      <c r="B388" s="541" t="s">
        <v>91</v>
      </c>
      <c r="C388" s="541" t="s">
        <v>92</v>
      </c>
    </row>
    <row r="389" spans="2:3">
      <c r="B389" s="541" t="s">
        <v>93</v>
      </c>
      <c r="C389" s="541" t="s">
        <v>94</v>
      </c>
    </row>
    <row r="390" spans="2:3">
      <c r="B390" s="541" t="s">
        <v>95</v>
      </c>
      <c r="C390" s="541" t="s">
        <v>96</v>
      </c>
    </row>
    <row r="391" spans="2:3">
      <c r="B391" s="541" t="s">
        <v>97</v>
      </c>
      <c r="C391" s="541" t="s">
        <v>98</v>
      </c>
    </row>
    <row r="392" spans="2:3">
      <c r="B392" s="541" t="s">
        <v>100</v>
      </c>
      <c r="C392" s="541" t="s">
        <v>101</v>
      </c>
    </row>
    <row r="393" spans="2:3">
      <c r="B393" s="541" t="s">
        <v>102</v>
      </c>
      <c r="C393" s="541" t="s">
        <v>103</v>
      </c>
    </row>
    <row r="394" spans="2:3">
      <c r="B394" s="541" t="s">
        <v>104</v>
      </c>
      <c r="C394" s="541" t="s">
        <v>105</v>
      </c>
    </row>
    <row r="395" spans="2:3">
      <c r="B395" s="541" t="s">
        <v>106</v>
      </c>
      <c r="C395" s="541" t="s">
        <v>107</v>
      </c>
    </row>
    <row r="396" spans="2:3">
      <c r="B396" s="541" t="s">
        <v>108</v>
      </c>
      <c r="C396" s="541" t="s">
        <v>174</v>
      </c>
    </row>
    <row r="397" spans="2:3">
      <c r="B397" s="541" t="s">
        <v>109</v>
      </c>
      <c r="C397" s="541" t="s">
        <v>175</v>
      </c>
    </row>
    <row r="398" spans="2:3">
      <c r="B398" s="541" t="s">
        <v>131</v>
      </c>
      <c r="C398" s="541" t="s">
        <v>388</v>
      </c>
    </row>
    <row r="399" spans="2:3">
      <c r="B399" s="541" t="s">
        <v>111</v>
      </c>
      <c r="C399" s="541" t="s">
        <v>112</v>
      </c>
    </row>
    <row r="400" spans="2:3">
      <c r="B400" s="541" t="s">
        <v>118</v>
      </c>
      <c r="C400" s="541" t="s">
        <v>119</v>
      </c>
    </row>
    <row r="401" spans="2:3">
      <c r="B401" s="541" t="s">
        <v>152</v>
      </c>
      <c r="C401" s="541" t="s">
        <v>178</v>
      </c>
    </row>
    <row r="402" spans="2:3">
      <c r="B402" s="541" t="s">
        <v>132</v>
      </c>
      <c r="C402" s="541" t="s">
        <v>120</v>
      </c>
    </row>
    <row r="403" spans="2:3">
      <c r="B403" s="541" t="s">
        <v>133</v>
      </c>
      <c r="C403" s="541" t="s">
        <v>179</v>
      </c>
    </row>
    <row r="404" spans="2:3">
      <c r="B404" s="541" t="s">
        <v>0</v>
      </c>
      <c r="C404" s="541" t="s">
        <v>134</v>
      </c>
    </row>
    <row r="405" spans="2:3">
      <c r="B405" s="541" t="s">
        <v>135</v>
      </c>
      <c r="C405" s="541" t="s">
        <v>136</v>
      </c>
    </row>
    <row r="406" spans="2:3">
      <c r="B406" s="541" t="s">
        <v>137</v>
      </c>
      <c r="C406" s="541" t="s">
        <v>138</v>
      </c>
    </row>
    <row r="407" spans="2:3">
      <c r="B407" s="541" t="s">
        <v>116</v>
      </c>
      <c r="C407" s="541" t="s">
        <v>139</v>
      </c>
    </row>
    <row r="408" spans="2:3">
      <c r="B408" s="541" t="s">
        <v>113</v>
      </c>
      <c r="C408" s="541" t="s">
        <v>140</v>
      </c>
    </row>
    <row r="409" spans="2:3">
      <c r="B409" s="541" t="s">
        <v>141</v>
      </c>
      <c r="C409" s="541" t="s">
        <v>142</v>
      </c>
    </row>
    <row r="410" spans="2:3">
      <c r="B410" s="541" t="s">
        <v>121</v>
      </c>
      <c r="C410" s="541" t="s">
        <v>143</v>
      </c>
    </row>
    <row r="411" spans="2:3">
      <c r="B411" s="541" t="s">
        <v>144</v>
      </c>
      <c r="C411" s="541" t="s">
        <v>145</v>
      </c>
    </row>
    <row r="412" spans="2:3">
      <c r="B412" s="541" t="s">
        <v>122</v>
      </c>
      <c r="C412" s="541" t="s">
        <v>146</v>
      </c>
    </row>
    <row r="413" spans="2:3">
      <c r="B413" s="541" t="s">
        <v>123</v>
      </c>
      <c r="C413" s="541" t="s">
        <v>147</v>
      </c>
    </row>
    <row r="414" spans="2:3">
      <c r="B414" s="541" t="s">
        <v>332</v>
      </c>
      <c r="C414" s="541" t="s">
        <v>148</v>
      </c>
    </row>
    <row r="415" spans="2:3">
      <c r="B415" s="541" t="s">
        <v>125</v>
      </c>
      <c r="C415" s="541" t="s">
        <v>149</v>
      </c>
    </row>
    <row r="416" spans="2:3">
      <c r="B416" s="541" t="s">
        <v>269</v>
      </c>
      <c r="C416" s="541" t="s">
        <v>270</v>
      </c>
    </row>
    <row r="419" spans="2:23">
      <c r="B419" s="1272" t="s">
        <v>412</v>
      </c>
      <c r="C419" s="1273"/>
      <c r="D419" s="1273"/>
      <c r="E419" s="1273"/>
      <c r="F419" s="1273"/>
      <c r="G419" s="1273"/>
      <c r="H419" s="1273"/>
      <c r="I419" s="1273"/>
      <c r="J419" s="1273"/>
      <c r="K419" s="1273"/>
      <c r="L419" s="1273"/>
      <c r="M419" s="1273"/>
      <c r="N419" s="1273"/>
      <c r="O419" s="1273"/>
      <c r="P419" s="1273"/>
      <c r="Q419" s="1273"/>
      <c r="R419" s="1273"/>
      <c r="S419" s="1273"/>
      <c r="T419" s="1273"/>
    </row>
    <row r="421" spans="2:23">
      <c r="B421" s="541" t="s">
        <v>330</v>
      </c>
    </row>
    <row r="422" spans="2:23">
      <c r="B422" s="541" t="s">
        <v>337</v>
      </c>
      <c r="O422" s="300"/>
    </row>
    <row r="424" spans="2:23">
      <c r="B424" s="541" t="s">
        <v>414</v>
      </c>
    </row>
    <row r="425" spans="2:23">
      <c r="B425" s="541" t="s">
        <v>414</v>
      </c>
    </row>
    <row r="427" spans="2:23">
      <c r="B427" s="1272" t="s">
        <v>333</v>
      </c>
      <c r="C427" s="1272"/>
      <c r="D427" s="1272"/>
      <c r="E427" s="1272"/>
      <c r="F427" s="1272"/>
      <c r="G427" s="1272"/>
      <c r="H427" s="1272"/>
      <c r="I427" s="1272"/>
      <c r="J427" s="1272"/>
      <c r="K427" s="1272"/>
      <c r="L427" s="1272"/>
      <c r="M427" s="1272"/>
      <c r="N427" s="1272"/>
      <c r="O427" s="1272"/>
      <c r="P427" s="1272"/>
      <c r="Q427" s="1272"/>
      <c r="R427" s="1272"/>
      <c r="S427" s="1272"/>
      <c r="T427" s="1272"/>
    </row>
    <row r="429" spans="2:23">
      <c r="B429" s="541" t="s">
        <v>339</v>
      </c>
      <c r="C429" s="541" t="s">
        <v>243</v>
      </c>
      <c r="D429" s="541" t="s">
        <v>413</v>
      </c>
      <c r="E429" s="557" t="s">
        <v>415</v>
      </c>
      <c r="F429" s="557" t="s">
        <v>425</v>
      </c>
      <c r="G429" s="557" t="s">
        <v>429</v>
      </c>
      <c r="H429" s="557" t="s">
        <v>434</v>
      </c>
      <c r="I429" s="1047" t="s">
        <v>435</v>
      </c>
      <c r="J429" s="1047" t="s">
        <v>437</v>
      </c>
    </row>
    <row r="430" spans="2:23">
      <c r="B430" s="541" t="s">
        <v>340</v>
      </c>
      <c r="C430" s="541" t="s">
        <v>352</v>
      </c>
      <c r="D430" s="541" t="s">
        <v>413</v>
      </c>
      <c r="E430" s="557" t="s">
        <v>415</v>
      </c>
      <c r="F430" s="557" t="s">
        <v>431</v>
      </c>
      <c r="G430" s="557" t="s">
        <v>430</v>
      </c>
      <c r="H430" s="541" t="s">
        <v>433</v>
      </c>
      <c r="I430" s="1047" t="s">
        <v>435</v>
      </c>
      <c r="J430" s="1047" t="s">
        <v>437</v>
      </c>
      <c r="W430" s="632"/>
    </row>
    <row r="432" spans="2:23">
      <c r="B432" s="1272" t="s">
        <v>358</v>
      </c>
      <c r="C432" s="1272"/>
      <c r="D432" s="1272"/>
      <c r="E432" s="1272"/>
      <c r="F432" s="1272"/>
      <c r="G432" s="1272"/>
      <c r="H432" s="1272"/>
      <c r="I432" s="1272"/>
      <c r="J432" s="1272"/>
      <c r="K432" s="1272"/>
      <c r="L432" s="1272"/>
      <c r="M432" s="1272"/>
      <c r="N432" s="1272"/>
      <c r="O432" s="1272"/>
      <c r="P432" s="1272"/>
      <c r="Q432" s="1272"/>
      <c r="R432" s="1272"/>
      <c r="S432" s="1272"/>
      <c r="T432" s="1272"/>
    </row>
    <row r="435" spans="2:6">
      <c r="B435" s="541" t="s">
        <v>366</v>
      </c>
      <c r="C435" s="541" t="s">
        <v>367</v>
      </c>
    </row>
    <row r="437" spans="2:6">
      <c r="B437" s="541" t="s">
        <v>359</v>
      </c>
      <c r="C437" s="541" t="s">
        <v>358</v>
      </c>
    </row>
    <row r="438" spans="2:6">
      <c r="B438" s="541" t="s">
        <v>360</v>
      </c>
      <c r="C438" s="541" t="s">
        <v>368</v>
      </c>
    </row>
    <row r="439" spans="2:6">
      <c r="B439" s="541" t="s">
        <v>361</v>
      </c>
      <c r="C439" s="541" t="s">
        <v>369</v>
      </c>
    </row>
    <row r="441" spans="2:6">
      <c r="B441" s="541" t="s">
        <v>370</v>
      </c>
      <c r="C441" s="541" t="s">
        <v>362</v>
      </c>
      <c r="D441" s="541" t="s">
        <v>363</v>
      </c>
      <c r="E441" s="541" t="s">
        <v>364</v>
      </c>
      <c r="F441" s="541" t="s">
        <v>365</v>
      </c>
    </row>
    <row r="442" spans="2:6">
      <c r="B442" s="541" t="s">
        <v>371</v>
      </c>
      <c r="C442" s="541" t="s">
        <v>372</v>
      </c>
      <c r="D442" s="541" t="s">
        <v>373</v>
      </c>
      <c r="E442" s="541" t="s">
        <v>374</v>
      </c>
      <c r="F442" s="541" t="s">
        <v>375</v>
      </c>
    </row>
    <row r="443" spans="2:6">
      <c r="B443" s="541" t="s">
        <v>376</v>
      </c>
    </row>
    <row r="444" spans="2:6">
      <c r="B444" s="541" t="s">
        <v>377</v>
      </c>
    </row>
  </sheetData>
  <mergeCells count="21">
    <mergeCell ref="B3:C3"/>
    <mergeCell ref="B253:T253"/>
    <mergeCell ref="B154:T154"/>
    <mergeCell ref="B62:T62"/>
    <mergeCell ref="B37:T37"/>
    <mergeCell ref="B42:B51"/>
    <mergeCell ref="B52:B59"/>
    <mergeCell ref="F40:H40"/>
    <mergeCell ref="J40:L40"/>
    <mergeCell ref="M40:P40"/>
    <mergeCell ref="D40:E41"/>
    <mergeCell ref="D42:D51"/>
    <mergeCell ref="D52:D59"/>
    <mergeCell ref="F42:H42"/>
    <mergeCell ref="J42:L42"/>
    <mergeCell ref="M42:P42"/>
    <mergeCell ref="B40:C41"/>
    <mergeCell ref="B419:T419"/>
    <mergeCell ref="B432:T432"/>
    <mergeCell ref="B427:T427"/>
    <mergeCell ref="B331:T331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1"/>
  <dimension ref="C4:X133"/>
  <sheetViews>
    <sheetView zoomScale="80" zoomScaleNormal="80" workbookViewId="0">
      <selection activeCell="P74" sqref="P74"/>
    </sheetView>
  </sheetViews>
  <sheetFormatPr defaultRowHeight="12.75"/>
  <cols>
    <col min="3" max="3" width="69.5703125" bestFit="1" customWidth="1"/>
    <col min="12" max="15" width="12" bestFit="1" customWidth="1"/>
    <col min="17" max="17" width="14.85546875" bestFit="1" customWidth="1"/>
    <col min="19" max="19" width="68.140625" style="621" bestFit="1" customWidth="1"/>
    <col min="22" max="22" width="10.85546875" bestFit="1" customWidth="1"/>
  </cols>
  <sheetData>
    <row r="4" spans="3:24" ht="13.5" thickBot="1">
      <c r="O4" s="300" t="s">
        <v>379</v>
      </c>
    </row>
    <row r="5" spans="3:24" ht="13.5" thickTop="1">
      <c r="C5" s="1171" t="s">
        <v>330</v>
      </c>
      <c r="D5" s="1173">
        <v>2011</v>
      </c>
      <c r="E5" s="1174"/>
      <c r="F5" s="1174"/>
      <c r="G5" s="1174"/>
      <c r="H5" s="1174"/>
      <c r="I5" s="1174"/>
      <c r="J5" s="1174"/>
      <c r="K5" s="1174"/>
      <c r="L5" s="1174"/>
      <c r="M5" s="1174"/>
      <c r="N5" s="1174"/>
      <c r="O5" s="1174"/>
      <c r="T5" s="1279">
        <v>2011</v>
      </c>
      <c r="U5" s="1279"/>
      <c r="V5" s="1279"/>
      <c r="W5" s="1279"/>
    </row>
    <row r="6" spans="3:24" ht="13.5" thickBot="1">
      <c r="C6" s="1172"/>
      <c r="D6" s="362" t="s">
        <v>296</v>
      </c>
      <c r="E6" s="363" t="s">
        <v>297</v>
      </c>
      <c r="F6" s="363" t="s">
        <v>298</v>
      </c>
      <c r="G6" s="363" t="s">
        <v>299</v>
      </c>
      <c r="H6" s="363" t="s">
        <v>300</v>
      </c>
      <c r="I6" s="363" t="s">
        <v>301</v>
      </c>
      <c r="J6" s="363" t="s">
        <v>302</v>
      </c>
      <c r="K6" s="364" t="s">
        <v>303</v>
      </c>
      <c r="L6" s="364" t="s">
        <v>304</v>
      </c>
      <c r="M6" s="364" t="s">
        <v>305</v>
      </c>
      <c r="N6" s="364" t="s">
        <v>306</v>
      </c>
      <c r="O6" s="416" t="s">
        <v>307</v>
      </c>
      <c r="T6" s="300" t="s">
        <v>394</v>
      </c>
      <c r="U6" s="300" t="s">
        <v>395</v>
      </c>
      <c r="V6" s="300" t="s">
        <v>396</v>
      </c>
      <c r="W6" s="300" t="s">
        <v>397</v>
      </c>
    </row>
    <row r="7" spans="3:24" ht="14.25" thickTop="1" thickBot="1">
      <c r="C7" s="358" t="s">
        <v>128</v>
      </c>
      <c r="D7" s="359">
        <v>55152970.750000007</v>
      </c>
      <c r="E7" s="360">
        <v>72792167.979999974</v>
      </c>
      <c r="F7" s="360">
        <v>90841308.999999985</v>
      </c>
      <c r="G7" s="360">
        <v>89665487.010000005</v>
      </c>
      <c r="H7" s="360">
        <v>90668089.699999988</v>
      </c>
      <c r="I7" s="360">
        <v>99300977.780000001</v>
      </c>
      <c r="J7" s="360">
        <v>113490040.45</v>
      </c>
      <c r="K7" s="361">
        <v>112586712.2</v>
      </c>
      <c r="L7" s="361">
        <v>105312948.58</v>
      </c>
      <c r="M7" s="361">
        <v>90807024.059999987</v>
      </c>
      <c r="N7" s="361">
        <v>85337694.549999997</v>
      </c>
      <c r="O7" s="417">
        <v>123187385.03</v>
      </c>
      <c r="P7" s="417">
        <f>+SUM(D7:O7)</f>
        <v>1129142807.0899999</v>
      </c>
      <c r="S7" s="622" t="s">
        <v>128</v>
      </c>
      <c r="T7" s="359">
        <f>+SUM(D7:F7)</f>
        <v>218786447.72999996</v>
      </c>
      <c r="U7" s="360">
        <f>+SUM(G7:I7)</f>
        <v>279634554.49000001</v>
      </c>
      <c r="V7" s="360">
        <f>+SUM(J7:L7)</f>
        <v>331389701.23000002</v>
      </c>
      <c r="W7" s="360">
        <f>+SUM(M7:O7)</f>
        <v>299332103.63999999</v>
      </c>
      <c r="X7" s="13">
        <f>+SUM(T7:W7)</f>
        <v>1129142807.0900002</v>
      </c>
    </row>
    <row r="8" spans="3:24" ht="13.5" thickTop="1">
      <c r="C8" s="301" t="s">
        <v>2</v>
      </c>
      <c r="D8" s="350">
        <v>42233878.520000003</v>
      </c>
      <c r="E8" s="350">
        <v>45239137.809999995</v>
      </c>
      <c r="F8" s="351">
        <v>51938110.829999998</v>
      </c>
      <c r="G8" s="351">
        <v>54847049.759999998</v>
      </c>
      <c r="H8" s="351">
        <v>55582981.829999998</v>
      </c>
      <c r="I8" s="351">
        <v>62694065.950000003</v>
      </c>
      <c r="J8" s="351">
        <v>70422496.890000001</v>
      </c>
      <c r="K8" s="352">
        <v>76136166.400000006</v>
      </c>
      <c r="L8" s="352">
        <v>71582322.929999992</v>
      </c>
      <c r="M8" s="352">
        <v>55915577.890000001</v>
      </c>
      <c r="N8" s="352">
        <v>52766855.270000003</v>
      </c>
      <c r="O8" s="418">
        <v>64711710.890000001</v>
      </c>
      <c r="P8" s="506">
        <f t="shared" ref="P8:P73" si="0">+SUM(D8:O8)</f>
        <v>704070354.97000003</v>
      </c>
      <c r="S8" s="623" t="s">
        <v>2</v>
      </c>
      <c r="T8" s="350">
        <f t="shared" ref="T8:T72" si="1">+SUM(D8:F8)</f>
        <v>139411127.16</v>
      </c>
      <c r="U8" s="350">
        <f t="shared" ref="U8:U72" si="2">+SUM(G8:I8)</f>
        <v>173124097.54000002</v>
      </c>
      <c r="V8" s="351">
        <f t="shared" ref="V8:V72" si="3">+SUM(J8:L8)</f>
        <v>218140986.22000003</v>
      </c>
      <c r="W8" s="351">
        <f t="shared" ref="W8:W72" si="4">+SUM(M8:O8)</f>
        <v>173394144.05000001</v>
      </c>
      <c r="X8" s="13">
        <f t="shared" ref="X8:X72" si="5">+SUM(T8:W8)</f>
        <v>704070354.97000003</v>
      </c>
    </row>
    <row r="9" spans="3:24">
      <c r="C9" s="302" t="s">
        <v>3</v>
      </c>
      <c r="D9" s="354">
        <v>2545348.48</v>
      </c>
      <c r="E9" s="355">
        <v>6175515.0300000003</v>
      </c>
      <c r="F9" s="355">
        <v>7329572.1399999997</v>
      </c>
      <c r="G9" s="355">
        <v>6751143.4299999997</v>
      </c>
      <c r="H9" s="355">
        <v>6415725.6500000004</v>
      </c>
      <c r="I9" s="355">
        <v>6927624.3099999996</v>
      </c>
      <c r="J9" s="355">
        <v>8026236.4199999999</v>
      </c>
      <c r="K9" s="356">
        <v>6554828.0099999998</v>
      </c>
      <c r="L9" s="356">
        <v>6541099.3499999996</v>
      </c>
      <c r="M9" s="356">
        <v>7333919.3700000001</v>
      </c>
      <c r="N9" s="356">
        <v>6679216.6799999997</v>
      </c>
      <c r="O9" s="419">
        <v>10359802.84</v>
      </c>
      <c r="P9" s="507">
        <f t="shared" si="0"/>
        <v>81640031.710000008</v>
      </c>
      <c r="S9" s="624" t="s">
        <v>3</v>
      </c>
      <c r="T9" s="354">
        <f t="shared" si="1"/>
        <v>16050435.649999999</v>
      </c>
      <c r="U9" s="355">
        <f t="shared" si="2"/>
        <v>20094493.390000001</v>
      </c>
      <c r="V9" s="355">
        <f t="shared" si="3"/>
        <v>21122163.780000001</v>
      </c>
      <c r="W9" s="355">
        <f t="shared" si="4"/>
        <v>24372938.890000001</v>
      </c>
      <c r="X9" s="13">
        <f t="shared" si="5"/>
        <v>81640031.710000008</v>
      </c>
    </row>
    <row r="10" spans="3:24">
      <c r="C10" s="302" t="s">
        <v>5</v>
      </c>
      <c r="D10" s="354">
        <v>499153.36</v>
      </c>
      <c r="E10" s="355">
        <v>443476.65</v>
      </c>
      <c r="F10" s="355">
        <v>3852373.14</v>
      </c>
      <c r="G10" s="355">
        <v>10751479.529999999</v>
      </c>
      <c r="H10" s="355">
        <v>3177606.8</v>
      </c>
      <c r="I10" s="355">
        <v>3680263.62</v>
      </c>
      <c r="J10" s="355">
        <v>3438898.71</v>
      </c>
      <c r="K10" s="356">
        <v>2949890.41</v>
      </c>
      <c r="L10" s="356">
        <v>2276735.9700000002</v>
      </c>
      <c r="M10" s="356">
        <v>1612630.27</v>
      </c>
      <c r="N10" s="356">
        <v>946894.96</v>
      </c>
      <c r="O10" s="419">
        <v>2471781.84</v>
      </c>
      <c r="P10" s="507">
        <f t="shared" si="0"/>
        <v>36101185.260000005</v>
      </c>
      <c r="S10" s="624" t="s">
        <v>5</v>
      </c>
      <c r="T10" s="354">
        <f t="shared" si="1"/>
        <v>4795003.1500000004</v>
      </c>
      <c r="U10" s="355">
        <f t="shared" si="2"/>
        <v>17609349.949999999</v>
      </c>
      <c r="V10" s="355">
        <f t="shared" si="3"/>
        <v>8665525.0899999999</v>
      </c>
      <c r="W10" s="355">
        <f t="shared" si="4"/>
        <v>5031307.07</v>
      </c>
      <c r="X10" s="13">
        <f t="shared" si="5"/>
        <v>36101185.260000005</v>
      </c>
    </row>
    <row r="11" spans="3:24">
      <c r="C11" s="302" t="s">
        <v>308</v>
      </c>
      <c r="D11" s="354">
        <v>65715.240000000005</v>
      </c>
      <c r="E11" s="355">
        <v>84427.04</v>
      </c>
      <c r="F11" s="355">
        <v>119232.59</v>
      </c>
      <c r="G11" s="355">
        <v>72950.62</v>
      </c>
      <c r="H11" s="355">
        <v>98890.93</v>
      </c>
      <c r="I11" s="355">
        <v>103956.73</v>
      </c>
      <c r="J11" s="355">
        <v>86674.97</v>
      </c>
      <c r="K11" s="356">
        <v>118158.18</v>
      </c>
      <c r="L11" s="356">
        <v>108207.34</v>
      </c>
      <c r="M11" s="356">
        <v>134904.34</v>
      </c>
      <c r="N11" s="356">
        <v>132213.45000000001</v>
      </c>
      <c r="O11" s="419">
        <v>111765.51</v>
      </c>
      <c r="P11" s="507">
        <f t="shared" si="0"/>
        <v>1237096.94</v>
      </c>
      <c r="S11" s="624" t="s">
        <v>308</v>
      </c>
      <c r="T11" s="354">
        <f t="shared" si="1"/>
        <v>269374.87</v>
      </c>
      <c r="U11" s="355">
        <f t="shared" si="2"/>
        <v>275798.27999999997</v>
      </c>
      <c r="V11" s="355">
        <f t="shared" si="3"/>
        <v>313040.49</v>
      </c>
      <c r="W11" s="355">
        <f t="shared" si="4"/>
        <v>378883.30000000005</v>
      </c>
      <c r="X11" s="13">
        <f t="shared" si="5"/>
        <v>1237096.94</v>
      </c>
    </row>
    <row r="12" spans="3:24">
      <c r="C12" s="302" t="s">
        <v>9</v>
      </c>
      <c r="D12" s="354">
        <v>24359108.579999998</v>
      </c>
      <c r="E12" s="355">
        <v>26560869.68</v>
      </c>
      <c r="F12" s="355">
        <v>28787354</v>
      </c>
      <c r="G12" s="355">
        <v>24452855.41</v>
      </c>
      <c r="H12" s="355">
        <v>30030891.559999999</v>
      </c>
      <c r="I12" s="355">
        <v>36057932.170000002</v>
      </c>
      <c r="J12" s="355">
        <v>38964620.689999998</v>
      </c>
      <c r="K12" s="356">
        <v>46261760.780000001</v>
      </c>
      <c r="L12" s="356">
        <v>41263214.420000002</v>
      </c>
      <c r="M12" s="356">
        <v>30712518.809999999</v>
      </c>
      <c r="N12" s="356">
        <v>29554026.890000001</v>
      </c>
      <c r="O12" s="419">
        <v>35230727.920000002</v>
      </c>
      <c r="P12" s="507">
        <f t="shared" si="0"/>
        <v>392235880.90999997</v>
      </c>
      <c r="S12" s="624" t="s">
        <v>9</v>
      </c>
      <c r="T12" s="354">
        <f t="shared" si="1"/>
        <v>79707332.25999999</v>
      </c>
      <c r="U12" s="355">
        <f t="shared" si="2"/>
        <v>90541679.140000001</v>
      </c>
      <c r="V12" s="355">
        <f t="shared" si="3"/>
        <v>126489595.89</v>
      </c>
      <c r="W12" s="355">
        <f t="shared" si="4"/>
        <v>95497273.620000005</v>
      </c>
      <c r="X12" s="13">
        <f t="shared" si="5"/>
        <v>392235880.90999997</v>
      </c>
    </row>
    <row r="13" spans="3:24">
      <c r="C13" s="302" t="s">
        <v>309</v>
      </c>
      <c r="D13" s="354">
        <v>12268529.59</v>
      </c>
      <c r="E13" s="355">
        <v>8536929.2300000004</v>
      </c>
      <c r="F13" s="355">
        <v>7823784.0300000003</v>
      </c>
      <c r="G13" s="355">
        <v>9085039.4800000004</v>
      </c>
      <c r="H13" s="355">
        <v>11409816.17</v>
      </c>
      <c r="I13" s="355">
        <v>11116710.84</v>
      </c>
      <c r="J13" s="355">
        <v>15157124.630000001</v>
      </c>
      <c r="K13" s="356">
        <v>15012808.710000001</v>
      </c>
      <c r="L13" s="356">
        <v>16785563.780000001</v>
      </c>
      <c r="M13" s="356">
        <v>12285672.390000001</v>
      </c>
      <c r="N13" s="356">
        <v>11759999.27</v>
      </c>
      <c r="O13" s="419">
        <v>12137612.65</v>
      </c>
      <c r="P13" s="507">
        <f t="shared" si="0"/>
        <v>143379590.77000001</v>
      </c>
      <c r="S13" s="624" t="s">
        <v>309</v>
      </c>
      <c r="T13" s="354">
        <f t="shared" si="1"/>
        <v>28629242.850000001</v>
      </c>
      <c r="U13" s="355">
        <f t="shared" si="2"/>
        <v>31611566.489999998</v>
      </c>
      <c r="V13" s="355">
        <f t="shared" si="3"/>
        <v>46955497.120000005</v>
      </c>
      <c r="W13" s="355">
        <f t="shared" si="4"/>
        <v>36183284.310000002</v>
      </c>
      <c r="X13" s="13">
        <f t="shared" si="5"/>
        <v>143379590.77000001</v>
      </c>
    </row>
    <row r="14" spans="3:24">
      <c r="C14" s="302" t="s">
        <v>310</v>
      </c>
      <c r="D14" s="354">
        <v>2228722.88</v>
      </c>
      <c r="E14" s="355">
        <v>3149836.41</v>
      </c>
      <c r="F14" s="355">
        <v>3681084.12</v>
      </c>
      <c r="G14" s="355">
        <v>3381780.97</v>
      </c>
      <c r="H14" s="355">
        <v>4094166.5</v>
      </c>
      <c r="I14" s="355">
        <v>4392687.58</v>
      </c>
      <c r="J14" s="355">
        <v>4406579.91</v>
      </c>
      <c r="K14" s="356">
        <v>4844188.08</v>
      </c>
      <c r="L14" s="356">
        <v>4235363.1100000003</v>
      </c>
      <c r="M14" s="356">
        <v>3489258.14</v>
      </c>
      <c r="N14" s="356">
        <v>3351592.45</v>
      </c>
      <c r="O14" s="419">
        <v>4072725.13</v>
      </c>
      <c r="P14" s="507">
        <f t="shared" si="0"/>
        <v>45327985.280000009</v>
      </c>
      <c r="S14" s="624" t="s">
        <v>310</v>
      </c>
      <c r="T14" s="354">
        <f t="shared" si="1"/>
        <v>9059643.4100000001</v>
      </c>
      <c r="U14" s="355">
        <f t="shared" si="2"/>
        <v>11868635.050000001</v>
      </c>
      <c r="V14" s="355">
        <f t="shared" si="3"/>
        <v>13486131.100000001</v>
      </c>
      <c r="W14" s="355">
        <f t="shared" si="4"/>
        <v>10913575.719999999</v>
      </c>
      <c r="X14" s="13">
        <f t="shared" si="5"/>
        <v>45327985.280000001</v>
      </c>
    </row>
    <row r="15" spans="3:24">
      <c r="C15" s="302" t="s">
        <v>16</v>
      </c>
      <c r="D15" s="354">
        <v>267300.39</v>
      </c>
      <c r="E15" s="355">
        <v>288083.77</v>
      </c>
      <c r="F15" s="355">
        <v>344710.81</v>
      </c>
      <c r="G15" s="355">
        <v>351800.32000000001</v>
      </c>
      <c r="H15" s="355">
        <v>355884.22</v>
      </c>
      <c r="I15" s="355">
        <v>414890.7</v>
      </c>
      <c r="J15" s="355">
        <v>342361.56</v>
      </c>
      <c r="K15" s="356">
        <v>394532.23</v>
      </c>
      <c r="L15" s="356">
        <v>372138.96</v>
      </c>
      <c r="M15" s="356">
        <v>346674.57</v>
      </c>
      <c r="N15" s="356">
        <v>342911.57</v>
      </c>
      <c r="O15" s="419">
        <v>327295</v>
      </c>
      <c r="P15" s="507">
        <f t="shared" si="0"/>
        <v>4148584.0999999996</v>
      </c>
      <c r="S15" s="624" t="s">
        <v>16</v>
      </c>
      <c r="T15" s="354">
        <f t="shared" si="1"/>
        <v>900094.97</v>
      </c>
      <c r="U15" s="355">
        <f t="shared" si="2"/>
        <v>1122575.24</v>
      </c>
      <c r="V15" s="355">
        <f t="shared" si="3"/>
        <v>1109032.75</v>
      </c>
      <c r="W15" s="355">
        <f t="shared" si="4"/>
        <v>1016881.14</v>
      </c>
      <c r="X15" s="13">
        <f t="shared" si="5"/>
        <v>4148584.1</v>
      </c>
    </row>
    <row r="16" spans="3:24">
      <c r="C16" s="303" t="s">
        <v>19</v>
      </c>
      <c r="D16" s="350">
        <v>9521302.3000000007</v>
      </c>
      <c r="E16" s="351">
        <v>23485287.589999996</v>
      </c>
      <c r="F16" s="351">
        <v>34167457.259999998</v>
      </c>
      <c r="G16" s="351">
        <v>29755692.57</v>
      </c>
      <c r="H16" s="351">
        <v>27838053.010000005</v>
      </c>
      <c r="I16" s="351">
        <v>30894483.480000004</v>
      </c>
      <c r="J16" s="351">
        <v>36489518.480000004</v>
      </c>
      <c r="K16" s="352">
        <v>29291633.600000001</v>
      </c>
      <c r="L16" s="352">
        <v>29003218.740000002</v>
      </c>
      <c r="M16" s="352">
        <v>27330321.710000001</v>
      </c>
      <c r="N16" s="352">
        <v>27219048.369999997</v>
      </c>
      <c r="O16" s="418">
        <v>48581436.219999999</v>
      </c>
      <c r="P16" s="506">
        <f t="shared" si="0"/>
        <v>353577453.33000004</v>
      </c>
      <c r="S16" s="625" t="s">
        <v>19</v>
      </c>
      <c r="T16" s="350">
        <f t="shared" si="1"/>
        <v>67174047.149999991</v>
      </c>
      <c r="U16" s="351">
        <f t="shared" si="2"/>
        <v>88488229.060000002</v>
      </c>
      <c r="V16" s="351">
        <f t="shared" si="3"/>
        <v>94784370.820000008</v>
      </c>
      <c r="W16" s="351">
        <f t="shared" si="4"/>
        <v>103130806.3</v>
      </c>
      <c r="X16" s="13">
        <f t="shared" si="5"/>
        <v>353577453.32999998</v>
      </c>
    </row>
    <row r="17" spans="3:24">
      <c r="C17" s="302" t="s">
        <v>311</v>
      </c>
      <c r="D17" s="354">
        <v>5965054.2999999998</v>
      </c>
      <c r="E17" s="355">
        <v>14418948.539999999</v>
      </c>
      <c r="F17" s="355">
        <v>21015795.289999999</v>
      </c>
      <c r="G17" s="355">
        <v>18134814.93</v>
      </c>
      <c r="H17" s="355">
        <v>17423693.670000002</v>
      </c>
      <c r="I17" s="355">
        <v>18277592.609999999</v>
      </c>
      <c r="J17" s="355">
        <v>22066861.620000001</v>
      </c>
      <c r="K17" s="356">
        <v>18158288.84</v>
      </c>
      <c r="L17" s="356">
        <v>17580249.02</v>
      </c>
      <c r="M17" s="356">
        <v>15453602.98</v>
      </c>
      <c r="N17" s="356">
        <v>15172072.27</v>
      </c>
      <c r="O17" s="419">
        <v>29785246.609999999</v>
      </c>
      <c r="P17" s="507">
        <f t="shared" si="0"/>
        <v>213452220.68000001</v>
      </c>
      <c r="S17" s="624" t="s">
        <v>311</v>
      </c>
      <c r="T17" s="354">
        <f t="shared" si="1"/>
        <v>41399798.129999995</v>
      </c>
      <c r="U17" s="355">
        <f t="shared" si="2"/>
        <v>53836101.210000001</v>
      </c>
      <c r="V17" s="355">
        <f t="shared" si="3"/>
        <v>57805399.480000004</v>
      </c>
      <c r="W17" s="355">
        <f t="shared" si="4"/>
        <v>60410921.859999999</v>
      </c>
      <c r="X17" s="13">
        <f t="shared" si="5"/>
        <v>213452220.68000001</v>
      </c>
    </row>
    <row r="18" spans="3:24">
      <c r="C18" s="302" t="s">
        <v>312</v>
      </c>
      <c r="D18" s="354">
        <v>3011667.54</v>
      </c>
      <c r="E18" s="355">
        <v>7942450.2599999998</v>
      </c>
      <c r="F18" s="355">
        <v>11708936.529999999</v>
      </c>
      <c r="G18" s="355">
        <v>10161086.960000001</v>
      </c>
      <c r="H18" s="355">
        <v>9176586.0299999993</v>
      </c>
      <c r="I18" s="355">
        <v>10583289.380000001</v>
      </c>
      <c r="J18" s="355">
        <v>12325503.08</v>
      </c>
      <c r="K18" s="356">
        <v>9784703.5099999998</v>
      </c>
      <c r="L18" s="356">
        <v>10079777.449999999</v>
      </c>
      <c r="M18" s="356">
        <v>9619912.8399999999</v>
      </c>
      <c r="N18" s="356">
        <v>10355312.949999999</v>
      </c>
      <c r="O18" s="419">
        <v>16141212.710000001</v>
      </c>
      <c r="P18" s="507">
        <f t="shared" si="0"/>
        <v>120890439.24000001</v>
      </c>
      <c r="S18" s="624" t="s">
        <v>312</v>
      </c>
      <c r="T18" s="354">
        <f t="shared" si="1"/>
        <v>22663054.329999998</v>
      </c>
      <c r="U18" s="355">
        <f t="shared" si="2"/>
        <v>29920962.370000005</v>
      </c>
      <c r="V18" s="355">
        <f t="shared" si="3"/>
        <v>32189984.039999999</v>
      </c>
      <c r="W18" s="355">
        <f t="shared" si="4"/>
        <v>36116438.5</v>
      </c>
      <c r="X18" s="13">
        <f t="shared" si="5"/>
        <v>120890439.24000001</v>
      </c>
    </row>
    <row r="19" spans="3:24">
      <c r="C19" s="302" t="s">
        <v>313</v>
      </c>
      <c r="D19" s="354">
        <v>337649.71</v>
      </c>
      <c r="E19" s="355">
        <v>690555.9</v>
      </c>
      <c r="F19" s="355">
        <v>933660.62</v>
      </c>
      <c r="G19" s="355">
        <v>940799.61</v>
      </c>
      <c r="H19" s="355">
        <v>819960.44</v>
      </c>
      <c r="I19" s="355">
        <v>1454218.12</v>
      </c>
      <c r="J19" s="355">
        <v>1087711.56</v>
      </c>
      <c r="K19" s="356">
        <v>871346.14</v>
      </c>
      <c r="L19" s="356">
        <v>868317.51</v>
      </c>
      <c r="M19" s="356">
        <v>1066047.04</v>
      </c>
      <c r="N19" s="356">
        <v>461880.5</v>
      </c>
      <c r="O19" s="419">
        <v>1232557.23</v>
      </c>
      <c r="P19" s="507">
        <f t="shared" si="0"/>
        <v>10764704.380000001</v>
      </c>
      <c r="S19" s="624" t="s">
        <v>313</v>
      </c>
      <c r="T19" s="354">
        <f t="shared" si="1"/>
        <v>1961866.23</v>
      </c>
      <c r="U19" s="355">
        <f t="shared" si="2"/>
        <v>3214978.17</v>
      </c>
      <c r="V19" s="355">
        <f t="shared" si="3"/>
        <v>2827375.21</v>
      </c>
      <c r="W19" s="355">
        <f t="shared" si="4"/>
        <v>2760484.77</v>
      </c>
      <c r="X19" s="13">
        <f t="shared" si="5"/>
        <v>10764704.380000001</v>
      </c>
    </row>
    <row r="20" spans="3:24">
      <c r="C20" s="302" t="s">
        <v>27</v>
      </c>
      <c r="D20" s="354">
        <v>206930.75</v>
      </c>
      <c r="E20" s="355">
        <v>433332.89</v>
      </c>
      <c r="F20" s="355">
        <v>509064.82</v>
      </c>
      <c r="G20" s="355">
        <v>518991.07</v>
      </c>
      <c r="H20" s="355">
        <v>417812.87</v>
      </c>
      <c r="I20" s="355">
        <v>579383.37</v>
      </c>
      <c r="J20" s="355">
        <v>1009442.22</v>
      </c>
      <c r="K20" s="356">
        <v>477295.11</v>
      </c>
      <c r="L20" s="356">
        <v>474874.76</v>
      </c>
      <c r="M20" s="356">
        <v>1190758.8500000001</v>
      </c>
      <c r="N20" s="356">
        <v>1229782.6499999999</v>
      </c>
      <c r="O20" s="419">
        <v>1422419.67</v>
      </c>
      <c r="P20" s="507">
        <f t="shared" si="0"/>
        <v>8470089.0300000012</v>
      </c>
      <c r="S20" s="624" t="s">
        <v>27</v>
      </c>
      <c r="T20" s="354">
        <f t="shared" si="1"/>
        <v>1149328.46</v>
      </c>
      <c r="U20" s="355">
        <f t="shared" si="2"/>
        <v>1516187.31</v>
      </c>
      <c r="V20" s="355">
        <f t="shared" si="3"/>
        <v>1961612.09</v>
      </c>
      <c r="W20" s="355">
        <f t="shared" si="4"/>
        <v>3842961.17</v>
      </c>
      <c r="X20" s="13">
        <f t="shared" si="5"/>
        <v>8470089.0300000012</v>
      </c>
    </row>
    <row r="21" spans="3:24">
      <c r="C21" s="303" t="s">
        <v>29</v>
      </c>
      <c r="D21" s="350">
        <v>804830.46</v>
      </c>
      <c r="E21" s="351">
        <v>1209009.1100000001</v>
      </c>
      <c r="F21" s="351">
        <v>1416808.0500000003</v>
      </c>
      <c r="G21" s="351">
        <v>1350950.87</v>
      </c>
      <c r="H21" s="351">
        <v>1399057.8499999999</v>
      </c>
      <c r="I21" s="351">
        <v>1540304.47</v>
      </c>
      <c r="J21" s="351">
        <v>1366975.64</v>
      </c>
      <c r="K21" s="352">
        <v>1618735.6</v>
      </c>
      <c r="L21" s="352">
        <v>1404367.23</v>
      </c>
      <c r="M21" s="352">
        <v>1271754.9899999998</v>
      </c>
      <c r="N21" s="352">
        <v>1231596.8500000001</v>
      </c>
      <c r="O21" s="418">
        <v>1397278.7999999998</v>
      </c>
      <c r="P21" s="506">
        <f t="shared" si="0"/>
        <v>16011669.919999998</v>
      </c>
      <c r="S21" s="625" t="s">
        <v>29</v>
      </c>
      <c r="T21" s="350">
        <f t="shared" si="1"/>
        <v>3430647.62</v>
      </c>
      <c r="U21" s="351">
        <f t="shared" si="2"/>
        <v>4290313.1899999995</v>
      </c>
      <c r="V21" s="351">
        <f t="shared" si="3"/>
        <v>4390078.4700000007</v>
      </c>
      <c r="W21" s="351">
        <f t="shared" si="4"/>
        <v>3900630.6399999997</v>
      </c>
      <c r="X21" s="13">
        <f t="shared" si="5"/>
        <v>16011669.920000002</v>
      </c>
    </row>
    <row r="22" spans="3:24">
      <c r="C22" s="302" t="s">
        <v>31</v>
      </c>
      <c r="D22" s="354">
        <v>536502.51</v>
      </c>
      <c r="E22" s="355">
        <v>831711.99</v>
      </c>
      <c r="F22" s="355">
        <v>941753.55</v>
      </c>
      <c r="G22" s="355">
        <v>972851.3</v>
      </c>
      <c r="H22" s="355">
        <v>1035879.98</v>
      </c>
      <c r="I22" s="355">
        <v>1095882.92</v>
      </c>
      <c r="J22" s="355">
        <v>903473.6</v>
      </c>
      <c r="K22" s="356">
        <v>1052243.77</v>
      </c>
      <c r="L22" s="356">
        <v>883075.83</v>
      </c>
      <c r="M22" s="356">
        <v>805479.88</v>
      </c>
      <c r="N22" s="356">
        <v>809274.84</v>
      </c>
      <c r="O22" s="419">
        <v>856150.6</v>
      </c>
      <c r="P22" s="507">
        <f t="shared" si="0"/>
        <v>10724280.77</v>
      </c>
      <c r="S22" s="624" t="s">
        <v>31</v>
      </c>
      <c r="T22" s="354">
        <f t="shared" si="1"/>
        <v>2309968.0499999998</v>
      </c>
      <c r="U22" s="355">
        <f t="shared" si="2"/>
        <v>3104614.2</v>
      </c>
      <c r="V22" s="355">
        <f t="shared" si="3"/>
        <v>2838793.2</v>
      </c>
      <c r="W22" s="355">
        <f t="shared" si="4"/>
        <v>2470905.3199999998</v>
      </c>
      <c r="X22" s="13">
        <f t="shared" si="5"/>
        <v>10724280.77</v>
      </c>
    </row>
    <row r="23" spans="3:24">
      <c r="C23" s="302" t="s">
        <v>32</v>
      </c>
      <c r="D23" s="354">
        <v>242834.46</v>
      </c>
      <c r="E23" s="355">
        <v>338113.08</v>
      </c>
      <c r="F23" s="355">
        <v>457274.03</v>
      </c>
      <c r="G23" s="355">
        <v>356441.63</v>
      </c>
      <c r="H23" s="355">
        <v>333697.93</v>
      </c>
      <c r="I23" s="355">
        <v>357979.45</v>
      </c>
      <c r="J23" s="355">
        <v>285269.33</v>
      </c>
      <c r="K23" s="356">
        <v>223882.95</v>
      </c>
      <c r="L23" s="356">
        <v>291676.52</v>
      </c>
      <c r="M23" s="356">
        <v>322168.73</v>
      </c>
      <c r="N23" s="356">
        <v>320031.71999999997</v>
      </c>
      <c r="O23" s="419">
        <v>388903.61</v>
      </c>
      <c r="P23" s="507">
        <f t="shared" si="0"/>
        <v>3918273.44</v>
      </c>
      <c r="S23" s="624" t="s">
        <v>32</v>
      </c>
      <c r="T23" s="354">
        <f t="shared" si="1"/>
        <v>1038221.5700000001</v>
      </c>
      <c r="U23" s="355">
        <f t="shared" si="2"/>
        <v>1048119.01</v>
      </c>
      <c r="V23" s="355">
        <f t="shared" si="3"/>
        <v>800828.8</v>
      </c>
      <c r="W23" s="355">
        <f t="shared" si="4"/>
        <v>1031104.0599999999</v>
      </c>
      <c r="X23" s="13">
        <f t="shared" si="5"/>
        <v>3918273.44</v>
      </c>
    </row>
    <row r="24" spans="3:24">
      <c r="C24" s="302" t="s">
        <v>34</v>
      </c>
      <c r="D24" s="354">
        <v>4037.13</v>
      </c>
      <c r="E24" s="355">
        <v>33587.519999999997</v>
      </c>
      <c r="F24" s="355">
        <v>6811.85</v>
      </c>
      <c r="G24" s="355">
        <v>7299.46</v>
      </c>
      <c r="H24" s="355">
        <v>10446.94</v>
      </c>
      <c r="I24" s="355">
        <v>40972.11</v>
      </c>
      <c r="J24" s="355">
        <v>108136.93</v>
      </c>
      <c r="K24" s="356">
        <v>190875.13</v>
      </c>
      <c r="L24" s="356">
        <v>94009.65</v>
      </c>
      <c r="M24" s="356">
        <v>35543.96</v>
      </c>
      <c r="N24" s="356">
        <v>10178.66</v>
      </c>
      <c r="O24" s="419">
        <v>12060.47</v>
      </c>
      <c r="P24" s="507">
        <f t="shared" si="0"/>
        <v>553959.80999999994</v>
      </c>
      <c r="S24" s="624" t="s">
        <v>34</v>
      </c>
      <c r="T24" s="354">
        <f t="shared" si="1"/>
        <v>44436.499999999993</v>
      </c>
      <c r="U24" s="355">
        <f t="shared" si="2"/>
        <v>58718.51</v>
      </c>
      <c r="V24" s="355">
        <f t="shared" si="3"/>
        <v>393021.70999999996</v>
      </c>
      <c r="W24" s="355">
        <f t="shared" si="4"/>
        <v>57783.09</v>
      </c>
      <c r="X24" s="13">
        <f t="shared" si="5"/>
        <v>553959.80999999994</v>
      </c>
    </row>
    <row r="25" spans="3:24">
      <c r="C25" s="302" t="s">
        <v>37</v>
      </c>
      <c r="D25" s="354">
        <v>21456.36</v>
      </c>
      <c r="E25" s="355">
        <v>5596.52</v>
      </c>
      <c r="F25" s="355">
        <v>10968.62</v>
      </c>
      <c r="G25" s="355">
        <v>14358.48</v>
      </c>
      <c r="H25" s="355">
        <v>19033</v>
      </c>
      <c r="I25" s="355">
        <v>45469.99</v>
      </c>
      <c r="J25" s="355">
        <v>70095.78</v>
      </c>
      <c r="K25" s="356">
        <v>151733.75</v>
      </c>
      <c r="L25" s="356">
        <v>135605.23000000001</v>
      </c>
      <c r="M25" s="356">
        <v>108562.42</v>
      </c>
      <c r="N25" s="356">
        <v>92111.63</v>
      </c>
      <c r="O25" s="419">
        <v>140164.12</v>
      </c>
      <c r="P25" s="507">
        <f t="shared" si="0"/>
        <v>815155.9</v>
      </c>
      <c r="S25" s="624" t="s">
        <v>37</v>
      </c>
      <c r="T25" s="354">
        <f t="shared" si="1"/>
        <v>38021.5</v>
      </c>
      <c r="U25" s="355">
        <f t="shared" si="2"/>
        <v>78861.47</v>
      </c>
      <c r="V25" s="355">
        <f t="shared" si="3"/>
        <v>357434.76</v>
      </c>
      <c r="W25" s="355">
        <f t="shared" si="4"/>
        <v>340838.17</v>
      </c>
      <c r="X25" s="13">
        <f t="shared" si="5"/>
        <v>815155.89999999991</v>
      </c>
    </row>
    <row r="26" spans="3:24">
      <c r="C26" s="303" t="s">
        <v>39</v>
      </c>
      <c r="D26" s="350">
        <v>1320130.1099999999</v>
      </c>
      <c r="E26" s="351">
        <v>1172217.57</v>
      </c>
      <c r="F26" s="351">
        <v>1584487.91</v>
      </c>
      <c r="G26" s="351">
        <v>1554070.73</v>
      </c>
      <c r="H26" s="351">
        <v>3337557.56</v>
      </c>
      <c r="I26" s="351">
        <v>1833085.6199999999</v>
      </c>
      <c r="J26" s="351">
        <v>2801383.38</v>
      </c>
      <c r="K26" s="352">
        <v>2999433.65</v>
      </c>
      <c r="L26" s="352">
        <v>1677127.3699999999</v>
      </c>
      <c r="M26" s="352">
        <v>1975196.1300000001</v>
      </c>
      <c r="N26" s="352">
        <v>1588689.67</v>
      </c>
      <c r="O26" s="418">
        <v>3855875.5300000003</v>
      </c>
      <c r="P26" s="506">
        <f t="shared" si="0"/>
        <v>25699255.229999997</v>
      </c>
      <c r="S26" s="625" t="s">
        <v>39</v>
      </c>
      <c r="T26" s="350">
        <f t="shared" si="1"/>
        <v>4076835.59</v>
      </c>
      <c r="U26" s="351">
        <f t="shared" si="2"/>
        <v>6724713.9100000001</v>
      </c>
      <c r="V26" s="351">
        <f t="shared" si="3"/>
        <v>7477944.3999999994</v>
      </c>
      <c r="W26" s="351">
        <f t="shared" si="4"/>
        <v>7419761.3300000001</v>
      </c>
      <c r="X26" s="13">
        <f t="shared" si="5"/>
        <v>25699255.229999997</v>
      </c>
    </row>
    <row r="27" spans="3:24">
      <c r="C27" s="302" t="s">
        <v>331</v>
      </c>
      <c r="D27" s="354">
        <v>6971.68</v>
      </c>
      <c r="E27" s="355">
        <v>13341.02</v>
      </c>
      <c r="F27" s="355">
        <v>83742.009999999995</v>
      </c>
      <c r="G27" s="355">
        <v>86212.02</v>
      </c>
      <c r="H27" s="355">
        <v>55530.82</v>
      </c>
      <c r="I27" s="355">
        <v>175137.26</v>
      </c>
      <c r="J27" s="355">
        <v>61476.76</v>
      </c>
      <c r="K27" s="356">
        <v>118742.97</v>
      </c>
      <c r="L27" s="356">
        <v>103719.39</v>
      </c>
      <c r="M27" s="356">
        <v>96283.83</v>
      </c>
      <c r="N27" s="356">
        <v>55796.6</v>
      </c>
      <c r="O27" s="419">
        <v>145087.56</v>
      </c>
      <c r="P27" s="507">
        <f t="shared" si="0"/>
        <v>1002041.9199999999</v>
      </c>
      <c r="S27" s="624" t="s">
        <v>331</v>
      </c>
      <c r="T27" s="354">
        <f t="shared" si="1"/>
        <v>104054.70999999999</v>
      </c>
      <c r="U27" s="355">
        <f t="shared" si="2"/>
        <v>316880.09999999998</v>
      </c>
      <c r="V27" s="355">
        <f t="shared" si="3"/>
        <v>283939.12</v>
      </c>
      <c r="W27" s="355">
        <f t="shared" si="4"/>
        <v>297167.99</v>
      </c>
      <c r="X27" s="13">
        <f t="shared" si="5"/>
        <v>1002041.9199999999</v>
      </c>
    </row>
    <row r="28" spans="3:24">
      <c r="C28" s="302" t="s">
        <v>314</v>
      </c>
      <c r="D28" s="354">
        <v>64109.59</v>
      </c>
      <c r="E28" s="355">
        <v>200669.78</v>
      </c>
      <c r="F28" s="355">
        <v>145961.26</v>
      </c>
      <c r="G28" s="355">
        <v>94344.06</v>
      </c>
      <c r="H28" s="355">
        <v>771901.56</v>
      </c>
      <c r="I28" s="355">
        <v>198120.26</v>
      </c>
      <c r="J28" s="355">
        <v>185991.45</v>
      </c>
      <c r="K28" s="356">
        <v>153178.46</v>
      </c>
      <c r="L28" s="356">
        <v>96024.85</v>
      </c>
      <c r="M28" s="356">
        <v>381813.69</v>
      </c>
      <c r="N28" s="356">
        <v>206891.79</v>
      </c>
      <c r="O28" s="419">
        <v>510549.7</v>
      </c>
      <c r="P28" s="507">
        <f t="shared" si="0"/>
        <v>3009556.45</v>
      </c>
      <c r="S28" s="624" t="s">
        <v>314</v>
      </c>
      <c r="T28" s="354">
        <f t="shared" si="1"/>
        <v>410740.63</v>
      </c>
      <c r="U28" s="355">
        <f t="shared" si="2"/>
        <v>1064365.8800000001</v>
      </c>
      <c r="V28" s="355">
        <f t="shared" si="3"/>
        <v>435194.76</v>
      </c>
      <c r="W28" s="355">
        <f t="shared" si="4"/>
        <v>1099255.18</v>
      </c>
      <c r="X28" s="13">
        <f t="shared" si="5"/>
        <v>3009556.45</v>
      </c>
    </row>
    <row r="29" spans="3:24">
      <c r="C29" s="302" t="s">
        <v>45</v>
      </c>
      <c r="D29" s="354">
        <v>179058.1</v>
      </c>
      <c r="E29" s="355">
        <v>216674.72</v>
      </c>
      <c r="F29" s="355">
        <v>505701.17</v>
      </c>
      <c r="G29" s="355">
        <v>419483.15</v>
      </c>
      <c r="H29" s="355">
        <v>505852.89</v>
      </c>
      <c r="I29" s="355">
        <v>735303.21</v>
      </c>
      <c r="J29" s="355">
        <v>1477148.86</v>
      </c>
      <c r="K29" s="356">
        <v>1854644.2</v>
      </c>
      <c r="L29" s="356">
        <v>671972.85</v>
      </c>
      <c r="M29" s="356">
        <v>298929.24</v>
      </c>
      <c r="N29" s="356">
        <v>313864.89</v>
      </c>
      <c r="O29" s="419">
        <v>274209.51</v>
      </c>
      <c r="P29" s="507">
        <f t="shared" si="0"/>
        <v>7452842.79</v>
      </c>
      <c r="S29" s="624" t="s">
        <v>45</v>
      </c>
      <c r="T29" s="354">
        <f t="shared" si="1"/>
        <v>901433.99</v>
      </c>
      <c r="U29" s="355">
        <f t="shared" si="2"/>
        <v>1660639.25</v>
      </c>
      <c r="V29" s="355">
        <f t="shared" si="3"/>
        <v>4003765.91</v>
      </c>
      <c r="W29" s="355">
        <f t="shared" si="4"/>
        <v>887003.64</v>
      </c>
      <c r="X29" s="13">
        <f t="shared" si="5"/>
        <v>7452842.79</v>
      </c>
    </row>
    <row r="30" spans="3:24">
      <c r="C30" s="302" t="s">
        <v>315</v>
      </c>
      <c r="D30" s="354">
        <v>209278.97</v>
      </c>
      <c r="E30" s="355">
        <v>223999.32</v>
      </c>
      <c r="F30" s="355">
        <v>251863.31</v>
      </c>
      <c r="G30" s="355">
        <v>179908.24</v>
      </c>
      <c r="H30" s="355">
        <v>1418405.47</v>
      </c>
      <c r="I30" s="355">
        <v>190712.2</v>
      </c>
      <c r="J30" s="355">
        <v>177964.06</v>
      </c>
      <c r="K30" s="356">
        <v>315769.62</v>
      </c>
      <c r="L30" s="356">
        <v>304720.63</v>
      </c>
      <c r="M30" s="356">
        <v>289057.65000000002</v>
      </c>
      <c r="N30" s="356">
        <v>230935.54</v>
      </c>
      <c r="O30" s="419">
        <v>388230.35</v>
      </c>
      <c r="P30" s="507">
        <f t="shared" si="0"/>
        <v>4180845.3600000003</v>
      </c>
      <c r="S30" s="624" t="s">
        <v>315</v>
      </c>
      <c r="T30" s="354">
        <f t="shared" si="1"/>
        <v>685141.60000000009</v>
      </c>
      <c r="U30" s="355">
        <f t="shared" si="2"/>
        <v>1789025.91</v>
      </c>
      <c r="V30" s="355">
        <f t="shared" si="3"/>
        <v>798454.31</v>
      </c>
      <c r="W30" s="355">
        <f t="shared" si="4"/>
        <v>908223.54</v>
      </c>
      <c r="X30" s="13">
        <f t="shared" si="5"/>
        <v>4180845.36</v>
      </c>
    </row>
    <row r="31" spans="3:24">
      <c r="C31" s="302" t="s">
        <v>316</v>
      </c>
      <c r="D31" s="354">
        <v>142536.44</v>
      </c>
      <c r="E31" s="355">
        <v>294016.75</v>
      </c>
      <c r="F31" s="355">
        <v>220508.99</v>
      </c>
      <c r="G31" s="355">
        <v>197437.39</v>
      </c>
      <c r="H31" s="355">
        <v>308231.5</v>
      </c>
      <c r="I31" s="355">
        <v>262541.52</v>
      </c>
      <c r="J31" s="355">
        <v>267889.56</v>
      </c>
      <c r="K31" s="356">
        <v>310930.96000000002</v>
      </c>
      <c r="L31" s="356">
        <v>246964.42</v>
      </c>
      <c r="M31" s="356">
        <v>240318.91</v>
      </c>
      <c r="N31" s="356">
        <v>478356.46</v>
      </c>
      <c r="O31" s="419">
        <v>1894204.65</v>
      </c>
      <c r="P31" s="507">
        <f t="shared" si="0"/>
        <v>4863937.55</v>
      </c>
      <c r="S31" s="624" t="s">
        <v>316</v>
      </c>
      <c r="T31" s="354">
        <f t="shared" si="1"/>
        <v>657062.17999999993</v>
      </c>
      <c r="U31" s="355">
        <f t="shared" si="2"/>
        <v>768210.41</v>
      </c>
      <c r="V31" s="355">
        <f t="shared" si="3"/>
        <v>825784.94000000006</v>
      </c>
      <c r="W31" s="355">
        <f t="shared" si="4"/>
        <v>2612880.02</v>
      </c>
      <c r="X31" s="13">
        <f t="shared" si="5"/>
        <v>4863937.55</v>
      </c>
    </row>
    <row r="32" spans="3:24">
      <c r="C32" s="302" t="s">
        <v>51</v>
      </c>
      <c r="D32" s="354">
        <v>718175.33</v>
      </c>
      <c r="E32" s="355">
        <v>223515.98</v>
      </c>
      <c r="F32" s="355">
        <v>376711.17</v>
      </c>
      <c r="G32" s="355">
        <v>576685.87</v>
      </c>
      <c r="H32" s="355">
        <v>277635.32</v>
      </c>
      <c r="I32" s="355">
        <v>271271.17</v>
      </c>
      <c r="J32" s="355">
        <v>630912.68999999994</v>
      </c>
      <c r="K32" s="356">
        <v>246167.44</v>
      </c>
      <c r="L32" s="356">
        <v>253725.23</v>
      </c>
      <c r="M32" s="356">
        <v>668792.81000000006</v>
      </c>
      <c r="N32" s="356">
        <v>302844.39</v>
      </c>
      <c r="O32" s="419">
        <v>643593.76</v>
      </c>
      <c r="P32" s="507">
        <f t="shared" si="0"/>
        <v>5190031.1599999992</v>
      </c>
      <c r="S32" s="624" t="s">
        <v>51</v>
      </c>
      <c r="T32" s="354">
        <f t="shared" si="1"/>
        <v>1318402.48</v>
      </c>
      <c r="U32" s="355">
        <f t="shared" si="2"/>
        <v>1125592.3599999999</v>
      </c>
      <c r="V32" s="355">
        <f t="shared" si="3"/>
        <v>1130805.3599999999</v>
      </c>
      <c r="W32" s="355">
        <f t="shared" si="4"/>
        <v>1615230.96</v>
      </c>
      <c r="X32" s="13">
        <f t="shared" si="5"/>
        <v>5190031.16</v>
      </c>
    </row>
    <row r="33" spans="3:24">
      <c r="C33" s="303" t="s">
        <v>53</v>
      </c>
      <c r="D33" s="350">
        <v>1029354.71</v>
      </c>
      <c r="E33" s="351">
        <v>1464414.96</v>
      </c>
      <c r="F33" s="351">
        <v>1522221.38</v>
      </c>
      <c r="G33" s="351">
        <v>1775368.37</v>
      </c>
      <c r="H33" s="351">
        <v>2256595.1</v>
      </c>
      <c r="I33" s="351">
        <v>2096045.8199999998</v>
      </c>
      <c r="J33" s="351">
        <v>2075537.02</v>
      </c>
      <c r="K33" s="352">
        <v>2032299.0899999999</v>
      </c>
      <c r="L33" s="352">
        <v>1352466.5</v>
      </c>
      <c r="M33" s="352">
        <v>4007545.12</v>
      </c>
      <c r="N33" s="352">
        <v>2048266.9</v>
      </c>
      <c r="O33" s="418">
        <v>3117514.69</v>
      </c>
      <c r="P33" s="506">
        <f t="shared" si="0"/>
        <v>24777629.66</v>
      </c>
      <c r="Q33" s="51"/>
      <c r="R33" s="51"/>
      <c r="S33" s="625" t="s">
        <v>53</v>
      </c>
      <c r="T33" s="350">
        <f t="shared" si="1"/>
        <v>4015991.05</v>
      </c>
      <c r="U33" s="351">
        <f t="shared" si="2"/>
        <v>6128009.29</v>
      </c>
      <c r="V33" s="351">
        <f t="shared" si="3"/>
        <v>5460302.6099999994</v>
      </c>
      <c r="W33" s="351">
        <f t="shared" si="4"/>
        <v>9173326.709999999</v>
      </c>
      <c r="X33" s="13">
        <f t="shared" si="5"/>
        <v>24777629.659999996</v>
      </c>
    </row>
    <row r="34" spans="3:24">
      <c r="C34" s="302" t="s">
        <v>55</v>
      </c>
      <c r="D34" s="354">
        <v>111217</v>
      </c>
      <c r="E34" s="355">
        <v>76794.17</v>
      </c>
      <c r="F34" s="355">
        <v>62399.9</v>
      </c>
      <c r="G34" s="355">
        <v>177302.83</v>
      </c>
      <c r="H34" s="355">
        <v>191893.72</v>
      </c>
      <c r="I34" s="355">
        <v>301517.93</v>
      </c>
      <c r="J34" s="355">
        <v>379052.7</v>
      </c>
      <c r="K34" s="356">
        <v>225401.4</v>
      </c>
      <c r="L34" s="356">
        <v>116030.46</v>
      </c>
      <c r="M34" s="356">
        <v>2568758.4700000002</v>
      </c>
      <c r="N34" s="356">
        <v>447768.32000000001</v>
      </c>
      <c r="O34" s="419">
        <v>809327.85</v>
      </c>
      <c r="P34" s="507">
        <f t="shared" si="0"/>
        <v>5467464.75</v>
      </c>
      <c r="Q34" s="51"/>
      <c r="R34" s="51"/>
      <c r="S34" s="624" t="s">
        <v>55</v>
      </c>
      <c r="T34" s="354">
        <f t="shared" si="1"/>
        <v>250411.06999999998</v>
      </c>
      <c r="U34" s="355">
        <f t="shared" si="2"/>
        <v>670714.48</v>
      </c>
      <c r="V34" s="355">
        <f t="shared" si="3"/>
        <v>720484.55999999994</v>
      </c>
      <c r="W34" s="355">
        <f t="shared" si="4"/>
        <v>3825854.64</v>
      </c>
      <c r="X34" s="13">
        <f t="shared" si="5"/>
        <v>5467464.75</v>
      </c>
    </row>
    <row r="35" spans="3:24">
      <c r="C35" s="302" t="s">
        <v>57</v>
      </c>
      <c r="D35" s="354">
        <v>382249.12</v>
      </c>
      <c r="E35" s="355">
        <v>484730.42</v>
      </c>
      <c r="F35" s="355">
        <v>611894.52</v>
      </c>
      <c r="G35" s="355">
        <v>466869.4</v>
      </c>
      <c r="H35" s="355">
        <v>516376.63</v>
      </c>
      <c r="I35" s="355">
        <v>613855.25</v>
      </c>
      <c r="J35" s="355">
        <v>794527.39</v>
      </c>
      <c r="K35" s="356">
        <v>978515.74</v>
      </c>
      <c r="L35" s="356">
        <v>474681.84</v>
      </c>
      <c r="M35" s="356">
        <v>462392.28</v>
      </c>
      <c r="N35" s="356">
        <v>571019.73</v>
      </c>
      <c r="O35" s="419">
        <v>737703.19</v>
      </c>
      <c r="P35" s="507">
        <f t="shared" si="0"/>
        <v>7094815.5099999998</v>
      </c>
      <c r="Q35" s="51"/>
      <c r="R35" s="51"/>
      <c r="S35" s="624" t="s">
        <v>57</v>
      </c>
      <c r="T35" s="354">
        <f t="shared" si="1"/>
        <v>1478874.06</v>
      </c>
      <c r="U35" s="355">
        <f t="shared" si="2"/>
        <v>1597101.28</v>
      </c>
      <c r="V35" s="355">
        <f t="shared" si="3"/>
        <v>2247724.9699999997</v>
      </c>
      <c r="W35" s="355">
        <f t="shared" si="4"/>
        <v>1771115.2</v>
      </c>
      <c r="X35" s="13">
        <f t="shared" si="5"/>
        <v>7094815.5099999998</v>
      </c>
    </row>
    <row r="36" spans="3:24">
      <c r="C36" s="302" t="s">
        <v>317</v>
      </c>
      <c r="D36" s="354">
        <v>101702.84</v>
      </c>
      <c r="E36" s="355">
        <v>166988.1</v>
      </c>
      <c r="F36" s="355">
        <v>204842.75</v>
      </c>
      <c r="G36" s="355">
        <v>192726.12</v>
      </c>
      <c r="H36" s="355">
        <v>200798.77</v>
      </c>
      <c r="I36" s="356">
        <v>271293.02</v>
      </c>
      <c r="J36" s="355">
        <v>213731.68</v>
      </c>
      <c r="K36" s="356">
        <v>219728.69</v>
      </c>
      <c r="L36" s="356">
        <v>188872</v>
      </c>
      <c r="M36" s="356">
        <v>148153.38</v>
      </c>
      <c r="N36" s="356">
        <v>175845.17</v>
      </c>
      <c r="O36" s="419">
        <v>223987.36</v>
      </c>
      <c r="P36" s="507">
        <f t="shared" si="0"/>
        <v>2308669.88</v>
      </c>
      <c r="Q36" s="51"/>
      <c r="R36" s="51"/>
      <c r="S36" s="624" t="s">
        <v>317</v>
      </c>
      <c r="T36" s="354">
        <f t="shared" si="1"/>
        <v>473533.69</v>
      </c>
      <c r="U36" s="355">
        <f t="shared" si="2"/>
        <v>664817.91</v>
      </c>
      <c r="V36" s="355">
        <f t="shared" si="3"/>
        <v>622332.37</v>
      </c>
      <c r="W36" s="355">
        <f t="shared" si="4"/>
        <v>547985.91</v>
      </c>
      <c r="X36" s="13">
        <f t="shared" si="5"/>
        <v>2308669.8800000004</v>
      </c>
    </row>
    <row r="37" spans="3:24">
      <c r="C37" s="302" t="s">
        <v>53</v>
      </c>
      <c r="D37" s="354">
        <v>434185.75</v>
      </c>
      <c r="E37" s="355">
        <v>735902.27</v>
      </c>
      <c r="F37" s="355">
        <v>643084.21</v>
      </c>
      <c r="G37" s="355">
        <v>938470.02</v>
      </c>
      <c r="H37" s="355">
        <v>1347525.98</v>
      </c>
      <c r="I37" s="356">
        <v>909379.62</v>
      </c>
      <c r="J37" s="355">
        <v>688225.25</v>
      </c>
      <c r="K37" s="356">
        <v>608653.26</v>
      </c>
      <c r="L37" s="356">
        <v>572882.19999999995</v>
      </c>
      <c r="M37" s="356">
        <v>828240.99</v>
      </c>
      <c r="N37" s="356">
        <v>853633.68</v>
      </c>
      <c r="O37" s="419">
        <v>1346496.29</v>
      </c>
      <c r="P37" s="507">
        <f t="shared" si="0"/>
        <v>9906679.5199999996</v>
      </c>
      <c r="Q37" s="51"/>
      <c r="R37" s="51"/>
      <c r="S37" s="624" t="s">
        <v>53</v>
      </c>
      <c r="T37" s="354">
        <f t="shared" si="1"/>
        <v>1813172.23</v>
      </c>
      <c r="U37" s="355">
        <f t="shared" si="2"/>
        <v>3195375.62</v>
      </c>
      <c r="V37" s="355">
        <f t="shared" si="3"/>
        <v>1869760.71</v>
      </c>
      <c r="W37" s="355">
        <f t="shared" si="4"/>
        <v>3028370.96</v>
      </c>
      <c r="X37" s="13">
        <f t="shared" si="5"/>
        <v>9906679.5199999996</v>
      </c>
    </row>
    <row r="38" spans="3:24" ht="13.5" thickBot="1">
      <c r="C38" s="368" t="s">
        <v>258</v>
      </c>
      <c r="D38" s="369">
        <v>243474.65</v>
      </c>
      <c r="E38" s="370">
        <v>222100.94</v>
      </c>
      <c r="F38" s="371">
        <v>212223.57</v>
      </c>
      <c r="G38" s="371">
        <v>382354.71</v>
      </c>
      <c r="H38" s="371">
        <v>253844.35</v>
      </c>
      <c r="I38" s="371">
        <v>242992.44</v>
      </c>
      <c r="J38" s="371">
        <v>334129.03999999998</v>
      </c>
      <c r="K38" s="370">
        <v>508443.86</v>
      </c>
      <c r="L38" s="371">
        <v>293445.81</v>
      </c>
      <c r="M38" s="371">
        <v>306628.21999999997</v>
      </c>
      <c r="N38" s="371">
        <v>483237.49</v>
      </c>
      <c r="O38" s="392">
        <v>1523568.9</v>
      </c>
      <c r="P38" s="508">
        <f t="shared" si="0"/>
        <v>5006443.9800000004</v>
      </c>
      <c r="Q38" s="51"/>
      <c r="R38" s="51"/>
      <c r="S38" s="626" t="s">
        <v>258</v>
      </c>
      <c r="T38" s="369">
        <f t="shared" si="1"/>
        <v>677799.15999999992</v>
      </c>
      <c r="U38" s="370">
        <f t="shared" si="2"/>
        <v>879191.5</v>
      </c>
      <c r="V38" s="371">
        <f t="shared" si="3"/>
        <v>1136018.71</v>
      </c>
      <c r="W38" s="371">
        <f t="shared" si="4"/>
        <v>2313434.61</v>
      </c>
      <c r="X38" s="13">
        <f t="shared" si="5"/>
        <v>5006443.9800000004</v>
      </c>
    </row>
    <row r="39" spans="3:24" ht="14.25" thickTop="1" thickBot="1">
      <c r="C39" s="358" t="s">
        <v>62</v>
      </c>
      <c r="D39" s="385">
        <f>+D41+D55+D61+D67+D68+D69+D71</f>
        <v>49986841.960000008</v>
      </c>
      <c r="E39" s="385">
        <f t="shared" ref="E39:N39" si="6">+E41+E55+E61+E67+E68+E69+E71</f>
        <v>94419447.280000001</v>
      </c>
      <c r="F39" s="385">
        <f t="shared" si="6"/>
        <v>108040892.72</v>
      </c>
      <c r="G39" s="385">
        <f t="shared" si="6"/>
        <v>100377120.37000002</v>
      </c>
      <c r="H39" s="385">
        <f t="shared" si="6"/>
        <v>125316541.36000001</v>
      </c>
      <c r="I39" s="385">
        <f t="shared" si="6"/>
        <v>99592119.920000002</v>
      </c>
      <c r="J39" s="385">
        <f t="shared" si="6"/>
        <v>122559303.28999999</v>
      </c>
      <c r="K39" s="385">
        <f t="shared" si="6"/>
        <v>93833522.960000008</v>
      </c>
      <c r="L39" s="385">
        <f t="shared" si="6"/>
        <v>125284241.47</v>
      </c>
      <c r="M39" s="385">
        <f t="shared" si="6"/>
        <v>90606405.979999989</v>
      </c>
      <c r="N39" s="385">
        <f t="shared" si="6"/>
        <v>103574438.02999999</v>
      </c>
      <c r="O39" s="385">
        <f>+O41+O55+O61+O67+O68+O69+O71+O70</f>
        <v>205225525.59999999</v>
      </c>
      <c r="P39" s="420">
        <f>+SUM(D39:O39)</f>
        <v>1318816400.9400001</v>
      </c>
      <c r="Q39" s="606"/>
      <c r="R39" s="51"/>
      <c r="S39" s="622" t="s">
        <v>62</v>
      </c>
      <c r="T39" s="385">
        <f t="shared" si="1"/>
        <v>252447181.96000001</v>
      </c>
      <c r="U39" s="385">
        <f t="shared" si="2"/>
        <v>325285781.65000004</v>
      </c>
      <c r="V39" s="385">
        <f t="shared" si="3"/>
        <v>341677067.72000003</v>
      </c>
      <c r="W39" s="385">
        <f t="shared" si="4"/>
        <v>399406369.61000001</v>
      </c>
      <c r="X39" s="13">
        <f t="shared" si="5"/>
        <v>1318816400.9400001</v>
      </c>
    </row>
    <row r="40" spans="3:24" ht="14.25" thickTop="1" thickBot="1">
      <c r="C40" s="358" t="s">
        <v>126</v>
      </c>
      <c r="D40" s="385">
        <v>49420838.13000001</v>
      </c>
      <c r="E40" s="424">
        <v>86381252.710000008</v>
      </c>
      <c r="F40" s="385">
        <v>103809098.91</v>
      </c>
      <c r="G40" s="385">
        <v>95592146.980000019</v>
      </c>
      <c r="H40" s="385">
        <v>88340550.010000005</v>
      </c>
      <c r="I40" s="385">
        <v>92513493.909999996</v>
      </c>
      <c r="J40" s="385">
        <v>114095231.05</v>
      </c>
      <c r="K40" s="385">
        <v>88441088.230000004</v>
      </c>
      <c r="L40" s="385">
        <v>116168670.38</v>
      </c>
      <c r="M40" s="385">
        <v>82796355.819999993</v>
      </c>
      <c r="N40" s="385">
        <v>95667200.879999995</v>
      </c>
      <c r="O40" s="420">
        <v>150960945.00999999</v>
      </c>
      <c r="P40" s="420">
        <f t="shared" si="0"/>
        <v>1164186872.02</v>
      </c>
      <c r="Q40" s="51"/>
      <c r="R40" s="51"/>
      <c r="S40" s="622" t="s">
        <v>126</v>
      </c>
      <c r="T40" s="385">
        <f t="shared" si="1"/>
        <v>239611189.75000003</v>
      </c>
      <c r="U40" s="424">
        <f t="shared" si="2"/>
        <v>276446190.89999998</v>
      </c>
      <c r="V40" s="385">
        <f t="shared" si="3"/>
        <v>318704989.65999997</v>
      </c>
      <c r="W40" s="385">
        <f t="shared" si="4"/>
        <v>329424501.70999998</v>
      </c>
      <c r="X40" s="13">
        <f t="shared" si="5"/>
        <v>1164186872.02</v>
      </c>
    </row>
    <row r="41" spans="3:24" ht="13.5" thickTop="1">
      <c r="C41" s="303" t="s">
        <v>63</v>
      </c>
      <c r="D41" s="318">
        <v>8627834.0199999996</v>
      </c>
      <c r="E41" s="443">
        <v>43164894.030000001</v>
      </c>
      <c r="F41" s="388">
        <v>59426365.849999994</v>
      </c>
      <c r="G41" s="390">
        <v>49785776.700000003</v>
      </c>
      <c r="H41" s="390">
        <v>44830455.289999999</v>
      </c>
      <c r="I41" s="390">
        <v>47447149.749999993</v>
      </c>
      <c r="J41" s="390">
        <v>70908065.189999998</v>
      </c>
      <c r="K41" s="390">
        <v>44145023.140000001</v>
      </c>
      <c r="L41" s="390">
        <v>70782480.310000002</v>
      </c>
      <c r="M41" s="389">
        <v>38141228.740000002</v>
      </c>
      <c r="N41" s="388">
        <v>51008458.259999998</v>
      </c>
      <c r="O41" s="390">
        <v>93242810.679999992</v>
      </c>
      <c r="P41" s="509">
        <f t="shared" si="0"/>
        <v>621510541.95999992</v>
      </c>
      <c r="Q41" s="51"/>
      <c r="R41" s="51"/>
      <c r="S41" s="625" t="s">
        <v>63</v>
      </c>
      <c r="T41" s="318">
        <f t="shared" si="1"/>
        <v>111219093.89999999</v>
      </c>
      <c r="U41" s="443">
        <f t="shared" si="2"/>
        <v>142063381.74000001</v>
      </c>
      <c r="V41" s="388">
        <f t="shared" si="3"/>
        <v>185835568.63999999</v>
      </c>
      <c r="W41" s="390">
        <f t="shared" si="4"/>
        <v>182392497.68000001</v>
      </c>
      <c r="X41" s="13">
        <f t="shared" si="5"/>
        <v>621510541.96000004</v>
      </c>
    </row>
    <row r="42" spans="3:24">
      <c r="C42" s="303" t="s">
        <v>64</v>
      </c>
      <c r="D42" s="318">
        <v>2273988.2999999998</v>
      </c>
      <c r="E42" s="389">
        <v>30288662.489999998</v>
      </c>
      <c r="F42" s="388">
        <v>40616297.129999995</v>
      </c>
      <c r="G42" s="390">
        <v>35946101.170000002</v>
      </c>
      <c r="H42" s="390">
        <v>30479076.149999999</v>
      </c>
      <c r="I42" s="390">
        <v>26850585.659999996</v>
      </c>
      <c r="J42" s="390">
        <v>37113262.700000003</v>
      </c>
      <c r="K42" s="390">
        <v>23146071.73</v>
      </c>
      <c r="L42" s="390">
        <v>36016435.690000005</v>
      </c>
      <c r="M42" s="389">
        <v>22029170.5</v>
      </c>
      <c r="N42" s="388">
        <v>31387590.989999998</v>
      </c>
      <c r="O42" s="390">
        <v>55111004.319999993</v>
      </c>
      <c r="P42" s="509">
        <f t="shared" si="0"/>
        <v>371258246.82999998</v>
      </c>
      <c r="Q42" s="51"/>
      <c r="R42" s="51"/>
      <c r="S42" s="625" t="s">
        <v>64</v>
      </c>
      <c r="T42" s="318">
        <f t="shared" si="1"/>
        <v>73178947.919999987</v>
      </c>
      <c r="U42" s="389">
        <f t="shared" si="2"/>
        <v>93275762.979999989</v>
      </c>
      <c r="V42" s="388">
        <f t="shared" si="3"/>
        <v>96275770.120000005</v>
      </c>
      <c r="W42" s="390">
        <f t="shared" si="4"/>
        <v>108527765.80999999</v>
      </c>
      <c r="X42" s="13">
        <f t="shared" si="5"/>
        <v>371258246.82999998</v>
      </c>
    </row>
    <row r="43" spans="3:24">
      <c r="C43" s="381" t="s">
        <v>66</v>
      </c>
      <c r="D43" s="354">
        <v>2273988.2999999998</v>
      </c>
      <c r="E43" s="355">
        <v>17471791.870000001</v>
      </c>
      <c r="F43" s="355">
        <v>27650652.690000001</v>
      </c>
      <c r="G43" s="355">
        <v>23098860.969999999</v>
      </c>
      <c r="H43" s="355">
        <v>18133309.100000001</v>
      </c>
      <c r="I43" s="356">
        <v>14560414.66</v>
      </c>
      <c r="J43" s="355">
        <v>22120116.27</v>
      </c>
      <c r="K43" s="356">
        <v>12386717.98</v>
      </c>
      <c r="L43" s="356">
        <v>24159222.100000001</v>
      </c>
      <c r="M43" s="356">
        <v>9134303.8800000008</v>
      </c>
      <c r="N43" s="356">
        <v>18922048.329999998</v>
      </c>
      <c r="O43" s="419">
        <v>30391769.469999999</v>
      </c>
      <c r="P43" s="507">
        <f t="shared" si="0"/>
        <v>220303195.61999997</v>
      </c>
      <c r="Q43" s="51"/>
      <c r="R43" s="51"/>
      <c r="S43" s="627" t="s">
        <v>66</v>
      </c>
      <c r="T43" s="354">
        <f t="shared" si="1"/>
        <v>47396432.859999999</v>
      </c>
      <c r="U43" s="355">
        <f t="shared" si="2"/>
        <v>55792584.730000004</v>
      </c>
      <c r="V43" s="355">
        <f t="shared" si="3"/>
        <v>58666056.350000001</v>
      </c>
      <c r="W43" s="355">
        <f t="shared" si="4"/>
        <v>58448121.68</v>
      </c>
      <c r="X43" s="13">
        <f t="shared" si="5"/>
        <v>220303195.62</v>
      </c>
    </row>
    <row r="44" spans="3:24">
      <c r="C44" s="381" t="s">
        <v>68</v>
      </c>
      <c r="D44" s="354">
        <v>0</v>
      </c>
      <c r="E44" s="355">
        <v>2514692.65</v>
      </c>
      <c r="F44" s="355">
        <v>2508569.5699999998</v>
      </c>
      <c r="G44" s="355">
        <v>2505320.71</v>
      </c>
      <c r="H44" s="355">
        <v>2473353.64</v>
      </c>
      <c r="I44" s="356">
        <v>2362550.4900000002</v>
      </c>
      <c r="J44" s="355">
        <v>2872858.01</v>
      </c>
      <c r="K44" s="356">
        <v>2050364.64</v>
      </c>
      <c r="L44" s="356">
        <v>2293422.79</v>
      </c>
      <c r="M44" s="356">
        <v>2465798.62</v>
      </c>
      <c r="N44" s="356">
        <v>2501319.02</v>
      </c>
      <c r="O44" s="419">
        <v>4795729.3899999997</v>
      </c>
      <c r="P44" s="507">
        <f t="shared" si="0"/>
        <v>29343979.530000001</v>
      </c>
      <c r="Q44" s="51"/>
      <c r="R44" s="51"/>
      <c r="S44" s="627" t="s">
        <v>68</v>
      </c>
      <c r="T44" s="354">
        <f t="shared" si="1"/>
        <v>5023262.22</v>
      </c>
      <c r="U44" s="355">
        <f t="shared" si="2"/>
        <v>7341224.8399999999</v>
      </c>
      <c r="V44" s="355">
        <f t="shared" si="3"/>
        <v>7216645.4399999995</v>
      </c>
      <c r="W44" s="355">
        <f t="shared" si="4"/>
        <v>9762847.0300000012</v>
      </c>
      <c r="X44" s="13">
        <f t="shared" si="5"/>
        <v>29343979.530000001</v>
      </c>
    </row>
    <row r="45" spans="3:24">
      <c r="C45" s="381" t="s">
        <v>70</v>
      </c>
      <c r="D45" s="354">
        <v>0</v>
      </c>
      <c r="E45" s="355">
        <v>6531117.1799999997</v>
      </c>
      <c r="F45" s="355">
        <v>6593870.46</v>
      </c>
      <c r="G45" s="355">
        <v>6535884.2000000002</v>
      </c>
      <c r="H45" s="355">
        <v>6374538.6500000004</v>
      </c>
      <c r="I45" s="356">
        <v>6284319.4100000001</v>
      </c>
      <c r="J45" s="355">
        <v>7604612.6699999999</v>
      </c>
      <c r="K45" s="356">
        <v>5401396.1200000001</v>
      </c>
      <c r="L45" s="356">
        <v>6260023.1799999997</v>
      </c>
      <c r="M45" s="356">
        <v>6279449.0700000003</v>
      </c>
      <c r="N45" s="356">
        <v>6563087.3600000003</v>
      </c>
      <c r="O45" s="419">
        <v>12274275.77</v>
      </c>
      <c r="P45" s="507">
        <f t="shared" si="0"/>
        <v>76702574.069999993</v>
      </c>
      <c r="Q45" s="51"/>
      <c r="R45" s="51"/>
      <c r="S45" s="627" t="s">
        <v>70</v>
      </c>
      <c r="T45" s="354">
        <f t="shared" si="1"/>
        <v>13124987.640000001</v>
      </c>
      <c r="U45" s="355">
        <f t="shared" si="2"/>
        <v>19194742.260000002</v>
      </c>
      <c r="V45" s="355">
        <f t="shared" si="3"/>
        <v>19266031.969999999</v>
      </c>
      <c r="W45" s="355">
        <f t="shared" si="4"/>
        <v>25116812.199999999</v>
      </c>
      <c r="X45" s="13">
        <f t="shared" si="5"/>
        <v>76702574.070000008</v>
      </c>
    </row>
    <row r="46" spans="3:24">
      <c r="C46" s="381" t="s">
        <v>72</v>
      </c>
      <c r="D46" s="354">
        <v>0</v>
      </c>
      <c r="E46" s="355">
        <v>3425218.34</v>
      </c>
      <c r="F46" s="355">
        <v>3514678.55</v>
      </c>
      <c r="G46" s="355">
        <v>3453101.7</v>
      </c>
      <c r="H46" s="355">
        <v>3154834.06</v>
      </c>
      <c r="I46" s="356">
        <v>3310940.86</v>
      </c>
      <c r="J46" s="355">
        <v>4109338.16</v>
      </c>
      <c r="K46" s="356">
        <v>3018463.09</v>
      </c>
      <c r="L46" s="356">
        <v>2969324.74</v>
      </c>
      <c r="M46" s="356">
        <v>3812073.65</v>
      </c>
      <c r="N46" s="356">
        <v>3035435.11</v>
      </c>
      <c r="O46" s="419">
        <v>6982800.46</v>
      </c>
      <c r="P46" s="507">
        <f t="shared" si="0"/>
        <v>40786208.719999999</v>
      </c>
      <c r="Q46" s="51"/>
      <c r="R46" s="51"/>
      <c r="S46" s="627" t="s">
        <v>72</v>
      </c>
      <c r="T46" s="354">
        <f t="shared" si="1"/>
        <v>6939896.8899999997</v>
      </c>
      <c r="U46" s="355">
        <f t="shared" si="2"/>
        <v>9918876.6199999992</v>
      </c>
      <c r="V46" s="355">
        <f t="shared" si="3"/>
        <v>10097125.99</v>
      </c>
      <c r="W46" s="355">
        <f t="shared" si="4"/>
        <v>13830309.219999999</v>
      </c>
      <c r="X46" s="13">
        <f t="shared" si="5"/>
        <v>40786208.719999999</v>
      </c>
    </row>
    <row r="47" spans="3:24">
      <c r="C47" s="381" t="s">
        <v>129</v>
      </c>
      <c r="D47" s="354">
        <v>0</v>
      </c>
      <c r="E47" s="355">
        <v>345842.45</v>
      </c>
      <c r="F47" s="355">
        <v>348525.86</v>
      </c>
      <c r="G47" s="355">
        <v>352933.59</v>
      </c>
      <c r="H47" s="355">
        <v>343040.7</v>
      </c>
      <c r="I47" s="356">
        <v>332360.24</v>
      </c>
      <c r="J47" s="355">
        <v>406337.59</v>
      </c>
      <c r="K47" s="356">
        <v>289129.90000000002</v>
      </c>
      <c r="L47" s="356">
        <v>334442.88</v>
      </c>
      <c r="M47" s="356">
        <v>337545.28</v>
      </c>
      <c r="N47" s="356">
        <v>365701.17</v>
      </c>
      <c r="O47" s="419">
        <v>666429.23</v>
      </c>
      <c r="P47" s="507">
        <f t="shared" si="0"/>
        <v>4122288.89</v>
      </c>
      <c r="Q47" s="51"/>
      <c r="R47" s="51"/>
      <c r="S47" s="627" t="s">
        <v>129</v>
      </c>
      <c r="T47" s="354">
        <f t="shared" si="1"/>
        <v>694368.31</v>
      </c>
      <c r="U47" s="355">
        <f t="shared" si="2"/>
        <v>1028334.53</v>
      </c>
      <c r="V47" s="355">
        <f t="shared" si="3"/>
        <v>1029910.37</v>
      </c>
      <c r="W47" s="355">
        <f t="shared" si="4"/>
        <v>1369675.68</v>
      </c>
      <c r="X47" s="13">
        <f t="shared" si="5"/>
        <v>4122288.8899999997</v>
      </c>
    </row>
    <row r="48" spans="3:24">
      <c r="C48" s="303" t="s">
        <v>75</v>
      </c>
      <c r="D48" s="386">
        <v>1045481.8</v>
      </c>
      <c r="E48" s="389">
        <v>1056653.04</v>
      </c>
      <c r="F48" s="388">
        <v>1242869.69</v>
      </c>
      <c r="G48" s="390">
        <v>1207294.6200000001</v>
      </c>
      <c r="H48" s="390">
        <v>854208.54</v>
      </c>
      <c r="I48" s="390">
        <v>897771.29</v>
      </c>
      <c r="J48" s="390">
        <v>1146414.8899999999</v>
      </c>
      <c r="K48" s="390">
        <v>583880.80000000005</v>
      </c>
      <c r="L48" s="390">
        <v>734439.14</v>
      </c>
      <c r="M48" s="389">
        <v>907724.24</v>
      </c>
      <c r="N48" s="388">
        <v>840618.74</v>
      </c>
      <c r="O48" s="390">
        <v>2312316.69</v>
      </c>
      <c r="P48" s="509">
        <f t="shared" si="0"/>
        <v>12829673.48</v>
      </c>
      <c r="Q48" s="51"/>
      <c r="R48" s="51"/>
      <c r="S48" s="625" t="s">
        <v>75</v>
      </c>
      <c r="T48" s="386">
        <f t="shared" si="1"/>
        <v>3345004.53</v>
      </c>
      <c r="U48" s="389">
        <f t="shared" si="2"/>
        <v>2959274.45</v>
      </c>
      <c r="V48" s="388">
        <f t="shared" si="3"/>
        <v>2464734.83</v>
      </c>
      <c r="W48" s="390">
        <f t="shared" si="4"/>
        <v>4060659.67</v>
      </c>
      <c r="X48" s="13">
        <f t="shared" si="5"/>
        <v>12829673.48</v>
      </c>
    </row>
    <row r="49" spans="3:24">
      <c r="C49" s="303" t="s">
        <v>77</v>
      </c>
      <c r="D49" s="386">
        <v>1484685.72</v>
      </c>
      <c r="E49" s="389">
        <v>7165006.0499999998</v>
      </c>
      <c r="F49" s="388">
        <v>9460591.8300000001</v>
      </c>
      <c r="G49" s="390">
        <v>7293662.2400000002</v>
      </c>
      <c r="H49" s="390">
        <v>8682314.5299999993</v>
      </c>
      <c r="I49" s="390">
        <v>10463777.859999999</v>
      </c>
      <c r="J49" s="390">
        <v>7317733.6699999999</v>
      </c>
      <c r="K49" s="390">
        <v>6550674.21</v>
      </c>
      <c r="L49" s="390">
        <v>10206542.800000001</v>
      </c>
      <c r="M49" s="389">
        <v>10738897.789999999</v>
      </c>
      <c r="N49" s="388">
        <v>9625130.3000000007</v>
      </c>
      <c r="O49" s="390">
        <v>21503906.379999999</v>
      </c>
      <c r="P49" s="509">
        <f t="shared" si="0"/>
        <v>110492923.38000001</v>
      </c>
      <c r="Q49" s="51"/>
      <c r="R49" s="51"/>
      <c r="S49" s="625" t="s">
        <v>77</v>
      </c>
      <c r="T49" s="386">
        <f t="shared" si="1"/>
        <v>18110283.600000001</v>
      </c>
      <c r="U49" s="389">
        <f t="shared" si="2"/>
        <v>26439754.629999999</v>
      </c>
      <c r="V49" s="388">
        <f t="shared" si="3"/>
        <v>24074950.68</v>
      </c>
      <c r="W49" s="390">
        <f t="shared" si="4"/>
        <v>41867934.469999999</v>
      </c>
      <c r="X49" s="13">
        <f t="shared" si="5"/>
        <v>110492923.38</v>
      </c>
    </row>
    <row r="50" spans="3:24">
      <c r="C50" s="303" t="s">
        <v>79</v>
      </c>
      <c r="D50" s="386">
        <v>53448.77</v>
      </c>
      <c r="E50" s="389">
        <v>1798760.97</v>
      </c>
      <c r="F50" s="388">
        <v>1771488.25</v>
      </c>
      <c r="G50" s="390">
        <v>1950746.81</v>
      </c>
      <c r="H50" s="390">
        <v>1541027.91</v>
      </c>
      <c r="I50" s="390">
        <v>1392931.49</v>
      </c>
      <c r="J50" s="390">
        <v>1987593.83</v>
      </c>
      <c r="K50" s="390">
        <v>2806479.97</v>
      </c>
      <c r="L50" s="390">
        <v>1203686.26</v>
      </c>
      <c r="M50" s="389">
        <v>1849314.05</v>
      </c>
      <c r="N50" s="388">
        <v>1992013.6</v>
      </c>
      <c r="O50" s="390">
        <v>5194533.6399999997</v>
      </c>
      <c r="P50" s="509">
        <f t="shared" si="0"/>
        <v>23542025.550000004</v>
      </c>
      <c r="Q50" s="51"/>
      <c r="R50" s="51"/>
      <c r="S50" s="625" t="s">
        <v>79</v>
      </c>
      <c r="T50" s="386">
        <f t="shared" si="1"/>
        <v>3623697.99</v>
      </c>
      <c r="U50" s="389">
        <f t="shared" si="2"/>
        <v>4884706.21</v>
      </c>
      <c r="V50" s="388">
        <f t="shared" si="3"/>
        <v>5997760.0600000005</v>
      </c>
      <c r="W50" s="390">
        <f t="shared" si="4"/>
        <v>9035861.2899999991</v>
      </c>
      <c r="X50" s="13">
        <f t="shared" si="5"/>
        <v>23542025.549999997</v>
      </c>
    </row>
    <row r="51" spans="3:24">
      <c r="C51" s="303" t="s">
        <v>80</v>
      </c>
      <c r="D51" s="386">
        <v>3391277.13</v>
      </c>
      <c r="E51" s="389">
        <v>972542.76</v>
      </c>
      <c r="F51" s="388">
        <v>2416797.52</v>
      </c>
      <c r="G51" s="390">
        <v>820062.5</v>
      </c>
      <c r="H51" s="390">
        <v>1184535.8500000001</v>
      </c>
      <c r="I51" s="390">
        <v>4336983.3499999996</v>
      </c>
      <c r="J51" s="390">
        <v>4465679.6900000004</v>
      </c>
      <c r="K51" s="390">
        <v>1719692.53</v>
      </c>
      <c r="L51" s="390">
        <v>18211133.600000001</v>
      </c>
      <c r="M51" s="389">
        <v>602506.52</v>
      </c>
      <c r="N51" s="388">
        <v>1061016.5</v>
      </c>
      <c r="O51" s="390">
        <v>5910122.0800000001</v>
      </c>
      <c r="P51" s="509">
        <f t="shared" si="0"/>
        <v>45092350.030000009</v>
      </c>
      <c r="Q51" s="51"/>
      <c r="R51" s="51"/>
      <c r="S51" s="625" t="s">
        <v>80</v>
      </c>
      <c r="T51" s="386">
        <f t="shared" si="1"/>
        <v>6780617.4100000001</v>
      </c>
      <c r="U51" s="389">
        <f t="shared" si="2"/>
        <v>6341581.6999999993</v>
      </c>
      <c r="V51" s="388">
        <f t="shared" si="3"/>
        <v>24396505.82</v>
      </c>
      <c r="W51" s="390">
        <f t="shared" si="4"/>
        <v>7573645.0999999996</v>
      </c>
      <c r="X51" s="13">
        <f t="shared" si="5"/>
        <v>45092350.030000001</v>
      </c>
    </row>
    <row r="52" spans="3:24">
      <c r="C52" s="303" t="s">
        <v>82</v>
      </c>
      <c r="D52" s="386">
        <v>73867.23</v>
      </c>
      <c r="E52" s="389">
        <v>840546.78</v>
      </c>
      <c r="F52" s="388">
        <v>719500.95</v>
      </c>
      <c r="G52" s="390">
        <v>537556.74</v>
      </c>
      <c r="H52" s="390">
        <v>825082.28</v>
      </c>
      <c r="I52" s="390">
        <v>614646.72</v>
      </c>
      <c r="J52" s="390">
        <v>645197.78</v>
      </c>
      <c r="K52" s="390">
        <v>201491.01</v>
      </c>
      <c r="L52" s="390">
        <v>935104.47</v>
      </c>
      <c r="M52" s="389">
        <v>352694.09</v>
      </c>
      <c r="N52" s="388">
        <v>954819.61</v>
      </c>
      <c r="O52" s="390">
        <v>675780.26</v>
      </c>
      <c r="P52" s="509">
        <f t="shared" si="0"/>
        <v>7376287.9199999999</v>
      </c>
      <c r="Q52" s="51"/>
      <c r="R52" s="51"/>
      <c r="S52" s="625" t="s">
        <v>82</v>
      </c>
      <c r="T52" s="386">
        <f t="shared" si="1"/>
        <v>1633914.96</v>
      </c>
      <c r="U52" s="389">
        <f t="shared" si="2"/>
        <v>1977285.74</v>
      </c>
      <c r="V52" s="388">
        <f t="shared" si="3"/>
        <v>1781793.26</v>
      </c>
      <c r="W52" s="390">
        <f t="shared" si="4"/>
        <v>1983293.96</v>
      </c>
      <c r="X52" s="13">
        <f t="shared" si="5"/>
        <v>7376287.9199999999</v>
      </c>
    </row>
    <row r="53" spans="3:24">
      <c r="C53" s="303" t="s">
        <v>84</v>
      </c>
      <c r="D53" s="386">
        <v>275000</v>
      </c>
      <c r="E53" s="389">
        <v>539245.19999999995</v>
      </c>
      <c r="F53" s="388">
        <v>2694017.39</v>
      </c>
      <c r="G53" s="390">
        <v>1595560.02</v>
      </c>
      <c r="H53" s="390">
        <v>871042.51</v>
      </c>
      <c r="I53" s="390">
        <v>2341303.41</v>
      </c>
      <c r="J53" s="390">
        <v>17953902.48</v>
      </c>
      <c r="K53" s="390">
        <v>8554726.6999999993</v>
      </c>
      <c r="L53" s="390">
        <v>2936196.08</v>
      </c>
      <c r="M53" s="389">
        <v>1159365.6499999999</v>
      </c>
      <c r="N53" s="388">
        <v>4612044.76</v>
      </c>
      <c r="O53" s="390">
        <v>1868092.32</v>
      </c>
      <c r="P53" s="509">
        <f t="shared" si="0"/>
        <v>45400496.519999988</v>
      </c>
      <c r="Q53" s="51"/>
      <c r="R53" s="51"/>
      <c r="S53" s="625" t="s">
        <v>84</v>
      </c>
      <c r="T53" s="386">
        <f t="shared" si="1"/>
        <v>3508262.59</v>
      </c>
      <c r="U53" s="389">
        <f t="shared" si="2"/>
        <v>4807905.9400000004</v>
      </c>
      <c r="V53" s="388">
        <f t="shared" si="3"/>
        <v>29444825.259999998</v>
      </c>
      <c r="W53" s="390">
        <f t="shared" si="4"/>
        <v>7639502.7300000004</v>
      </c>
      <c r="X53" s="13">
        <f t="shared" si="5"/>
        <v>45400496.519999996</v>
      </c>
    </row>
    <row r="54" spans="3:24">
      <c r="C54" s="303" t="s">
        <v>86</v>
      </c>
      <c r="D54" s="386">
        <v>30085.07</v>
      </c>
      <c r="E54" s="389">
        <v>503476.74</v>
      </c>
      <c r="F54" s="388">
        <v>504803.09</v>
      </c>
      <c r="G54" s="390">
        <v>434792.6</v>
      </c>
      <c r="H54" s="390">
        <v>393167.52</v>
      </c>
      <c r="I54" s="390">
        <v>549149.97</v>
      </c>
      <c r="J54" s="390">
        <v>278280.15000000002</v>
      </c>
      <c r="K54" s="390">
        <v>582006.18999999994</v>
      </c>
      <c r="L54" s="390">
        <v>538942.27</v>
      </c>
      <c r="M54" s="389">
        <v>501555.9</v>
      </c>
      <c r="N54" s="388">
        <v>535223.76</v>
      </c>
      <c r="O54" s="390">
        <v>667054.99</v>
      </c>
      <c r="P54" s="509">
        <f t="shared" si="0"/>
        <v>5518538.25</v>
      </c>
      <c r="Q54" s="51"/>
      <c r="R54" s="51"/>
      <c r="S54" s="625" t="s">
        <v>86</v>
      </c>
      <c r="T54" s="386">
        <f t="shared" si="1"/>
        <v>1038364.8999999999</v>
      </c>
      <c r="U54" s="389">
        <f t="shared" si="2"/>
        <v>1377110.0899999999</v>
      </c>
      <c r="V54" s="388">
        <f t="shared" si="3"/>
        <v>1399228.6099999999</v>
      </c>
      <c r="W54" s="390">
        <f t="shared" si="4"/>
        <v>1703834.65</v>
      </c>
      <c r="X54" s="13">
        <f t="shared" si="5"/>
        <v>5518538.25</v>
      </c>
    </row>
    <row r="55" spans="3:24">
      <c r="C55" s="303" t="s">
        <v>87</v>
      </c>
      <c r="D55" s="386">
        <v>35790227.910000004</v>
      </c>
      <c r="E55" s="389">
        <v>37240232.010000005</v>
      </c>
      <c r="F55" s="388">
        <v>37271924.399999999</v>
      </c>
      <c r="G55" s="390">
        <v>39892449.500000007</v>
      </c>
      <c r="H55" s="390">
        <v>37066211.300000004</v>
      </c>
      <c r="I55" s="390">
        <v>37079860.880000003</v>
      </c>
      <c r="J55" s="390">
        <v>36572178.390000001</v>
      </c>
      <c r="K55" s="390">
        <v>37647103.829999998</v>
      </c>
      <c r="L55" s="390">
        <v>37740826.109999999</v>
      </c>
      <c r="M55" s="389">
        <v>38605292.859999999</v>
      </c>
      <c r="N55" s="388">
        <v>38236095.210000008</v>
      </c>
      <c r="O55" s="390">
        <v>41619747.859999999</v>
      </c>
      <c r="P55" s="509">
        <f t="shared" si="0"/>
        <v>454762150.26000011</v>
      </c>
      <c r="Q55" s="51"/>
      <c r="R55" s="605"/>
      <c r="S55" s="625" t="s">
        <v>87</v>
      </c>
      <c r="T55" s="386">
        <f t="shared" si="1"/>
        <v>110302384.32000002</v>
      </c>
      <c r="U55" s="389">
        <f t="shared" si="2"/>
        <v>114038521.68000001</v>
      </c>
      <c r="V55" s="388">
        <f t="shared" si="3"/>
        <v>111960108.33</v>
      </c>
      <c r="W55" s="390">
        <f t="shared" si="4"/>
        <v>118461135.93000001</v>
      </c>
      <c r="X55" s="13">
        <f t="shared" si="5"/>
        <v>454762150.26000005</v>
      </c>
    </row>
    <row r="56" spans="3:24">
      <c r="C56" s="381" t="s">
        <v>89</v>
      </c>
      <c r="D56" s="354">
        <v>4453651.43</v>
      </c>
      <c r="E56" s="355">
        <v>4896066.87</v>
      </c>
      <c r="F56" s="355">
        <v>4476246.8899999997</v>
      </c>
      <c r="G56" s="355">
        <v>5480021.2699999996</v>
      </c>
      <c r="H56" s="355">
        <v>4633778.79</v>
      </c>
      <c r="I56" s="356">
        <v>4850471.68</v>
      </c>
      <c r="J56" s="355">
        <v>4982451.78</v>
      </c>
      <c r="K56" s="356">
        <v>4924843.25</v>
      </c>
      <c r="L56" s="356">
        <v>5190627.29</v>
      </c>
      <c r="M56" s="356">
        <v>5061717.08</v>
      </c>
      <c r="N56" s="356">
        <v>5122315.24</v>
      </c>
      <c r="O56" s="419">
        <v>5258643.13</v>
      </c>
      <c r="P56" s="507">
        <f t="shared" si="0"/>
        <v>59330834.700000003</v>
      </c>
      <c r="Q56" s="51"/>
      <c r="R56" s="605"/>
      <c r="S56" s="627" t="s">
        <v>89</v>
      </c>
      <c r="T56" s="354">
        <f t="shared" si="1"/>
        <v>13825965.190000001</v>
      </c>
      <c r="U56" s="355">
        <f t="shared" si="2"/>
        <v>14964271.739999998</v>
      </c>
      <c r="V56" s="355">
        <f t="shared" si="3"/>
        <v>15097922.32</v>
      </c>
      <c r="W56" s="355">
        <f t="shared" si="4"/>
        <v>15442675.449999999</v>
      </c>
      <c r="X56" s="13">
        <f t="shared" si="5"/>
        <v>59330834.700000003</v>
      </c>
    </row>
    <row r="57" spans="3:24">
      <c r="C57" s="381" t="s">
        <v>91</v>
      </c>
      <c r="D57" s="354">
        <v>1478762.45</v>
      </c>
      <c r="E57" s="355">
        <v>1421720.88</v>
      </c>
      <c r="F57" s="355">
        <v>1307060.96</v>
      </c>
      <c r="G57" s="355">
        <v>2530071.37</v>
      </c>
      <c r="H57" s="355">
        <v>1203509.46</v>
      </c>
      <c r="I57" s="356">
        <v>1275119.2</v>
      </c>
      <c r="J57" s="355">
        <v>1175135.77</v>
      </c>
      <c r="K57" s="356">
        <v>1147157.1599999999</v>
      </c>
      <c r="L57" s="356">
        <v>1293108.81</v>
      </c>
      <c r="M57" s="356">
        <v>1198347.69</v>
      </c>
      <c r="N57" s="356">
        <v>1147180.72</v>
      </c>
      <c r="O57" s="419">
        <v>2145832.5699999998</v>
      </c>
      <c r="P57" s="507">
        <f t="shared" si="0"/>
        <v>17323007.039999999</v>
      </c>
      <c r="Q57" s="51"/>
      <c r="R57" s="605"/>
      <c r="S57" s="627" t="s">
        <v>91</v>
      </c>
      <c r="T57" s="354">
        <f t="shared" si="1"/>
        <v>4207544.29</v>
      </c>
      <c r="U57" s="355">
        <f t="shared" si="2"/>
        <v>5008700.03</v>
      </c>
      <c r="V57" s="355">
        <f t="shared" si="3"/>
        <v>3615401.7399999998</v>
      </c>
      <c r="W57" s="355">
        <f t="shared" si="4"/>
        <v>4491360.9800000004</v>
      </c>
      <c r="X57" s="13">
        <f t="shared" si="5"/>
        <v>17323007.039999999</v>
      </c>
    </row>
    <row r="58" spans="3:24">
      <c r="C58" s="381" t="s">
        <v>93</v>
      </c>
      <c r="D58" s="354">
        <v>28585499.899999999</v>
      </c>
      <c r="E58" s="355">
        <v>29424064.670000002</v>
      </c>
      <c r="F58" s="355">
        <v>30095737.289999999</v>
      </c>
      <c r="G58" s="355">
        <v>29821656.530000001</v>
      </c>
      <c r="H58" s="355">
        <v>29833170.870000001</v>
      </c>
      <c r="I58" s="356">
        <v>29749476.079999998</v>
      </c>
      <c r="J58" s="355">
        <v>29685670.670000002</v>
      </c>
      <c r="K58" s="356">
        <v>29689912.59</v>
      </c>
      <c r="L58" s="356">
        <v>29689265.93</v>
      </c>
      <c r="M58" s="356">
        <v>29936173.699999999</v>
      </c>
      <c r="N58" s="356">
        <v>29813083.850000001</v>
      </c>
      <c r="O58" s="419">
        <v>30551611.300000001</v>
      </c>
      <c r="P58" s="507">
        <f t="shared" si="0"/>
        <v>356875323.38000005</v>
      </c>
      <c r="Q58" s="51"/>
      <c r="R58" s="51"/>
      <c r="S58" s="627" t="s">
        <v>93</v>
      </c>
      <c r="T58" s="354">
        <f t="shared" si="1"/>
        <v>88105301.859999999</v>
      </c>
      <c r="U58" s="355">
        <f t="shared" si="2"/>
        <v>89404303.480000004</v>
      </c>
      <c r="V58" s="355">
        <f t="shared" si="3"/>
        <v>89064849.189999998</v>
      </c>
      <c r="W58" s="355">
        <f t="shared" si="4"/>
        <v>90300868.849999994</v>
      </c>
      <c r="X58" s="13">
        <f t="shared" si="5"/>
        <v>356875323.38</v>
      </c>
    </row>
    <row r="59" spans="3:24">
      <c r="C59" s="381" t="s">
        <v>95</v>
      </c>
      <c r="D59" s="354">
        <v>843503</v>
      </c>
      <c r="E59" s="355">
        <v>800606.35</v>
      </c>
      <c r="F59" s="355">
        <v>895259.66</v>
      </c>
      <c r="G59" s="355">
        <v>1281537.7</v>
      </c>
      <c r="H59" s="355">
        <v>1048579.6200000001</v>
      </c>
      <c r="I59" s="356">
        <v>738450.43</v>
      </c>
      <c r="J59" s="355">
        <v>469131.93</v>
      </c>
      <c r="K59" s="356">
        <v>1110058.69</v>
      </c>
      <c r="L59" s="356">
        <v>1161363.5</v>
      </c>
      <c r="M59" s="356">
        <v>1399344.11</v>
      </c>
      <c r="N59" s="356">
        <v>920328.13</v>
      </c>
      <c r="O59" s="419">
        <v>2310651.71</v>
      </c>
      <c r="P59" s="507">
        <f t="shared" si="0"/>
        <v>12978814.829999998</v>
      </c>
      <c r="Q59" s="51"/>
      <c r="R59" s="51"/>
      <c r="S59" s="627" t="s">
        <v>95</v>
      </c>
      <c r="T59" s="354">
        <f t="shared" si="1"/>
        <v>2539369.0100000002</v>
      </c>
      <c r="U59" s="355">
        <f t="shared" si="2"/>
        <v>3068567.7500000005</v>
      </c>
      <c r="V59" s="355">
        <f t="shared" si="3"/>
        <v>2740554.12</v>
      </c>
      <c r="W59" s="355">
        <f t="shared" si="4"/>
        <v>4630323.95</v>
      </c>
      <c r="X59" s="13">
        <f t="shared" si="5"/>
        <v>12978814.830000002</v>
      </c>
    </row>
    <row r="60" spans="3:24">
      <c r="C60" s="381" t="s">
        <v>97</v>
      </c>
      <c r="D60" s="354">
        <v>428811.13</v>
      </c>
      <c r="E60" s="355">
        <v>697773.24</v>
      </c>
      <c r="F60" s="355">
        <v>497619.6</v>
      </c>
      <c r="G60" s="355">
        <v>779162.63</v>
      </c>
      <c r="H60" s="355">
        <v>347172.56</v>
      </c>
      <c r="I60" s="356">
        <v>466343.49</v>
      </c>
      <c r="J60" s="355">
        <v>259788.24</v>
      </c>
      <c r="K60" s="356">
        <v>775132.14</v>
      </c>
      <c r="L60" s="356">
        <v>406460.58</v>
      </c>
      <c r="M60" s="356">
        <v>1009710.28</v>
      </c>
      <c r="N60" s="356">
        <v>1233187.27</v>
      </c>
      <c r="O60" s="419">
        <v>1353009.15</v>
      </c>
      <c r="P60" s="507">
        <f t="shared" si="0"/>
        <v>8254170.3100000005</v>
      </c>
      <c r="Q60" s="51"/>
      <c r="R60" s="51"/>
      <c r="S60" s="627" t="s">
        <v>97</v>
      </c>
      <c r="T60" s="354">
        <f t="shared" si="1"/>
        <v>1624203.9700000002</v>
      </c>
      <c r="U60" s="355">
        <f t="shared" si="2"/>
        <v>1592678.68</v>
      </c>
      <c r="V60" s="355">
        <f t="shared" si="3"/>
        <v>1441380.96</v>
      </c>
      <c r="W60" s="355">
        <f t="shared" si="4"/>
        <v>3595906.6999999997</v>
      </c>
      <c r="X60" s="13">
        <f t="shared" si="5"/>
        <v>8254170.3100000005</v>
      </c>
    </row>
    <row r="61" spans="3:24">
      <c r="C61" s="383" t="s">
        <v>100</v>
      </c>
      <c r="D61" s="386">
        <v>5002776.1999999993</v>
      </c>
      <c r="E61" s="389">
        <v>5976126.6699999999</v>
      </c>
      <c r="F61" s="388">
        <v>7110808.6600000001</v>
      </c>
      <c r="G61" s="390">
        <v>5913920.7800000003</v>
      </c>
      <c r="H61" s="390">
        <v>6443883.4199999999</v>
      </c>
      <c r="I61" s="390">
        <v>7986483.2800000003</v>
      </c>
      <c r="J61" s="390">
        <v>6614987.4699999988</v>
      </c>
      <c r="K61" s="390">
        <v>6648961.2599999998</v>
      </c>
      <c r="L61" s="390">
        <v>7645363.96</v>
      </c>
      <c r="M61" s="389">
        <v>6049834.2199999997</v>
      </c>
      <c r="N61" s="388">
        <v>6422647.4099999992</v>
      </c>
      <c r="O61" s="390">
        <v>16098386.470000001</v>
      </c>
      <c r="P61" s="509">
        <f t="shared" si="0"/>
        <v>87914179.799999997</v>
      </c>
      <c r="Q61" s="51"/>
      <c r="R61" s="51"/>
      <c r="S61" s="625" t="s">
        <v>100</v>
      </c>
      <c r="T61" s="386">
        <f t="shared" si="1"/>
        <v>18089711.530000001</v>
      </c>
      <c r="U61" s="389">
        <f t="shared" si="2"/>
        <v>20344287.48</v>
      </c>
      <c r="V61" s="388">
        <f t="shared" si="3"/>
        <v>20909312.689999998</v>
      </c>
      <c r="W61" s="390">
        <f t="shared" si="4"/>
        <v>28570868.100000001</v>
      </c>
      <c r="X61" s="13">
        <f t="shared" si="5"/>
        <v>87914179.800000012</v>
      </c>
    </row>
    <row r="62" spans="3:24">
      <c r="C62" s="381" t="s">
        <v>102</v>
      </c>
      <c r="D62" s="354">
        <v>4239407</v>
      </c>
      <c r="E62" s="355">
        <v>4538964.87</v>
      </c>
      <c r="F62" s="355">
        <v>5552384.7400000002</v>
      </c>
      <c r="G62" s="355">
        <v>4680915.54</v>
      </c>
      <c r="H62" s="355">
        <v>5141064.4400000004</v>
      </c>
      <c r="I62" s="356">
        <v>6124524.1600000001</v>
      </c>
      <c r="J62" s="355">
        <v>5027960.43</v>
      </c>
      <c r="K62" s="356">
        <v>4678797.62</v>
      </c>
      <c r="L62" s="356">
        <v>6088038.79</v>
      </c>
      <c r="M62" s="356">
        <v>4142122.57</v>
      </c>
      <c r="N62" s="356">
        <v>4576819.8099999996</v>
      </c>
      <c r="O62" s="419">
        <v>13895902.65</v>
      </c>
      <c r="P62" s="507">
        <f t="shared" si="0"/>
        <v>68686902.620000005</v>
      </c>
      <c r="Q62" s="51"/>
      <c r="R62" s="51"/>
      <c r="S62" s="627" t="s">
        <v>102</v>
      </c>
      <c r="T62" s="354">
        <f t="shared" si="1"/>
        <v>14330756.610000001</v>
      </c>
      <c r="U62" s="355">
        <f t="shared" si="2"/>
        <v>15946504.140000001</v>
      </c>
      <c r="V62" s="355">
        <f t="shared" si="3"/>
        <v>15794796.84</v>
      </c>
      <c r="W62" s="355">
        <f t="shared" si="4"/>
        <v>22614845.030000001</v>
      </c>
      <c r="X62" s="13">
        <f t="shared" si="5"/>
        <v>68686902.620000005</v>
      </c>
    </row>
    <row r="63" spans="3:24">
      <c r="C63" s="381" t="s">
        <v>104</v>
      </c>
      <c r="D63" s="354">
        <v>298336.96999999997</v>
      </c>
      <c r="E63" s="355">
        <v>365336.97</v>
      </c>
      <c r="F63" s="355">
        <v>373837.96</v>
      </c>
      <c r="G63" s="355">
        <v>348162.61</v>
      </c>
      <c r="H63" s="355">
        <v>325969.09999999998</v>
      </c>
      <c r="I63" s="356">
        <v>607283.01</v>
      </c>
      <c r="J63" s="355">
        <v>398430.52</v>
      </c>
      <c r="K63" s="356">
        <v>648986.97</v>
      </c>
      <c r="L63" s="356">
        <v>398824.3</v>
      </c>
      <c r="M63" s="356">
        <v>359756.49</v>
      </c>
      <c r="N63" s="356">
        <v>389039.45</v>
      </c>
      <c r="O63" s="419">
        <v>401378.41</v>
      </c>
      <c r="P63" s="507">
        <f t="shared" si="0"/>
        <v>4915342.7600000007</v>
      </c>
      <c r="Q63" s="51"/>
      <c r="R63" s="51"/>
      <c r="S63" s="627" t="s">
        <v>104</v>
      </c>
      <c r="T63" s="354">
        <f t="shared" si="1"/>
        <v>1037511.8999999999</v>
      </c>
      <c r="U63" s="355">
        <f t="shared" si="2"/>
        <v>1281414.72</v>
      </c>
      <c r="V63" s="355">
        <f t="shared" si="3"/>
        <v>1446241.79</v>
      </c>
      <c r="W63" s="355">
        <f t="shared" si="4"/>
        <v>1150174.3499999999</v>
      </c>
      <c r="X63" s="13">
        <f t="shared" si="5"/>
        <v>4915342.76</v>
      </c>
    </row>
    <row r="64" spans="3:24">
      <c r="C64" s="381" t="s">
        <v>106</v>
      </c>
      <c r="D64" s="354">
        <v>465032.23</v>
      </c>
      <c r="E64" s="355">
        <v>1053024.83</v>
      </c>
      <c r="F64" s="355">
        <v>1166085.96</v>
      </c>
      <c r="G64" s="355">
        <v>853475.63</v>
      </c>
      <c r="H64" s="355">
        <v>976149.88</v>
      </c>
      <c r="I64" s="356">
        <v>1237443.1100000001</v>
      </c>
      <c r="J64" s="355">
        <v>1035844.46</v>
      </c>
      <c r="K64" s="356">
        <v>1298001.67</v>
      </c>
      <c r="L64" s="356">
        <v>1128958.54</v>
      </c>
      <c r="M64" s="356">
        <v>1391518.59</v>
      </c>
      <c r="N64" s="356">
        <v>1296526.77</v>
      </c>
      <c r="O64" s="419">
        <v>1342784.73</v>
      </c>
      <c r="P64" s="507">
        <f t="shared" si="0"/>
        <v>13244846.4</v>
      </c>
      <c r="Q64" s="51"/>
      <c r="R64" s="51"/>
      <c r="S64" s="627" t="s">
        <v>106</v>
      </c>
      <c r="T64" s="354">
        <f t="shared" si="1"/>
        <v>2684143.02</v>
      </c>
      <c r="U64" s="355">
        <f t="shared" si="2"/>
        <v>3067068.62</v>
      </c>
      <c r="V64" s="355">
        <f t="shared" si="3"/>
        <v>3462804.67</v>
      </c>
      <c r="W64" s="355">
        <f t="shared" si="4"/>
        <v>4030830.0900000003</v>
      </c>
      <c r="X64" s="13">
        <f t="shared" si="5"/>
        <v>13244846.4</v>
      </c>
    </row>
    <row r="65" spans="3:24">
      <c r="C65" s="381" t="s">
        <v>108</v>
      </c>
      <c r="D65" s="354">
        <v>0</v>
      </c>
      <c r="E65" s="355">
        <v>18800</v>
      </c>
      <c r="F65" s="355">
        <v>18500</v>
      </c>
      <c r="G65" s="355">
        <v>31367</v>
      </c>
      <c r="H65" s="355">
        <v>700</v>
      </c>
      <c r="I65" s="356">
        <v>17233</v>
      </c>
      <c r="J65" s="355">
        <v>152752.06</v>
      </c>
      <c r="K65" s="356">
        <v>23175</v>
      </c>
      <c r="L65" s="356">
        <v>29542.33</v>
      </c>
      <c r="M65" s="356">
        <v>156436.57</v>
      </c>
      <c r="N65" s="356">
        <v>160261.38</v>
      </c>
      <c r="O65" s="419">
        <v>458320.68</v>
      </c>
      <c r="P65" s="507">
        <f t="shared" si="0"/>
        <v>1067088.02</v>
      </c>
      <c r="Q65" s="51"/>
      <c r="R65" s="51"/>
      <c r="S65" s="627" t="s">
        <v>108</v>
      </c>
      <c r="T65" s="354">
        <f t="shared" si="1"/>
        <v>37300</v>
      </c>
      <c r="U65" s="355">
        <f t="shared" si="2"/>
        <v>49300</v>
      </c>
      <c r="V65" s="355">
        <f t="shared" si="3"/>
        <v>205469.39</v>
      </c>
      <c r="W65" s="355">
        <f t="shared" si="4"/>
        <v>775018.63</v>
      </c>
      <c r="X65" s="13">
        <f t="shared" si="5"/>
        <v>1067088.02</v>
      </c>
    </row>
    <row r="66" spans="3:24" ht="13.5" thickBot="1">
      <c r="C66" s="382" t="s">
        <v>109</v>
      </c>
      <c r="D66" s="394">
        <v>0</v>
      </c>
      <c r="E66" s="395">
        <v>0</v>
      </c>
      <c r="F66" s="395">
        <v>0</v>
      </c>
      <c r="G66" s="395">
        <v>0</v>
      </c>
      <c r="H66" s="395">
        <v>0</v>
      </c>
      <c r="I66" s="396">
        <v>0</v>
      </c>
      <c r="J66" s="395">
        <v>0</v>
      </c>
      <c r="K66" s="396">
        <v>0</v>
      </c>
      <c r="L66" s="396">
        <v>0</v>
      </c>
      <c r="M66" s="396">
        <v>0</v>
      </c>
      <c r="N66" s="396">
        <v>0</v>
      </c>
      <c r="O66" s="421">
        <v>0</v>
      </c>
      <c r="P66" s="510">
        <f t="shared" si="0"/>
        <v>0</v>
      </c>
      <c r="Q66" s="51"/>
      <c r="R66" s="51"/>
      <c r="S66" s="628" t="s">
        <v>109</v>
      </c>
      <c r="T66" s="394">
        <f t="shared" si="1"/>
        <v>0</v>
      </c>
      <c r="U66" s="395">
        <f t="shared" si="2"/>
        <v>0</v>
      </c>
      <c r="V66" s="395">
        <f t="shared" si="3"/>
        <v>0</v>
      </c>
      <c r="W66" s="395">
        <f t="shared" si="4"/>
        <v>0</v>
      </c>
      <c r="X66" s="13">
        <f t="shared" si="5"/>
        <v>0</v>
      </c>
    </row>
    <row r="67" spans="3:24" ht="14.25" thickTop="1" thickBot="1">
      <c r="C67" s="358" t="s">
        <v>131</v>
      </c>
      <c r="D67" s="448">
        <v>176420.53</v>
      </c>
      <c r="E67" s="449">
        <v>6277056.5700000003</v>
      </c>
      <c r="F67" s="450">
        <v>2680919.41</v>
      </c>
      <c r="G67" s="505">
        <v>3034975.79</v>
      </c>
      <c r="H67" s="505">
        <v>2686410.68</v>
      </c>
      <c r="I67" s="505">
        <v>6352501.0099999998</v>
      </c>
      <c r="J67" s="505">
        <v>7569341.7199999997</v>
      </c>
      <c r="K67" s="505">
        <v>5110402.9000000004</v>
      </c>
      <c r="L67" s="505">
        <v>6571608.54</v>
      </c>
      <c r="M67" s="449">
        <v>6784906.0599999996</v>
      </c>
      <c r="N67" s="450">
        <v>7574321.6600000001</v>
      </c>
      <c r="O67" s="505">
        <v>22820546.489999998</v>
      </c>
      <c r="P67" s="505">
        <f t="shared" si="0"/>
        <v>77639411.359999999</v>
      </c>
      <c r="Q67" s="51"/>
      <c r="R67" s="51"/>
      <c r="S67" s="622" t="s">
        <v>131</v>
      </c>
      <c r="T67" s="448">
        <f t="shared" si="1"/>
        <v>9134396.5100000016</v>
      </c>
      <c r="U67" s="449">
        <f t="shared" si="2"/>
        <v>12073887.48</v>
      </c>
      <c r="V67" s="450">
        <f t="shared" si="3"/>
        <v>19251353.16</v>
      </c>
      <c r="W67" s="505">
        <f t="shared" si="4"/>
        <v>37179774.209999993</v>
      </c>
      <c r="X67" s="13">
        <f t="shared" si="5"/>
        <v>77639411.359999999</v>
      </c>
    </row>
    <row r="68" spans="3:24" ht="13.5" thickTop="1">
      <c r="C68" s="381" t="s">
        <v>111</v>
      </c>
      <c r="D68" s="354">
        <v>85000</v>
      </c>
      <c r="E68" s="355">
        <v>712098</v>
      </c>
      <c r="F68" s="355">
        <v>235406.4</v>
      </c>
      <c r="G68" s="355">
        <v>154347.6</v>
      </c>
      <c r="H68" s="355">
        <v>134847.6</v>
      </c>
      <c r="I68" s="356">
        <v>139847.6</v>
      </c>
      <c r="J68" s="355">
        <v>15000</v>
      </c>
      <c r="K68" s="356">
        <v>150000</v>
      </c>
      <c r="L68" s="356">
        <v>112109.1</v>
      </c>
      <c r="M68" s="356">
        <v>102109.1</v>
      </c>
      <c r="N68" s="356">
        <v>0</v>
      </c>
      <c r="O68" s="419">
        <v>251003.2</v>
      </c>
      <c r="P68" s="507">
        <f t="shared" si="0"/>
        <v>2091768.6000000003</v>
      </c>
      <c r="Q68" s="51"/>
      <c r="R68" s="51"/>
      <c r="S68" s="627" t="s">
        <v>111</v>
      </c>
      <c r="T68" s="354">
        <f t="shared" si="1"/>
        <v>1032504.4</v>
      </c>
      <c r="U68" s="355">
        <f t="shared" si="2"/>
        <v>429042.80000000005</v>
      </c>
      <c r="V68" s="355">
        <f t="shared" si="3"/>
        <v>277109.09999999998</v>
      </c>
      <c r="W68" s="355">
        <f t="shared" si="4"/>
        <v>353112.30000000005</v>
      </c>
      <c r="X68" s="13">
        <f t="shared" si="5"/>
        <v>2091768.6000000003</v>
      </c>
    </row>
    <row r="69" spans="3:24" ht="13.5" thickBot="1">
      <c r="C69" s="382" t="s">
        <v>118</v>
      </c>
      <c r="D69" s="394">
        <v>304583.3</v>
      </c>
      <c r="E69" s="395">
        <v>1049040</v>
      </c>
      <c r="F69" s="395">
        <v>1315468</v>
      </c>
      <c r="G69" s="395">
        <v>1595650</v>
      </c>
      <c r="H69" s="395">
        <v>1231844.17</v>
      </c>
      <c r="I69" s="396">
        <v>586277.4</v>
      </c>
      <c r="J69" s="395">
        <v>879730.52</v>
      </c>
      <c r="K69" s="396">
        <v>132031.82999999999</v>
      </c>
      <c r="L69" s="396">
        <v>2431853.4500000002</v>
      </c>
      <c r="M69" s="396">
        <v>923035</v>
      </c>
      <c r="N69" s="396">
        <v>332915.49</v>
      </c>
      <c r="O69" s="421">
        <v>1007047.62</v>
      </c>
      <c r="P69" s="510">
        <f t="shared" si="0"/>
        <v>11789476.780000001</v>
      </c>
      <c r="Q69" s="51"/>
      <c r="R69" s="51"/>
      <c r="S69" s="628" t="s">
        <v>118</v>
      </c>
      <c r="T69" s="394">
        <f t="shared" si="1"/>
        <v>2669091.2999999998</v>
      </c>
      <c r="U69" s="395">
        <f t="shared" si="2"/>
        <v>3413771.57</v>
      </c>
      <c r="V69" s="395">
        <f t="shared" si="3"/>
        <v>3443615.8000000003</v>
      </c>
      <c r="W69" s="395">
        <f t="shared" si="4"/>
        <v>2262998.11</v>
      </c>
      <c r="X69" s="13">
        <f t="shared" si="5"/>
        <v>11789476.779999999</v>
      </c>
    </row>
    <row r="70" spans="3:24" ht="14.25" thickTop="1" thickBot="1">
      <c r="C70" s="382" t="s">
        <v>152</v>
      </c>
      <c r="D70" s="354"/>
      <c r="E70" s="355"/>
      <c r="F70" s="355"/>
      <c r="G70" s="355"/>
      <c r="H70" s="355"/>
      <c r="I70" s="356"/>
      <c r="J70" s="355"/>
      <c r="K70" s="356"/>
      <c r="L70" s="356"/>
      <c r="M70" s="356"/>
      <c r="N70" s="356"/>
      <c r="O70" s="419">
        <v>29193708.800000001</v>
      </c>
      <c r="P70" s="507">
        <f>+O70</f>
        <v>29193708.800000001</v>
      </c>
      <c r="Q70" s="51"/>
      <c r="R70" s="51"/>
      <c r="S70" s="628"/>
      <c r="T70" s="354"/>
      <c r="U70" s="355"/>
      <c r="V70" s="355"/>
      <c r="W70" s="355"/>
      <c r="X70" s="13"/>
    </row>
    <row r="71" spans="3:24" ht="14.25" thickTop="1" thickBot="1">
      <c r="C71" s="382" t="s">
        <v>113</v>
      </c>
      <c r="D71" s="354">
        <v>0</v>
      </c>
      <c r="E71" s="355">
        <v>0</v>
      </c>
      <c r="F71" s="355">
        <v>0</v>
      </c>
      <c r="G71" s="355">
        <v>0</v>
      </c>
      <c r="H71" s="355">
        <v>32922888.899999999</v>
      </c>
      <c r="I71" s="356">
        <v>0</v>
      </c>
      <c r="J71" s="355">
        <v>0</v>
      </c>
      <c r="K71" s="356">
        <v>0</v>
      </c>
      <c r="L71" s="356">
        <v>0</v>
      </c>
      <c r="M71" s="356">
        <v>0</v>
      </c>
      <c r="N71" s="356">
        <v>0</v>
      </c>
      <c r="O71" s="419">
        <v>992274.48</v>
      </c>
      <c r="P71" s="507">
        <f>+SUM(D71:O71)</f>
        <v>33915163.379999995</v>
      </c>
      <c r="Q71" s="51"/>
      <c r="R71" s="51"/>
      <c r="S71" s="628" t="s">
        <v>113</v>
      </c>
      <c r="T71" s="354">
        <f t="shared" si="1"/>
        <v>0</v>
      </c>
      <c r="U71" s="355">
        <f t="shared" si="2"/>
        <v>32922888.899999999</v>
      </c>
      <c r="V71" s="355">
        <f t="shared" si="3"/>
        <v>0</v>
      </c>
      <c r="W71" s="355">
        <f t="shared" si="4"/>
        <v>992274.48</v>
      </c>
      <c r="X71" s="13">
        <f t="shared" si="5"/>
        <v>33915163.379999995</v>
      </c>
    </row>
    <row r="72" spans="3:24" ht="14.25" thickTop="1" thickBot="1">
      <c r="C72" s="358" t="s">
        <v>132</v>
      </c>
      <c r="D72" s="385">
        <f>D7-D39</f>
        <v>5166128.7899999991</v>
      </c>
      <c r="E72" s="385">
        <f t="shared" ref="E72:N72" si="7">E7-E39</f>
        <v>-21627279.300000027</v>
      </c>
      <c r="F72" s="385">
        <f t="shared" si="7"/>
        <v>-17199583.720000014</v>
      </c>
      <c r="G72" s="385">
        <f t="shared" si="7"/>
        <v>-10711633.360000014</v>
      </c>
      <c r="H72" s="385">
        <f t="shared" si="7"/>
        <v>-34648451.660000026</v>
      </c>
      <c r="I72" s="385">
        <f t="shared" si="7"/>
        <v>-291142.1400000006</v>
      </c>
      <c r="J72" s="385">
        <f t="shared" si="7"/>
        <v>-9069262.8399999887</v>
      </c>
      <c r="K72" s="385">
        <f t="shared" si="7"/>
        <v>18753189.239999995</v>
      </c>
      <c r="L72" s="385">
        <f t="shared" si="7"/>
        <v>-19971292.890000001</v>
      </c>
      <c r="M72" s="385">
        <f t="shared" si="7"/>
        <v>200618.07999999821</v>
      </c>
      <c r="N72" s="385">
        <f t="shared" si="7"/>
        <v>-18236743.479999989</v>
      </c>
      <c r="O72" s="420">
        <f>O7-O39</f>
        <v>-82038140.569999993</v>
      </c>
      <c r="P72" s="420">
        <f>+SUM(D72:O72)</f>
        <v>-189673593.85000008</v>
      </c>
      <c r="Q72" s="606"/>
      <c r="R72" s="51"/>
      <c r="S72" s="622" t="s">
        <v>132</v>
      </c>
      <c r="T72" s="385">
        <f t="shared" si="1"/>
        <v>-33660734.230000041</v>
      </c>
      <c r="U72" s="385">
        <f t="shared" si="2"/>
        <v>-45651227.160000041</v>
      </c>
      <c r="V72" s="385">
        <f t="shared" si="3"/>
        <v>-10287366.489999995</v>
      </c>
      <c r="W72" s="385">
        <f t="shared" si="4"/>
        <v>-100074265.96999998</v>
      </c>
      <c r="X72" s="13">
        <f t="shared" si="5"/>
        <v>-189673593.85000005</v>
      </c>
    </row>
    <row r="73" spans="3:24" ht="14.25" thickTop="1" thickBot="1">
      <c r="C73" s="358" t="s">
        <v>133</v>
      </c>
      <c r="D73" s="385">
        <f>+D72+D51</f>
        <v>8557405.9199999981</v>
      </c>
      <c r="E73" s="385">
        <f t="shared" ref="E73:O73" si="8">+E72+E51</f>
        <v>-20654736.540000025</v>
      </c>
      <c r="F73" s="385">
        <f t="shared" si="8"/>
        <v>-14782786.200000014</v>
      </c>
      <c r="G73" s="385">
        <f t="shared" si="8"/>
        <v>-9891570.8600000143</v>
      </c>
      <c r="H73" s="385">
        <f t="shared" si="8"/>
        <v>-33463915.810000025</v>
      </c>
      <c r="I73" s="385">
        <f t="shared" si="8"/>
        <v>4045841.209999999</v>
      </c>
      <c r="J73" s="385">
        <f t="shared" si="8"/>
        <v>-4603583.1499999883</v>
      </c>
      <c r="K73" s="385">
        <f t="shared" si="8"/>
        <v>20472881.769999996</v>
      </c>
      <c r="L73" s="385">
        <f t="shared" si="8"/>
        <v>-1760159.2899999991</v>
      </c>
      <c r="M73" s="385">
        <f t="shared" si="8"/>
        <v>803124.59999999823</v>
      </c>
      <c r="N73" s="385">
        <f t="shared" si="8"/>
        <v>-17175726.979999989</v>
      </c>
      <c r="O73" s="385">
        <f t="shared" si="8"/>
        <v>-76128018.489999995</v>
      </c>
      <c r="P73" s="420">
        <f t="shared" si="0"/>
        <v>-144581243.82000005</v>
      </c>
      <c r="Q73" s="51"/>
      <c r="R73" s="51"/>
      <c r="S73" s="622" t="s">
        <v>133</v>
      </c>
      <c r="T73" s="385">
        <f t="shared" ref="T73:T84" si="9">+SUM(D73:F73)</f>
        <v>-26880116.820000041</v>
      </c>
      <c r="U73" s="385">
        <f t="shared" ref="U73:U84" si="10">+SUM(G73:I73)</f>
        <v>-39309645.460000038</v>
      </c>
      <c r="V73" s="385">
        <f t="shared" ref="V73:V84" si="11">+SUM(J73:L73)</f>
        <v>14109139.330000009</v>
      </c>
      <c r="W73" s="385">
        <f t="shared" ref="W73:W84" si="12">+SUM(M73:O73)</f>
        <v>-92500620.86999999</v>
      </c>
      <c r="X73" s="13">
        <f t="shared" ref="X73:X84" si="13">+SUM(T73:W73)</f>
        <v>-144581243.82000005</v>
      </c>
    </row>
    <row r="74" spans="3:24" ht="14.25" thickTop="1" thickBot="1">
      <c r="C74" s="358" t="s">
        <v>0</v>
      </c>
      <c r="D74" s="385">
        <f t="shared" ref="D74:O74" si="14">SUM(D75:D77)</f>
        <v>12276632</v>
      </c>
      <c r="E74" s="385">
        <f t="shared" si="14"/>
        <v>2443476.65</v>
      </c>
      <c r="F74" s="385">
        <f t="shared" si="14"/>
        <v>7484179.46</v>
      </c>
      <c r="G74" s="385">
        <f t="shared" si="14"/>
        <v>16131785.506666664</v>
      </c>
      <c r="H74" s="385">
        <f t="shared" si="14"/>
        <v>4039714.8899999997</v>
      </c>
      <c r="I74" s="385">
        <f t="shared" si="14"/>
        <v>20100601.608333334</v>
      </c>
      <c r="J74" s="385">
        <f t="shared" si="14"/>
        <v>20803119.728333335</v>
      </c>
      <c r="K74" s="385">
        <f t="shared" si="14"/>
        <v>6277933.1500000004</v>
      </c>
      <c r="L74" s="385">
        <f t="shared" si="14"/>
        <v>8606190.2683333345</v>
      </c>
      <c r="M74" s="385">
        <f t="shared" si="14"/>
        <v>7564402.0783333331</v>
      </c>
      <c r="N74" s="385">
        <f t="shared" si="14"/>
        <v>5289842.3999999994</v>
      </c>
      <c r="O74" s="420">
        <f t="shared" si="14"/>
        <v>21749868.5</v>
      </c>
      <c r="P74" s="420">
        <f t="shared" ref="P74:P84" si="15">+SUM(D74:O74)</f>
        <v>132767746.24000001</v>
      </c>
      <c r="S74" s="622" t="s">
        <v>0</v>
      </c>
      <c r="T74" s="385">
        <f t="shared" si="9"/>
        <v>22204288.109999999</v>
      </c>
      <c r="U74" s="385">
        <f t="shared" si="10"/>
        <v>40272102.004999995</v>
      </c>
      <c r="V74" s="385">
        <f t="shared" si="11"/>
        <v>35687243.146666676</v>
      </c>
      <c r="W74" s="385">
        <f t="shared" si="12"/>
        <v>34604112.978333332</v>
      </c>
      <c r="X74" s="13">
        <f t="shared" si="13"/>
        <v>132767746.24000001</v>
      </c>
    </row>
    <row r="75" spans="3:24" ht="13.5" thickTop="1">
      <c r="C75" s="381" t="s">
        <v>135</v>
      </c>
      <c r="D75" s="354">
        <v>2117379</v>
      </c>
      <c r="E75" s="355">
        <v>61721.35</v>
      </c>
      <c r="F75" s="355">
        <v>2294679.7999999998</v>
      </c>
      <c r="G75" s="355">
        <v>2121394.17</v>
      </c>
      <c r="H75" s="355">
        <v>387306.5</v>
      </c>
      <c r="I75" s="356">
        <v>2310972.9300000002</v>
      </c>
      <c r="J75" s="355">
        <v>4786892.76</v>
      </c>
      <c r="K75" s="356">
        <v>1230431.8500000001</v>
      </c>
      <c r="L75" s="356">
        <v>4389449.7300000004</v>
      </c>
      <c r="M75" s="356">
        <v>3062059.51</v>
      </c>
      <c r="N75" s="356">
        <v>748720.61</v>
      </c>
      <c r="O75" s="419">
        <v>8439878.7400000002</v>
      </c>
      <c r="P75" s="507">
        <f t="shared" si="15"/>
        <v>31950886.950000003</v>
      </c>
      <c r="S75" s="627" t="s">
        <v>135</v>
      </c>
      <c r="T75" s="354">
        <f t="shared" si="9"/>
        <v>4473780.1500000004</v>
      </c>
      <c r="U75" s="355">
        <f t="shared" si="10"/>
        <v>4819673.5999999996</v>
      </c>
      <c r="V75" s="355">
        <f t="shared" si="11"/>
        <v>10406774.34</v>
      </c>
      <c r="W75" s="355">
        <f t="shared" si="12"/>
        <v>12250658.859999999</v>
      </c>
      <c r="X75" s="13">
        <f t="shared" si="13"/>
        <v>31950886.949999999</v>
      </c>
    </row>
    <row r="76" spans="3:24">
      <c r="C76" s="381" t="s">
        <v>137</v>
      </c>
      <c r="D76" s="354">
        <v>9069707</v>
      </c>
      <c r="E76" s="355">
        <v>741928.02</v>
      </c>
      <c r="F76" s="355">
        <v>2537349.33</v>
      </c>
      <c r="G76" s="355">
        <v>662128.46</v>
      </c>
      <c r="H76" s="355">
        <v>1924688.17</v>
      </c>
      <c r="I76" s="356">
        <v>13172127.57</v>
      </c>
      <c r="J76" s="355">
        <v>10190036.130000001</v>
      </c>
      <c r="K76" s="356">
        <v>614761.52</v>
      </c>
      <c r="L76" s="356">
        <v>2368497.7200000002</v>
      </c>
      <c r="M76" s="356">
        <v>3789975.76</v>
      </c>
      <c r="N76" s="356">
        <v>2199924.0099999998</v>
      </c>
      <c r="O76" s="419">
        <v>12239241.67</v>
      </c>
      <c r="P76" s="507">
        <f t="shared" si="15"/>
        <v>59510365.359999999</v>
      </c>
      <c r="S76" s="627" t="s">
        <v>137</v>
      </c>
      <c r="T76" s="354">
        <f t="shared" si="9"/>
        <v>12348984.35</v>
      </c>
      <c r="U76" s="355">
        <f t="shared" si="10"/>
        <v>15758944.199999999</v>
      </c>
      <c r="V76" s="355">
        <f t="shared" si="11"/>
        <v>13173295.370000001</v>
      </c>
      <c r="W76" s="355">
        <f t="shared" si="12"/>
        <v>18229141.439999998</v>
      </c>
      <c r="X76" s="13">
        <f t="shared" si="13"/>
        <v>59510365.359999999</v>
      </c>
    </row>
    <row r="77" spans="3:24" ht="13.5" thickBot="1">
      <c r="C77" s="381" t="s">
        <v>116</v>
      </c>
      <c r="D77" s="354">
        <v>1089546</v>
      </c>
      <c r="E77" s="355">
        <v>1639827.28</v>
      </c>
      <c r="F77" s="355">
        <v>2652150.33</v>
      </c>
      <c r="G77" s="355">
        <v>13348262.876666665</v>
      </c>
      <c r="H77" s="355">
        <v>1727720.22</v>
      </c>
      <c r="I77" s="356">
        <v>4617501.1083333334</v>
      </c>
      <c r="J77" s="355">
        <v>5826190.8383333338</v>
      </c>
      <c r="K77" s="356">
        <v>4432739.78</v>
      </c>
      <c r="L77" s="356">
        <v>1848242.8183333334</v>
      </c>
      <c r="M77" s="356">
        <v>712366.80833333358</v>
      </c>
      <c r="N77" s="356">
        <v>2341197.7799999998</v>
      </c>
      <c r="O77" s="419">
        <v>1070748.0900000001</v>
      </c>
      <c r="P77" s="714">
        <f t="shared" si="15"/>
        <v>41306493.930000007</v>
      </c>
      <c r="S77" s="627" t="s">
        <v>116</v>
      </c>
      <c r="T77" s="354">
        <f t="shared" si="9"/>
        <v>5381523.6100000003</v>
      </c>
      <c r="U77" s="355">
        <f t="shared" si="10"/>
        <v>19693484.204999998</v>
      </c>
      <c r="V77" s="355">
        <f t="shared" si="11"/>
        <v>12107173.436666667</v>
      </c>
      <c r="W77" s="355">
        <f t="shared" si="12"/>
        <v>4124312.6783333337</v>
      </c>
      <c r="X77" s="13">
        <f t="shared" si="13"/>
        <v>41306493.93</v>
      </c>
    </row>
    <row r="78" spans="3:24" ht="14.25" thickTop="1" thickBot="1">
      <c r="C78" s="358" t="s">
        <v>141</v>
      </c>
      <c r="D78" s="385">
        <f>D72-D74</f>
        <v>-7110503.2100000009</v>
      </c>
      <c r="E78" s="385">
        <f t="shared" ref="E78:O78" si="16">E72-E74</f>
        <v>-24070755.950000025</v>
      </c>
      <c r="F78" s="385">
        <f t="shared" si="16"/>
        <v>-24683763.180000015</v>
      </c>
      <c r="G78" s="385">
        <f t="shared" si="16"/>
        <v>-26843418.866666678</v>
      </c>
      <c r="H78" s="385">
        <f t="shared" si="16"/>
        <v>-38688166.550000027</v>
      </c>
      <c r="I78" s="385">
        <f t="shared" si="16"/>
        <v>-20391743.748333335</v>
      </c>
      <c r="J78" s="385">
        <f t="shared" si="16"/>
        <v>-29872382.568333324</v>
      </c>
      <c r="K78" s="385">
        <f t="shared" si="16"/>
        <v>12475256.089999994</v>
      </c>
      <c r="L78" s="385">
        <f t="shared" si="16"/>
        <v>-28577483.158333335</v>
      </c>
      <c r="M78" s="385">
        <f t="shared" si="16"/>
        <v>-7363783.9983333349</v>
      </c>
      <c r="N78" s="385">
        <f t="shared" si="16"/>
        <v>-23526585.879999988</v>
      </c>
      <c r="O78" s="420">
        <f t="shared" si="16"/>
        <v>-103788009.06999999</v>
      </c>
      <c r="P78" s="420">
        <f t="shared" si="15"/>
        <v>-322441340.09000003</v>
      </c>
      <c r="S78" s="622" t="s">
        <v>141</v>
      </c>
      <c r="T78" s="385">
        <f t="shared" si="9"/>
        <v>-55865022.340000041</v>
      </c>
      <c r="U78" s="385">
        <f t="shared" si="10"/>
        <v>-85923329.165000036</v>
      </c>
      <c r="V78" s="385">
        <f t="shared" si="11"/>
        <v>-45974609.63666667</v>
      </c>
      <c r="W78" s="385">
        <f t="shared" si="12"/>
        <v>-134678378.94833332</v>
      </c>
      <c r="X78" s="13">
        <f t="shared" si="13"/>
        <v>-322441340.09000009</v>
      </c>
    </row>
    <row r="79" spans="3:24" ht="14.25" thickTop="1" thickBot="1">
      <c r="C79" s="358" t="s">
        <v>121</v>
      </c>
      <c r="D79" s="385">
        <f>SUM(D80:D84)</f>
        <v>7110503.2100000009</v>
      </c>
      <c r="E79" s="385">
        <f t="shared" ref="E79:O79" si="17">SUM(E80:E84)</f>
        <v>24070755.950000025</v>
      </c>
      <c r="F79" s="385">
        <f t="shared" si="17"/>
        <v>24683763.180000015</v>
      </c>
      <c r="G79" s="385">
        <f t="shared" si="17"/>
        <v>26843418.866666675</v>
      </c>
      <c r="H79" s="385">
        <f t="shared" si="17"/>
        <v>38688166.550000027</v>
      </c>
      <c r="I79" s="385">
        <f t="shared" si="17"/>
        <v>20391743.748333335</v>
      </c>
      <c r="J79" s="385">
        <f t="shared" si="17"/>
        <v>29872382.568333324</v>
      </c>
      <c r="K79" s="385">
        <f t="shared" si="17"/>
        <v>-12475256.089999994</v>
      </c>
      <c r="L79" s="385">
        <f t="shared" si="17"/>
        <v>28577483.158333335</v>
      </c>
      <c r="M79" s="385">
        <f t="shared" si="17"/>
        <v>7363783.9983333349</v>
      </c>
      <c r="N79" s="385">
        <f t="shared" si="17"/>
        <v>23526585.879999988</v>
      </c>
      <c r="O79" s="420">
        <f t="shared" si="17"/>
        <v>103788009.06999999</v>
      </c>
      <c r="P79" s="420">
        <f t="shared" si="15"/>
        <v>322441340.09000003</v>
      </c>
      <c r="S79" s="622" t="s">
        <v>121</v>
      </c>
      <c r="T79" s="385">
        <f t="shared" si="9"/>
        <v>55865022.340000041</v>
      </c>
      <c r="U79" s="385">
        <f t="shared" si="10"/>
        <v>85923329.165000036</v>
      </c>
      <c r="V79" s="385">
        <f t="shared" si="11"/>
        <v>45974609.63666667</v>
      </c>
      <c r="W79" s="385">
        <f t="shared" si="12"/>
        <v>134678378.94833332</v>
      </c>
      <c r="X79" s="13">
        <f t="shared" si="13"/>
        <v>322441340.09000009</v>
      </c>
    </row>
    <row r="80" spans="3:24" ht="13.5" thickTop="1">
      <c r="C80" s="381" t="s">
        <v>144</v>
      </c>
      <c r="D80" s="354">
        <v>0</v>
      </c>
      <c r="E80" s="355">
        <v>579598.89</v>
      </c>
      <c r="F80" s="355">
        <v>7420401.1100000003</v>
      </c>
      <c r="G80" s="355">
        <v>0</v>
      </c>
      <c r="H80" s="355">
        <v>0</v>
      </c>
      <c r="I80" s="356">
        <v>0</v>
      </c>
      <c r="J80" s="355">
        <v>0</v>
      </c>
      <c r="K80" s="356">
        <v>0</v>
      </c>
      <c r="L80" s="356">
        <v>0</v>
      </c>
      <c r="M80" s="356">
        <v>0</v>
      </c>
      <c r="N80" s="356">
        <v>0</v>
      </c>
      <c r="O80" s="419">
        <v>39000000</v>
      </c>
      <c r="P80" s="507">
        <f t="shared" si="15"/>
        <v>47000000</v>
      </c>
      <c r="S80" s="627" t="s">
        <v>144</v>
      </c>
      <c r="T80" s="354">
        <f t="shared" si="9"/>
        <v>8000000</v>
      </c>
      <c r="U80" s="355">
        <f t="shared" si="10"/>
        <v>0</v>
      </c>
      <c r="V80" s="355">
        <f t="shared" si="11"/>
        <v>0</v>
      </c>
      <c r="W80" s="355">
        <f t="shared" si="12"/>
        <v>39000000</v>
      </c>
      <c r="X80" s="13">
        <f t="shared" si="13"/>
        <v>47000000</v>
      </c>
    </row>
    <row r="81" spans="3:24">
      <c r="C81" s="381" t="s">
        <v>122</v>
      </c>
      <c r="D81" s="354">
        <v>6088.86</v>
      </c>
      <c r="E81" s="355">
        <v>319583.55</v>
      </c>
      <c r="F81" s="355">
        <v>150270.37</v>
      </c>
      <c r="G81" s="355">
        <v>178972908.46000001</v>
      </c>
      <c r="H81" s="355">
        <v>101487.62</v>
      </c>
      <c r="I81" s="356">
        <v>2463028</v>
      </c>
      <c r="J81" s="355">
        <v>2097190.75</v>
      </c>
      <c r="K81" s="356">
        <v>23268.15</v>
      </c>
      <c r="L81" s="356">
        <v>384501.72</v>
      </c>
      <c r="M81" s="356">
        <v>1052427.67</v>
      </c>
      <c r="N81" s="356">
        <v>291089.34000000003</v>
      </c>
      <c r="O81" s="419">
        <v>1790767.49</v>
      </c>
      <c r="P81" s="507">
        <f t="shared" si="15"/>
        <v>187652611.98000002</v>
      </c>
      <c r="S81" s="627" t="s">
        <v>122</v>
      </c>
      <c r="T81" s="354">
        <f t="shared" si="9"/>
        <v>475942.77999999997</v>
      </c>
      <c r="U81" s="355">
        <f t="shared" si="10"/>
        <v>181537424.08000001</v>
      </c>
      <c r="V81" s="355">
        <f t="shared" si="11"/>
        <v>2504960.62</v>
      </c>
      <c r="W81" s="355">
        <f t="shared" si="12"/>
        <v>3134284.5</v>
      </c>
      <c r="X81" s="13">
        <f t="shared" si="13"/>
        <v>187652611.98000002</v>
      </c>
    </row>
    <row r="82" spans="3:24">
      <c r="C82" s="381" t="s">
        <v>123</v>
      </c>
      <c r="D82" s="354">
        <v>0</v>
      </c>
      <c r="E82" s="355">
        <v>187985.29</v>
      </c>
      <c r="F82" s="355">
        <v>746309.46</v>
      </c>
      <c r="G82" s="355">
        <v>200175.6</v>
      </c>
      <c r="H82" s="355">
        <v>136157.39000000001</v>
      </c>
      <c r="I82" s="356">
        <v>487787.18</v>
      </c>
      <c r="J82" s="355">
        <v>81018.210000000006</v>
      </c>
      <c r="K82" s="356">
        <v>100445.53</v>
      </c>
      <c r="L82" s="356">
        <v>113173.82</v>
      </c>
      <c r="M82" s="356">
        <v>473784.46</v>
      </c>
      <c r="N82" s="356">
        <v>808090.89</v>
      </c>
      <c r="O82" s="419">
        <v>679422.15</v>
      </c>
      <c r="P82" s="507">
        <f t="shared" si="15"/>
        <v>4014349.9800000004</v>
      </c>
      <c r="S82" s="627" t="s">
        <v>123</v>
      </c>
      <c r="T82" s="354">
        <f t="shared" si="9"/>
        <v>934294.75</v>
      </c>
      <c r="U82" s="355">
        <f t="shared" si="10"/>
        <v>824120.16999999993</v>
      </c>
      <c r="V82" s="355">
        <f t="shared" si="11"/>
        <v>294637.56</v>
      </c>
      <c r="W82" s="355">
        <f t="shared" si="12"/>
        <v>1961297.5</v>
      </c>
      <c r="X82" s="13">
        <f t="shared" si="13"/>
        <v>4014349.98</v>
      </c>
    </row>
    <row r="83" spans="3:24">
      <c r="C83" s="381" t="s">
        <v>332</v>
      </c>
      <c r="D83" s="354">
        <v>75586.86</v>
      </c>
      <c r="E83" s="355">
        <v>848999.16</v>
      </c>
      <c r="F83" s="355">
        <v>228293.66</v>
      </c>
      <c r="G83" s="355">
        <v>97096.72</v>
      </c>
      <c r="H83" s="355">
        <v>418475.89</v>
      </c>
      <c r="I83" s="356">
        <v>158887.95000000001</v>
      </c>
      <c r="J83" s="355">
        <v>115502.94</v>
      </c>
      <c r="K83" s="356">
        <v>145618.91</v>
      </c>
      <c r="L83" s="356">
        <v>12846.74</v>
      </c>
      <c r="M83" s="356">
        <v>642079.78</v>
      </c>
      <c r="N83" s="356">
        <v>180007.67999999999</v>
      </c>
      <c r="O83" s="419">
        <v>427855.65</v>
      </c>
      <c r="P83" s="507">
        <f t="shared" si="15"/>
        <v>3351251.9400000004</v>
      </c>
      <c r="S83" s="627" t="s">
        <v>332</v>
      </c>
      <c r="T83" s="354">
        <f t="shared" si="9"/>
        <v>1152879.68</v>
      </c>
      <c r="U83" s="355">
        <f t="shared" si="10"/>
        <v>674460.56</v>
      </c>
      <c r="V83" s="355">
        <f t="shared" si="11"/>
        <v>273968.59000000003</v>
      </c>
      <c r="W83" s="355">
        <f t="shared" si="12"/>
        <v>1249943.1099999999</v>
      </c>
      <c r="X83" s="13">
        <f t="shared" si="13"/>
        <v>3351251.94</v>
      </c>
    </row>
    <row r="84" spans="3:24" ht="13.5" thickBot="1">
      <c r="C84" s="384" t="s">
        <v>125</v>
      </c>
      <c r="D84" s="391">
        <f>-D78-SUM(D80:D83)</f>
        <v>7028827.4900000012</v>
      </c>
      <c r="E84" s="392">
        <f t="shared" ref="E84:O84" si="18">-E78-SUM(E80:E83)</f>
        <v>22134589.060000025</v>
      </c>
      <c r="F84" s="392">
        <f t="shared" si="18"/>
        <v>16138488.580000015</v>
      </c>
      <c r="G84" s="392">
        <f>-G78-SUM(G80:G83)</f>
        <v>-152426761.91333333</v>
      </c>
      <c r="H84" s="392">
        <f t="shared" si="18"/>
        <v>38032045.650000028</v>
      </c>
      <c r="I84" s="392">
        <f t="shared" si="18"/>
        <v>17282040.618333336</v>
      </c>
      <c r="J84" s="392">
        <f t="shared" si="18"/>
        <v>27578670.668333326</v>
      </c>
      <c r="K84" s="392">
        <f t="shared" si="18"/>
        <v>-12744588.679999994</v>
      </c>
      <c r="L84" s="392">
        <f t="shared" si="18"/>
        <v>28066960.878333334</v>
      </c>
      <c r="M84" s="392">
        <f t="shared" si="18"/>
        <v>5195492.0883333348</v>
      </c>
      <c r="N84" s="392">
        <f t="shared" si="18"/>
        <v>22247397.969999988</v>
      </c>
      <c r="O84" s="392">
        <f t="shared" si="18"/>
        <v>61889963.779999994</v>
      </c>
      <c r="P84" s="508">
        <f t="shared" si="15"/>
        <v>80423126.190000057</v>
      </c>
      <c r="S84" s="629" t="s">
        <v>125</v>
      </c>
      <c r="T84" s="391">
        <f t="shared" si="9"/>
        <v>45301905.13000004</v>
      </c>
      <c r="U84" s="392">
        <f t="shared" si="10"/>
        <v>-97112675.644999951</v>
      </c>
      <c r="V84" s="392">
        <f t="shared" si="11"/>
        <v>42901042.866666667</v>
      </c>
      <c r="W84" s="392">
        <f t="shared" si="12"/>
        <v>89332853.838333309</v>
      </c>
      <c r="X84" s="13">
        <f t="shared" si="13"/>
        <v>80423126.190000057</v>
      </c>
    </row>
    <row r="85" spans="3:24" ht="13.5" thickTop="1">
      <c r="C85" s="379" t="s">
        <v>269</v>
      </c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</row>
    <row r="101" spans="3:15">
      <c r="C101" t="s">
        <v>347</v>
      </c>
      <c r="D101" t="s">
        <v>296</v>
      </c>
      <c r="E101" t="s">
        <v>297</v>
      </c>
      <c r="F101" t="s">
        <v>298</v>
      </c>
      <c r="G101" t="s">
        <v>299</v>
      </c>
      <c r="H101" t="s">
        <v>300</v>
      </c>
      <c r="I101" t="s">
        <v>301</v>
      </c>
      <c r="J101" t="s">
        <v>302</v>
      </c>
      <c r="K101" t="s">
        <v>303</v>
      </c>
      <c r="L101" t="s">
        <v>304</v>
      </c>
      <c r="M101" t="s">
        <v>305</v>
      </c>
      <c r="N101" t="s">
        <v>306</v>
      </c>
      <c r="O101" t="s">
        <v>307</v>
      </c>
    </row>
    <row r="102" spans="3:15">
      <c r="C102" t="s">
        <v>62</v>
      </c>
      <c r="D102">
        <v>61669814.730000004</v>
      </c>
      <c r="E102">
        <v>95520887.489999995</v>
      </c>
      <c r="F102">
        <v>115190358.74000001</v>
      </c>
      <c r="G102">
        <v>126398858.78</v>
      </c>
      <c r="H102">
        <v>127779134.62999998</v>
      </c>
      <c r="I102">
        <v>123368931.65000002</v>
      </c>
      <c r="J102">
        <v>147461645.30000001</v>
      </c>
      <c r="K102">
        <v>99508680.910000011</v>
      </c>
      <c r="L102">
        <v>136614233.62999997</v>
      </c>
      <c r="M102">
        <v>102383125.84</v>
      </c>
      <c r="N102">
        <v>108045512.54999998</v>
      </c>
      <c r="O102">
        <v>195417421.53999996</v>
      </c>
    </row>
    <row r="103" spans="3:15">
      <c r="C103" t="s">
        <v>63</v>
      </c>
      <c r="D103">
        <v>8893536.3599999994</v>
      </c>
      <c r="E103">
        <v>42715806.579999991</v>
      </c>
      <c r="F103">
        <v>59514825.879999995</v>
      </c>
      <c r="G103">
        <v>49774921.960000001</v>
      </c>
      <c r="H103">
        <v>51475467.109999992</v>
      </c>
      <c r="I103">
        <v>47448407.890000001</v>
      </c>
      <c r="J103">
        <v>70904775.340000004</v>
      </c>
      <c r="K103">
        <v>44146437.620000005</v>
      </c>
      <c r="L103">
        <v>70815314.719999984</v>
      </c>
      <c r="M103">
        <v>38144521.850000001</v>
      </c>
      <c r="N103">
        <v>51069302.529999986</v>
      </c>
      <c r="O103">
        <v>93074518.12999998</v>
      </c>
    </row>
    <row r="104" spans="3:15">
      <c r="C104" t="s">
        <v>64</v>
      </c>
      <c r="D104">
        <v>2273988.38</v>
      </c>
      <c r="E104">
        <v>30276210.629999999</v>
      </c>
      <c r="F104">
        <v>40614010.129999995</v>
      </c>
      <c r="G104">
        <v>35924912.619999997</v>
      </c>
      <c r="H104">
        <v>30479076.149999999</v>
      </c>
      <c r="I104">
        <v>26850585.66</v>
      </c>
      <c r="J104">
        <v>37113262.700000003</v>
      </c>
      <c r="K104">
        <v>23146071.73</v>
      </c>
      <c r="L104">
        <v>36016513.689999998</v>
      </c>
      <c r="M104">
        <v>22029170.5</v>
      </c>
      <c r="N104">
        <v>31387590.989999998</v>
      </c>
      <c r="O104">
        <v>55113286.899999999</v>
      </c>
    </row>
    <row r="105" spans="3:15">
      <c r="C105" t="s">
        <v>66</v>
      </c>
      <c r="D105">
        <v>2273988.38</v>
      </c>
      <c r="E105">
        <v>30276210.629999999</v>
      </c>
      <c r="F105">
        <v>27648365.690000001</v>
      </c>
      <c r="G105">
        <v>35924912.619999997</v>
      </c>
      <c r="H105">
        <v>30479076.149999999</v>
      </c>
    </row>
    <row r="106" spans="3:15">
      <c r="C106" t="s">
        <v>68</v>
      </c>
      <c r="F106">
        <v>2508569.5699999998</v>
      </c>
    </row>
    <row r="107" spans="3:15">
      <c r="C107" t="s">
        <v>70</v>
      </c>
      <c r="F107">
        <v>6593870.46</v>
      </c>
    </row>
    <row r="108" spans="3:15">
      <c r="C108" t="s">
        <v>72</v>
      </c>
      <c r="F108">
        <v>3514678.55</v>
      </c>
    </row>
    <row r="109" spans="3:15">
      <c r="C109" t="s">
        <v>155</v>
      </c>
      <c r="F109">
        <v>348525.86</v>
      </c>
    </row>
    <row r="110" spans="3:15">
      <c r="C110" t="s">
        <v>75</v>
      </c>
      <c r="D110">
        <v>1045481.89</v>
      </c>
      <c r="E110">
        <v>1056653.04</v>
      </c>
      <c r="F110">
        <v>1242869.69</v>
      </c>
      <c r="G110">
        <v>1207294.6200000001</v>
      </c>
      <c r="H110">
        <v>854208.54</v>
      </c>
      <c r="I110">
        <v>897771.29</v>
      </c>
      <c r="J110">
        <v>1146414.8899999999</v>
      </c>
      <c r="K110">
        <v>583880.80000000005</v>
      </c>
      <c r="L110">
        <v>734439.14</v>
      </c>
      <c r="M110">
        <v>907724.24</v>
      </c>
      <c r="N110">
        <v>840618.74</v>
      </c>
      <c r="O110">
        <v>2312316.69</v>
      </c>
    </row>
    <row r="111" spans="3:15">
      <c r="C111" t="s">
        <v>341</v>
      </c>
      <c r="D111">
        <v>1045481.89</v>
      </c>
      <c r="E111">
        <v>1056653.04</v>
      </c>
      <c r="F111">
        <v>1242869.69</v>
      </c>
      <c r="G111">
        <v>1207294.6200000001</v>
      </c>
      <c r="H111">
        <v>854208.54</v>
      </c>
    </row>
    <row r="112" spans="3:15">
      <c r="C112" t="s">
        <v>77</v>
      </c>
      <c r="D112">
        <v>1750281.09</v>
      </c>
      <c r="E112">
        <v>7153335.8499999996</v>
      </c>
      <c r="F112">
        <v>9455294.0800000001</v>
      </c>
      <c r="G112">
        <v>7289369.7000000002</v>
      </c>
      <c r="H112">
        <v>8702307.7200000007</v>
      </c>
      <c r="I112">
        <v>10464910.99</v>
      </c>
      <c r="J112">
        <v>7317985.5999999996</v>
      </c>
      <c r="K112">
        <v>6552005.3499999996</v>
      </c>
      <c r="L112">
        <v>10230918.890000001</v>
      </c>
      <c r="M112">
        <v>10739904.199999999</v>
      </c>
      <c r="N112">
        <v>9673637.3399999999</v>
      </c>
      <c r="O112">
        <v>21227866.18</v>
      </c>
    </row>
    <row r="113" spans="3:15">
      <c r="C113" t="s">
        <v>79</v>
      </c>
      <c r="D113">
        <v>53486.77</v>
      </c>
      <c r="E113">
        <v>1798244.69</v>
      </c>
      <c r="F113">
        <v>1770991.27</v>
      </c>
      <c r="G113">
        <v>1950596.81</v>
      </c>
      <c r="H113">
        <v>1541111.25</v>
      </c>
      <c r="I113">
        <v>1392973.16</v>
      </c>
      <c r="J113">
        <v>1987630.44</v>
      </c>
      <c r="K113">
        <v>2806479.97</v>
      </c>
      <c r="L113">
        <v>1212001.69</v>
      </c>
      <c r="M113">
        <v>1849314.05</v>
      </c>
      <c r="N113">
        <v>2004350.83</v>
      </c>
      <c r="O113">
        <v>5197846.0999999996</v>
      </c>
    </row>
    <row r="114" spans="3:15">
      <c r="C114" t="s">
        <v>80</v>
      </c>
      <c r="D114">
        <v>3391277.13</v>
      </c>
      <c r="E114">
        <v>392943.87</v>
      </c>
      <c r="F114">
        <v>2535175.7999999998</v>
      </c>
      <c r="G114">
        <v>853676.54</v>
      </c>
      <c r="H114">
        <v>7808856.2199999997</v>
      </c>
      <c r="I114">
        <v>4336983.3499999996</v>
      </c>
      <c r="J114">
        <v>4462017.96</v>
      </c>
      <c r="K114">
        <v>1719692.53</v>
      </c>
      <c r="L114">
        <v>18211115.149999999</v>
      </c>
      <c r="M114">
        <v>602506.52</v>
      </c>
      <c r="N114">
        <v>1061016.5</v>
      </c>
      <c r="O114">
        <v>5930320.04</v>
      </c>
    </row>
    <row r="115" spans="3:15">
      <c r="C115" t="s">
        <v>82</v>
      </c>
      <c r="D115">
        <v>73867.23</v>
      </c>
      <c r="E115">
        <v>832338.17</v>
      </c>
      <c r="F115">
        <v>698067.21</v>
      </c>
      <c r="G115">
        <v>518769.05</v>
      </c>
      <c r="H115">
        <v>825613.86</v>
      </c>
      <c r="I115">
        <v>614688.39</v>
      </c>
      <c r="J115">
        <v>645239.44999999995</v>
      </c>
      <c r="K115">
        <v>201532.68</v>
      </c>
      <c r="L115">
        <v>935146.14</v>
      </c>
      <c r="M115">
        <v>352694.09</v>
      </c>
      <c r="N115">
        <v>954819.61</v>
      </c>
      <c r="O115">
        <v>757734.91</v>
      </c>
    </row>
    <row r="116" spans="3:15">
      <c r="C116" t="s">
        <v>84</v>
      </c>
      <c r="D116">
        <v>275000</v>
      </c>
      <c r="E116">
        <v>539245.19999999995</v>
      </c>
      <c r="F116">
        <v>2694017.39</v>
      </c>
      <c r="G116">
        <v>1595560.02</v>
      </c>
      <c r="H116">
        <v>871042.51</v>
      </c>
      <c r="I116">
        <v>2341303.41</v>
      </c>
      <c r="J116">
        <v>17953902.48</v>
      </c>
      <c r="K116">
        <v>8554726.6999999993</v>
      </c>
      <c r="L116">
        <v>2936196.08</v>
      </c>
      <c r="M116">
        <v>1161652.3500000001</v>
      </c>
      <c r="N116">
        <v>4612044.76</v>
      </c>
      <c r="O116">
        <v>1868092.32</v>
      </c>
    </row>
    <row r="117" spans="3:15">
      <c r="C117" t="s">
        <v>86</v>
      </c>
      <c r="D117">
        <v>30153.87</v>
      </c>
      <c r="E117">
        <v>666835.12999999197</v>
      </c>
      <c r="F117">
        <v>504400.31</v>
      </c>
      <c r="G117">
        <v>434742.6</v>
      </c>
      <c r="H117">
        <v>393250.86</v>
      </c>
      <c r="I117">
        <v>549191.64</v>
      </c>
      <c r="J117">
        <v>278321.82</v>
      </c>
      <c r="K117">
        <v>582047.86</v>
      </c>
      <c r="L117">
        <v>538983.93999999994</v>
      </c>
      <c r="M117">
        <v>501555.9</v>
      </c>
      <c r="N117">
        <v>535223.76</v>
      </c>
      <c r="O117">
        <v>667054.99</v>
      </c>
    </row>
    <row r="118" spans="3:15">
      <c r="C118" t="s">
        <v>87</v>
      </c>
      <c r="D118">
        <v>35796213.500000007</v>
      </c>
      <c r="E118">
        <v>37240232.010000005</v>
      </c>
      <c r="F118">
        <v>37271924.399999999</v>
      </c>
      <c r="G118">
        <v>39892449.500000007</v>
      </c>
      <c r="H118">
        <v>37066211.300000004</v>
      </c>
      <c r="I118">
        <v>37079860.880000003</v>
      </c>
      <c r="J118">
        <v>36572183.290000007</v>
      </c>
      <c r="K118">
        <v>37647103.829999998</v>
      </c>
      <c r="L118">
        <v>37743712.109999999</v>
      </c>
      <c r="M118">
        <v>38605292.859999999</v>
      </c>
      <c r="N118">
        <v>38236095.210000008</v>
      </c>
      <c r="O118">
        <v>41621254.530000001</v>
      </c>
    </row>
    <row r="119" spans="3:15">
      <c r="C119" t="s">
        <v>89</v>
      </c>
      <c r="D119">
        <v>4453651.43</v>
      </c>
      <c r="E119">
        <v>4896066.87</v>
      </c>
      <c r="F119">
        <v>4476246.8899999997</v>
      </c>
      <c r="G119">
        <v>5480021.2699999996</v>
      </c>
      <c r="H119">
        <v>4633778.79</v>
      </c>
      <c r="I119">
        <v>4850471.68</v>
      </c>
      <c r="J119">
        <v>4982451.78</v>
      </c>
      <c r="K119">
        <v>4924843.25</v>
      </c>
      <c r="L119">
        <v>5190627.29</v>
      </c>
      <c r="M119">
        <v>5061717.08</v>
      </c>
      <c r="N119">
        <v>5122315.24</v>
      </c>
      <c r="O119">
        <v>5258643.13</v>
      </c>
    </row>
    <row r="120" spans="3:15">
      <c r="C120" t="s">
        <v>91</v>
      </c>
      <c r="D120">
        <v>1482615</v>
      </c>
      <c r="E120">
        <v>1421720.88</v>
      </c>
      <c r="F120">
        <v>1307060.96</v>
      </c>
      <c r="G120">
        <v>2530071.37</v>
      </c>
      <c r="H120">
        <v>1203509.46</v>
      </c>
      <c r="I120">
        <v>1275119.2</v>
      </c>
      <c r="J120">
        <v>1175135.77</v>
      </c>
      <c r="K120">
        <v>1147157.1599999999</v>
      </c>
      <c r="L120">
        <v>1295994.81</v>
      </c>
      <c r="M120">
        <v>1198347.69</v>
      </c>
      <c r="N120">
        <v>1147180.72</v>
      </c>
      <c r="O120">
        <v>2145832.5700000003</v>
      </c>
    </row>
    <row r="121" spans="3:15">
      <c r="C121" t="s">
        <v>348</v>
      </c>
      <c r="D121">
        <v>28585499.940000001</v>
      </c>
      <c r="E121">
        <v>29424064.670000002</v>
      </c>
      <c r="F121">
        <v>30095737.289999999</v>
      </c>
      <c r="G121">
        <v>29821656.530000001</v>
      </c>
      <c r="H121">
        <v>29833170.870000001</v>
      </c>
      <c r="I121">
        <v>29749476.079999998</v>
      </c>
      <c r="J121">
        <v>29685675.57</v>
      </c>
      <c r="K121">
        <v>29689912.59</v>
      </c>
      <c r="L121">
        <v>29689265.93</v>
      </c>
      <c r="M121">
        <v>29936173.699999999</v>
      </c>
      <c r="N121">
        <v>29813083.850000001</v>
      </c>
      <c r="O121">
        <v>30553117.969999999</v>
      </c>
    </row>
    <row r="122" spans="3:15">
      <c r="C122" t="s">
        <v>349</v>
      </c>
      <c r="D122">
        <v>843503</v>
      </c>
      <c r="E122">
        <v>800606.35</v>
      </c>
      <c r="F122">
        <v>895259.66</v>
      </c>
      <c r="G122">
        <v>1281537.7</v>
      </c>
      <c r="H122">
        <v>1048579.6200000001</v>
      </c>
      <c r="I122">
        <v>738450.43</v>
      </c>
      <c r="J122">
        <v>469131.93</v>
      </c>
      <c r="K122">
        <v>1110058.69</v>
      </c>
      <c r="L122">
        <v>1161363.5</v>
      </c>
      <c r="M122">
        <v>1399344.11</v>
      </c>
      <c r="N122">
        <v>920328.13</v>
      </c>
      <c r="O122">
        <v>2310651.71</v>
      </c>
    </row>
    <row r="123" spans="3:15">
      <c r="C123" t="s">
        <v>97</v>
      </c>
      <c r="D123">
        <v>430944.13</v>
      </c>
      <c r="E123">
        <v>697773.24</v>
      </c>
      <c r="F123">
        <v>497619.6</v>
      </c>
      <c r="G123">
        <v>779162.63</v>
      </c>
      <c r="H123">
        <v>347172.56</v>
      </c>
      <c r="I123">
        <v>466343.49</v>
      </c>
      <c r="J123">
        <v>259788.24</v>
      </c>
      <c r="K123">
        <v>775132.14</v>
      </c>
      <c r="L123">
        <v>406460.58</v>
      </c>
      <c r="M123">
        <v>1009710.28</v>
      </c>
      <c r="N123">
        <v>1233187.27</v>
      </c>
      <c r="O123">
        <v>1353009.15</v>
      </c>
    </row>
    <row r="124" spans="3:15">
      <c r="C124" t="s">
        <v>342</v>
      </c>
      <c r="D124">
        <v>5016585.55</v>
      </c>
      <c r="E124">
        <v>5976253.1100000003</v>
      </c>
      <c r="F124">
        <v>7110808.6600000001</v>
      </c>
      <c r="G124">
        <v>5913920.7800000003</v>
      </c>
      <c r="H124">
        <v>6443883.4199999999</v>
      </c>
      <c r="I124">
        <v>7986483.2800000003</v>
      </c>
      <c r="J124">
        <v>6614987.4699999997</v>
      </c>
      <c r="K124">
        <v>6648961.2599999998</v>
      </c>
      <c r="L124">
        <v>7645363.96</v>
      </c>
      <c r="M124">
        <v>6049834.2199999997</v>
      </c>
      <c r="N124">
        <v>6422647.4100000001</v>
      </c>
      <c r="O124">
        <v>16098386.470000001</v>
      </c>
    </row>
    <row r="125" spans="3:15">
      <c r="C125" t="s">
        <v>342</v>
      </c>
      <c r="D125">
        <v>5016585.55</v>
      </c>
      <c r="E125">
        <v>5976253.1100000003</v>
      </c>
      <c r="F125">
        <v>7110808.6600000001</v>
      </c>
      <c r="G125">
        <v>5913920.7800000003</v>
      </c>
      <c r="H125">
        <v>6443883.4199999999</v>
      </c>
      <c r="I125">
        <v>7986483.2800000003</v>
      </c>
      <c r="J125">
        <v>6614987.4699999997</v>
      </c>
      <c r="K125">
        <v>6648961.2599999998</v>
      </c>
      <c r="L125">
        <v>7645363.96</v>
      </c>
      <c r="M125">
        <v>6049834.2199999997</v>
      </c>
      <c r="N125">
        <v>6422647.4100000001</v>
      </c>
      <c r="O125">
        <v>16098386.470000001</v>
      </c>
    </row>
    <row r="126" spans="3:15">
      <c r="C126" t="s">
        <v>284</v>
      </c>
      <c r="D126">
        <v>176420.53</v>
      </c>
      <c r="E126">
        <v>5500043.9699999997</v>
      </c>
      <c r="F126">
        <v>2684756.4</v>
      </c>
      <c r="G126">
        <v>3035060.47</v>
      </c>
      <c r="H126">
        <v>2687456.82</v>
      </c>
      <c r="I126">
        <v>6352501.0099999998</v>
      </c>
      <c r="J126">
        <v>7569341.7199999997</v>
      </c>
      <c r="K126">
        <v>5110402.9000000004</v>
      </c>
      <c r="L126">
        <v>6575740.6600000001</v>
      </c>
      <c r="M126">
        <v>6784906.0599999996</v>
      </c>
      <c r="N126">
        <v>7578349.1799999997</v>
      </c>
      <c r="O126">
        <v>21946087.300000001</v>
      </c>
    </row>
    <row r="127" spans="3:15">
      <c r="C127" t="s">
        <v>111</v>
      </c>
      <c r="D127">
        <v>85000</v>
      </c>
      <c r="E127">
        <v>712098</v>
      </c>
      <c r="F127">
        <v>235406.4</v>
      </c>
      <c r="G127">
        <v>154347.6</v>
      </c>
      <c r="H127">
        <v>134847.6</v>
      </c>
      <c r="I127">
        <v>139847.6</v>
      </c>
      <c r="J127">
        <v>15000</v>
      </c>
      <c r="K127">
        <v>150000</v>
      </c>
      <c r="L127">
        <v>112109.1</v>
      </c>
      <c r="M127">
        <v>102109.1</v>
      </c>
      <c r="N127">
        <v>0</v>
      </c>
      <c r="O127">
        <v>251003.2</v>
      </c>
    </row>
    <row r="128" spans="3:15">
      <c r="C128" t="s">
        <v>343</v>
      </c>
      <c r="D128">
        <v>11397475.49</v>
      </c>
      <c r="E128">
        <v>2327413.8199999998</v>
      </c>
      <c r="F128">
        <v>7057169</v>
      </c>
      <c r="G128">
        <v>26032508.470000003</v>
      </c>
      <c r="H128">
        <v>28739424.210000001</v>
      </c>
      <c r="I128">
        <v>23775553.59</v>
      </c>
      <c r="J128">
        <v>24905626.960000001</v>
      </c>
      <c r="K128">
        <v>5673743.4700000007</v>
      </c>
      <c r="L128">
        <v>11290139.630000001</v>
      </c>
      <c r="M128">
        <v>11773426.75</v>
      </c>
      <c r="N128">
        <v>4406202.7299999995</v>
      </c>
      <c r="O128">
        <v>21419124.289999999</v>
      </c>
    </row>
    <row r="129" spans="3:15">
      <c r="C129" t="s">
        <v>344</v>
      </c>
      <c r="D129">
        <v>2117379.63</v>
      </c>
      <c r="E129">
        <v>61721.35</v>
      </c>
      <c r="F129">
        <v>2294679.7999999998</v>
      </c>
      <c r="G129">
        <v>2121394.17</v>
      </c>
      <c r="H129">
        <v>387306.5</v>
      </c>
      <c r="I129">
        <v>2310972.9300000002</v>
      </c>
      <c r="J129">
        <v>4791692.84</v>
      </c>
      <c r="K129">
        <v>1230431.8500000001</v>
      </c>
      <c r="L129">
        <v>4389449.7300000004</v>
      </c>
      <c r="M129">
        <v>3062059.51</v>
      </c>
      <c r="N129">
        <v>748720.61</v>
      </c>
      <c r="O129">
        <v>8439878.7400000002</v>
      </c>
    </row>
    <row r="130" spans="3:15">
      <c r="C130" t="s">
        <v>345</v>
      </c>
      <c r="D130">
        <v>9069707.3300000001</v>
      </c>
      <c r="E130">
        <v>741928.02</v>
      </c>
      <c r="F130">
        <v>2270492.86</v>
      </c>
      <c r="G130">
        <v>928984.93</v>
      </c>
      <c r="H130">
        <v>1924688.17</v>
      </c>
      <c r="I130">
        <v>13172127.57</v>
      </c>
      <c r="J130">
        <v>10190036.130000001</v>
      </c>
      <c r="K130">
        <v>614761.52</v>
      </c>
      <c r="L130">
        <v>2368497.7200000002</v>
      </c>
      <c r="M130">
        <v>3789975.76</v>
      </c>
      <c r="N130">
        <v>2199924.0099999998</v>
      </c>
      <c r="O130">
        <v>12239241.67</v>
      </c>
    </row>
    <row r="131" spans="3:15">
      <c r="C131" t="s">
        <v>113</v>
      </c>
      <c r="D131">
        <v>0</v>
      </c>
      <c r="E131">
        <v>0</v>
      </c>
      <c r="F131">
        <v>0</v>
      </c>
      <c r="G131">
        <v>0</v>
      </c>
      <c r="H131">
        <v>26300000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679275.15</v>
      </c>
    </row>
    <row r="132" spans="3:15">
      <c r="C132" t="s">
        <v>346</v>
      </c>
      <c r="D132">
        <v>210388.53</v>
      </c>
      <c r="E132">
        <v>1523764.45</v>
      </c>
      <c r="F132">
        <v>2491996.34</v>
      </c>
      <c r="G132">
        <v>22982129.370000001</v>
      </c>
      <c r="H132">
        <v>127429.54</v>
      </c>
      <c r="I132">
        <v>8292453.0899999999</v>
      </c>
      <c r="J132">
        <v>9923897.9900000002</v>
      </c>
      <c r="K132">
        <v>3828550.1</v>
      </c>
      <c r="L132">
        <v>4532192.18</v>
      </c>
      <c r="M132">
        <v>4921391.4800000004</v>
      </c>
      <c r="N132">
        <v>1457558.11</v>
      </c>
      <c r="O132">
        <v>60728.73</v>
      </c>
    </row>
    <row r="133" spans="3:15">
      <c r="C133" t="s">
        <v>118</v>
      </c>
      <c r="D133">
        <v>304583.3</v>
      </c>
      <c r="E133">
        <v>1049040</v>
      </c>
      <c r="F133">
        <v>1315468</v>
      </c>
      <c r="G133">
        <v>1595650</v>
      </c>
      <c r="H133">
        <v>1231844.17</v>
      </c>
      <c r="I133">
        <v>586277.4</v>
      </c>
      <c r="J133">
        <v>879730.52</v>
      </c>
      <c r="K133">
        <v>132031.82999999999</v>
      </c>
      <c r="L133">
        <v>2431853.4500000002</v>
      </c>
      <c r="M133">
        <v>923035</v>
      </c>
      <c r="N133">
        <v>332915.49</v>
      </c>
      <c r="O133">
        <v>1007047.62</v>
      </c>
    </row>
  </sheetData>
  <mergeCells count="3">
    <mergeCell ref="C5:C6"/>
    <mergeCell ref="D5:O5"/>
    <mergeCell ref="T5:W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3">
    <pageSetUpPr fitToPage="1"/>
  </sheetPr>
  <dimension ref="A1:EJ775"/>
  <sheetViews>
    <sheetView zoomScaleSheetLayoutView="100" workbookViewId="0">
      <selection activeCell="C18" sqref="C18:C19"/>
    </sheetView>
  </sheetViews>
  <sheetFormatPr defaultRowHeight="12.75"/>
  <cols>
    <col min="1" max="2" width="12.7109375" customWidth="1"/>
    <col min="3" max="3" width="54.140625" customWidth="1"/>
    <col min="4" max="23" width="9.7109375" customWidth="1"/>
    <col min="24" max="37" width="13.85546875" customWidth="1"/>
    <col min="39" max="40" width="48.28515625" customWidth="1"/>
    <col min="116" max="116" width="15.42578125" customWidth="1"/>
    <col min="117" max="117" width="12.7109375" customWidth="1"/>
    <col min="118" max="118" width="11.85546875" customWidth="1"/>
  </cols>
  <sheetData>
    <row r="1" spans="1:140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</row>
    <row r="2" spans="1:140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</row>
    <row r="3" spans="1:140" ht="13.5" customHeight="1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</row>
    <row r="4" spans="1:140" ht="13.5" customHeight="1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</row>
    <row r="5" spans="1:140" ht="13.5" customHeight="1">
      <c r="A5" s="69"/>
      <c r="B5" s="69"/>
      <c r="C5" s="70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</row>
    <row r="6" spans="1:140" ht="13.5" customHeight="1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</row>
    <row r="7" spans="1:140" ht="13.5" customHeight="1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</row>
    <row r="8" spans="1:140" ht="15">
      <c r="A8" s="69"/>
      <c r="B8" s="69"/>
      <c r="C8" s="79"/>
      <c r="D8" s="69"/>
      <c r="E8" s="69"/>
      <c r="F8" s="69"/>
      <c r="G8" s="69"/>
      <c r="H8" s="69"/>
      <c r="I8" s="1152" t="str">
        <f>IF(MasterSheet!$A$1 = 1, MasterSheet!C5,MasterSheet!B5)</f>
        <v>CRNA GORA</v>
      </c>
      <c r="J8" s="1152"/>
      <c r="K8" s="1152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</row>
    <row r="9" spans="1:140" ht="15">
      <c r="A9" s="69"/>
      <c r="B9" s="69"/>
      <c r="C9" s="69"/>
      <c r="D9" s="69"/>
      <c r="E9" s="69"/>
      <c r="F9" s="69"/>
      <c r="G9" s="69"/>
      <c r="H9" s="1152" t="str">
        <f>IF(MasterSheet!$A$1 = 1, MasterSheet!C6,MasterSheet!B6)</f>
        <v>MINISTARSTVO FINANSIJA</v>
      </c>
      <c r="I9" s="1152"/>
      <c r="J9" s="1152"/>
      <c r="K9" s="1152"/>
      <c r="L9" s="1152"/>
      <c r="M9" s="76"/>
      <c r="N9" s="76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</row>
    <row r="10" spans="1:140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</row>
    <row r="11" spans="1:140">
      <c r="A11" s="80"/>
      <c r="B11" s="80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</row>
    <row r="12" spans="1:140" ht="17.25" customHeight="1">
      <c r="A12" s="80"/>
      <c r="B12" s="80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51"/>
      <c r="AG12" s="51"/>
      <c r="AH12" s="51"/>
      <c r="AI12" s="51"/>
      <c r="AJ12" s="51"/>
      <c r="AK12" s="612"/>
      <c r="AL12" s="612"/>
      <c r="AM12" s="612"/>
      <c r="AN12" s="612"/>
      <c r="AO12" s="612"/>
      <c r="AP12" s="612"/>
      <c r="AQ12" s="612"/>
      <c r="AR12" s="612"/>
      <c r="AS12" s="612"/>
      <c r="AT12" s="612"/>
      <c r="AU12" s="612"/>
      <c r="AV12" s="612"/>
      <c r="AW12" s="612"/>
      <c r="AX12" s="612"/>
      <c r="AY12" s="612"/>
      <c r="AZ12" s="612"/>
      <c r="BA12" s="612"/>
      <c r="BB12" s="612"/>
      <c r="BC12" s="612"/>
      <c r="BD12" s="612"/>
      <c r="BE12" s="612"/>
      <c r="BF12" s="612"/>
      <c r="BG12" s="612"/>
      <c r="BH12" s="612"/>
      <c r="BI12" s="612"/>
      <c r="BJ12" s="612"/>
      <c r="BK12" s="612"/>
      <c r="BL12" s="612"/>
      <c r="BM12" s="612"/>
      <c r="BN12" s="612"/>
      <c r="BO12" s="612"/>
      <c r="BP12" s="612"/>
      <c r="BQ12" s="612"/>
      <c r="BR12" s="612"/>
      <c r="BS12" s="612"/>
      <c r="BT12" s="612"/>
      <c r="BU12" s="612"/>
      <c r="BV12" s="612"/>
      <c r="BW12" s="612"/>
      <c r="BX12" s="612"/>
      <c r="BY12" s="612"/>
      <c r="BZ12" s="612"/>
      <c r="CA12" s="612"/>
      <c r="CB12" s="612"/>
      <c r="CC12" s="612"/>
      <c r="CD12" s="612"/>
      <c r="CE12" s="612"/>
      <c r="CF12" s="612"/>
      <c r="CG12" s="612"/>
      <c r="CH12" s="612"/>
      <c r="CI12" s="612"/>
      <c r="CJ12" s="612"/>
      <c r="CK12" s="612"/>
      <c r="CL12" s="612"/>
      <c r="CM12" s="612"/>
      <c r="CN12" s="612"/>
      <c r="CO12" s="612"/>
      <c r="CP12" s="612"/>
      <c r="CQ12" s="612"/>
      <c r="CR12" s="612"/>
      <c r="CS12" s="612"/>
      <c r="CT12" s="612"/>
      <c r="CU12" s="612"/>
      <c r="CV12" s="612"/>
      <c r="CW12" s="612"/>
      <c r="CX12" s="612"/>
      <c r="CY12" s="612"/>
      <c r="CZ12" s="612"/>
      <c r="DA12" s="612"/>
      <c r="DB12" s="612"/>
      <c r="DC12" s="612"/>
      <c r="DD12" s="612"/>
      <c r="DE12" s="612"/>
      <c r="DF12" s="612"/>
      <c r="DG12" s="612"/>
      <c r="DH12" s="612"/>
      <c r="DI12" s="612"/>
      <c r="DJ12" s="612"/>
      <c r="DK12" s="612"/>
      <c r="DL12" s="612"/>
      <c r="DM12" s="612"/>
      <c r="DN12" s="612"/>
      <c r="DO12" s="612"/>
      <c r="DP12" s="612"/>
      <c r="DQ12" s="612"/>
      <c r="DR12" s="612"/>
      <c r="DS12" s="612"/>
      <c r="DT12" s="612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</row>
    <row r="13" spans="1:140" s="21" customFormat="1" ht="14.25" customHeight="1">
      <c r="A13" s="81"/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52"/>
      <c r="AG13" s="52"/>
      <c r="AH13" s="52"/>
      <c r="AI13" s="52"/>
      <c r="AJ13" s="52"/>
      <c r="AK13" s="57"/>
      <c r="AL13" s="57"/>
      <c r="AM13" s="147"/>
      <c r="AN13" s="147"/>
      <c r="AO13" s="147"/>
      <c r="AP13" s="147"/>
      <c r="AQ13" s="14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/>
      <c r="DJ13" s="57"/>
      <c r="DK13" s="57"/>
      <c r="DL13" s="57"/>
      <c r="DM13" s="57"/>
      <c r="DN13" s="57"/>
      <c r="DO13" s="57"/>
      <c r="DP13" s="57"/>
      <c r="DQ13" s="57"/>
      <c r="DR13" s="57"/>
      <c r="DS13" s="57"/>
      <c r="DT13" s="57"/>
      <c r="DU13" s="52"/>
      <c r="DV13" s="52"/>
      <c r="DW13" s="52"/>
      <c r="DX13" s="52"/>
      <c r="DY13" s="52"/>
      <c r="DZ13" s="52"/>
      <c r="EA13" s="52"/>
      <c r="EB13" s="52"/>
      <c r="EC13" s="52"/>
      <c r="ED13" s="52"/>
      <c r="EE13" s="52"/>
      <c r="EF13" s="52"/>
      <c r="EG13" s="52"/>
      <c r="EH13" s="52"/>
      <c r="EI13" s="52"/>
      <c r="EJ13" s="52"/>
    </row>
    <row r="14" spans="1:140" s="21" customFormat="1" ht="15" customHeight="1" thickBot="1">
      <c r="A14" s="81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52"/>
      <c r="AG14" s="52"/>
      <c r="AH14" s="52"/>
      <c r="AI14" s="52"/>
      <c r="AJ14" s="52"/>
      <c r="AK14" s="57"/>
      <c r="AL14" s="57"/>
      <c r="AM14" s="53"/>
      <c r="AN14" s="53"/>
      <c r="AO14" s="53"/>
      <c r="AP14" s="53"/>
      <c r="AQ14" s="53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/>
      <c r="BY14" s="57"/>
      <c r="BZ14" s="57"/>
      <c r="CA14" s="57"/>
      <c r="CB14" s="57"/>
      <c r="CC14" s="57"/>
      <c r="CD14" s="57"/>
      <c r="CE14" s="57"/>
      <c r="CF14" s="57"/>
      <c r="CG14" s="57"/>
      <c r="CH14" s="57"/>
      <c r="CI14" s="57"/>
      <c r="CJ14" s="57"/>
      <c r="CK14" s="57"/>
      <c r="CL14" s="57"/>
      <c r="CM14" s="57"/>
      <c r="CN14" s="57"/>
      <c r="CO14" s="57"/>
      <c r="CP14" s="57"/>
      <c r="CQ14" s="57"/>
      <c r="CR14" s="57"/>
      <c r="CS14" s="57"/>
      <c r="CT14" s="57"/>
      <c r="CU14" s="57"/>
      <c r="CV14" s="57"/>
      <c r="CW14" s="57"/>
      <c r="CX14" s="57"/>
      <c r="CY14" s="57"/>
      <c r="CZ14" s="57"/>
      <c r="DA14" s="57"/>
      <c r="DB14" s="57"/>
      <c r="DC14" s="57"/>
      <c r="DD14" s="57"/>
      <c r="DE14" s="57"/>
      <c r="DF14" s="57"/>
      <c r="DG14" s="57"/>
      <c r="DH14" s="57"/>
      <c r="DI14" s="57"/>
      <c r="DJ14" s="57"/>
      <c r="DK14" s="57"/>
      <c r="DL14" s="57"/>
      <c r="DM14" s="57"/>
      <c r="DN14" s="57"/>
      <c r="DO14" s="57"/>
      <c r="DP14" s="57"/>
      <c r="DQ14" s="57"/>
      <c r="DR14" s="57"/>
      <c r="DS14" s="57"/>
      <c r="DT14" s="57"/>
      <c r="DU14" s="52"/>
      <c r="DV14" s="52"/>
      <c r="DW14" s="52"/>
      <c r="DX14" s="52"/>
      <c r="DY14" s="52"/>
      <c r="DZ14" s="52"/>
      <c r="EA14" s="52"/>
      <c r="EB14" s="52"/>
      <c r="EC14" s="52"/>
      <c r="ED14" s="52"/>
      <c r="EE14" s="52"/>
      <c r="EF14" s="52"/>
      <c r="EG14" s="52"/>
      <c r="EH14" s="52"/>
      <c r="EI14" s="52"/>
      <c r="EJ14" s="52"/>
    </row>
    <row r="15" spans="1:140" s="21" customFormat="1" ht="15.75" customHeight="1" thickTop="1" thickBot="1">
      <c r="A15" s="81"/>
      <c r="B15" s="81"/>
      <c r="C15" s="480" t="str">
        <f>'Cental Budget_int'!D15</f>
        <v>BDP (u mil. €)</v>
      </c>
      <c r="D15" s="1155">
        <f>'Cental Budget_int'!E15</f>
        <v>2148900000</v>
      </c>
      <c r="E15" s="1155"/>
      <c r="F15" s="1153">
        <f>'Cental Budget_int'!G15</f>
        <v>2680500000</v>
      </c>
      <c r="G15" s="1153"/>
      <c r="H15" s="1153">
        <f>'Cental Budget_int'!I15</f>
        <v>3085600000</v>
      </c>
      <c r="I15" s="1153"/>
      <c r="J15" s="1153">
        <f>'Cental Budget_int'!K15</f>
        <v>2981000000</v>
      </c>
      <c r="K15" s="1153"/>
      <c r="L15" s="1153">
        <f>'Cental Budget_int'!M15</f>
        <v>3104000000</v>
      </c>
      <c r="M15" s="1153"/>
      <c r="N15" s="1153">
        <f>'Cental Budget_int'!O15</f>
        <v>3234000000</v>
      </c>
      <c r="O15" s="1153"/>
      <c r="P15" s="1154">
        <f>'Cental Budget_int'!Q15</f>
        <v>3149000000</v>
      </c>
      <c r="Q15" s="1154"/>
      <c r="R15" s="1150">
        <f>'Cental Budget_int'!S15</f>
        <v>3517000000</v>
      </c>
      <c r="S15" s="1150"/>
      <c r="T15" s="1150">
        <f>'Cental Budget_int'!U15</f>
        <v>3517000000</v>
      </c>
      <c r="U15" s="1150"/>
      <c r="V15" s="1150">
        <f>'Cental Budget_int'!W15</f>
        <v>0</v>
      </c>
      <c r="W15" s="1150"/>
      <c r="X15" s="82"/>
      <c r="Y15" s="82"/>
      <c r="Z15" s="82"/>
      <c r="AA15" s="82"/>
      <c r="AB15" s="82"/>
      <c r="AC15" s="82"/>
      <c r="AD15" s="82"/>
      <c r="AE15" s="82"/>
      <c r="AF15" s="54"/>
      <c r="AG15" s="54"/>
      <c r="AH15" s="54"/>
      <c r="AI15" s="54"/>
      <c r="AJ15" s="54"/>
      <c r="AK15" s="54"/>
      <c r="AL15" s="54"/>
      <c r="AM15" s="148"/>
      <c r="AN15" s="57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7"/>
      <c r="BU15" s="57"/>
      <c r="BV15" s="57"/>
      <c r="BW15" s="57"/>
      <c r="BX15" s="57"/>
      <c r="BY15" s="57"/>
      <c r="BZ15" s="57"/>
      <c r="CA15" s="57"/>
      <c r="CB15" s="57"/>
      <c r="CC15" s="57"/>
      <c r="CD15" s="57"/>
      <c r="CE15" s="57"/>
      <c r="CF15" s="57"/>
      <c r="CG15" s="57"/>
      <c r="CH15" s="57"/>
      <c r="CI15" s="57"/>
      <c r="CJ15" s="57"/>
      <c r="CK15" s="57"/>
      <c r="CL15" s="57"/>
      <c r="CM15" s="57"/>
      <c r="CN15" s="57"/>
      <c r="CO15" s="57"/>
      <c r="CP15" s="57"/>
      <c r="CQ15" s="57"/>
      <c r="CR15" s="57"/>
      <c r="CS15" s="57"/>
      <c r="CT15" s="57"/>
      <c r="CU15" s="57"/>
      <c r="CV15" s="57"/>
      <c r="CW15" s="57"/>
      <c r="CX15" s="57"/>
      <c r="CY15" s="57"/>
      <c r="CZ15" s="57"/>
      <c r="DA15" s="57"/>
      <c r="DB15" s="57"/>
      <c r="DC15" s="57"/>
      <c r="DD15" s="57"/>
      <c r="DE15" s="57"/>
      <c r="DF15" s="57"/>
      <c r="DG15" s="57"/>
      <c r="DH15" s="57"/>
      <c r="DI15" s="57"/>
      <c r="DJ15" s="57"/>
      <c r="DK15" s="57"/>
      <c r="DL15" s="57"/>
      <c r="DM15" s="57"/>
      <c r="DN15" s="57"/>
      <c r="DO15" s="57"/>
      <c r="DP15" s="57"/>
      <c r="DQ15" s="57"/>
      <c r="DR15" s="57"/>
      <c r="DS15" s="57"/>
      <c r="DT15" s="57"/>
      <c r="DU15" s="52"/>
      <c r="DV15" s="52"/>
      <c r="DW15" s="52"/>
      <c r="DX15" s="52"/>
      <c r="DY15" s="52"/>
      <c r="DZ15" s="52"/>
      <c r="EA15" s="52"/>
      <c r="EB15" s="52"/>
      <c r="EC15" s="52"/>
      <c r="ED15" s="52"/>
      <c r="EE15" s="52"/>
      <c r="EF15" s="52"/>
      <c r="EG15" s="52"/>
      <c r="EH15" s="52"/>
      <c r="EI15" s="52"/>
      <c r="EJ15" s="52"/>
    </row>
    <row r="16" spans="1:140" s="21" customFormat="1" ht="15" customHeight="1" thickTop="1">
      <c r="A16" s="81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54"/>
      <c r="AG16" s="54"/>
      <c r="AH16" s="54"/>
      <c r="AI16" s="54"/>
      <c r="AJ16" s="54"/>
      <c r="AK16" s="54"/>
      <c r="AL16" s="54"/>
      <c r="AM16" s="63"/>
      <c r="AN16" s="57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  <c r="DE16" s="57"/>
      <c r="DF16" s="57"/>
      <c r="DG16" s="57"/>
      <c r="DH16" s="57"/>
      <c r="DI16" s="57"/>
      <c r="DJ16" s="57"/>
      <c r="DK16" s="57"/>
      <c r="DL16" s="57"/>
      <c r="DM16" s="57"/>
      <c r="DN16" s="57"/>
      <c r="DO16" s="57"/>
      <c r="DP16" s="57"/>
      <c r="DQ16" s="57"/>
      <c r="DR16" s="57"/>
      <c r="DS16" s="57"/>
      <c r="DT16" s="57"/>
      <c r="DU16" s="52"/>
      <c r="DV16" s="52"/>
      <c r="DW16" s="52"/>
      <c r="DX16" s="52"/>
      <c r="DY16" s="52"/>
      <c r="DZ16" s="52"/>
      <c r="EA16" s="52"/>
      <c r="EB16" s="52"/>
      <c r="EC16" s="52"/>
      <c r="ED16" s="52"/>
      <c r="EE16" s="52"/>
      <c r="EF16" s="52"/>
      <c r="EG16" s="52"/>
      <c r="EH16" s="52"/>
      <c r="EI16" s="52"/>
      <c r="EJ16" s="52"/>
    </row>
    <row r="17" spans="1:140" s="21" customFormat="1" ht="14.25" customHeight="1" thickBot="1">
      <c r="A17" s="81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1140"/>
      <c r="O17" s="1140"/>
      <c r="P17" s="1151" t="str">
        <f>IF(MasterSheet!$A$1=1,MasterSheet!$O$67,MasterSheet!O68)</f>
        <v>Plan prema Zakonu o Budžetu za 2013. godinu</v>
      </c>
      <c r="Q17" s="1151"/>
      <c r="R17" s="1151"/>
      <c r="S17" s="1151"/>
      <c r="T17" s="1151"/>
      <c r="U17" s="1151"/>
      <c r="V17" s="1151"/>
      <c r="W17" s="1151"/>
      <c r="X17" s="83"/>
      <c r="Y17" s="83"/>
      <c r="Z17" s="83"/>
      <c r="AA17" s="83"/>
      <c r="AB17" s="83"/>
      <c r="AC17" s="83"/>
      <c r="AD17" s="83"/>
      <c r="AE17" s="83"/>
      <c r="AF17" s="55"/>
      <c r="AG17" s="55"/>
      <c r="AH17" s="55"/>
      <c r="AI17" s="55"/>
      <c r="AJ17" s="55"/>
      <c r="AK17" s="55"/>
      <c r="AL17" s="55"/>
      <c r="AM17" s="149"/>
      <c r="AN17" s="149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CY17" s="57"/>
      <c r="CZ17" s="57"/>
      <c r="DA17" s="57"/>
      <c r="DB17" s="57"/>
      <c r="DC17" s="57"/>
      <c r="DD17" s="57"/>
      <c r="DE17" s="57"/>
      <c r="DF17" s="57"/>
      <c r="DG17" s="57"/>
      <c r="DH17" s="57"/>
      <c r="DI17" s="57"/>
      <c r="DJ17" s="57"/>
      <c r="DK17" s="57"/>
      <c r="DL17" s="57"/>
      <c r="DM17" s="57"/>
      <c r="DN17" s="57"/>
      <c r="DO17" s="57"/>
      <c r="DP17" s="57"/>
      <c r="DQ17" s="57"/>
      <c r="DR17" s="57"/>
      <c r="DS17" s="57"/>
      <c r="DT17" s="57"/>
      <c r="DU17" s="52"/>
      <c r="DV17" s="52"/>
      <c r="DW17" s="52"/>
      <c r="DX17" s="52"/>
      <c r="DY17" s="52"/>
      <c r="DZ17" s="52"/>
      <c r="EA17" s="52"/>
      <c r="EB17" s="52"/>
      <c r="EC17" s="52"/>
      <c r="ED17" s="52"/>
      <c r="EE17" s="52"/>
      <c r="EF17" s="52"/>
      <c r="EG17" s="52"/>
      <c r="EH17" s="52"/>
      <c r="EI17" s="52"/>
      <c r="EJ17" s="52"/>
    </row>
    <row r="18" spans="1:140" s="21" customFormat="1" ht="15" customHeight="1" thickTop="1">
      <c r="A18" s="81"/>
      <c r="B18" s="81"/>
      <c r="C18" s="1148" t="str">
        <f>IF(MasterSheet!$A$1=1,MasterSheet!B160,MasterSheet!B159)</f>
        <v>Lokalna samouprava</v>
      </c>
      <c r="D18" s="1146">
        <v>2006</v>
      </c>
      <c r="E18" s="1147"/>
      <c r="F18" s="1146">
        <v>2007</v>
      </c>
      <c r="G18" s="1147"/>
      <c r="H18" s="1146">
        <v>2008</v>
      </c>
      <c r="I18" s="1147"/>
      <c r="J18" s="1146">
        <v>2009</v>
      </c>
      <c r="K18" s="1147"/>
      <c r="L18" s="1146">
        <v>2010</v>
      </c>
      <c r="M18" s="1147"/>
      <c r="N18" s="1146">
        <v>2011</v>
      </c>
      <c r="O18" s="1147"/>
      <c r="P18" s="1146">
        <v>2012</v>
      </c>
      <c r="Q18" s="1147"/>
      <c r="R18" s="1146">
        <v>2013</v>
      </c>
      <c r="S18" s="1147"/>
      <c r="T18" s="1146">
        <v>2014</v>
      </c>
      <c r="U18" s="1147"/>
      <c r="V18" s="1146">
        <v>2015</v>
      </c>
      <c r="W18" s="1147"/>
      <c r="X18" s="83"/>
      <c r="Y18" s="83"/>
      <c r="Z18" s="83"/>
      <c r="AA18" s="83"/>
      <c r="AB18" s="83"/>
      <c r="AC18" s="83"/>
      <c r="AD18" s="83"/>
      <c r="AE18" s="83"/>
      <c r="AF18" s="55"/>
      <c r="AG18" s="55"/>
      <c r="AH18" s="55"/>
      <c r="AI18" s="55"/>
      <c r="AJ18" s="55"/>
      <c r="AK18" s="55"/>
      <c r="AL18" s="55"/>
      <c r="AM18" s="149"/>
      <c r="AN18" s="149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7"/>
      <c r="DM18" s="57"/>
      <c r="DN18" s="57"/>
      <c r="DO18" s="57"/>
      <c r="DP18" s="57"/>
      <c r="DQ18" s="57"/>
      <c r="DR18" s="57"/>
      <c r="DS18" s="57"/>
      <c r="DT18" s="57"/>
      <c r="DU18" s="52"/>
      <c r="DV18" s="52"/>
      <c r="DW18" s="52"/>
      <c r="DX18" s="52"/>
      <c r="DY18" s="52"/>
      <c r="DZ18" s="52"/>
      <c r="EA18" s="52"/>
      <c r="EB18" s="52"/>
      <c r="EC18" s="52"/>
      <c r="ED18" s="52"/>
      <c r="EE18" s="52"/>
      <c r="EF18" s="52"/>
      <c r="EG18" s="52"/>
      <c r="EH18" s="52"/>
      <c r="EI18" s="52"/>
      <c r="EJ18" s="52"/>
    </row>
    <row r="19" spans="1:140" s="21" customFormat="1" ht="15" customHeight="1" thickBot="1">
      <c r="A19" s="81"/>
      <c r="B19" s="81"/>
      <c r="C19" s="1149"/>
      <c r="D19" s="172" t="str">
        <f>IF(MasterSheet!$A$1=1,MasterSheet!C71,MasterSheet!C70)</f>
        <v>mil. €</v>
      </c>
      <c r="E19" s="173" t="str">
        <f>IF(MasterSheet!$A$1=1,MasterSheet!D71,MasterSheet!D70)</f>
        <v>% BDP</v>
      </c>
      <c r="F19" s="172" t="str">
        <f>IF(MasterSheet!$A$1=1,MasterSheet!E71,MasterSheet!E70)</f>
        <v>mil. €</v>
      </c>
      <c r="G19" s="173" t="str">
        <f>IF(MasterSheet!$A$1=1,MasterSheet!F71,MasterSheet!F70)</f>
        <v>% BDP</v>
      </c>
      <c r="H19" s="172" t="str">
        <f>IF(MasterSheet!$A$1=1,MasterSheet!G71,MasterSheet!G70)</f>
        <v>mil. €</v>
      </c>
      <c r="I19" s="173" t="str">
        <f>IF(MasterSheet!$A$1=1,MasterSheet!H71,MasterSheet!H70)</f>
        <v>% BDP</v>
      </c>
      <c r="J19" s="172" t="str">
        <f>IF(MasterSheet!$A$1=1,MasterSheet!I71,MasterSheet!I70)</f>
        <v>mil. €</v>
      </c>
      <c r="K19" s="173" t="str">
        <f>IF(MasterSheet!$A$1=1,MasterSheet!J71,MasterSheet!J70)</f>
        <v>% BDP</v>
      </c>
      <c r="L19" s="172" t="str">
        <f>IF(MasterSheet!$A$1=1,MasterSheet!K71,MasterSheet!K70)</f>
        <v>mil. €</v>
      </c>
      <c r="M19" s="173" t="str">
        <f>IF(MasterSheet!$A$1=1,MasterSheet!L71,MasterSheet!L70)</f>
        <v>% BDP</v>
      </c>
      <c r="N19" s="172" t="str">
        <f>IF(MasterSheet!$A$1=1,MasterSheet!M71,MasterSheet!M70)</f>
        <v>mil. €</v>
      </c>
      <c r="O19" s="173" t="str">
        <f>IF(MasterSheet!$A$1=1,MasterSheet!N71,MasterSheet!N70)</f>
        <v>% BDP</v>
      </c>
      <c r="P19" s="172" t="str">
        <f>IF(MasterSheet!$A$1=1,MasterSheet!O71,MasterSheet!O70)</f>
        <v>mil. €</v>
      </c>
      <c r="Q19" s="173" t="str">
        <f>IF(MasterSheet!$A$1=1,MasterSheet!P71,MasterSheet!P70)</f>
        <v>% BDP</v>
      </c>
      <c r="R19" s="172" t="str">
        <f>IF(MasterSheet!$A$1=1,MasterSheet!Q71,MasterSheet!Q70)</f>
        <v>mil. €</v>
      </c>
      <c r="S19" s="173" t="str">
        <f>IF(MasterSheet!$A$1=1,MasterSheet!R71,MasterSheet!R70)</f>
        <v>% BDP</v>
      </c>
      <c r="T19" s="174" t="str">
        <f>IF(MasterSheet!$A$1=1,MasterSheet!S71,MasterSheet!S70)</f>
        <v>mil. €</v>
      </c>
      <c r="U19" s="175" t="str">
        <f>IF(MasterSheet!$A$1=1,MasterSheet!T71,MasterSheet!T70)</f>
        <v>% BDP</v>
      </c>
      <c r="V19" s="174" t="str">
        <f>IF(MasterSheet!$A$1=1,MasterSheet!U71,MasterSheet!U70)</f>
        <v>mil. €</v>
      </c>
      <c r="W19" s="175" t="str">
        <f>IF(MasterSheet!$A$1=1,MasterSheet!V71,MasterSheet!V70)</f>
        <v>% BDP</v>
      </c>
      <c r="X19" s="83"/>
      <c r="Y19" s="83"/>
      <c r="Z19" s="83"/>
      <c r="AA19" s="83"/>
      <c r="AB19" s="83"/>
      <c r="AC19" s="83"/>
      <c r="AD19" s="83"/>
      <c r="AE19" s="83"/>
      <c r="AF19" s="55"/>
      <c r="AG19" s="55"/>
      <c r="AH19" s="55"/>
      <c r="AI19" s="55"/>
      <c r="AJ19" s="55"/>
      <c r="AK19" s="55"/>
      <c r="AL19" s="55"/>
      <c r="AM19" s="149"/>
      <c r="AN19" s="149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/>
      <c r="DS19" s="57"/>
      <c r="DT19" s="57"/>
      <c r="DU19" s="52"/>
      <c r="DV19" s="52"/>
      <c r="DW19" s="52"/>
      <c r="DX19" s="52"/>
      <c r="DY19" s="52"/>
      <c r="DZ19" s="52"/>
      <c r="EA19" s="52"/>
      <c r="EB19" s="52"/>
      <c r="EC19" s="52"/>
      <c r="ED19" s="52"/>
      <c r="EE19" s="52"/>
      <c r="EF19" s="52"/>
      <c r="EG19" s="52"/>
      <c r="EH19" s="52"/>
      <c r="EI19" s="52"/>
      <c r="EJ19" s="52"/>
    </row>
    <row r="20" spans="1:140" s="21" customFormat="1" ht="15" customHeight="1" thickTop="1" thickBot="1">
      <c r="A20" s="81"/>
      <c r="B20" s="81"/>
      <c r="C20" s="168" t="str">
        <f>IF(MasterSheet!$A$1=1,MasterSheet!C162,MasterSheet!B162)</f>
        <v>Izvorni prihodi</v>
      </c>
      <c r="D20" s="169">
        <f>+'Local Government_int'!D20</f>
        <v>116233180.60999998</v>
      </c>
      <c r="E20" s="170">
        <f>+'Local Government_int'!E20</f>
        <v>5.4089618227930565</v>
      </c>
      <c r="F20" s="169">
        <f>+'Local Government_int'!F20</f>
        <v>199153291.78</v>
      </c>
      <c r="G20" s="170">
        <f>+'Local Government_int'!G20</f>
        <v>7.4297068375303112</v>
      </c>
      <c r="H20" s="169">
        <f>+'Local Government_int'!H20</f>
        <v>257236341.20895684</v>
      </c>
      <c r="I20" s="170">
        <f>+'Local Government_int'!I20</f>
        <v>8.3366716751671266</v>
      </c>
      <c r="J20" s="169">
        <f>+'Local Government_int'!J20</f>
        <v>183697794.28999999</v>
      </c>
      <c r="K20" s="170">
        <f>+'Local Government_int'!K20</f>
        <v>6.1622876313317674</v>
      </c>
      <c r="L20" s="169">
        <f>+'Local Government_int'!L20</f>
        <v>173968216.58846152</v>
      </c>
      <c r="M20" s="170">
        <f>+'Local Government_int'!M20</f>
        <v>5.6046461529787859</v>
      </c>
      <c r="N20" s="169">
        <f>+'Local Government_int'!N20</f>
        <v>155931969.95999998</v>
      </c>
      <c r="O20" s="170">
        <f>+'Local Government_int'!O20</f>
        <v>4.8216440927643784</v>
      </c>
      <c r="P20" s="276">
        <f>+'Local Government_int'!P20</f>
        <v>178889279.60333332</v>
      </c>
      <c r="Q20" s="277">
        <f>+'Local Government_int'!Q20</f>
        <v>5.680828186831798</v>
      </c>
      <c r="R20" s="276">
        <f>+'Local Government_int'!R20</f>
        <v>132295632.70702851</v>
      </c>
      <c r="S20" s="277">
        <f>+'Local Government_int'!S20</f>
        <v>3.7616045694349878</v>
      </c>
      <c r="T20" s="276">
        <f>+'Local Government_int'!T20</f>
        <v>136299945.36116907</v>
      </c>
      <c r="U20" s="278">
        <f>+'Local Government_int'!U20</f>
        <v>3.8754604879490775</v>
      </c>
      <c r="V20" s="276">
        <f>+'Local Government_int'!V20</f>
        <v>4004312.6541405618</v>
      </c>
      <c r="W20" s="278">
        <f>+'Local Government_int'!W20</f>
        <v>0.11385591851408972</v>
      </c>
      <c r="X20" s="84"/>
      <c r="Y20" s="84"/>
      <c r="Z20" s="84"/>
      <c r="AA20" s="84"/>
      <c r="AB20" s="84"/>
      <c r="AC20" s="84"/>
      <c r="AD20" s="84"/>
      <c r="AE20" s="84"/>
      <c r="AF20" s="56"/>
      <c r="AG20" s="56"/>
      <c r="AH20" s="56"/>
      <c r="AI20" s="56"/>
      <c r="AJ20" s="56"/>
      <c r="AK20" s="57"/>
      <c r="AL20" s="57"/>
      <c r="AM20" s="149"/>
      <c r="AN20" s="149"/>
      <c r="AO20" s="57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1"/>
      <c r="BC20" s="151"/>
      <c r="BD20" s="151"/>
      <c r="BE20" s="151"/>
      <c r="BF20" s="151"/>
      <c r="BG20" s="151"/>
      <c r="BH20" s="151"/>
      <c r="BI20" s="151"/>
      <c r="BJ20" s="151"/>
      <c r="BK20" s="151"/>
      <c r="BL20" s="151"/>
      <c r="BM20" s="151"/>
      <c r="BN20" s="151"/>
      <c r="BO20" s="151"/>
      <c r="BP20" s="151"/>
      <c r="BQ20" s="151"/>
      <c r="BR20" s="151"/>
      <c r="BS20" s="151"/>
      <c r="BT20" s="151"/>
      <c r="BU20" s="151"/>
      <c r="BV20" s="151"/>
      <c r="BW20" s="151"/>
      <c r="BX20" s="151"/>
      <c r="BY20" s="151"/>
      <c r="BZ20" s="151"/>
      <c r="CA20" s="151"/>
      <c r="CB20" s="151"/>
      <c r="CC20" s="151"/>
      <c r="CD20" s="151"/>
      <c r="CE20" s="151"/>
      <c r="CF20" s="151"/>
      <c r="CG20" s="151"/>
      <c r="CH20" s="151"/>
      <c r="CI20" s="151"/>
      <c r="CJ20" s="151"/>
      <c r="CK20" s="151"/>
      <c r="CL20" s="151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M20" s="57"/>
      <c r="DN20" s="57"/>
      <c r="DO20" s="57"/>
      <c r="DP20" s="57"/>
      <c r="DQ20" s="57"/>
      <c r="DR20" s="57"/>
      <c r="DS20" s="57"/>
      <c r="DT20" s="57"/>
      <c r="DU20" s="52"/>
      <c r="DV20" s="52"/>
      <c r="DW20" s="52"/>
      <c r="DX20" s="52"/>
      <c r="DY20" s="52"/>
      <c r="DZ20" s="52"/>
      <c r="EA20" s="52"/>
      <c r="EB20" s="52"/>
      <c r="EC20" s="52"/>
      <c r="ED20" s="52"/>
      <c r="EE20" s="52"/>
      <c r="EF20" s="52"/>
      <c r="EG20" s="52"/>
      <c r="EH20" s="52"/>
      <c r="EI20" s="52"/>
      <c r="EJ20" s="52"/>
    </row>
    <row r="21" spans="1:140" s="21" customFormat="1" ht="15" customHeight="1" thickTop="1">
      <c r="A21" s="81"/>
      <c r="B21" s="81"/>
      <c r="C21" s="182" t="str">
        <f>IF(MasterSheet!$A$1=1,MasterSheet!C163,MasterSheet!B163)</f>
        <v>Porezi</v>
      </c>
      <c r="D21" s="183">
        <f>+'Local Government_int'!D21</f>
        <v>55149934.989999995</v>
      </c>
      <c r="E21" s="184">
        <f>+'Local Government_int'!E21</f>
        <v>2.5664263106705754</v>
      </c>
      <c r="F21" s="183">
        <f>+'Local Government_int'!F21</f>
        <v>74919266.229999989</v>
      </c>
      <c r="G21" s="184">
        <f>+'Local Government_int'!G21</f>
        <v>2.7949735582913631</v>
      </c>
      <c r="H21" s="183">
        <f>+'Local Government_int'!H21</f>
        <v>98420824.343925104</v>
      </c>
      <c r="I21" s="184">
        <f>+'Local Government_int'!I21</f>
        <v>3.1896818882526934</v>
      </c>
      <c r="J21" s="183">
        <f>+'Local Government_int'!J21</f>
        <v>83217161.069999993</v>
      </c>
      <c r="K21" s="184">
        <f>+'Local Government_int'!K21</f>
        <v>2.7915854099295538</v>
      </c>
      <c r="L21" s="183">
        <f>+'Local Government_int'!L21</f>
        <v>81428216.588461533</v>
      </c>
      <c r="M21" s="184">
        <f>+'Local Government_int'!M21</f>
        <v>2.6233317199890958</v>
      </c>
      <c r="N21" s="183">
        <f>+'Local Government_int'!N21</f>
        <v>90454134.650000006</v>
      </c>
      <c r="O21" s="184">
        <f>+'Local Government_int'!O21</f>
        <v>2.796973860544218</v>
      </c>
      <c r="P21" s="279">
        <f>+'Local Government_int'!P21</f>
        <v>98546975.843333334</v>
      </c>
      <c r="Q21" s="280">
        <f>+'Local Government_int'!Q21</f>
        <v>3.1294689057901981</v>
      </c>
      <c r="R21" s="279">
        <f>+'Local Government_int'!R21</f>
        <v>72794829.691248506</v>
      </c>
      <c r="S21" s="280">
        <f>+'Local Government_int'!S21</f>
        <v>2.0697989676215101</v>
      </c>
      <c r="T21" s="279">
        <f>+'Local Government_int'!T21</f>
        <v>74250726.285073459</v>
      </c>
      <c r="U21" s="281">
        <f>+'Local Government_int'!U21</f>
        <v>2.1111949469739399</v>
      </c>
      <c r="V21" s="279">
        <f>+'Local Government_int'!V21</f>
        <v>1455896.5938249528</v>
      </c>
      <c r="W21" s="280">
        <f>+'Local Government_int'!W21</f>
        <v>4.139597935242989E-2</v>
      </c>
      <c r="X21" s="84"/>
      <c r="Y21" s="84"/>
      <c r="Z21" s="84"/>
      <c r="AA21" s="84"/>
      <c r="AB21" s="84"/>
      <c r="AC21" s="84"/>
      <c r="AD21" s="84"/>
      <c r="AE21" s="84"/>
      <c r="AF21" s="56"/>
      <c r="AG21" s="56"/>
      <c r="AH21" s="56"/>
      <c r="AI21" s="56"/>
      <c r="AJ21" s="56"/>
      <c r="AK21" s="57"/>
      <c r="AL21" s="57"/>
      <c r="AM21" s="149"/>
      <c r="AN21" s="149"/>
      <c r="AO21" s="57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2"/>
      <c r="BA21" s="152"/>
      <c r="BB21" s="153"/>
      <c r="BC21" s="153"/>
      <c r="BD21" s="153"/>
      <c r="BE21" s="153"/>
      <c r="BF21" s="153"/>
      <c r="BG21" s="153"/>
      <c r="BH21" s="153"/>
      <c r="BI21" s="153"/>
      <c r="BJ21" s="153"/>
      <c r="BK21" s="153"/>
      <c r="BL21" s="153"/>
      <c r="BM21" s="153"/>
      <c r="BN21" s="151"/>
      <c r="BO21" s="153"/>
      <c r="BP21" s="153"/>
      <c r="BQ21" s="153"/>
      <c r="BR21" s="153"/>
      <c r="BS21" s="153"/>
      <c r="BT21" s="153"/>
      <c r="BU21" s="153"/>
      <c r="BV21" s="153"/>
      <c r="BW21" s="153"/>
      <c r="BX21" s="153"/>
      <c r="BY21" s="153"/>
      <c r="BZ21" s="153"/>
      <c r="CA21" s="153"/>
      <c r="CB21" s="153"/>
      <c r="CC21" s="153"/>
      <c r="CD21" s="153"/>
      <c r="CE21" s="153"/>
      <c r="CF21" s="153"/>
      <c r="CG21" s="153"/>
      <c r="CH21" s="153"/>
      <c r="CI21" s="153"/>
      <c r="CJ21" s="153"/>
      <c r="CK21" s="153"/>
      <c r="CL21" s="153"/>
      <c r="CM21" s="151"/>
      <c r="CN21" s="151"/>
      <c r="CO21" s="151"/>
      <c r="CP21" s="151"/>
      <c r="CQ21" s="151"/>
      <c r="CR21" s="151"/>
      <c r="CS21" s="151"/>
      <c r="CT21" s="151"/>
      <c r="CU21" s="151"/>
      <c r="CV21" s="151"/>
      <c r="CW21" s="151"/>
      <c r="CX21" s="151"/>
      <c r="CY21" s="153"/>
      <c r="CZ21" s="153"/>
      <c r="DA21" s="153"/>
      <c r="DB21" s="153"/>
      <c r="DC21" s="153"/>
      <c r="DD21" s="153"/>
      <c r="DE21" s="153"/>
      <c r="DF21" s="153"/>
      <c r="DG21" s="153"/>
      <c r="DH21" s="153"/>
      <c r="DI21" s="153"/>
      <c r="DJ21" s="153"/>
      <c r="DK21" s="57"/>
      <c r="DL21" s="57"/>
      <c r="DM21" s="57"/>
      <c r="DN21" s="57"/>
      <c r="DO21" s="57"/>
      <c r="DP21" s="57"/>
      <c r="DQ21" s="57"/>
      <c r="DR21" s="57"/>
      <c r="DS21" s="57"/>
      <c r="DT21" s="57"/>
      <c r="DU21" s="52"/>
      <c r="DV21" s="52"/>
      <c r="DW21" s="52"/>
      <c r="DX21" s="52"/>
      <c r="DY21" s="52"/>
      <c r="DZ21" s="52"/>
      <c r="EA21" s="52"/>
      <c r="EB21" s="52"/>
      <c r="EC21" s="52"/>
      <c r="ED21" s="52"/>
      <c r="EE21" s="52"/>
      <c r="EF21" s="52"/>
      <c r="EG21" s="52"/>
      <c r="EH21" s="52"/>
      <c r="EI21" s="52"/>
      <c r="EJ21" s="52"/>
    </row>
    <row r="22" spans="1:140" s="21" customFormat="1" ht="15" customHeight="1">
      <c r="A22" s="81"/>
      <c r="B22" s="81"/>
      <c r="C22" s="185" t="str">
        <f>IF(MasterSheet!$A$1=1,MasterSheet!C164,MasterSheet!B164)</f>
        <v>Porez na dohodak fizičkih lica</v>
      </c>
      <c r="D22" s="186">
        <f>+'Local Government_int'!D22</f>
        <v>20525829.359999999</v>
      </c>
      <c r="E22" s="187">
        <f>+'Local Government_int'!E22</f>
        <v>0.95517843361719956</v>
      </c>
      <c r="F22" s="186">
        <f>+'Local Government_int'!F22</f>
        <v>22695091.699999999</v>
      </c>
      <c r="G22" s="187">
        <f>+'Local Government_int'!G22</f>
        <v>0.84667381831747801</v>
      </c>
      <c r="H22" s="186">
        <f>+'Local Government_int'!H22</f>
        <v>29750514.98468354</v>
      </c>
      <c r="I22" s="187">
        <f>+'Local Government_int'!I22</f>
        <v>0.96417276979140332</v>
      </c>
      <c r="J22" s="186">
        <f>+'Local Government_int'!J22</f>
        <v>26380038.800000001</v>
      </c>
      <c r="K22" s="187">
        <f>+'Local Government_int'!K22</f>
        <v>0.88493924186514605</v>
      </c>
      <c r="L22" s="186">
        <f>+'Local Government_int'!L22</f>
        <v>25315210.735128202</v>
      </c>
      <c r="M22" s="187">
        <f>+'Local Government_int'!M22</f>
        <v>0.81556735615748077</v>
      </c>
      <c r="N22" s="186">
        <f>+'Local Government_int'!N22</f>
        <v>31587816.781999998</v>
      </c>
      <c r="O22" s="187">
        <f>+'Local Government_int'!O22</f>
        <v>0.9767413970933827</v>
      </c>
      <c r="P22" s="282">
        <f>+'Local Government_int'!P22</f>
        <v>27420611.093333334</v>
      </c>
      <c r="Q22" s="283">
        <f>+'Local Government_int'!Q22</f>
        <v>0.87077202582830537</v>
      </c>
      <c r="R22" s="282">
        <f>+'Local Government_int'!R22</f>
        <v>24158573.938640088</v>
      </c>
      <c r="S22" s="283">
        <f>+'Local Government_int'!S22</f>
        <v>0.6869085566858143</v>
      </c>
      <c r="T22" s="282">
        <f>+'Local Government_int'!T22</f>
        <v>24641745.417412888</v>
      </c>
      <c r="U22" s="284">
        <f>+'Local Government_int'!U22</f>
        <v>0.70064672781953052</v>
      </c>
      <c r="V22" s="282">
        <f>+'Local Government_int'!V22</f>
        <v>483171.47877280042</v>
      </c>
      <c r="W22" s="283">
        <f>+'Local Government_int'!W22</f>
        <v>1.3738171133716226E-2</v>
      </c>
      <c r="X22" s="84"/>
      <c r="Y22" s="84"/>
      <c r="Z22" s="84"/>
      <c r="AA22" s="84"/>
      <c r="AB22" s="84"/>
      <c r="AC22" s="84"/>
      <c r="AD22" s="84"/>
      <c r="AE22" s="84"/>
      <c r="AF22" s="56"/>
      <c r="AG22" s="56"/>
      <c r="AH22" s="56"/>
      <c r="AI22" s="56"/>
      <c r="AJ22" s="56"/>
      <c r="AK22" s="57"/>
      <c r="AL22" s="57"/>
      <c r="AM22" s="149"/>
      <c r="AN22" s="149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57"/>
      <c r="DJ22" s="57"/>
      <c r="DK22" s="57"/>
      <c r="DL22" s="57"/>
      <c r="DM22" s="57"/>
      <c r="DN22" s="57"/>
      <c r="DO22" s="57"/>
      <c r="DP22" s="57"/>
      <c r="DQ22" s="57"/>
      <c r="DR22" s="57"/>
      <c r="DS22" s="57"/>
      <c r="DT22" s="57"/>
      <c r="DU22" s="52"/>
      <c r="DV22" s="52"/>
      <c r="DW22" s="52"/>
      <c r="DX22" s="52"/>
      <c r="DY22" s="52"/>
      <c r="DZ22" s="52"/>
      <c r="EA22" s="52"/>
      <c r="EB22" s="52"/>
      <c r="EC22" s="52"/>
      <c r="ED22" s="52"/>
      <c r="EE22" s="52"/>
      <c r="EF22" s="52"/>
      <c r="EG22" s="52"/>
      <c r="EH22" s="52"/>
      <c r="EI22" s="52"/>
      <c r="EJ22" s="52"/>
    </row>
    <row r="23" spans="1:140" s="21" customFormat="1" ht="15" hidden="1" customHeight="1">
      <c r="A23" s="81"/>
      <c r="B23" s="81"/>
      <c r="C23" s="185" t="str">
        <f>IF(MasterSheet!$A$1=1,MasterSheet!C165,MasterSheet!B165)</f>
        <v>Porez na dobit pravnih lica</v>
      </c>
      <c r="D23" s="186">
        <f>+'Local Government_int'!D23</f>
        <v>0</v>
      </c>
      <c r="E23" s="187">
        <f>+'Local Government_int'!E23</f>
        <v>0</v>
      </c>
      <c r="F23" s="186">
        <f>+'Local Government_int'!F23</f>
        <v>0</v>
      </c>
      <c r="G23" s="187">
        <f>+'Local Government_int'!G23</f>
        <v>0</v>
      </c>
      <c r="H23" s="186">
        <f>+'Local Government_int'!H23</f>
        <v>0</v>
      </c>
      <c r="I23" s="187">
        <f>+'Local Government_int'!I23</f>
        <v>0</v>
      </c>
      <c r="J23" s="186">
        <f>+'Local Government_int'!J23</f>
        <v>0</v>
      </c>
      <c r="K23" s="187">
        <f>+'Local Government_int'!K23</f>
        <v>0</v>
      </c>
      <c r="L23" s="186">
        <f>+'Local Government_int'!L23</f>
        <v>0</v>
      </c>
      <c r="M23" s="187">
        <f>+'Local Government_int'!M23</f>
        <v>0</v>
      </c>
      <c r="N23" s="186">
        <f>+'Local Government_int'!N23</f>
        <v>0</v>
      </c>
      <c r="O23" s="187">
        <f>+'Local Government_int'!O23</f>
        <v>0</v>
      </c>
      <c r="P23" s="282">
        <f>+'Local Government_int'!P23</f>
        <v>0</v>
      </c>
      <c r="Q23" s="283">
        <f>+'Local Government_int'!Q23</f>
        <v>0</v>
      </c>
      <c r="R23" s="282">
        <f>+'Local Government_int'!R23</f>
        <v>0</v>
      </c>
      <c r="S23" s="283">
        <f>+'Local Government_int'!S23</f>
        <v>0</v>
      </c>
      <c r="T23" s="282">
        <f>+'Local Government_int'!T23</f>
        <v>0</v>
      </c>
      <c r="U23" s="284">
        <f>+'Local Government_int'!U23</f>
        <v>0</v>
      </c>
      <c r="V23" s="282">
        <f>+'Local Government_int'!V23</f>
        <v>0</v>
      </c>
      <c r="W23" s="283">
        <f>+'Local Government_int'!W23</f>
        <v>0</v>
      </c>
      <c r="X23" s="84"/>
      <c r="Y23" s="84"/>
      <c r="Z23" s="84"/>
      <c r="AA23" s="84"/>
      <c r="AB23" s="84"/>
      <c r="AC23" s="84"/>
      <c r="AD23" s="84"/>
      <c r="AE23" s="84"/>
      <c r="AF23" s="56"/>
      <c r="AG23" s="56"/>
      <c r="AH23" s="56"/>
      <c r="AI23" s="56"/>
      <c r="AJ23" s="56"/>
      <c r="AK23" s="57"/>
      <c r="AL23" s="57"/>
      <c r="AM23" s="149"/>
      <c r="AN23" s="149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57"/>
      <c r="DJ23" s="57"/>
      <c r="DK23" s="57"/>
      <c r="DL23" s="57"/>
      <c r="DM23" s="57"/>
      <c r="DN23" s="57"/>
      <c r="DO23" s="57"/>
      <c r="DP23" s="57"/>
      <c r="DQ23" s="57"/>
      <c r="DR23" s="57"/>
      <c r="DS23" s="57"/>
      <c r="DT23" s="57"/>
      <c r="DU23" s="52"/>
      <c r="DV23" s="52"/>
      <c r="DW23" s="52"/>
      <c r="DX23" s="52"/>
      <c r="DY23" s="52"/>
      <c r="DZ23" s="52"/>
      <c r="EA23" s="52"/>
      <c r="EB23" s="52"/>
      <c r="EC23" s="52"/>
      <c r="ED23" s="52"/>
      <c r="EE23" s="52"/>
      <c r="EF23" s="52"/>
      <c r="EG23" s="52"/>
      <c r="EH23" s="52"/>
      <c r="EI23" s="52"/>
      <c r="EJ23" s="52"/>
    </row>
    <row r="24" spans="1:140" s="21" customFormat="1" ht="15" customHeight="1">
      <c r="A24" s="81"/>
      <c r="B24" s="81"/>
      <c r="C24" s="185" t="str">
        <f>IF(MasterSheet!$A$1=1,MasterSheet!C166,MasterSheet!B166)</f>
        <v>Porez na promet nepokretnosti</v>
      </c>
      <c r="D24" s="186">
        <f>+'Local Government_int'!D24</f>
        <v>17498111.469999999</v>
      </c>
      <c r="E24" s="187">
        <f>+'Local Government_int'!E24</f>
        <v>0.81428225929545339</v>
      </c>
      <c r="F24" s="186">
        <f>+'Local Government_int'!F24</f>
        <v>19616077.739999998</v>
      </c>
      <c r="G24" s="187">
        <f>+'Local Government_int'!G24</f>
        <v>0.73180666815892548</v>
      </c>
      <c r="H24" s="186">
        <f>+'Local Government_int'!H24</f>
        <v>26666106.226666667</v>
      </c>
      <c r="I24" s="187">
        <f>+'Local Government_int'!I24</f>
        <v>0.86421137628554145</v>
      </c>
      <c r="J24" s="186">
        <f>+'Local Government_int'!J24</f>
        <v>14591081.619999999</v>
      </c>
      <c r="K24" s="187">
        <f>+'Local Government_int'!K24</f>
        <v>0.48946935994632668</v>
      </c>
      <c r="L24" s="186">
        <f>+'Local Government_int'!L24</f>
        <v>11523005.853333334</v>
      </c>
      <c r="M24" s="187">
        <f>+'Local Government_int'!M24</f>
        <v>0.37123085867697597</v>
      </c>
      <c r="N24" s="186">
        <f>+'Local Government_int'!N24</f>
        <v>14419589.217999998</v>
      </c>
      <c r="O24" s="187">
        <f>+'Local Government_int'!O24</f>
        <v>0.44587474390847243</v>
      </c>
      <c r="P24" s="282">
        <f>+'Local Government_int'!P24</f>
        <v>12973044.599999998</v>
      </c>
      <c r="Q24" s="283">
        <f>+'Local Government_int'!Q24</f>
        <v>0.41197347094315645</v>
      </c>
      <c r="R24" s="282">
        <f>+'Local Government_int'!R24</f>
        <v>13697001.538618412</v>
      </c>
      <c r="S24" s="283">
        <f>+'Local Government_int'!S24</f>
        <v>0.38945128059762329</v>
      </c>
      <c r="T24" s="282">
        <f>+'Local Government_int'!T24</f>
        <v>13970941.569390781</v>
      </c>
      <c r="U24" s="284">
        <f>+'Local Government_int'!U24</f>
        <v>0.39724030620957584</v>
      </c>
      <c r="V24" s="282">
        <f>+'Local Government_int'!V24</f>
        <v>273940.03077236935</v>
      </c>
      <c r="W24" s="283">
        <f>+'Local Government_int'!W24</f>
        <v>7.7890256119525492E-3</v>
      </c>
      <c r="X24" s="84"/>
      <c r="Y24" s="84"/>
      <c r="Z24" s="84"/>
      <c r="AA24" s="84"/>
      <c r="AB24" s="84"/>
      <c r="AC24" s="84"/>
      <c r="AD24" s="84"/>
      <c r="AE24" s="84"/>
      <c r="AF24" s="56"/>
      <c r="AG24" s="56"/>
      <c r="AH24" s="56"/>
      <c r="AI24" s="56"/>
      <c r="AJ24" s="56"/>
      <c r="AK24" s="57"/>
      <c r="AL24" s="57"/>
      <c r="AM24" s="63"/>
      <c r="AN24" s="63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7"/>
      <c r="DH24" s="57"/>
      <c r="DI24" s="57"/>
      <c r="DJ24" s="57"/>
      <c r="DK24" s="57"/>
      <c r="DL24" s="57"/>
      <c r="DM24" s="58"/>
      <c r="DN24" s="58"/>
      <c r="DO24" s="57"/>
      <c r="DP24" s="57"/>
      <c r="DQ24" s="57"/>
      <c r="DR24" s="57"/>
      <c r="DS24" s="57"/>
      <c r="DT24" s="57"/>
      <c r="DU24" s="52"/>
      <c r="DV24" s="52"/>
      <c r="DW24" s="52"/>
      <c r="DX24" s="52"/>
      <c r="DY24" s="52"/>
      <c r="DZ24" s="52"/>
      <c r="EA24" s="52"/>
      <c r="EB24" s="52"/>
      <c r="EC24" s="52"/>
      <c r="ED24" s="52"/>
      <c r="EE24" s="52"/>
      <c r="EF24" s="52"/>
      <c r="EG24" s="52"/>
      <c r="EH24" s="52"/>
      <c r="EI24" s="52"/>
      <c r="EJ24" s="52"/>
    </row>
    <row r="25" spans="1:140" s="21" customFormat="1" ht="15" hidden="1" customHeight="1">
      <c r="A25" s="81"/>
      <c r="B25" s="81"/>
      <c r="C25" s="185" t="str">
        <f>IF(MasterSheet!$A$1=1,MasterSheet!C167,MasterSheet!B167)</f>
        <v>Porez na dodatu vrijednost</v>
      </c>
      <c r="D25" s="186">
        <f>+'Local Government_int'!D25</f>
        <v>0</v>
      </c>
      <c r="E25" s="187">
        <f>+'Local Government_int'!E25</f>
        <v>0</v>
      </c>
      <c r="F25" s="186">
        <f>+'Local Government_int'!F25</f>
        <v>0</v>
      </c>
      <c r="G25" s="187">
        <f>+'Local Government_int'!G25</f>
        <v>0</v>
      </c>
      <c r="H25" s="186">
        <f>+'Local Government_int'!H25</f>
        <v>0</v>
      </c>
      <c r="I25" s="187">
        <f>+'Local Government_int'!I25</f>
        <v>0</v>
      </c>
      <c r="J25" s="186">
        <f>+'Local Government_int'!J25</f>
        <v>0</v>
      </c>
      <c r="K25" s="187">
        <f>+'Local Government_int'!K25</f>
        <v>0</v>
      </c>
      <c r="L25" s="186">
        <f>+'Local Government_int'!L25</f>
        <v>0</v>
      </c>
      <c r="M25" s="187">
        <f>+'Local Government_int'!M25</f>
        <v>0</v>
      </c>
      <c r="N25" s="186">
        <f>+'Local Government_int'!N25</f>
        <v>0</v>
      </c>
      <c r="O25" s="187">
        <f>+'Local Government_int'!O25</f>
        <v>0</v>
      </c>
      <c r="P25" s="282">
        <f>+'Local Government_int'!P25</f>
        <v>0</v>
      </c>
      <c r="Q25" s="283">
        <f>+'Local Government_int'!Q25</f>
        <v>0</v>
      </c>
      <c r="R25" s="282">
        <f>+'Local Government_int'!R25</f>
        <v>0</v>
      </c>
      <c r="S25" s="283">
        <f>+'Local Government_int'!S25</f>
        <v>0</v>
      </c>
      <c r="T25" s="282">
        <f>+'Local Government_int'!T25</f>
        <v>0</v>
      </c>
      <c r="U25" s="284">
        <f>+'Local Government_int'!U25</f>
        <v>0</v>
      </c>
      <c r="V25" s="282">
        <f>+'Local Government_int'!V25</f>
        <v>0</v>
      </c>
      <c r="W25" s="283">
        <f>+'Local Government_int'!W25</f>
        <v>0</v>
      </c>
      <c r="X25" s="84"/>
      <c r="Y25" s="84"/>
      <c r="Z25" s="84"/>
      <c r="AA25" s="84"/>
      <c r="AB25" s="84"/>
      <c r="AC25" s="84"/>
      <c r="AD25" s="84"/>
      <c r="AE25" s="84"/>
      <c r="AF25" s="56"/>
      <c r="AG25" s="56"/>
      <c r="AH25" s="56"/>
      <c r="AI25" s="56"/>
      <c r="AJ25" s="56"/>
      <c r="AK25" s="57"/>
      <c r="AL25" s="57"/>
      <c r="AM25" s="149"/>
      <c r="AN25" s="149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  <c r="DE25" s="57"/>
      <c r="DF25" s="57"/>
      <c r="DG25" s="57"/>
      <c r="DH25" s="57"/>
      <c r="DI25" s="57"/>
      <c r="DJ25" s="57"/>
      <c r="DK25" s="57"/>
      <c r="DL25" s="57"/>
      <c r="DM25" s="58"/>
      <c r="DN25" s="58"/>
      <c r="DO25" s="57"/>
      <c r="DP25" s="57"/>
      <c r="DQ25" s="57"/>
      <c r="DR25" s="57"/>
      <c r="DS25" s="57"/>
      <c r="DT25" s="57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</row>
    <row r="26" spans="1:140" s="21" customFormat="1" ht="15" customHeight="1">
      <c r="A26" s="81"/>
      <c r="B26" s="81"/>
      <c r="C26" s="185" t="str">
        <f>IF(MasterSheet!$A$1=1,MasterSheet!C168,MasterSheet!B168)</f>
        <v>Lokalni porezi</v>
      </c>
      <c r="D26" s="186">
        <f>+'Local Government_int'!D26</f>
        <v>17125994.16</v>
      </c>
      <c r="E26" s="187">
        <f>+'Local Government_int'!E26</f>
        <v>0.79696561775792263</v>
      </c>
      <c r="F26" s="186">
        <f>+'Local Government_int'!F26</f>
        <v>32608096.789999999</v>
      </c>
      <c r="G26" s="187">
        <f>+'Local Government_int'!G26</f>
        <v>1.2164930718149598</v>
      </c>
      <c r="H26" s="186">
        <f>+'Local Government_int'!H26</f>
        <v>42004203.132574901</v>
      </c>
      <c r="I26" s="187">
        <f>+'Local Government_int'!I26</f>
        <v>1.3612977421757486</v>
      </c>
      <c r="J26" s="186">
        <f>+'Local Government_int'!J26</f>
        <v>42246040.649999999</v>
      </c>
      <c r="K26" s="187">
        <f>+'Local Government_int'!K26</f>
        <v>1.4171768081180811</v>
      </c>
      <c r="L26" s="186">
        <f>+'Local Government_int'!L26</f>
        <v>44590000</v>
      </c>
      <c r="M26" s="187">
        <f>+'Local Government_int'!M26</f>
        <v>1.4365335051546393</v>
      </c>
      <c r="N26" s="186">
        <f>+'Local Government_int'!N26</f>
        <v>44446728.650000006</v>
      </c>
      <c r="O26" s="187">
        <f>+'Local Government_int'!O26</f>
        <v>1.3743577195423624</v>
      </c>
      <c r="P26" s="282">
        <f>+'Local Government_int'!P26</f>
        <v>50963320.149999999</v>
      </c>
      <c r="Q26" s="283">
        <f>+'Local Government_int'!Q26</f>
        <v>1.6183969561765641</v>
      </c>
      <c r="R26" s="282">
        <f>+'Local Government_int'!R26</f>
        <v>34939254.213990003</v>
      </c>
      <c r="S26" s="283">
        <f>+'Local Government_int'!S26</f>
        <v>0.99343913033807218</v>
      </c>
      <c r="T26" s="282">
        <f>+'Local Government_int'!T26</f>
        <v>35638039.298269801</v>
      </c>
      <c r="U26" s="284">
        <f>+'Local Government_int'!U26</f>
        <v>1.0133079129448337</v>
      </c>
      <c r="V26" s="282">
        <f>+'Local Government_int'!V26</f>
        <v>698785.08427979797</v>
      </c>
      <c r="W26" s="283">
        <f>+'Local Government_int'!W26</f>
        <v>1.9868782606761504E-2</v>
      </c>
      <c r="X26" s="84"/>
      <c r="Y26" s="84"/>
      <c r="Z26" s="84"/>
      <c r="AA26" s="84"/>
      <c r="AB26" s="84"/>
      <c r="AC26" s="84"/>
      <c r="AD26" s="84"/>
      <c r="AE26" s="84"/>
      <c r="AF26" s="56"/>
      <c r="AG26" s="56"/>
      <c r="AH26" s="56"/>
      <c r="AI26" s="56"/>
      <c r="AJ26" s="56"/>
      <c r="AK26" s="57"/>
      <c r="AL26" s="57"/>
      <c r="AM26" s="149"/>
      <c r="AN26" s="149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8"/>
      <c r="DN26" s="58"/>
      <c r="DO26" s="57"/>
      <c r="DP26" s="57"/>
      <c r="DQ26" s="57"/>
      <c r="DR26" s="57"/>
      <c r="DS26" s="57"/>
      <c r="DT26" s="57"/>
      <c r="DU26" s="52"/>
      <c r="DV26" s="52"/>
      <c r="DW26" s="52"/>
      <c r="DX26" s="52"/>
      <c r="DY26" s="52"/>
      <c r="DZ26" s="52"/>
      <c r="EA26" s="52"/>
      <c r="EB26" s="52"/>
      <c r="EC26" s="52"/>
      <c r="ED26" s="52"/>
      <c r="EE26" s="52"/>
      <c r="EF26" s="52"/>
      <c r="EG26" s="52"/>
      <c r="EH26" s="52"/>
      <c r="EI26" s="52"/>
      <c r="EJ26" s="52"/>
    </row>
    <row r="27" spans="1:140" s="21" customFormat="1" ht="15" hidden="1" customHeight="1">
      <c r="A27" s="81"/>
      <c r="B27" s="81"/>
      <c r="C27" s="185" t="str">
        <f>IF(MasterSheet!$A$1=1,MasterSheet!C169,MasterSheet!B169)</f>
        <v>Akcize</v>
      </c>
      <c r="D27" s="186">
        <f>+'Local Government_int'!D27</f>
        <v>0</v>
      </c>
      <c r="E27" s="187">
        <f>+'Local Government_int'!E27</f>
        <v>0</v>
      </c>
      <c r="F27" s="186">
        <f>+'Local Government_int'!F27</f>
        <v>0</v>
      </c>
      <c r="G27" s="187">
        <f>+'Local Government_int'!G27</f>
        <v>0</v>
      </c>
      <c r="H27" s="186">
        <f>+'Local Government_int'!H27</f>
        <v>0</v>
      </c>
      <c r="I27" s="187">
        <f>+'Local Government_int'!I27</f>
        <v>0</v>
      </c>
      <c r="J27" s="186">
        <f>+'Local Government_int'!J27</f>
        <v>0</v>
      </c>
      <c r="K27" s="187">
        <f>+'Local Government_int'!K27</f>
        <v>0</v>
      </c>
      <c r="L27" s="186">
        <f>+'Local Government_int'!L27</f>
        <v>0</v>
      </c>
      <c r="M27" s="187">
        <f>+'Local Government_int'!M27</f>
        <v>0</v>
      </c>
      <c r="N27" s="559">
        <f>+'Local Government_int'!N27</f>
        <v>0</v>
      </c>
      <c r="O27" s="560">
        <f>+'Local Government_int'!O27</f>
        <v>0</v>
      </c>
      <c r="P27" s="282">
        <f>+'Local Government_int'!P27</f>
        <v>0</v>
      </c>
      <c r="Q27" s="283">
        <f>+'Local Government_int'!Q27</f>
        <v>0</v>
      </c>
      <c r="R27" s="282">
        <f>+'Local Government_int'!R27</f>
        <v>0</v>
      </c>
      <c r="S27" s="283">
        <f>+'Local Government_int'!S27</f>
        <v>0</v>
      </c>
      <c r="T27" s="282">
        <f>+'Local Government_int'!T27</f>
        <v>0</v>
      </c>
      <c r="U27" s="284">
        <f>+'Local Government_int'!U27</f>
        <v>0</v>
      </c>
      <c r="V27" s="282">
        <f>+'Local Government_int'!V27</f>
        <v>0</v>
      </c>
      <c r="W27" s="283">
        <f>+'Local Government_int'!W27</f>
        <v>0</v>
      </c>
      <c r="X27" s="84"/>
      <c r="Y27" s="84"/>
      <c r="Z27" s="84"/>
      <c r="AA27" s="84"/>
      <c r="AB27" s="84"/>
      <c r="AC27" s="84"/>
      <c r="AD27" s="84"/>
      <c r="AE27" s="84"/>
      <c r="AF27" s="56"/>
      <c r="AG27" s="56"/>
      <c r="AH27" s="56"/>
      <c r="AI27" s="56"/>
      <c r="AJ27" s="56"/>
      <c r="AK27" s="57"/>
      <c r="AL27" s="57"/>
      <c r="AM27" s="149"/>
      <c r="AN27" s="149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8"/>
      <c r="DN27" s="58"/>
      <c r="DO27" s="57"/>
      <c r="DP27" s="57"/>
      <c r="DQ27" s="57"/>
      <c r="DR27" s="57"/>
      <c r="DS27" s="57"/>
      <c r="DT27" s="57"/>
      <c r="DU27" s="52"/>
      <c r="DV27" s="52"/>
      <c r="DW27" s="52"/>
      <c r="DX27" s="52"/>
      <c r="DY27" s="52"/>
      <c r="DZ27" s="52"/>
      <c r="EA27" s="52"/>
      <c r="EB27" s="52"/>
      <c r="EC27" s="52"/>
      <c r="ED27" s="52"/>
      <c r="EE27" s="52"/>
      <c r="EF27" s="52"/>
      <c r="EG27" s="52"/>
      <c r="EH27" s="52"/>
      <c r="EI27" s="52"/>
      <c r="EJ27" s="52"/>
    </row>
    <row r="28" spans="1:140" s="21" customFormat="1" ht="15" hidden="1" customHeight="1">
      <c r="A28" s="81"/>
      <c r="B28" s="81"/>
      <c r="C28" s="185" t="str">
        <f>IF(MasterSheet!$A$1=1,MasterSheet!C170,MasterSheet!B170)</f>
        <v>Porez na međunarodnu trgovinu i transakcije</v>
      </c>
      <c r="D28" s="186">
        <f>+'Local Government_int'!D28</f>
        <v>0</v>
      </c>
      <c r="E28" s="187">
        <f>+'Local Government_int'!E28</f>
        <v>0</v>
      </c>
      <c r="F28" s="186">
        <f>+'Local Government_int'!F28</f>
        <v>0</v>
      </c>
      <c r="G28" s="187">
        <f>+'Local Government_int'!G28</f>
        <v>0</v>
      </c>
      <c r="H28" s="186">
        <f>+'Local Government_int'!H28</f>
        <v>0</v>
      </c>
      <c r="I28" s="187">
        <f>+'Local Government_int'!I28</f>
        <v>0</v>
      </c>
      <c r="J28" s="186">
        <f>+'Local Government_int'!J28</f>
        <v>0</v>
      </c>
      <c r="K28" s="187">
        <f>+'Local Government_int'!K28</f>
        <v>0</v>
      </c>
      <c r="L28" s="186">
        <f>+'Local Government_int'!L28</f>
        <v>0</v>
      </c>
      <c r="M28" s="187">
        <f>+'Local Government_int'!M28</f>
        <v>0</v>
      </c>
      <c r="N28" s="559">
        <f>+'Local Government_int'!N28</f>
        <v>0</v>
      </c>
      <c r="O28" s="560">
        <f>+'Local Government_int'!O28</f>
        <v>0</v>
      </c>
      <c r="P28" s="282">
        <f>+'Local Government_int'!P28</f>
        <v>0</v>
      </c>
      <c r="Q28" s="283">
        <f>+'Local Government_int'!Q28</f>
        <v>0</v>
      </c>
      <c r="R28" s="282">
        <f>+'Local Government_int'!R28</f>
        <v>0</v>
      </c>
      <c r="S28" s="283">
        <f>+'Local Government_int'!S28</f>
        <v>0</v>
      </c>
      <c r="T28" s="282">
        <f>+'Local Government_int'!T28</f>
        <v>0</v>
      </c>
      <c r="U28" s="284">
        <f>+'Local Government_int'!U28</f>
        <v>0</v>
      </c>
      <c r="V28" s="282">
        <f>+'Local Government_int'!V28</f>
        <v>0</v>
      </c>
      <c r="W28" s="283">
        <f>+'Local Government_int'!W28</f>
        <v>0</v>
      </c>
      <c r="X28" s="84"/>
      <c r="Y28" s="84"/>
      <c r="Z28" s="84"/>
      <c r="AA28" s="84"/>
      <c r="AB28" s="84"/>
      <c r="AC28" s="84"/>
      <c r="AD28" s="84"/>
      <c r="AE28" s="84"/>
      <c r="AF28" s="56"/>
      <c r="AG28" s="56"/>
      <c r="AH28" s="56"/>
      <c r="AI28" s="56"/>
      <c r="AJ28" s="56"/>
      <c r="AK28" s="57"/>
      <c r="AL28" s="57"/>
      <c r="AM28" s="149"/>
      <c r="AN28" s="149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7"/>
      <c r="DH28" s="57"/>
      <c r="DI28" s="57"/>
      <c r="DJ28" s="57"/>
      <c r="DK28" s="57"/>
      <c r="DL28" s="57"/>
      <c r="DM28" s="58"/>
      <c r="DN28" s="58"/>
      <c r="DO28" s="57"/>
      <c r="DP28" s="57"/>
      <c r="DQ28" s="57"/>
      <c r="DR28" s="57"/>
      <c r="DS28" s="57"/>
      <c r="DT28" s="57"/>
      <c r="DU28" s="52"/>
      <c r="DV28" s="52"/>
      <c r="DW28" s="52"/>
      <c r="DX28" s="52"/>
      <c r="DY28" s="52"/>
      <c r="DZ28" s="52"/>
      <c r="EA28" s="52"/>
      <c r="EB28" s="52"/>
      <c r="EC28" s="52"/>
      <c r="ED28" s="52"/>
      <c r="EE28" s="52"/>
      <c r="EF28" s="52"/>
      <c r="EG28" s="52"/>
      <c r="EH28" s="52"/>
      <c r="EI28" s="52"/>
      <c r="EJ28" s="52"/>
    </row>
    <row r="29" spans="1:140" s="21" customFormat="1" ht="15" hidden="1" customHeight="1">
      <c r="A29" s="81"/>
      <c r="B29" s="81"/>
      <c r="C29" s="185" t="str">
        <f>IF(MasterSheet!$A$1=1,MasterSheet!C171,MasterSheet!B171)</f>
        <v>Ostali republički porezi</v>
      </c>
      <c r="D29" s="186">
        <f>+'Local Government_int'!D29</f>
        <v>0</v>
      </c>
      <c r="E29" s="187">
        <f>+'Local Government_int'!E29</f>
        <v>0</v>
      </c>
      <c r="F29" s="186">
        <f>+'Local Government_int'!F29</f>
        <v>0</v>
      </c>
      <c r="G29" s="187">
        <f>+'Local Government_int'!G29</f>
        <v>0</v>
      </c>
      <c r="H29" s="186">
        <f>+'Local Government_int'!H29</f>
        <v>0</v>
      </c>
      <c r="I29" s="187">
        <f>+'Local Government_int'!I29</f>
        <v>0</v>
      </c>
      <c r="J29" s="186">
        <f>+'Local Government_int'!J29</f>
        <v>0</v>
      </c>
      <c r="K29" s="187">
        <f>+'Local Government_int'!K29</f>
        <v>0</v>
      </c>
      <c r="L29" s="186">
        <f>+'Local Government_int'!L29</f>
        <v>0</v>
      </c>
      <c r="M29" s="187">
        <f>+'Local Government_int'!M29</f>
        <v>0</v>
      </c>
      <c r="N29" s="559">
        <f>+'Local Government_int'!N29</f>
        <v>0</v>
      </c>
      <c r="O29" s="560">
        <f>+'Local Government_int'!O29</f>
        <v>0</v>
      </c>
      <c r="P29" s="282">
        <f>+'Local Government_int'!P29</f>
        <v>7190000</v>
      </c>
      <c r="Q29" s="283">
        <f>+'Local Government_int'!Q29</f>
        <v>0.2283264528421721</v>
      </c>
      <c r="R29" s="282">
        <f>+'Local Government_int'!R29</f>
        <v>0</v>
      </c>
      <c r="S29" s="283">
        <f>+'Local Government_int'!S29</f>
        <v>0</v>
      </c>
      <c r="T29" s="282">
        <f>+'Local Government_int'!T29</f>
        <v>0</v>
      </c>
      <c r="U29" s="284">
        <f>+'Local Government_int'!U29</f>
        <v>0</v>
      </c>
      <c r="V29" s="282">
        <f>+'Local Government_int'!V29</f>
        <v>0</v>
      </c>
      <c r="W29" s="283">
        <f>+'Local Government_int'!W29</f>
        <v>0</v>
      </c>
      <c r="X29" s="84"/>
      <c r="Y29" s="84"/>
      <c r="Z29" s="84"/>
      <c r="AA29" s="84"/>
      <c r="AB29" s="84"/>
      <c r="AC29" s="84"/>
      <c r="AD29" s="84"/>
      <c r="AE29" s="84"/>
      <c r="AF29" s="56"/>
      <c r="AG29" s="56"/>
      <c r="AH29" s="56"/>
      <c r="AI29" s="56"/>
      <c r="AJ29" s="56"/>
      <c r="AK29" s="57"/>
      <c r="AL29" s="57"/>
      <c r="AM29" s="63"/>
      <c r="AN29" s="63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  <c r="DC29" s="57"/>
      <c r="DD29" s="57"/>
      <c r="DE29" s="57"/>
      <c r="DF29" s="57"/>
      <c r="DG29" s="57"/>
      <c r="DH29" s="57"/>
      <c r="DI29" s="57"/>
      <c r="DJ29" s="57"/>
      <c r="DK29" s="57"/>
      <c r="DL29" s="57"/>
      <c r="DM29" s="59"/>
      <c r="DN29" s="59"/>
      <c r="DO29" s="57"/>
      <c r="DP29" s="57"/>
      <c r="DQ29" s="57"/>
      <c r="DR29" s="57"/>
      <c r="DS29" s="57"/>
      <c r="DT29" s="57"/>
      <c r="DU29" s="52"/>
      <c r="DV29" s="52"/>
      <c r="DW29" s="52"/>
      <c r="DX29" s="52"/>
      <c r="DY29" s="52"/>
      <c r="DZ29" s="52"/>
      <c r="EA29" s="52"/>
      <c r="EB29" s="52"/>
      <c r="EC29" s="52"/>
      <c r="ED29" s="52"/>
      <c r="EE29" s="52"/>
      <c r="EF29" s="52"/>
      <c r="EG29" s="52"/>
      <c r="EH29" s="52"/>
      <c r="EI29" s="52"/>
      <c r="EJ29" s="52"/>
    </row>
    <row r="30" spans="1:140" s="21" customFormat="1" ht="15" hidden="1" customHeight="1">
      <c r="A30" s="81"/>
      <c r="B30" s="81"/>
      <c r="C30" s="189" t="str">
        <f>IF(MasterSheet!$A$1=1,MasterSheet!C172,MasterSheet!B172)</f>
        <v>Doprinosi</v>
      </c>
      <c r="D30" s="190">
        <f>+'Local Government_int'!D30</f>
        <v>0</v>
      </c>
      <c r="E30" s="187">
        <f>+'Local Government_int'!E30</f>
        <v>0</v>
      </c>
      <c r="F30" s="190">
        <f>+'Local Government_int'!F30</f>
        <v>0</v>
      </c>
      <c r="G30" s="187">
        <f>+'Local Government_int'!G30</f>
        <v>0</v>
      </c>
      <c r="H30" s="190">
        <f>+'Local Government_int'!H30</f>
        <v>0</v>
      </c>
      <c r="I30" s="187">
        <f>+'Local Government_int'!I30</f>
        <v>0</v>
      </c>
      <c r="J30" s="190">
        <f>+'Local Government_int'!J30</f>
        <v>0</v>
      </c>
      <c r="K30" s="187">
        <f>+'Local Government_int'!K30</f>
        <v>0</v>
      </c>
      <c r="L30" s="190">
        <f>+'Local Government_int'!L30</f>
        <v>0</v>
      </c>
      <c r="M30" s="187">
        <f>+'Local Government_int'!M30</f>
        <v>0</v>
      </c>
      <c r="N30" s="561">
        <f>+'Local Government_int'!N30</f>
        <v>0</v>
      </c>
      <c r="O30" s="560">
        <f>+'Local Government_int'!O30</f>
        <v>0</v>
      </c>
      <c r="P30" s="285">
        <f>+'Local Government_int'!P30</f>
        <v>0</v>
      </c>
      <c r="Q30" s="283">
        <f>+'Local Government_int'!Q30</f>
        <v>0</v>
      </c>
      <c r="R30" s="285">
        <f>+'Local Government_int'!R30</f>
        <v>0</v>
      </c>
      <c r="S30" s="283">
        <f>+'Local Government_int'!S30</f>
        <v>0</v>
      </c>
      <c r="T30" s="285">
        <f>+'Local Government_int'!T30</f>
        <v>0</v>
      </c>
      <c r="U30" s="284">
        <f>+'Local Government_int'!U30</f>
        <v>0</v>
      </c>
      <c r="V30" s="285">
        <f>+'Local Government_int'!V30</f>
        <v>0</v>
      </c>
      <c r="W30" s="283">
        <f>+'Local Government_int'!W30</f>
        <v>0</v>
      </c>
      <c r="X30" s="84"/>
      <c r="Y30" s="84"/>
      <c r="Z30" s="84"/>
      <c r="AA30" s="84"/>
      <c r="AB30" s="84"/>
      <c r="AC30" s="84"/>
      <c r="AD30" s="84"/>
      <c r="AE30" s="84"/>
      <c r="AF30" s="56"/>
      <c r="AG30" s="56"/>
      <c r="AH30" s="56"/>
      <c r="AI30" s="56"/>
      <c r="AJ30" s="56"/>
      <c r="AK30" s="57"/>
      <c r="AL30" s="57"/>
      <c r="AM30" s="149"/>
      <c r="AN30" s="149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  <c r="DB30" s="57"/>
      <c r="DC30" s="57"/>
      <c r="DD30" s="57"/>
      <c r="DE30" s="57"/>
      <c r="DF30" s="57"/>
      <c r="DG30" s="57"/>
      <c r="DH30" s="57"/>
      <c r="DI30" s="57"/>
      <c r="DJ30" s="57"/>
      <c r="DK30" s="57"/>
      <c r="DL30" s="57"/>
      <c r="DM30" s="57"/>
      <c r="DN30" s="57"/>
      <c r="DO30" s="57"/>
      <c r="DP30" s="57"/>
      <c r="DQ30" s="57"/>
      <c r="DR30" s="57"/>
      <c r="DS30" s="57"/>
      <c r="DT30" s="57"/>
      <c r="DU30" s="52"/>
      <c r="DV30" s="52"/>
      <c r="DW30" s="52"/>
      <c r="DX30" s="52"/>
      <c r="DY30" s="52"/>
      <c r="DZ30" s="52"/>
      <c r="EA30" s="52"/>
      <c r="EB30" s="52"/>
      <c r="EC30" s="52"/>
      <c r="ED30" s="52"/>
      <c r="EE30" s="52"/>
      <c r="EF30" s="52"/>
      <c r="EG30" s="52"/>
      <c r="EH30" s="52"/>
      <c r="EI30" s="52"/>
      <c r="EJ30" s="52"/>
    </row>
    <row r="31" spans="1:140" s="21" customFormat="1" ht="15" hidden="1" customHeight="1">
      <c r="A31" s="81"/>
      <c r="B31" s="81"/>
      <c r="C31" s="185" t="str">
        <f>IF(MasterSheet!$A$1=1,MasterSheet!C173,MasterSheet!B173)</f>
        <v>Doprinosi za penzijsko i invalidsko osiguranje</v>
      </c>
      <c r="D31" s="186">
        <f>+'Local Government_int'!D31</f>
        <v>0</v>
      </c>
      <c r="E31" s="187">
        <f>+'Local Government_int'!E31</f>
        <v>0</v>
      </c>
      <c r="F31" s="186">
        <f>+'Local Government_int'!F31</f>
        <v>0</v>
      </c>
      <c r="G31" s="187">
        <f>+'Local Government_int'!G31</f>
        <v>0</v>
      </c>
      <c r="H31" s="186">
        <f>+'Local Government_int'!H31</f>
        <v>0</v>
      </c>
      <c r="I31" s="187">
        <f>+'Local Government_int'!I31</f>
        <v>0</v>
      </c>
      <c r="J31" s="186">
        <f>+'Local Government_int'!J31</f>
        <v>0</v>
      </c>
      <c r="K31" s="187">
        <f>+'Local Government_int'!K31</f>
        <v>0</v>
      </c>
      <c r="L31" s="186">
        <f>+'Local Government_int'!L31</f>
        <v>0</v>
      </c>
      <c r="M31" s="187">
        <f>+'Local Government_int'!M31</f>
        <v>0</v>
      </c>
      <c r="N31" s="559">
        <f>+'Local Government_int'!N31</f>
        <v>0</v>
      </c>
      <c r="O31" s="560">
        <f>+'Local Government_int'!O31</f>
        <v>0</v>
      </c>
      <c r="P31" s="282">
        <f>+'Local Government_int'!P31</f>
        <v>0</v>
      </c>
      <c r="Q31" s="283">
        <f>+'Local Government_int'!Q31</f>
        <v>0</v>
      </c>
      <c r="R31" s="282">
        <f>+'Local Government_int'!R31</f>
        <v>0</v>
      </c>
      <c r="S31" s="283">
        <f>+'Local Government_int'!S31</f>
        <v>0</v>
      </c>
      <c r="T31" s="282">
        <f>+'Local Government_int'!T31</f>
        <v>0</v>
      </c>
      <c r="U31" s="284">
        <f>+'Local Government_int'!U31</f>
        <v>0</v>
      </c>
      <c r="V31" s="282">
        <f>+'Local Government_int'!V31</f>
        <v>0</v>
      </c>
      <c r="W31" s="283">
        <f>+'Local Government_int'!W31</f>
        <v>0</v>
      </c>
      <c r="X31" s="84"/>
      <c r="Y31" s="84"/>
      <c r="Z31" s="84"/>
      <c r="AA31" s="84"/>
      <c r="AB31" s="84"/>
      <c r="AC31" s="84"/>
      <c r="AD31" s="84"/>
      <c r="AE31" s="84"/>
      <c r="AF31" s="56"/>
      <c r="AG31" s="56"/>
      <c r="AH31" s="56"/>
      <c r="AI31" s="56"/>
      <c r="AJ31" s="56"/>
      <c r="AK31" s="57"/>
      <c r="AL31" s="57"/>
      <c r="AM31" s="149"/>
      <c r="AN31" s="149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7"/>
      <c r="DJ31" s="57"/>
      <c r="DK31" s="57"/>
      <c r="DL31" s="57"/>
      <c r="DM31" s="57"/>
      <c r="DN31" s="57"/>
      <c r="DO31" s="57"/>
      <c r="DP31" s="57"/>
      <c r="DQ31" s="57"/>
      <c r="DR31" s="57"/>
      <c r="DS31" s="57"/>
      <c r="DT31" s="57"/>
      <c r="DU31" s="52"/>
      <c r="DV31" s="52"/>
      <c r="DW31" s="52"/>
      <c r="DX31" s="52"/>
      <c r="DY31" s="52"/>
      <c r="DZ31" s="52"/>
      <c r="EA31" s="52"/>
      <c r="EB31" s="52"/>
      <c r="EC31" s="52"/>
      <c r="ED31" s="52"/>
      <c r="EE31" s="52"/>
      <c r="EF31" s="52"/>
      <c r="EG31" s="52"/>
      <c r="EH31" s="52"/>
      <c r="EI31" s="52"/>
      <c r="EJ31" s="52"/>
    </row>
    <row r="32" spans="1:140" s="21" customFormat="1" ht="15" hidden="1" customHeight="1">
      <c r="A32" s="81"/>
      <c r="B32" s="81"/>
      <c r="C32" s="185" t="str">
        <f>IF(MasterSheet!$A$1=1,MasterSheet!C174,MasterSheet!B174)</f>
        <v>Doprinosi za zdravstveno osiguranje</v>
      </c>
      <c r="D32" s="186">
        <f>+'Local Government_int'!D32</f>
        <v>0</v>
      </c>
      <c r="E32" s="187">
        <f>+'Local Government_int'!E32</f>
        <v>0</v>
      </c>
      <c r="F32" s="186">
        <f>+'Local Government_int'!F32</f>
        <v>0</v>
      </c>
      <c r="G32" s="187">
        <f>+'Local Government_int'!G32</f>
        <v>0</v>
      </c>
      <c r="H32" s="186">
        <f>+'Local Government_int'!H32</f>
        <v>0</v>
      </c>
      <c r="I32" s="187">
        <f>+'Local Government_int'!I32</f>
        <v>0</v>
      </c>
      <c r="J32" s="186">
        <f>+'Local Government_int'!J32</f>
        <v>0</v>
      </c>
      <c r="K32" s="187">
        <f>+'Local Government_int'!K32</f>
        <v>0</v>
      </c>
      <c r="L32" s="186">
        <f>+'Local Government_int'!L32</f>
        <v>0</v>
      </c>
      <c r="M32" s="187">
        <f>+'Local Government_int'!M32</f>
        <v>0</v>
      </c>
      <c r="N32" s="559">
        <f>+'Local Government_int'!N32</f>
        <v>0</v>
      </c>
      <c r="O32" s="560">
        <f>+'Local Government_int'!O32</f>
        <v>0</v>
      </c>
      <c r="P32" s="282">
        <f>+'Local Government_int'!P32</f>
        <v>0</v>
      </c>
      <c r="Q32" s="283">
        <f>+'Local Government_int'!Q32</f>
        <v>0</v>
      </c>
      <c r="R32" s="282">
        <f>+'Local Government_int'!R32</f>
        <v>0</v>
      </c>
      <c r="S32" s="283">
        <f>+'Local Government_int'!S32</f>
        <v>0</v>
      </c>
      <c r="T32" s="282">
        <f>+'Local Government_int'!T32</f>
        <v>0</v>
      </c>
      <c r="U32" s="284">
        <f>+'Local Government_int'!U32</f>
        <v>0</v>
      </c>
      <c r="V32" s="282">
        <f>+'Local Government_int'!V32</f>
        <v>0</v>
      </c>
      <c r="W32" s="283">
        <f>+'Local Government_int'!W32</f>
        <v>0</v>
      </c>
      <c r="X32" s="84"/>
      <c r="Y32" s="84"/>
      <c r="Z32" s="84"/>
      <c r="AA32" s="84"/>
      <c r="AB32" s="84"/>
      <c r="AC32" s="84"/>
      <c r="AD32" s="84"/>
      <c r="AE32" s="84"/>
      <c r="AF32" s="56"/>
      <c r="AG32" s="56"/>
      <c r="AH32" s="56"/>
      <c r="AI32" s="56"/>
      <c r="AJ32" s="56"/>
      <c r="AK32" s="57"/>
      <c r="AL32" s="57"/>
      <c r="AM32" s="149"/>
      <c r="AN32" s="149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2"/>
      <c r="DV32" s="52"/>
      <c r="DW32" s="52"/>
      <c r="DX32" s="52"/>
      <c r="DY32" s="52"/>
      <c r="DZ32" s="52"/>
      <c r="EA32" s="52"/>
      <c r="EB32" s="52"/>
      <c r="EC32" s="52"/>
      <c r="ED32" s="52"/>
      <c r="EE32" s="52"/>
      <c r="EF32" s="52"/>
      <c r="EG32" s="52"/>
      <c r="EH32" s="52"/>
      <c r="EI32" s="52"/>
      <c r="EJ32" s="52"/>
    </row>
    <row r="33" spans="1:140" s="21" customFormat="1" ht="15" hidden="1" customHeight="1">
      <c r="A33" s="81"/>
      <c r="B33" s="81"/>
      <c r="C33" s="185" t="str">
        <f>IF(MasterSheet!$A$1=1,MasterSheet!C175,MasterSheet!B175)</f>
        <v>Doprinosi za osiguranje od nezaposlenosti</v>
      </c>
      <c r="D33" s="186">
        <f>+'Local Government_int'!D33</f>
        <v>0</v>
      </c>
      <c r="E33" s="187">
        <f>+'Local Government_int'!E33</f>
        <v>0</v>
      </c>
      <c r="F33" s="186">
        <f>+'Local Government_int'!F33</f>
        <v>0</v>
      </c>
      <c r="G33" s="187">
        <f>+'Local Government_int'!G33</f>
        <v>0</v>
      </c>
      <c r="H33" s="186">
        <f>+'Local Government_int'!H33</f>
        <v>0</v>
      </c>
      <c r="I33" s="187">
        <f>+'Local Government_int'!I33</f>
        <v>0</v>
      </c>
      <c r="J33" s="186">
        <f>+'Local Government_int'!J33</f>
        <v>0</v>
      </c>
      <c r="K33" s="187">
        <f>+'Local Government_int'!K33</f>
        <v>0</v>
      </c>
      <c r="L33" s="186">
        <f>+'Local Government_int'!L33</f>
        <v>0</v>
      </c>
      <c r="M33" s="187">
        <f>+'Local Government_int'!M33</f>
        <v>0</v>
      </c>
      <c r="N33" s="559">
        <f>+'Local Government_int'!N33</f>
        <v>0</v>
      </c>
      <c r="O33" s="560">
        <f>+'Local Government_int'!O33</f>
        <v>0</v>
      </c>
      <c r="P33" s="282">
        <f>+'Local Government_int'!P33</f>
        <v>0</v>
      </c>
      <c r="Q33" s="283">
        <f>+'Local Government_int'!Q33</f>
        <v>0</v>
      </c>
      <c r="R33" s="282">
        <f>+'Local Government_int'!R33</f>
        <v>0</v>
      </c>
      <c r="S33" s="283">
        <f>+'Local Government_int'!S33</f>
        <v>0</v>
      </c>
      <c r="T33" s="282">
        <f>+'Local Government_int'!T33</f>
        <v>0</v>
      </c>
      <c r="U33" s="284">
        <f>+'Local Government_int'!U33</f>
        <v>0</v>
      </c>
      <c r="V33" s="282">
        <f>+'Local Government_int'!V33</f>
        <v>0</v>
      </c>
      <c r="W33" s="283">
        <f>+'Local Government_int'!W33</f>
        <v>0</v>
      </c>
      <c r="X33" s="84"/>
      <c r="Y33" s="84"/>
      <c r="Z33" s="84"/>
      <c r="AA33" s="84"/>
      <c r="AB33" s="84"/>
      <c r="AC33" s="84"/>
      <c r="AD33" s="84"/>
      <c r="AE33" s="84"/>
      <c r="AF33" s="56"/>
      <c r="AG33" s="56"/>
      <c r="AH33" s="56"/>
      <c r="AI33" s="56"/>
      <c r="AJ33" s="56"/>
      <c r="AK33" s="57"/>
      <c r="AL33" s="57"/>
      <c r="AM33" s="149"/>
      <c r="AN33" s="149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  <c r="DU33" s="52"/>
      <c r="DV33" s="52"/>
      <c r="DW33" s="52"/>
      <c r="DX33" s="52"/>
      <c r="DY33" s="52"/>
      <c r="DZ33" s="52"/>
      <c r="EA33" s="52"/>
      <c r="EB33" s="52"/>
      <c r="EC33" s="52"/>
      <c r="ED33" s="52"/>
      <c r="EE33" s="52"/>
      <c r="EF33" s="52"/>
      <c r="EG33" s="52"/>
      <c r="EH33" s="52"/>
      <c r="EI33" s="52"/>
      <c r="EJ33" s="52"/>
    </row>
    <row r="34" spans="1:140" s="21" customFormat="1" ht="15" hidden="1" customHeight="1">
      <c r="A34" s="81"/>
      <c r="B34" s="81"/>
      <c r="C34" s="185" t="str">
        <f>IF(MasterSheet!$A$1=1,MasterSheet!C176,MasterSheet!B176)</f>
        <v>Ostali doprinosi</v>
      </c>
      <c r="D34" s="186">
        <f>+'Local Government_int'!D34</f>
        <v>0</v>
      </c>
      <c r="E34" s="187">
        <f>+'Local Government_int'!E34</f>
        <v>0</v>
      </c>
      <c r="F34" s="186">
        <f>+'Local Government_int'!F34</f>
        <v>0</v>
      </c>
      <c r="G34" s="187">
        <f>+'Local Government_int'!G34</f>
        <v>0</v>
      </c>
      <c r="H34" s="186">
        <f>+'Local Government_int'!H34</f>
        <v>0</v>
      </c>
      <c r="I34" s="187">
        <f>+'Local Government_int'!I34</f>
        <v>0</v>
      </c>
      <c r="J34" s="186">
        <f>+'Local Government_int'!J34</f>
        <v>0</v>
      </c>
      <c r="K34" s="187">
        <f>+'Local Government_int'!K34</f>
        <v>0</v>
      </c>
      <c r="L34" s="186">
        <f>+'Local Government_int'!L34</f>
        <v>0</v>
      </c>
      <c r="M34" s="187">
        <f>+'Local Government_int'!M34</f>
        <v>0</v>
      </c>
      <c r="N34" s="559">
        <f>+'Local Government_int'!N34</f>
        <v>0</v>
      </c>
      <c r="O34" s="560">
        <f>+'Local Government_int'!O34</f>
        <v>0</v>
      </c>
      <c r="P34" s="282">
        <f>+'Local Government_int'!P34</f>
        <v>0</v>
      </c>
      <c r="Q34" s="283">
        <f>+'Local Government_int'!Q34</f>
        <v>0</v>
      </c>
      <c r="R34" s="282">
        <f>+'Local Government_int'!R34</f>
        <v>0</v>
      </c>
      <c r="S34" s="283">
        <f>+'Local Government_int'!S34</f>
        <v>0</v>
      </c>
      <c r="T34" s="282">
        <f>+'Local Government_int'!T34</f>
        <v>0</v>
      </c>
      <c r="U34" s="284">
        <f>+'Local Government_int'!U34</f>
        <v>0</v>
      </c>
      <c r="V34" s="282">
        <f>+'Local Government_int'!V34</f>
        <v>0</v>
      </c>
      <c r="W34" s="283">
        <f>+'Local Government_int'!W34</f>
        <v>0</v>
      </c>
      <c r="X34" s="84"/>
      <c r="Y34" s="84"/>
      <c r="Z34" s="84"/>
      <c r="AA34" s="84"/>
      <c r="AB34" s="84"/>
      <c r="AC34" s="84"/>
      <c r="AD34" s="84"/>
      <c r="AE34" s="84"/>
      <c r="AF34" s="56"/>
      <c r="AG34" s="56"/>
      <c r="AH34" s="56"/>
      <c r="AI34" s="56"/>
      <c r="AJ34" s="56"/>
      <c r="AK34" s="57"/>
      <c r="AL34" s="57"/>
      <c r="AM34" s="149"/>
      <c r="AN34" s="149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7"/>
      <c r="DG34" s="57"/>
      <c r="DH34" s="57"/>
      <c r="DI34" s="57"/>
      <c r="DJ34" s="57"/>
      <c r="DK34" s="57"/>
      <c r="DL34" s="57"/>
      <c r="DM34" s="58"/>
      <c r="DN34" s="58"/>
      <c r="DO34" s="58"/>
      <c r="DP34" s="57"/>
      <c r="DQ34" s="57"/>
      <c r="DR34" s="57"/>
      <c r="DS34" s="57"/>
      <c r="DT34" s="57"/>
      <c r="DU34" s="52"/>
      <c r="DV34" s="52"/>
      <c r="DW34" s="52"/>
      <c r="DX34" s="52"/>
      <c r="DY34" s="52"/>
      <c r="DZ34" s="52"/>
      <c r="EA34" s="52"/>
      <c r="EB34" s="52"/>
      <c r="EC34" s="52"/>
      <c r="ED34" s="52"/>
      <c r="EE34" s="52"/>
      <c r="EF34" s="52"/>
      <c r="EG34" s="52"/>
      <c r="EH34" s="52"/>
      <c r="EI34" s="52"/>
      <c r="EJ34" s="52"/>
    </row>
    <row r="35" spans="1:140" s="21" customFormat="1" ht="15" customHeight="1">
      <c r="A35" s="81"/>
      <c r="B35" s="81"/>
      <c r="C35" s="189" t="str">
        <f>IF(MasterSheet!$A$1=1,MasterSheet!C177,MasterSheet!B177)</f>
        <v>Takse</v>
      </c>
      <c r="D35" s="190">
        <f>+'Local Government_int'!D35</f>
        <v>13516659.34</v>
      </c>
      <c r="E35" s="191">
        <f>+'Local Government_int'!E35</f>
        <v>0.62900364558611388</v>
      </c>
      <c r="F35" s="190">
        <f>+'Local Government_int'!F35</f>
        <v>11921897.530000001</v>
      </c>
      <c r="G35" s="191">
        <f>+'Local Government_int'!G35</f>
        <v>0.44476394441335576</v>
      </c>
      <c r="H35" s="190">
        <f>+'Local Government_int'!H35</f>
        <v>9494851.7763648573</v>
      </c>
      <c r="I35" s="191">
        <f>+'Local Government_int'!I35</f>
        <v>0.30771492663873662</v>
      </c>
      <c r="J35" s="190">
        <f>+'Local Government_int'!J35</f>
        <v>6511851.5600000005</v>
      </c>
      <c r="K35" s="191">
        <f>+'Local Government_int'!K35</f>
        <v>0.21844520496477693</v>
      </c>
      <c r="L35" s="190">
        <f>+'Local Government_int'!L35</f>
        <v>5740000</v>
      </c>
      <c r="M35" s="191">
        <f>+'Local Government_int'!M35</f>
        <v>0.18492268041237112</v>
      </c>
      <c r="N35" s="190">
        <f>+'Local Government_int'!N35</f>
        <v>5969432.7699999996</v>
      </c>
      <c r="O35" s="191">
        <f>+'Local Government_int'!O35</f>
        <v>0.18458357359307356</v>
      </c>
      <c r="P35" s="285">
        <f>+'Local Government_int'!P35</f>
        <v>5497737.2399999993</v>
      </c>
      <c r="Q35" s="286">
        <f>+'Local Government_int'!Q35</f>
        <v>0.17458676532232451</v>
      </c>
      <c r="R35" s="285">
        <f>+'Local Government_int'!R35</f>
        <v>6555364.4814599985</v>
      </c>
      <c r="S35" s="286">
        <f>+'Local Government_int'!S35</f>
        <v>0.18639080129257884</v>
      </c>
      <c r="T35" s="285">
        <f>+'Local Government_int'!T35</f>
        <v>6686471.771089199</v>
      </c>
      <c r="U35" s="287">
        <f>+'Local Government_int'!U35</f>
        <v>0.19011861731843047</v>
      </c>
      <c r="V35" s="285">
        <f>+'Local Government_int'!V35</f>
        <v>131107.28962920047</v>
      </c>
      <c r="W35" s="286">
        <f>+'Local Government_int'!W35</f>
        <v>3.7278160258516213E-3</v>
      </c>
      <c r="X35" s="84"/>
      <c r="Y35" s="84"/>
      <c r="Z35" s="84"/>
      <c r="AA35" s="84"/>
      <c r="AB35" s="84"/>
      <c r="AC35" s="84"/>
      <c r="AD35" s="84"/>
      <c r="AE35" s="84"/>
      <c r="AF35" s="56"/>
      <c r="AG35" s="56"/>
      <c r="AH35" s="56"/>
      <c r="AI35" s="56"/>
      <c r="AJ35" s="56"/>
      <c r="AK35" s="57"/>
      <c r="AL35" s="57"/>
      <c r="AM35" s="63"/>
      <c r="AN35" s="63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8"/>
      <c r="DN35" s="58"/>
      <c r="DO35" s="58"/>
      <c r="DP35" s="57"/>
      <c r="DQ35" s="57"/>
      <c r="DR35" s="57"/>
      <c r="DS35" s="57"/>
      <c r="DT35" s="57"/>
      <c r="DU35" s="52"/>
      <c r="DV35" s="52"/>
      <c r="DW35" s="52"/>
      <c r="DX35" s="52"/>
      <c r="DY35" s="52"/>
      <c r="DZ35" s="52"/>
      <c r="EA35" s="52"/>
      <c r="EB35" s="52"/>
      <c r="EC35" s="52"/>
      <c r="ED35" s="52"/>
      <c r="EE35" s="52"/>
      <c r="EF35" s="52"/>
      <c r="EG35" s="52"/>
      <c r="EH35" s="52"/>
      <c r="EI35" s="52"/>
      <c r="EJ35" s="52"/>
    </row>
    <row r="36" spans="1:140" s="21" customFormat="1" ht="15" customHeight="1">
      <c r="A36" s="81"/>
      <c r="B36" s="81"/>
      <c r="C36" s="185" t="str">
        <f>IF(MasterSheet!$A$1=1,MasterSheet!C178,MasterSheet!B178)</f>
        <v>Administrativne takse</v>
      </c>
      <c r="D36" s="186">
        <f>+'Local Government_int'!D36</f>
        <v>1798181.75</v>
      </c>
      <c r="E36" s="187">
        <f>+'Local Government_int'!E36</f>
        <v>8.3679173065289214E-2</v>
      </c>
      <c r="F36" s="186">
        <f>+'Local Government_int'!F36</f>
        <v>2404445.06</v>
      </c>
      <c r="G36" s="187">
        <f>+'Local Government_int'!G36</f>
        <v>8.9701363924640926E-2</v>
      </c>
      <c r="H36" s="186">
        <f>+'Local Government_int'!H36</f>
        <v>2903476.43878</v>
      </c>
      <c r="I36" s="187">
        <f>+'Local Government_int'!I36</f>
        <v>9.4097628946720246E-2</v>
      </c>
      <c r="J36" s="186">
        <f>+'Local Government_int'!J36</f>
        <v>2581401.35</v>
      </c>
      <c r="K36" s="187">
        <f>+'Local Government_int'!K36</f>
        <v>8.6595147601476019E-2</v>
      </c>
      <c r="L36" s="186">
        <f>+'Local Government_int'!L36</f>
        <v>0</v>
      </c>
      <c r="M36" s="187">
        <f>+'Local Government_int'!M36</f>
        <v>0</v>
      </c>
      <c r="N36" s="186">
        <f>+'Local Government_int'!N36</f>
        <v>2101784.4299999997</v>
      </c>
      <c r="O36" s="187">
        <f>+'Local Government_int'!O36</f>
        <v>6.4990242115027824E-2</v>
      </c>
      <c r="P36" s="282">
        <f>+'Local Government_int'!P36</f>
        <v>1596441.0999999996</v>
      </c>
      <c r="Q36" s="283">
        <f>+'Local Government_int'!Q36</f>
        <v>5.0696764052080012E-2</v>
      </c>
      <c r="R36" s="282">
        <f>+'Local Government_int'!R36</f>
        <v>2038072.2509999997</v>
      </c>
      <c r="S36" s="283">
        <f>+'Local Government_int'!S36</f>
        <v>5.7949168353710542E-2</v>
      </c>
      <c r="T36" s="282">
        <f>+'Local Government_int'!T36</f>
        <v>2078833.6960199997</v>
      </c>
      <c r="U36" s="284">
        <f>+'Local Government_int'!U36</f>
        <v>5.9108151720784756E-2</v>
      </c>
      <c r="V36" s="282">
        <f>+'Local Government_int'!V36</f>
        <v>40761.445019999985</v>
      </c>
      <c r="W36" s="283">
        <f>+'Local Government_int'!W36</f>
        <v>1.1589833670742136E-3</v>
      </c>
      <c r="X36" s="84"/>
      <c r="Y36" s="84"/>
      <c r="Z36" s="84"/>
      <c r="AA36" s="84"/>
      <c r="AB36" s="84"/>
      <c r="AC36" s="84"/>
      <c r="AD36" s="84"/>
      <c r="AE36" s="84"/>
      <c r="AF36" s="56"/>
      <c r="AG36" s="56"/>
      <c r="AH36" s="56"/>
      <c r="AI36" s="56"/>
      <c r="AJ36" s="56"/>
      <c r="AK36" s="57"/>
      <c r="AL36" s="57"/>
      <c r="AM36" s="149"/>
      <c r="AN36" s="149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  <c r="DC36" s="57"/>
      <c r="DD36" s="57"/>
      <c r="DE36" s="57"/>
      <c r="DF36" s="57"/>
      <c r="DG36" s="57"/>
      <c r="DH36" s="57"/>
      <c r="DI36" s="57"/>
      <c r="DJ36" s="57"/>
      <c r="DK36" s="57"/>
      <c r="DL36" s="57"/>
      <c r="DM36" s="58"/>
      <c r="DN36" s="58"/>
      <c r="DO36" s="58"/>
      <c r="DP36" s="57"/>
      <c r="DQ36" s="57"/>
      <c r="DR36" s="57"/>
      <c r="DS36" s="57"/>
      <c r="DT36" s="57"/>
      <c r="DU36" s="52"/>
      <c r="DV36" s="52"/>
      <c r="DW36" s="52"/>
      <c r="DX36" s="52"/>
      <c r="DY36" s="52"/>
      <c r="DZ36" s="52"/>
      <c r="EA36" s="52"/>
      <c r="EB36" s="52"/>
      <c r="EC36" s="52"/>
      <c r="ED36" s="52"/>
      <c r="EE36" s="52"/>
      <c r="EF36" s="52"/>
      <c r="EG36" s="52"/>
      <c r="EH36" s="52"/>
      <c r="EI36" s="52"/>
      <c r="EJ36" s="52"/>
    </row>
    <row r="37" spans="1:140" s="21" customFormat="1" ht="15" hidden="1" customHeight="1">
      <c r="A37" s="81"/>
      <c r="B37" s="81"/>
      <c r="C37" s="185" t="str">
        <f>IF(MasterSheet!$A$1=1,MasterSheet!C179,MasterSheet!B179)</f>
        <v>Sudske takse</v>
      </c>
      <c r="D37" s="186">
        <f>+'Local Government_int'!D37</f>
        <v>0</v>
      </c>
      <c r="E37" s="187">
        <f>+'Local Government_int'!E37</f>
        <v>0</v>
      </c>
      <c r="F37" s="186">
        <f>+'Local Government_int'!F37</f>
        <v>0</v>
      </c>
      <c r="G37" s="187">
        <f>+'Local Government_int'!G37</f>
        <v>0</v>
      </c>
      <c r="H37" s="186">
        <f>+'Local Government_int'!H37</f>
        <v>0</v>
      </c>
      <c r="I37" s="187">
        <f>+'Local Government_int'!I37</f>
        <v>0</v>
      </c>
      <c r="J37" s="186">
        <f>+'Local Government_int'!J37</f>
        <v>0</v>
      </c>
      <c r="K37" s="187">
        <f>+'Local Government_int'!K37</f>
        <v>0</v>
      </c>
      <c r="L37" s="186">
        <f>+'Local Government_int'!L37</f>
        <v>0</v>
      </c>
      <c r="M37" s="187">
        <f>+'Local Government_int'!M37</f>
        <v>0</v>
      </c>
      <c r="N37" s="186">
        <f>+'Local Government_int'!N37</f>
        <v>0</v>
      </c>
      <c r="O37" s="187">
        <f>+'Local Government_int'!O37</f>
        <v>0</v>
      </c>
      <c r="P37" s="282">
        <f>+'Local Government_int'!P37</f>
        <v>0</v>
      </c>
      <c r="Q37" s="283">
        <f>+'Local Government_int'!Q37</f>
        <v>0</v>
      </c>
      <c r="R37" s="282">
        <f>+'Local Government_int'!R37</f>
        <v>0</v>
      </c>
      <c r="S37" s="283">
        <f>+'Local Government_int'!S37</f>
        <v>0</v>
      </c>
      <c r="T37" s="282">
        <f>+'Local Government_int'!T37</f>
        <v>0</v>
      </c>
      <c r="U37" s="284">
        <f>+'Local Government_int'!U37</f>
        <v>0</v>
      </c>
      <c r="V37" s="282">
        <f>+'Local Government_int'!V37</f>
        <v>0</v>
      </c>
      <c r="W37" s="283">
        <f>+'Local Government_int'!W37</f>
        <v>0</v>
      </c>
      <c r="X37" s="84"/>
      <c r="Y37" s="84"/>
      <c r="Z37" s="84"/>
      <c r="AA37" s="84"/>
      <c r="AB37" s="84"/>
      <c r="AC37" s="84"/>
      <c r="AD37" s="84"/>
      <c r="AE37" s="84"/>
      <c r="AF37" s="56"/>
      <c r="AG37" s="56"/>
      <c r="AH37" s="56"/>
      <c r="AI37" s="56"/>
      <c r="AJ37" s="56"/>
      <c r="AK37" s="57"/>
      <c r="AL37" s="57"/>
      <c r="AM37" s="149"/>
      <c r="AN37" s="149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  <c r="DC37" s="57"/>
      <c r="DD37" s="57"/>
      <c r="DE37" s="57"/>
      <c r="DF37" s="57"/>
      <c r="DG37" s="57"/>
      <c r="DH37" s="57"/>
      <c r="DI37" s="57"/>
      <c r="DJ37" s="57"/>
      <c r="DK37" s="57"/>
      <c r="DL37" s="57"/>
      <c r="DM37" s="58"/>
      <c r="DN37" s="58"/>
      <c r="DO37" s="58"/>
      <c r="DP37" s="57"/>
      <c r="DQ37" s="57"/>
      <c r="DR37" s="57"/>
      <c r="DS37" s="57"/>
      <c r="DT37" s="57"/>
      <c r="DU37" s="52"/>
      <c r="DV37" s="52"/>
      <c r="DW37" s="52"/>
      <c r="DX37" s="52"/>
      <c r="DY37" s="52"/>
      <c r="DZ37" s="52"/>
      <c r="EA37" s="52"/>
      <c r="EB37" s="52"/>
      <c r="EC37" s="52"/>
      <c r="ED37" s="52"/>
      <c r="EE37" s="52"/>
      <c r="EF37" s="52"/>
      <c r="EG37" s="52"/>
      <c r="EH37" s="52"/>
      <c r="EI37" s="52"/>
      <c r="EJ37" s="52"/>
    </row>
    <row r="38" spans="1:140" s="21" customFormat="1" ht="15" customHeight="1">
      <c r="A38" s="81"/>
      <c r="B38" s="81"/>
      <c r="C38" s="185" t="str">
        <f>IF(MasterSheet!$A$1=1,MasterSheet!C180,MasterSheet!B180)</f>
        <v>Boravišne takse</v>
      </c>
      <c r="D38" s="186">
        <f>+'Local Government_int'!D38</f>
        <v>1146766.42</v>
      </c>
      <c r="E38" s="187">
        <f>+'Local Government_int'!E38</f>
        <v>5.3365276187817015E-2</v>
      </c>
      <c r="F38" s="186">
        <f>+'Local Government_int'!F38</f>
        <v>207672.39</v>
      </c>
      <c r="G38" s="187">
        <f>+'Local Government_int'!G38</f>
        <v>7.7475243424734198E-3</v>
      </c>
      <c r="H38" s="186">
        <f>+'Local Government_int'!H38</f>
        <v>466559.11714285717</v>
      </c>
      <c r="I38" s="187">
        <f>+'Local Government_int'!I38</f>
        <v>1.5120531408570689E-2</v>
      </c>
      <c r="J38" s="186">
        <f>+'Local Government_int'!J38</f>
        <v>0</v>
      </c>
      <c r="K38" s="187">
        <f>+'Local Government_int'!K38</f>
        <v>0</v>
      </c>
      <c r="L38" s="186">
        <f>+'Local Government_int'!L38</f>
        <v>0</v>
      </c>
      <c r="M38" s="187">
        <f>+'Local Government_int'!M38</f>
        <v>0</v>
      </c>
      <c r="N38" s="186">
        <f>+'Local Government_int'!N38</f>
        <v>0</v>
      </c>
      <c r="O38" s="187">
        <f>+'Local Government_int'!O38</f>
        <v>0</v>
      </c>
      <c r="P38" s="282">
        <f>+'Local Government_int'!P38</f>
        <v>0</v>
      </c>
      <c r="Q38" s="283">
        <f>+'Local Government_int'!Q38</f>
        <v>0</v>
      </c>
      <c r="R38" s="282">
        <f>+'Local Government_int'!R38</f>
        <v>0</v>
      </c>
      <c r="S38" s="283">
        <f>+'Local Government_int'!S38</f>
        <v>0</v>
      </c>
      <c r="T38" s="282">
        <f>+'Local Government_int'!T38</f>
        <v>0</v>
      </c>
      <c r="U38" s="284">
        <f>+'Local Government_int'!U38</f>
        <v>0</v>
      </c>
      <c r="V38" s="282">
        <f>+'Local Government_int'!V38</f>
        <v>0</v>
      </c>
      <c r="W38" s="283">
        <f>+'Local Government_int'!W38</f>
        <v>0</v>
      </c>
      <c r="X38" s="84"/>
      <c r="Y38" s="84"/>
      <c r="Z38" s="84"/>
      <c r="AA38" s="84"/>
      <c r="AB38" s="84"/>
      <c r="AC38" s="84"/>
      <c r="AD38" s="84"/>
      <c r="AE38" s="84"/>
      <c r="AF38" s="56"/>
      <c r="AG38" s="56"/>
      <c r="AH38" s="56"/>
      <c r="AI38" s="56"/>
      <c r="AJ38" s="56"/>
      <c r="AK38" s="57"/>
      <c r="AL38" s="57"/>
      <c r="AM38" s="149"/>
      <c r="AN38" s="149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8"/>
      <c r="DN38" s="58"/>
      <c r="DO38" s="58"/>
      <c r="DP38" s="57"/>
      <c r="DQ38" s="57"/>
      <c r="DR38" s="57"/>
      <c r="DS38" s="57"/>
      <c r="DT38" s="57"/>
      <c r="DU38" s="52"/>
      <c r="DV38" s="52"/>
      <c r="DW38" s="52"/>
      <c r="DX38" s="52"/>
      <c r="DY38" s="52"/>
      <c r="DZ38" s="52"/>
      <c r="EA38" s="52"/>
      <c r="EB38" s="52"/>
      <c r="EC38" s="52"/>
      <c r="ED38" s="52"/>
      <c r="EE38" s="52"/>
      <c r="EF38" s="52"/>
      <c r="EG38" s="52"/>
      <c r="EH38" s="52"/>
      <c r="EI38" s="52"/>
      <c r="EJ38" s="52"/>
    </row>
    <row r="39" spans="1:140" s="21" customFormat="1" ht="15" customHeight="1">
      <c r="A39" s="81"/>
      <c r="B39" s="81"/>
      <c r="C39" s="185" t="str">
        <f>IF(MasterSheet!$A$1=1,MasterSheet!C181,MasterSheet!B181)</f>
        <v>Lokalne komunalne takse</v>
      </c>
      <c r="D39" s="186">
        <f>+'Local Government_int'!D39</f>
        <v>10571711.17</v>
      </c>
      <c r="E39" s="187">
        <f>+'Local Government_int'!E39</f>
        <v>0.49195919633300755</v>
      </c>
      <c r="F39" s="186">
        <f>+'Local Government_int'!F39</f>
        <v>9309780.0800000001</v>
      </c>
      <c r="G39" s="187">
        <f>+'Local Government_int'!G39</f>
        <v>0.34731505614624136</v>
      </c>
      <c r="H39" s="186">
        <f>+'Local Government_int'!H39</f>
        <v>6124816.2204419998</v>
      </c>
      <c r="I39" s="187">
        <f>+'Local Government_int'!I39</f>
        <v>0.19849676628344567</v>
      </c>
      <c r="J39" s="186">
        <f>+'Local Government_int'!J39</f>
        <v>3633774.93</v>
      </c>
      <c r="K39" s="187">
        <f>+'Local Government_int'!K39</f>
        <v>0.12189785072123449</v>
      </c>
      <c r="L39" s="186">
        <f>+'Local Government_int'!L39</f>
        <v>0</v>
      </c>
      <c r="M39" s="187">
        <f>+'Local Government_int'!M39</f>
        <v>0</v>
      </c>
      <c r="N39" s="186">
        <f>+'Local Government_int'!N39</f>
        <v>3619912.75</v>
      </c>
      <c r="O39" s="187">
        <f>+'Local Government_int'!O39</f>
        <v>0.11193298546691405</v>
      </c>
      <c r="P39" s="282">
        <f>+'Local Government_int'!P39</f>
        <v>3653549.09</v>
      </c>
      <c r="Q39" s="283">
        <f>+'Local Government_int'!Q39</f>
        <v>0.11602251794220386</v>
      </c>
      <c r="R39" s="282">
        <f>+'Local Government_int'!R39</f>
        <v>4397690.6871599993</v>
      </c>
      <c r="S39" s="283">
        <f>+'Local Government_int'!S39</f>
        <v>0.12504096352459482</v>
      </c>
      <c r="T39" s="282">
        <f>+'Local Government_int'!T39</f>
        <v>4485644.5009031994</v>
      </c>
      <c r="U39" s="284">
        <f>+'Local Government_int'!U39</f>
        <v>0.12754178279508671</v>
      </c>
      <c r="V39" s="282">
        <f>+'Local Government_int'!V39</f>
        <v>87953.813743200153</v>
      </c>
      <c r="W39" s="283">
        <f>+'Local Government_int'!W39</f>
        <v>2.5008192704918941E-3</v>
      </c>
      <c r="X39" s="84"/>
      <c r="Y39" s="84"/>
      <c r="Z39" s="84"/>
      <c r="AA39" s="84"/>
      <c r="AB39" s="84"/>
      <c r="AC39" s="84"/>
      <c r="AD39" s="84"/>
      <c r="AE39" s="84"/>
      <c r="AF39" s="56"/>
      <c r="AG39" s="56"/>
      <c r="AH39" s="56"/>
      <c r="AI39" s="56"/>
      <c r="AJ39" s="56"/>
      <c r="AK39" s="57"/>
      <c r="AL39" s="57"/>
      <c r="AM39" s="149"/>
      <c r="AN39" s="149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7"/>
      <c r="CO39" s="57"/>
      <c r="CP39" s="57"/>
      <c r="CQ39" s="57"/>
      <c r="CR39" s="57"/>
      <c r="CS39" s="57"/>
      <c r="CT39" s="57"/>
      <c r="CU39" s="57"/>
      <c r="CV39" s="57"/>
      <c r="CW39" s="57"/>
      <c r="CX39" s="57"/>
      <c r="CY39" s="57"/>
      <c r="CZ39" s="57"/>
      <c r="DA39" s="57"/>
      <c r="DB39" s="57"/>
      <c r="DC39" s="57"/>
      <c r="DD39" s="57"/>
      <c r="DE39" s="57"/>
      <c r="DF39" s="57"/>
      <c r="DG39" s="57"/>
      <c r="DH39" s="57"/>
      <c r="DI39" s="57"/>
      <c r="DJ39" s="57"/>
      <c r="DK39" s="57"/>
      <c r="DL39" s="57"/>
      <c r="DM39" s="58"/>
      <c r="DN39" s="58"/>
      <c r="DO39" s="58"/>
      <c r="DP39" s="57"/>
      <c r="DQ39" s="57"/>
      <c r="DR39" s="57"/>
      <c r="DS39" s="57"/>
      <c r="DT39" s="57"/>
      <c r="DU39" s="52"/>
      <c r="DV39" s="52"/>
      <c r="DW39" s="52"/>
      <c r="DX39" s="52"/>
      <c r="DY39" s="52"/>
      <c r="DZ39" s="52"/>
      <c r="EA39" s="52"/>
      <c r="EB39" s="52"/>
      <c r="EC39" s="52"/>
      <c r="ED39" s="52"/>
      <c r="EE39" s="52"/>
      <c r="EF39" s="52"/>
      <c r="EG39" s="52"/>
      <c r="EH39" s="52"/>
      <c r="EI39" s="52"/>
      <c r="EJ39" s="52"/>
    </row>
    <row r="40" spans="1:140" s="21" customFormat="1" ht="15" customHeight="1">
      <c r="A40" s="81"/>
      <c r="B40" s="81"/>
      <c r="C40" s="185" t="str">
        <f>IF(MasterSheet!$A$1=1,MasterSheet!C182,MasterSheet!B182)</f>
        <v>Ostale takse</v>
      </c>
      <c r="D40" s="186">
        <f>+'Local Government_int'!D40</f>
        <v>0</v>
      </c>
      <c r="E40" s="187">
        <f>+'Local Government_int'!E40</f>
        <v>0</v>
      </c>
      <c r="F40" s="186">
        <f>+'Local Government_int'!F40</f>
        <v>0</v>
      </c>
      <c r="G40" s="187">
        <f>+'Local Government_int'!G40</f>
        <v>0</v>
      </c>
      <c r="H40" s="186">
        <f>+'Local Government_int'!H40</f>
        <v>0</v>
      </c>
      <c r="I40" s="187">
        <f>+'Local Government_int'!I40</f>
        <v>0</v>
      </c>
      <c r="J40" s="186">
        <f>+'Local Government_int'!J40</f>
        <v>296675.28000000003</v>
      </c>
      <c r="K40" s="187">
        <f>+'Local Government_int'!K40</f>
        <v>9.9522066420664225E-3</v>
      </c>
      <c r="L40" s="186">
        <f>+'Local Government_int'!L40</f>
        <v>0</v>
      </c>
      <c r="M40" s="187">
        <f>+'Local Government_int'!M40</f>
        <v>0</v>
      </c>
      <c r="N40" s="186">
        <f>+'Local Government_int'!N40</f>
        <v>247735.59</v>
      </c>
      <c r="O40" s="187">
        <f>+'Local Government_int'!O40</f>
        <v>7.6603460111317251E-3</v>
      </c>
      <c r="P40" s="282">
        <f>+'Local Government_int'!P40</f>
        <v>247747.05000000002</v>
      </c>
      <c r="Q40" s="283">
        <f>+'Local Government_int'!Q40</f>
        <v>7.8674833280406482E-3</v>
      </c>
      <c r="R40" s="282">
        <f>+'Local Government_int'!R40</f>
        <v>119601.54329999999</v>
      </c>
      <c r="S40" s="283">
        <f>+'Local Government_int'!S40</f>
        <v>3.4006694142735281E-3</v>
      </c>
      <c r="T40" s="282">
        <f>+'Local Government_int'!T40</f>
        <v>121993.57416599999</v>
      </c>
      <c r="U40" s="284">
        <f>+'Local Government_int'!U40</f>
        <v>3.4686828025589987E-3</v>
      </c>
      <c r="V40" s="282">
        <f>+'Local Government_int'!V40</f>
        <v>2392.030866000001</v>
      </c>
      <c r="W40" s="283">
        <f>+'Local Government_int'!W40</f>
        <v>6.8013388285470631E-5</v>
      </c>
      <c r="X40" s="84"/>
      <c r="Y40" s="84"/>
      <c r="Z40" s="84"/>
      <c r="AA40" s="84"/>
      <c r="AB40" s="84"/>
      <c r="AC40" s="84"/>
      <c r="AD40" s="84"/>
      <c r="AE40" s="84"/>
      <c r="AF40" s="56"/>
      <c r="AG40" s="56"/>
      <c r="AH40" s="56"/>
      <c r="AI40" s="56"/>
      <c r="AJ40" s="56"/>
      <c r="AK40" s="57"/>
      <c r="AL40" s="57"/>
      <c r="AM40" s="149"/>
      <c r="AN40" s="149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8"/>
      <c r="DN40" s="58"/>
      <c r="DO40" s="58"/>
      <c r="DP40" s="57"/>
      <c r="DQ40" s="57"/>
      <c r="DR40" s="57"/>
      <c r="DS40" s="57"/>
      <c r="DT40" s="57"/>
      <c r="DU40" s="52"/>
      <c r="DV40" s="52"/>
      <c r="DW40" s="52"/>
      <c r="DX40" s="52"/>
      <c r="DY40" s="52"/>
      <c r="DZ40" s="52"/>
      <c r="EA40" s="52"/>
      <c r="EB40" s="52"/>
      <c r="EC40" s="52"/>
      <c r="ED40" s="52"/>
      <c r="EE40" s="52"/>
      <c r="EF40" s="52"/>
      <c r="EG40" s="52"/>
      <c r="EH40" s="52"/>
      <c r="EI40" s="52"/>
      <c r="EJ40" s="52"/>
    </row>
    <row r="41" spans="1:140" s="21" customFormat="1" ht="15" customHeight="1">
      <c r="A41" s="81"/>
      <c r="B41" s="81"/>
      <c r="C41" s="189" t="str">
        <f>IF(MasterSheet!$A$1=1,MasterSheet!C183,MasterSheet!B183)</f>
        <v>Naknade</v>
      </c>
      <c r="D41" s="190">
        <f>+'Local Government_int'!D41</f>
        <v>40119518.649999999</v>
      </c>
      <c r="E41" s="191">
        <f>+'Local Government_int'!E41</f>
        <v>1.8669793219786865</v>
      </c>
      <c r="F41" s="190">
        <f>+'Local Government_int'!F41</f>
        <v>99847783.489999995</v>
      </c>
      <c r="G41" s="191">
        <f>+'Local Government_int'!G41</f>
        <v>3.7249686062301808</v>
      </c>
      <c r="H41" s="190">
        <f>+'Local Government_int'!H41</f>
        <v>127519578.22866684</v>
      </c>
      <c r="I41" s="191">
        <f>+'Local Government_int'!I41</f>
        <v>4.1327319882248785</v>
      </c>
      <c r="J41" s="190">
        <f>+'Local Government_int'!J41</f>
        <v>77248621.400000006</v>
      </c>
      <c r="K41" s="191">
        <f>+'Local Government_int'!K41</f>
        <v>2.5913660315330427</v>
      </c>
      <c r="L41" s="190">
        <f>+'Local Government_int'!L41</f>
        <v>74570000</v>
      </c>
      <c r="M41" s="191">
        <f>+'Local Government_int'!M41</f>
        <v>2.4023840206185567</v>
      </c>
      <c r="N41" s="190">
        <f>+'Local Government_int'!N41</f>
        <v>46874546.219999984</v>
      </c>
      <c r="O41" s="191">
        <f>+'Local Government_int'!O41</f>
        <v>1.4494293821892388</v>
      </c>
      <c r="P41" s="285">
        <f>+'Local Government_int'!P41</f>
        <v>61040850.5</v>
      </c>
      <c r="Q41" s="286">
        <f>+'Local Government_int'!Q41</f>
        <v>1.9384201492537314</v>
      </c>
      <c r="R41" s="285">
        <f>+'Local Government_int'!R41</f>
        <v>40298045.890259996</v>
      </c>
      <c r="S41" s="286">
        <f>+'Local Government_int'!S41</f>
        <v>1.1458073895439294</v>
      </c>
      <c r="T41" s="285">
        <f>+'Local Government_int'!T41</f>
        <v>42462406.808065206</v>
      </c>
      <c r="U41" s="287">
        <f>+'Local Government_int'!U41</f>
        <v>1.2073473644601993</v>
      </c>
      <c r="V41" s="285">
        <f>+'Local Government_int'!V41</f>
        <v>2164360.9178052098</v>
      </c>
      <c r="W41" s="286">
        <f>+'Local Government_int'!W41</f>
        <v>6.1539974916269946E-2</v>
      </c>
      <c r="X41" s="84"/>
      <c r="Y41" s="84"/>
      <c r="Z41" s="84"/>
      <c r="AA41" s="84"/>
      <c r="AB41" s="84"/>
      <c r="AC41" s="84"/>
      <c r="AD41" s="84"/>
      <c r="AE41" s="84"/>
      <c r="AF41" s="56"/>
      <c r="AG41" s="56"/>
      <c r="AH41" s="56"/>
      <c r="AI41" s="56"/>
      <c r="AJ41" s="56"/>
      <c r="AK41" s="57"/>
      <c r="AL41" s="57"/>
      <c r="AM41" s="149"/>
      <c r="AN41" s="149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  <c r="DC41" s="57"/>
      <c r="DD41" s="57"/>
      <c r="DE41" s="57"/>
      <c r="DF41" s="57"/>
      <c r="DG41" s="57"/>
      <c r="DH41" s="57"/>
      <c r="DI41" s="57"/>
      <c r="DJ41" s="57"/>
      <c r="DK41" s="57"/>
      <c r="DL41" s="57"/>
      <c r="DM41" s="58"/>
      <c r="DN41" s="58"/>
      <c r="DO41" s="58"/>
      <c r="DP41" s="57"/>
      <c r="DQ41" s="57"/>
      <c r="DR41" s="57"/>
      <c r="DS41" s="57"/>
      <c r="DT41" s="57"/>
      <c r="DU41" s="52"/>
      <c r="DV41" s="52"/>
      <c r="DW41" s="52"/>
      <c r="DX41" s="52"/>
      <c r="DY41" s="52"/>
      <c r="DZ41" s="52"/>
      <c r="EA41" s="52"/>
      <c r="EB41" s="52"/>
      <c r="EC41" s="52"/>
      <c r="ED41" s="52"/>
      <c r="EE41" s="52"/>
      <c r="EF41" s="52"/>
      <c r="EG41" s="52"/>
      <c r="EH41" s="52"/>
      <c r="EI41" s="52"/>
      <c r="EJ41" s="52"/>
    </row>
    <row r="42" spans="1:140" s="21" customFormat="1" ht="15" customHeight="1">
      <c r="A42" s="81"/>
      <c r="B42" s="81"/>
      <c r="C42" s="185" t="str">
        <f>IF(MasterSheet!$A$1=1,MasterSheet!C184,MasterSheet!B184)</f>
        <v>Naknade za korišćenje dobara od opšteg interesa</v>
      </c>
      <c r="D42" s="186">
        <f>+'Local Government_int'!D42</f>
        <v>2499957.5699999998</v>
      </c>
      <c r="E42" s="187">
        <f>+'Local Government_int'!E42</f>
        <v>0.11633661733910373</v>
      </c>
      <c r="F42" s="186">
        <f>+'Local Government_int'!F42</f>
        <v>3939579.5</v>
      </c>
      <c r="G42" s="187">
        <f>+'Local Government_int'!G42</f>
        <v>0.14697181495989556</v>
      </c>
      <c r="H42" s="192">
        <f>+'Local Government_int'!H42</f>
        <v>3794186.827142857</v>
      </c>
      <c r="I42" s="187">
        <f>+'Local Government_int'!I42</f>
        <v>0.12296431252083409</v>
      </c>
      <c r="J42" s="186">
        <f>+'Local Government_int'!J42</f>
        <v>0</v>
      </c>
      <c r="K42" s="187">
        <f>+'Local Government_int'!K42</f>
        <v>0</v>
      </c>
      <c r="L42" s="186">
        <f>+'Local Government_int'!L42</f>
        <v>0</v>
      </c>
      <c r="M42" s="187">
        <f>+'Local Government_int'!M42</f>
        <v>0</v>
      </c>
      <c r="N42" s="186">
        <f>+'Local Government_int'!N42</f>
        <v>0</v>
      </c>
      <c r="O42" s="187">
        <f>+'Local Government_int'!O42</f>
        <v>0</v>
      </c>
      <c r="P42" s="282">
        <f>+'Local Government_int'!P42</f>
        <v>0</v>
      </c>
      <c r="Q42" s="283">
        <f>+'Local Government_int'!Q42</f>
        <v>0</v>
      </c>
      <c r="R42" s="282">
        <f>+'Local Government_int'!R42</f>
        <v>0</v>
      </c>
      <c r="S42" s="283">
        <f>+'Local Government_int'!S42</f>
        <v>0</v>
      </c>
      <c r="T42" s="282">
        <f>+'Local Government_int'!T42</f>
        <v>0</v>
      </c>
      <c r="U42" s="284">
        <f>+'Local Government_int'!U42</f>
        <v>0</v>
      </c>
      <c r="V42" s="282">
        <f>+'Local Government_int'!V42</f>
        <v>0</v>
      </c>
      <c r="W42" s="283">
        <f>+'Local Government_int'!W42</f>
        <v>0</v>
      </c>
      <c r="X42" s="84"/>
      <c r="Y42" s="84"/>
      <c r="Z42" s="84"/>
      <c r="AA42" s="84"/>
      <c r="AB42" s="84"/>
      <c r="AC42" s="84"/>
      <c r="AD42" s="84"/>
      <c r="AE42" s="84"/>
      <c r="AF42" s="56"/>
      <c r="AG42" s="56"/>
      <c r="AH42" s="56"/>
      <c r="AI42" s="56"/>
      <c r="AJ42" s="56"/>
      <c r="AK42" s="57"/>
      <c r="AL42" s="57"/>
      <c r="AM42" s="149"/>
      <c r="AN42" s="149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8"/>
      <c r="DN42" s="58"/>
      <c r="DO42" s="58"/>
      <c r="DP42" s="57"/>
      <c r="DQ42" s="57"/>
      <c r="DR42" s="57"/>
      <c r="DS42" s="57"/>
      <c r="DT42" s="57"/>
      <c r="DU42" s="52"/>
      <c r="DV42" s="52"/>
      <c r="DW42" s="52"/>
      <c r="DX42" s="52"/>
      <c r="DY42" s="52"/>
      <c r="DZ42" s="52"/>
      <c r="EA42" s="52"/>
      <c r="EB42" s="52"/>
      <c r="EC42" s="52"/>
      <c r="ED42" s="52"/>
      <c r="EE42" s="52"/>
      <c r="EF42" s="52"/>
      <c r="EG42" s="52"/>
      <c r="EH42" s="52"/>
      <c r="EI42" s="52"/>
      <c r="EJ42" s="52"/>
    </row>
    <row r="43" spans="1:140" s="21" customFormat="1" ht="15" customHeight="1">
      <c r="A43" s="81"/>
      <c r="B43" s="81"/>
      <c r="C43" s="185" t="str">
        <f>IF(MasterSheet!$A$1=1,MasterSheet!C185,MasterSheet!B185)</f>
        <v>Naknade za korišćenje prirodnih dobara</v>
      </c>
      <c r="D43" s="186">
        <f>+'Local Government_int'!D43</f>
        <v>0</v>
      </c>
      <c r="E43" s="187">
        <f>+'Local Government_int'!E43</f>
        <v>0</v>
      </c>
      <c r="F43" s="186">
        <f>+'Local Government_int'!F43</f>
        <v>0</v>
      </c>
      <c r="G43" s="187">
        <f>+'Local Government_int'!G43</f>
        <v>0</v>
      </c>
      <c r="H43" s="186">
        <f>+'Local Government_int'!H43</f>
        <v>0</v>
      </c>
      <c r="I43" s="187">
        <f>+'Local Government_int'!I43</f>
        <v>0</v>
      </c>
      <c r="J43" s="186">
        <f>+'Local Government_int'!J43</f>
        <v>2033139.12</v>
      </c>
      <c r="K43" s="187">
        <f>+'Local Government_int'!K43</f>
        <v>6.8203257967125133E-2</v>
      </c>
      <c r="L43" s="186">
        <f>+'Local Government_int'!L43</f>
        <v>0</v>
      </c>
      <c r="M43" s="187">
        <f>+'Local Government_int'!M43</f>
        <v>0</v>
      </c>
      <c r="N43" s="186">
        <f>+'Local Government_int'!N43</f>
        <v>3376410.9499999997</v>
      </c>
      <c r="O43" s="187">
        <f>+'Local Government_int'!O43</f>
        <v>0.1044035544217687</v>
      </c>
      <c r="P43" s="282">
        <f>+'Local Government_int'!P43</f>
        <v>4492097.82</v>
      </c>
      <c r="Q43" s="283">
        <f>+'Local Government_int'!Q43</f>
        <v>0.14265156621149572</v>
      </c>
      <c r="R43" s="282">
        <f>+'Local Government_int'!R43</f>
        <v>4839780.8272799999</v>
      </c>
      <c r="S43" s="283">
        <f>+'Local Government_int'!S43</f>
        <v>0.13761105565197612</v>
      </c>
      <c r="T43" s="282">
        <f>+'Local Government_int'!T43</f>
        <v>4936576.4438255997</v>
      </c>
      <c r="U43" s="284">
        <f>+'Local Government_int'!U43</f>
        <v>0.14036327676501562</v>
      </c>
      <c r="V43" s="282">
        <f>+'Local Government_int'!V43</f>
        <v>96795.616545599885</v>
      </c>
      <c r="W43" s="283">
        <f>+'Local Government_int'!W43</f>
        <v>2.7522211130394936E-3</v>
      </c>
      <c r="X43" s="84"/>
      <c r="Y43" s="84"/>
      <c r="Z43" s="84"/>
      <c r="AA43" s="84"/>
      <c r="AB43" s="84"/>
      <c r="AC43" s="84"/>
      <c r="AD43" s="84"/>
      <c r="AE43" s="84"/>
      <c r="AF43" s="56"/>
      <c r="AG43" s="56"/>
      <c r="AH43" s="56"/>
      <c r="AI43" s="56"/>
      <c r="AJ43" s="56"/>
      <c r="AK43" s="57"/>
      <c r="AL43" s="57"/>
      <c r="AM43" s="149"/>
      <c r="AN43" s="149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8"/>
      <c r="DN43" s="58"/>
      <c r="DO43" s="58"/>
      <c r="DP43" s="57"/>
      <c r="DQ43" s="57"/>
      <c r="DR43" s="57"/>
      <c r="DS43" s="57"/>
      <c r="DT43" s="57"/>
      <c r="DU43" s="52"/>
      <c r="DV43" s="52"/>
      <c r="DW43" s="52"/>
      <c r="DX43" s="52"/>
      <c r="DY43" s="52"/>
      <c r="DZ43" s="52"/>
      <c r="EA43" s="52"/>
      <c r="EB43" s="52"/>
      <c r="EC43" s="52"/>
      <c r="ED43" s="52"/>
      <c r="EE43" s="52"/>
      <c r="EF43" s="52"/>
      <c r="EG43" s="52"/>
      <c r="EH43" s="52"/>
      <c r="EI43" s="52"/>
      <c r="EJ43" s="52"/>
    </row>
    <row r="44" spans="1:140" s="21" customFormat="1" ht="15" customHeight="1">
      <c r="A44" s="81"/>
      <c r="B44" s="81"/>
      <c r="C44" s="185" t="str">
        <f>IF(MasterSheet!$A$1=1,MasterSheet!C186,MasterSheet!B186)</f>
        <v>Naknade za komunalno opremanje građevinskog zemljišta</v>
      </c>
      <c r="D44" s="186">
        <f>+'Local Government_int'!D44</f>
        <v>0</v>
      </c>
      <c r="E44" s="187">
        <f>+'Local Government_int'!E44</f>
        <v>0</v>
      </c>
      <c r="F44" s="186">
        <f>+'Local Government_int'!F44</f>
        <v>0</v>
      </c>
      <c r="G44" s="187">
        <f>+'Local Government_int'!G44</f>
        <v>0</v>
      </c>
      <c r="H44" s="186">
        <f>+'Local Government_int'!H44</f>
        <v>0</v>
      </c>
      <c r="I44" s="187">
        <f>+'Local Government_int'!I44</f>
        <v>0</v>
      </c>
      <c r="J44" s="186">
        <f>+'Local Government_int'!J44</f>
        <v>0</v>
      </c>
      <c r="K44" s="187">
        <f>+'Local Government_int'!K44</f>
        <v>0</v>
      </c>
      <c r="L44" s="186">
        <f>+'Local Government_int'!L44</f>
        <v>0</v>
      </c>
      <c r="M44" s="187">
        <f>+'Local Government_int'!M44</f>
        <v>0</v>
      </c>
      <c r="N44" s="186">
        <f>+'Local Government_int'!N44</f>
        <v>34650886.039999984</v>
      </c>
      <c r="O44" s="187">
        <f>+'Local Government_int'!O44</f>
        <v>1.0714559690785399</v>
      </c>
      <c r="P44" s="282">
        <f>+'Local Government_int'!P44</f>
        <v>49545886.130000003</v>
      </c>
      <c r="Q44" s="283">
        <f>+'Local Government_int'!Q44</f>
        <v>1.5733847611940299</v>
      </c>
      <c r="R44" s="282">
        <f>+'Local Government_int'!R44</f>
        <v>28080000</v>
      </c>
      <c r="S44" s="283">
        <f>+'Local Government_int'!S44</f>
        <v>0.7984077338640887</v>
      </c>
      <c r="T44" s="282">
        <f>+'Local Government_int'!T44</f>
        <v>30000000</v>
      </c>
      <c r="U44" s="284">
        <f>+'Local Government_int'!U44</f>
        <v>0.85299971566676136</v>
      </c>
      <c r="V44" s="282">
        <f>+'Local Government_int'!V44</f>
        <v>1920000</v>
      </c>
      <c r="W44" s="283">
        <f>+'Local Government_int'!W44</f>
        <v>5.4591981802672662E-2</v>
      </c>
      <c r="X44" s="84"/>
      <c r="Y44" s="84"/>
      <c r="Z44" s="84"/>
      <c r="AA44" s="84"/>
      <c r="AB44" s="84"/>
      <c r="AC44" s="84"/>
      <c r="AD44" s="84"/>
      <c r="AE44" s="84"/>
      <c r="AF44" s="56"/>
      <c r="AG44" s="56"/>
      <c r="AH44" s="56"/>
      <c r="AI44" s="56"/>
      <c r="AJ44" s="56"/>
      <c r="AK44" s="57"/>
      <c r="AL44" s="57"/>
      <c r="AM44" s="149"/>
      <c r="AN44" s="149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8"/>
      <c r="DN44" s="58"/>
      <c r="DO44" s="58"/>
      <c r="DP44" s="57"/>
      <c r="DQ44" s="57"/>
      <c r="DR44" s="57"/>
      <c r="DS44" s="57"/>
      <c r="DT44" s="57"/>
      <c r="DU44" s="52"/>
      <c r="DV44" s="52"/>
      <c r="DW44" s="52"/>
      <c r="DX44" s="52"/>
      <c r="DY44" s="52"/>
      <c r="DZ44" s="52"/>
      <c r="EA44" s="52"/>
      <c r="EB44" s="52"/>
      <c r="EC44" s="52"/>
      <c r="ED44" s="52"/>
      <c r="EE44" s="52"/>
      <c r="EF44" s="52"/>
      <c r="EG44" s="52"/>
      <c r="EH44" s="52"/>
      <c r="EI44" s="52"/>
      <c r="EJ44" s="52"/>
    </row>
    <row r="45" spans="1:140" s="21" customFormat="1" ht="15" customHeight="1">
      <c r="A45" s="81"/>
      <c r="B45" s="81"/>
      <c r="C45" s="185" t="str">
        <f>IF(MasterSheet!$A$1=1,MasterSheet!C187,MasterSheet!B187)</f>
        <v>Naknade za korišćenje građevinskog zemljišta</v>
      </c>
      <c r="D45" s="186">
        <f>+'Local Government_int'!D45</f>
        <v>7951809.7999999989</v>
      </c>
      <c r="E45" s="187">
        <f>+'Local Government_int'!E45</f>
        <v>0.37004094187723946</v>
      </c>
      <c r="F45" s="186">
        <f>+'Local Government_int'!F45</f>
        <v>15654354.48</v>
      </c>
      <c r="G45" s="187">
        <f>+'Local Government_int'!G45</f>
        <v>0.5840087476217124</v>
      </c>
      <c r="H45" s="186">
        <f>+'Local Government_int'!H45</f>
        <v>29004800</v>
      </c>
      <c r="I45" s="187">
        <f>+'Local Government_int'!I45</f>
        <v>0.9400051853772361</v>
      </c>
      <c r="J45" s="186">
        <f>+'Local Government_int'!J45</f>
        <v>66702761.950000003</v>
      </c>
      <c r="K45" s="187">
        <f>+'Local Government_int'!K45</f>
        <v>2.2375968450184502</v>
      </c>
      <c r="L45" s="186">
        <f>+'Local Government_int'!L45</f>
        <v>0</v>
      </c>
      <c r="M45" s="187">
        <f>+'Local Government_int'!M45</f>
        <v>0</v>
      </c>
      <c r="N45" s="186">
        <f>+'Local Government_int'!N45</f>
        <v>0</v>
      </c>
      <c r="O45" s="187">
        <f>+'Local Government_int'!O45</f>
        <v>0</v>
      </c>
      <c r="P45" s="282">
        <f>+'Local Government_int'!P45</f>
        <v>0</v>
      </c>
      <c r="Q45" s="283">
        <f>+'Local Government_int'!Q45</f>
        <v>0</v>
      </c>
      <c r="R45" s="282">
        <f>+'Local Government_int'!R45</f>
        <v>0</v>
      </c>
      <c r="S45" s="283">
        <f>+'Local Government_int'!S45</f>
        <v>0</v>
      </c>
      <c r="T45" s="282">
        <f>+'Local Government_int'!T45</f>
        <v>0</v>
      </c>
      <c r="U45" s="284">
        <f>+'Local Government_int'!U45</f>
        <v>0</v>
      </c>
      <c r="V45" s="282">
        <f>+'Local Government_int'!V45</f>
        <v>0</v>
      </c>
      <c r="W45" s="283">
        <f>+'Local Government_int'!W45</f>
        <v>0</v>
      </c>
      <c r="X45" s="84"/>
      <c r="Y45" s="84"/>
      <c r="Z45" s="84"/>
      <c r="AA45" s="84"/>
      <c r="AB45" s="84"/>
      <c r="AC45" s="84"/>
      <c r="AD45" s="84"/>
      <c r="AE45" s="84"/>
      <c r="AF45" s="56"/>
      <c r="AG45" s="56"/>
      <c r="AH45" s="56"/>
      <c r="AI45" s="56"/>
      <c r="AJ45" s="56"/>
      <c r="AK45" s="57"/>
      <c r="AL45" s="57"/>
      <c r="AM45" s="63"/>
      <c r="AN45" s="63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E45" s="57"/>
      <c r="DF45" s="57"/>
      <c r="DG45" s="57"/>
      <c r="DH45" s="57"/>
      <c r="DI45" s="57"/>
      <c r="DJ45" s="57"/>
      <c r="DK45" s="57"/>
      <c r="DL45" s="57"/>
      <c r="DM45" s="59"/>
      <c r="DN45" s="59"/>
      <c r="DO45" s="58"/>
      <c r="DP45" s="57"/>
      <c r="DQ45" s="57"/>
      <c r="DR45" s="57"/>
      <c r="DS45" s="57"/>
      <c r="DT45" s="57"/>
      <c r="DU45" s="52"/>
      <c r="DV45" s="52"/>
      <c r="DW45" s="52"/>
      <c r="DX45" s="52"/>
      <c r="DY45" s="52"/>
      <c r="DZ45" s="52"/>
      <c r="EA45" s="52"/>
      <c r="EB45" s="52"/>
      <c r="EC45" s="52"/>
      <c r="ED45" s="52"/>
      <c r="EE45" s="52"/>
      <c r="EF45" s="52"/>
      <c r="EG45" s="52"/>
      <c r="EH45" s="52"/>
      <c r="EI45" s="52"/>
      <c r="EJ45" s="52"/>
    </row>
    <row r="46" spans="1:140" s="21" customFormat="1" ht="15" hidden="1" customHeight="1">
      <c r="A46" s="81"/>
      <c r="B46" s="81"/>
      <c r="C46" s="185" t="str">
        <f>IF(MasterSheet!$A$1=1,MasterSheet!C188,MasterSheet!B188)</f>
        <v>Ekološke naknade</v>
      </c>
      <c r="D46" s="186">
        <f>+'Local Government_int'!D46</f>
        <v>0</v>
      </c>
      <c r="E46" s="187">
        <f>+'Local Government_int'!E46</f>
        <v>0</v>
      </c>
      <c r="F46" s="186">
        <f>+'Local Government_int'!F46</f>
        <v>0</v>
      </c>
      <c r="G46" s="187">
        <f>+'Local Government_int'!G46</f>
        <v>0</v>
      </c>
      <c r="H46" s="186">
        <f>+'Local Government_int'!H46</f>
        <v>0</v>
      </c>
      <c r="I46" s="187">
        <f>+'Local Government_int'!I46</f>
        <v>0</v>
      </c>
      <c r="J46" s="186">
        <f>+'Local Government_int'!J46</f>
        <v>0</v>
      </c>
      <c r="K46" s="187">
        <f>+'Local Government_int'!K46</f>
        <v>0</v>
      </c>
      <c r="L46" s="186">
        <f>+'Local Government_int'!L46</f>
        <v>0</v>
      </c>
      <c r="M46" s="187">
        <f>+'Local Government_int'!M46</f>
        <v>0</v>
      </c>
      <c r="N46" s="186">
        <f>+'Local Government_int'!N46</f>
        <v>0</v>
      </c>
      <c r="O46" s="187">
        <f>+'Local Government_int'!O46</f>
        <v>0</v>
      </c>
      <c r="P46" s="282">
        <f>+'Local Government_int'!P46</f>
        <v>0</v>
      </c>
      <c r="Q46" s="283">
        <f>+'Local Government_int'!Q46</f>
        <v>0</v>
      </c>
      <c r="R46" s="282">
        <f>+'Local Government_int'!R46</f>
        <v>0</v>
      </c>
      <c r="S46" s="283">
        <f>+'Local Government_int'!S46</f>
        <v>0</v>
      </c>
      <c r="T46" s="282">
        <f>+'Local Government_int'!T46</f>
        <v>0</v>
      </c>
      <c r="U46" s="284">
        <f>+'Local Government_int'!U46</f>
        <v>0</v>
      </c>
      <c r="V46" s="282">
        <f>+'Local Government_int'!V46</f>
        <v>0</v>
      </c>
      <c r="W46" s="283">
        <f>+'Local Government_int'!W46</f>
        <v>0</v>
      </c>
      <c r="X46" s="84"/>
      <c r="Y46" s="84"/>
      <c r="Z46" s="84"/>
      <c r="AA46" s="84"/>
      <c r="AB46" s="84"/>
      <c r="AC46" s="84"/>
      <c r="AD46" s="84"/>
      <c r="AE46" s="84"/>
      <c r="AF46" s="56"/>
      <c r="AG46" s="56"/>
      <c r="AH46" s="56"/>
      <c r="AI46" s="56"/>
      <c r="AJ46" s="56"/>
      <c r="AK46" s="57"/>
      <c r="AL46" s="57"/>
      <c r="AM46" s="149"/>
      <c r="AN46" s="149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  <c r="DA46" s="57"/>
      <c r="DB46" s="57"/>
      <c r="DC46" s="57"/>
      <c r="DD46" s="57"/>
      <c r="DE46" s="57"/>
      <c r="DF46" s="57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57"/>
      <c r="DU46" s="52"/>
      <c r="DV46" s="52"/>
      <c r="DW46" s="52"/>
      <c r="DX46" s="52"/>
      <c r="DY46" s="52"/>
      <c r="DZ46" s="52"/>
      <c r="EA46" s="52"/>
      <c r="EB46" s="52"/>
      <c r="EC46" s="52"/>
      <c r="ED46" s="52"/>
      <c r="EE46" s="52"/>
      <c r="EF46" s="52"/>
      <c r="EG46" s="52"/>
      <c r="EH46" s="52"/>
      <c r="EI46" s="52"/>
      <c r="EJ46" s="52"/>
    </row>
    <row r="47" spans="1:140" s="21" customFormat="1" ht="15" hidden="1" customHeight="1">
      <c r="A47" s="81"/>
      <c r="B47" s="81"/>
      <c r="C47" s="185" t="str">
        <f>IF(MasterSheet!$A$1=1,MasterSheet!C189,MasterSheet!B189)</f>
        <v>Naknade za priređivanje igara na sreću</v>
      </c>
      <c r="D47" s="186">
        <f>+'Local Government_int'!D47</f>
        <v>0</v>
      </c>
      <c r="E47" s="187">
        <f>+'Local Government_int'!E47</f>
        <v>0</v>
      </c>
      <c r="F47" s="186">
        <f>+'Local Government_int'!F47</f>
        <v>0</v>
      </c>
      <c r="G47" s="187">
        <f>+'Local Government_int'!G47</f>
        <v>0</v>
      </c>
      <c r="H47" s="186">
        <f>+'Local Government_int'!H47</f>
        <v>0</v>
      </c>
      <c r="I47" s="187">
        <f>+'Local Government_int'!I47</f>
        <v>0</v>
      </c>
      <c r="J47" s="186">
        <f>+'Local Government_int'!J47</f>
        <v>0</v>
      </c>
      <c r="K47" s="187">
        <f>+'Local Government_int'!K47</f>
        <v>0</v>
      </c>
      <c r="L47" s="186">
        <f>+'Local Government_int'!L47</f>
        <v>0</v>
      </c>
      <c r="M47" s="187">
        <f>+'Local Government_int'!M47</f>
        <v>0</v>
      </c>
      <c r="N47" s="186">
        <f>+'Local Government_int'!N47</f>
        <v>0</v>
      </c>
      <c r="O47" s="187">
        <f>+'Local Government_int'!O47</f>
        <v>0</v>
      </c>
      <c r="P47" s="282">
        <f>+'Local Government_int'!P47</f>
        <v>0</v>
      </c>
      <c r="Q47" s="283">
        <f>+'Local Government_int'!Q47</f>
        <v>0</v>
      </c>
      <c r="R47" s="282">
        <f>+'Local Government_int'!R47</f>
        <v>0</v>
      </c>
      <c r="S47" s="283">
        <f>+'Local Government_int'!S47</f>
        <v>0</v>
      </c>
      <c r="T47" s="282">
        <f>+'Local Government_int'!T47</f>
        <v>0</v>
      </c>
      <c r="U47" s="284">
        <f>+'Local Government_int'!U47</f>
        <v>0</v>
      </c>
      <c r="V47" s="282">
        <f>+'Local Government_int'!V47</f>
        <v>0</v>
      </c>
      <c r="W47" s="283">
        <f>+'Local Government_int'!W47</f>
        <v>0</v>
      </c>
      <c r="X47" s="84"/>
      <c r="Y47" s="84"/>
      <c r="Z47" s="84"/>
      <c r="AA47" s="84"/>
      <c r="AB47" s="84"/>
      <c r="AC47" s="84"/>
      <c r="AD47" s="84"/>
      <c r="AE47" s="84"/>
      <c r="AF47" s="56"/>
      <c r="AG47" s="56"/>
      <c r="AH47" s="56"/>
      <c r="AI47" s="56"/>
      <c r="AJ47" s="56"/>
      <c r="AK47" s="57"/>
      <c r="AL47" s="57"/>
      <c r="AM47" s="149"/>
      <c r="AN47" s="149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57"/>
      <c r="DA47" s="57"/>
      <c r="DB47" s="57"/>
      <c r="DC47" s="57"/>
      <c r="DD47" s="57"/>
      <c r="DE47" s="57"/>
      <c r="DF47" s="57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57"/>
      <c r="DU47" s="52"/>
      <c r="DV47" s="52"/>
      <c r="DW47" s="52"/>
      <c r="DX47" s="52"/>
      <c r="DY47" s="52"/>
      <c r="DZ47" s="52"/>
      <c r="EA47" s="52"/>
      <c r="EB47" s="52"/>
      <c r="EC47" s="52"/>
      <c r="ED47" s="52"/>
      <c r="EE47" s="52"/>
      <c r="EF47" s="52"/>
      <c r="EG47" s="52"/>
      <c r="EH47" s="52"/>
      <c r="EI47" s="52"/>
      <c r="EJ47" s="52"/>
    </row>
    <row r="48" spans="1:140" s="21" customFormat="1" ht="15" customHeight="1">
      <c r="A48" s="81"/>
      <c r="B48" s="81"/>
      <c r="C48" s="185" t="str">
        <f>IF(MasterSheet!$A$1=1,MasterSheet!C190,MasterSheet!B190)</f>
        <v>Naknade za lokalne puteve</v>
      </c>
      <c r="D48" s="186">
        <f>+'Local Government_int'!D48</f>
        <v>3161456.88</v>
      </c>
      <c r="E48" s="187">
        <f>+'Local Government_int'!E48</f>
        <v>0.14711977662990366</v>
      </c>
      <c r="F48" s="186">
        <f>+'Local Government_int'!F48</f>
        <v>4842365.18</v>
      </c>
      <c r="G48" s="187">
        <f>+'Local Government_int'!G48</f>
        <v>0.18065156426039916</v>
      </c>
      <c r="H48" s="186">
        <f>+'Local Government_int'!H48</f>
        <v>6135762.9146752004</v>
      </c>
      <c r="I48" s="187">
        <f>+'Local Government_int'!I48</f>
        <v>0.19885153340274825</v>
      </c>
      <c r="J48" s="192">
        <f>+'Local Government_int'!J48</f>
        <v>6749085.1299999999</v>
      </c>
      <c r="K48" s="187">
        <f>+'Local Government_int'!K48</f>
        <v>0.22640339248574301</v>
      </c>
      <c r="L48" s="186">
        <f>+'Local Government_int'!L48</f>
        <v>0</v>
      </c>
      <c r="M48" s="187">
        <f>+'Local Government_int'!M48</f>
        <v>0</v>
      </c>
      <c r="N48" s="186">
        <f>+'Local Government_int'!N48</f>
        <v>2924398.53</v>
      </c>
      <c r="O48" s="187">
        <f>+'Local Government_int'!O48</f>
        <v>9.0426670686456392E-2</v>
      </c>
      <c r="P48" s="282">
        <f>+'Local Government_int'!P48</f>
        <v>2629995.87</v>
      </c>
      <c r="Q48" s="283">
        <f>+'Local Government_int'!Q48</f>
        <v>8.3518446173388369E-2</v>
      </c>
      <c r="R48" s="282">
        <f>+'Local Government_int'!R48</f>
        <v>3833332.3035000004</v>
      </c>
      <c r="S48" s="283">
        <f>+'Local Government_int'!S48</f>
        <v>0.1089943788313904</v>
      </c>
      <c r="T48" s="282">
        <f>+'Local Government_int'!T48</f>
        <v>3909998.9495700006</v>
      </c>
      <c r="U48" s="284">
        <f>+'Local Government_int'!U48</f>
        <v>0.11117426640801821</v>
      </c>
      <c r="V48" s="282">
        <f>+'Local Government_int'!V48</f>
        <v>76666.64607000025</v>
      </c>
      <c r="W48" s="283">
        <f>+'Local Government_int'!W48</f>
        <v>2.1798875766278064E-3</v>
      </c>
      <c r="X48" s="84"/>
      <c r="Y48" s="84"/>
      <c r="Z48" s="84"/>
      <c r="AA48" s="84"/>
      <c r="AB48" s="84"/>
      <c r="AC48" s="84"/>
      <c r="AD48" s="84"/>
      <c r="AE48" s="84"/>
      <c r="AF48" s="56"/>
      <c r="AG48" s="56"/>
      <c r="AH48" s="56"/>
      <c r="AI48" s="56"/>
      <c r="AJ48" s="56"/>
      <c r="AK48" s="57"/>
      <c r="AL48" s="57"/>
      <c r="AM48" s="149"/>
      <c r="AN48" s="149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E48" s="57"/>
      <c r="DF48" s="57"/>
      <c r="DG48" s="57"/>
      <c r="DH48" s="57"/>
      <c r="DI48" s="57"/>
      <c r="DJ48" s="57"/>
      <c r="DK48" s="57"/>
      <c r="DL48" s="57"/>
      <c r="DM48" s="60"/>
      <c r="DN48" s="60"/>
      <c r="DO48" s="60"/>
      <c r="DP48" s="60"/>
      <c r="DQ48" s="60"/>
      <c r="DR48" s="154"/>
      <c r="DS48" s="57"/>
      <c r="DT48" s="57"/>
      <c r="DU48" s="52"/>
      <c r="DV48" s="52"/>
      <c r="DW48" s="52"/>
      <c r="DX48" s="52"/>
      <c r="DY48" s="52"/>
      <c r="DZ48" s="52"/>
      <c r="EA48" s="52"/>
      <c r="EB48" s="52"/>
      <c r="EC48" s="52"/>
      <c r="ED48" s="52"/>
      <c r="EE48" s="52"/>
      <c r="EF48" s="52"/>
      <c r="EG48" s="52"/>
      <c r="EH48" s="52"/>
      <c r="EI48" s="52"/>
      <c r="EJ48" s="52"/>
    </row>
    <row r="49" spans="1:140" s="21" customFormat="1" ht="15" hidden="1" customHeight="1">
      <c r="A49" s="81"/>
      <c r="B49" s="81"/>
      <c r="C49" s="185" t="str">
        <f>IF(MasterSheet!$A$1=1,MasterSheet!C191,MasterSheet!B191)</f>
        <v>Naknada za puteve</v>
      </c>
      <c r="D49" s="186">
        <f>+'Local Government_int'!D49</f>
        <v>0</v>
      </c>
      <c r="E49" s="187">
        <f>+'Local Government_int'!E49</f>
        <v>0</v>
      </c>
      <c r="F49" s="186">
        <f>+'Local Government_int'!F49</f>
        <v>0</v>
      </c>
      <c r="G49" s="187">
        <f>+'Local Government_int'!G49</f>
        <v>0</v>
      </c>
      <c r="H49" s="186">
        <f>+'Local Government_int'!H49</f>
        <v>0</v>
      </c>
      <c r="I49" s="187">
        <f>+'Local Government_int'!I49</f>
        <v>0</v>
      </c>
      <c r="J49" s="186">
        <f>+'Local Government_int'!J49</f>
        <v>0</v>
      </c>
      <c r="K49" s="187">
        <f>+'Local Government_int'!K49</f>
        <v>0</v>
      </c>
      <c r="L49" s="186">
        <f>+'Local Government_int'!L49</f>
        <v>0</v>
      </c>
      <c r="M49" s="187">
        <f>+'Local Government_int'!M49</f>
        <v>0</v>
      </c>
      <c r="N49" s="186">
        <f>+'Local Government_int'!N49</f>
        <v>0</v>
      </c>
      <c r="O49" s="187">
        <f>+'Local Government_int'!O49</f>
        <v>0</v>
      </c>
      <c r="P49" s="282">
        <f>+'Local Government_int'!P49</f>
        <v>0</v>
      </c>
      <c r="Q49" s="283">
        <f>+'Local Government_int'!Q49</f>
        <v>0</v>
      </c>
      <c r="R49" s="282">
        <f>+'Local Government_int'!R49</f>
        <v>0</v>
      </c>
      <c r="S49" s="283">
        <f>+'Local Government_int'!S49</f>
        <v>0</v>
      </c>
      <c r="T49" s="282">
        <f>+'Local Government_int'!T49</f>
        <v>0</v>
      </c>
      <c r="U49" s="284">
        <f>+'Local Government_int'!U49</f>
        <v>0</v>
      </c>
      <c r="V49" s="282">
        <f>+'Local Government_int'!V49</f>
        <v>0</v>
      </c>
      <c r="W49" s="283">
        <f>+'Local Government_int'!W49</f>
        <v>0</v>
      </c>
      <c r="X49" s="84"/>
      <c r="Y49" s="84"/>
      <c r="Z49" s="84"/>
      <c r="AA49" s="84"/>
      <c r="AB49" s="84"/>
      <c r="AC49" s="84"/>
      <c r="AD49" s="84"/>
      <c r="AE49" s="84"/>
      <c r="AF49" s="56"/>
      <c r="AG49" s="56"/>
      <c r="AH49" s="56"/>
      <c r="AI49" s="56"/>
      <c r="AJ49" s="56"/>
      <c r="AK49" s="57"/>
      <c r="AL49" s="57"/>
      <c r="AM49" s="149"/>
      <c r="AN49" s="149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57"/>
      <c r="CB49" s="57"/>
      <c r="CC49" s="57"/>
      <c r="CD49" s="57"/>
      <c r="CE49" s="57"/>
      <c r="CF49" s="57"/>
      <c r="CG49" s="57"/>
      <c r="CH49" s="57"/>
      <c r="CI49" s="57"/>
      <c r="CJ49" s="57"/>
      <c r="CK49" s="57"/>
      <c r="CL49" s="57"/>
      <c r="CM49" s="57"/>
      <c r="CN49" s="57"/>
      <c r="CO49" s="57"/>
      <c r="CP49" s="57"/>
      <c r="CQ49" s="57"/>
      <c r="CR49" s="57"/>
      <c r="CS49" s="57"/>
      <c r="CT49" s="57"/>
      <c r="CU49" s="57"/>
      <c r="CV49" s="57"/>
      <c r="CW49" s="57"/>
      <c r="CX49" s="57"/>
      <c r="CY49" s="57"/>
      <c r="CZ49" s="57"/>
      <c r="DA49" s="57"/>
      <c r="DB49" s="57"/>
      <c r="DC49" s="57"/>
      <c r="DD49" s="57"/>
      <c r="DE49" s="57"/>
      <c r="DF49" s="57"/>
      <c r="DG49" s="57"/>
      <c r="DH49" s="57"/>
      <c r="DI49" s="57"/>
      <c r="DJ49" s="57"/>
      <c r="DK49" s="57"/>
      <c r="DL49" s="57"/>
      <c r="DM49" s="60"/>
      <c r="DN49" s="60"/>
      <c r="DO49" s="61"/>
      <c r="DP49" s="61"/>
      <c r="DQ49" s="62"/>
      <c r="DR49" s="154"/>
      <c r="DS49" s="57"/>
      <c r="DT49" s="57"/>
      <c r="DU49" s="52"/>
      <c r="DV49" s="52"/>
      <c r="DW49" s="52"/>
      <c r="DX49" s="52"/>
      <c r="DY49" s="52"/>
      <c r="DZ49" s="52"/>
      <c r="EA49" s="52"/>
      <c r="EB49" s="52"/>
      <c r="EC49" s="52"/>
      <c r="ED49" s="52"/>
      <c r="EE49" s="52"/>
      <c r="EF49" s="52"/>
      <c r="EG49" s="52"/>
      <c r="EH49" s="52"/>
      <c r="EI49" s="52"/>
      <c r="EJ49" s="52"/>
    </row>
    <row r="50" spans="1:140" s="21" customFormat="1" ht="15" customHeight="1">
      <c r="A50" s="81"/>
      <c r="B50" s="81"/>
      <c r="C50" s="185" t="str">
        <f>IF(MasterSheet!$A$1=1,MasterSheet!C192,MasterSheet!B192)</f>
        <v>Ostale naknade</v>
      </c>
      <c r="D50" s="186">
        <f>+'Local Government_int'!D50</f>
        <v>26506294.399999999</v>
      </c>
      <c r="E50" s="187">
        <f>+'Local Government_int'!E50</f>
        <v>1.2334819861324398</v>
      </c>
      <c r="F50" s="186">
        <f>+'Local Government_int'!F50</f>
        <v>75411484.329999998</v>
      </c>
      <c r="G50" s="187">
        <f>+'Local Government_int'!G50</f>
        <v>2.8133364793881741</v>
      </c>
      <c r="H50" s="186">
        <f>+'Local Government_int'!H50</f>
        <v>88584828.486848786</v>
      </c>
      <c r="I50" s="187">
        <f>+'Local Government_int'!I50</f>
        <v>2.8709109569240594</v>
      </c>
      <c r="J50" s="186">
        <f>+'Local Government_int'!J50</f>
        <v>1763635.2</v>
      </c>
      <c r="K50" s="187">
        <f>+'Local Government_int'!K50</f>
        <v>5.9162536061724245E-2</v>
      </c>
      <c r="L50" s="186">
        <f>+'Local Government_int'!L50</f>
        <v>0</v>
      </c>
      <c r="M50" s="187">
        <f>+'Local Government_int'!M50</f>
        <v>0</v>
      </c>
      <c r="N50" s="186">
        <f>+'Local Government_int'!N50</f>
        <v>5922850.6999999993</v>
      </c>
      <c r="O50" s="187">
        <f>+'Local Government_int'!O50</f>
        <v>0.1831431880024737</v>
      </c>
      <c r="P50" s="282">
        <f>+'Local Government_int'!P50</f>
        <v>4372870.68</v>
      </c>
      <c r="Q50" s="283">
        <f>+'Local Government_int'!Q50</f>
        <v>0.13886537567481741</v>
      </c>
      <c r="R50" s="282">
        <f>+'Local Government_int'!R50</f>
        <v>3544932.7594800009</v>
      </c>
      <c r="S50" s="283">
        <f>+'Local Government_int'!S50</f>
        <v>0.1007942211964743</v>
      </c>
      <c r="T50" s="282">
        <f>+'Local Government_int'!T50</f>
        <v>3615831.4146696012</v>
      </c>
      <c r="U50" s="284">
        <f>+'Local Government_int'!U50</f>
        <v>0.1028101056204038</v>
      </c>
      <c r="V50" s="282">
        <f>+'Local Government_int'!V50</f>
        <v>70898.655189600307</v>
      </c>
      <c r="W50" s="283">
        <f>+'Local Government_int'!W50</f>
        <v>2.0158844239294982E-3</v>
      </c>
      <c r="X50" s="84"/>
      <c r="Y50" s="84"/>
      <c r="Z50" s="84"/>
      <c r="AA50" s="84"/>
      <c r="AB50" s="84"/>
      <c r="AC50" s="84"/>
      <c r="AD50" s="84"/>
      <c r="AE50" s="84"/>
      <c r="AF50" s="56"/>
      <c r="AG50" s="56"/>
      <c r="AH50" s="56"/>
      <c r="AI50" s="56"/>
      <c r="AJ50" s="56"/>
      <c r="AK50" s="57"/>
      <c r="AL50" s="57"/>
      <c r="AM50" s="63"/>
      <c r="AN50" s="63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57"/>
      <c r="CM50" s="57"/>
      <c r="CN50" s="57"/>
      <c r="CO50" s="57"/>
      <c r="CP50" s="57"/>
      <c r="CQ50" s="57"/>
      <c r="CR50" s="57"/>
      <c r="CS50" s="57"/>
      <c r="CT50" s="57"/>
      <c r="CU50" s="57"/>
      <c r="CV50" s="57"/>
      <c r="CW50" s="57"/>
      <c r="CX50" s="57"/>
      <c r="CY50" s="57"/>
      <c r="CZ50" s="57"/>
      <c r="DA50" s="57"/>
      <c r="DB50" s="57"/>
      <c r="DC50" s="57"/>
      <c r="DD50" s="57"/>
      <c r="DE50" s="57"/>
      <c r="DF50" s="57"/>
      <c r="DG50" s="57"/>
      <c r="DH50" s="57"/>
      <c r="DI50" s="57"/>
      <c r="DJ50" s="57"/>
      <c r="DK50" s="57"/>
      <c r="DL50" s="57"/>
      <c r="DM50" s="57"/>
      <c r="DN50" s="57"/>
      <c r="DO50" s="22"/>
      <c r="DP50" s="22"/>
      <c r="DQ50" s="22"/>
      <c r="DR50" s="154"/>
      <c r="DS50" s="57"/>
      <c r="DT50" s="57"/>
      <c r="DU50" s="52"/>
      <c r="DV50" s="52"/>
      <c r="DW50" s="52"/>
      <c r="DX50" s="52"/>
      <c r="DY50" s="52"/>
      <c r="DZ50" s="52"/>
      <c r="EA50" s="52"/>
      <c r="EB50" s="52"/>
      <c r="EC50" s="52"/>
      <c r="ED50" s="52"/>
      <c r="EE50" s="52"/>
      <c r="EF50" s="52"/>
      <c r="EG50" s="52"/>
      <c r="EH50" s="52"/>
      <c r="EI50" s="52"/>
      <c r="EJ50" s="52"/>
    </row>
    <row r="51" spans="1:140" s="21" customFormat="1" ht="15" customHeight="1">
      <c r="A51" s="81"/>
      <c r="B51" s="81"/>
      <c r="C51" s="189" t="str">
        <f>IF(MasterSheet!$A$1=1,MasterSheet!C193,MasterSheet!B193)</f>
        <v>Ostali prihodi</v>
      </c>
      <c r="D51" s="190">
        <f>+'Local Government_int'!D51</f>
        <v>7447067.6299999999</v>
      </c>
      <c r="E51" s="191">
        <f>+'Local Government_int'!E51</f>
        <v>0.34655254455768064</v>
      </c>
      <c r="F51" s="190">
        <f>+'Local Government_int'!F51</f>
        <v>12464344.530000001</v>
      </c>
      <c r="G51" s="191">
        <f>+'Local Government_int'!G51</f>
        <v>0.46500072859541131</v>
      </c>
      <c r="H51" s="190">
        <f>+'Local Government_int'!H51</f>
        <v>21801086.859999999</v>
      </c>
      <c r="I51" s="191">
        <f>+'Local Government_int'!I51</f>
        <v>0.70654287205081667</v>
      </c>
      <c r="J51" s="190">
        <f>+'Local Government_int'!J51</f>
        <v>16720160.26</v>
      </c>
      <c r="K51" s="191">
        <f>+'Local Government_int'!K51</f>
        <v>0.56089098490439449</v>
      </c>
      <c r="L51" s="190">
        <f>+'Local Government_int'!L51</f>
        <v>12230000</v>
      </c>
      <c r="M51" s="191">
        <f>+'Local Government_int'!M51</f>
        <v>0.39400773195876293</v>
      </c>
      <c r="N51" s="190">
        <f>+'Local Government_int'!N51</f>
        <v>12633856.32</v>
      </c>
      <c r="O51" s="191">
        <f>+'Local Government_int'!O51</f>
        <v>0.39065727643784787</v>
      </c>
      <c r="P51" s="285">
        <f>+'Local Government_int'!P51</f>
        <v>13803716.02</v>
      </c>
      <c r="Q51" s="286">
        <f>+'Local Government_int'!Q51</f>
        <v>0.43835236646554465</v>
      </c>
      <c r="R51" s="285">
        <f>+'Local Government_int'!R51</f>
        <v>12647392.644059999</v>
      </c>
      <c r="S51" s="286">
        <f>+'Local Government_int'!S51</f>
        <v>0.35960741097696897</v>
      </c>
      <c r="T51" s="285">
        <f>+'Local Government_int'!T51</f>
        <v>12900340.4969412</v>
      </c>
      <c r="U51" s="287">
        <f>+'Local Government_int'!U51</f>
        <v>0.36679955919650836</v>
      </c>
      <c r="V51" s="285">
        <f>+'Local Government_int'!V51</f>
        <v>252947.85288120061</v>
      </c>
      <c r="W51" s="286">
        <f>+'Local Government_int'!W51</f>
        <v>7.192148219539396E-3</v>
      </c>
      <c r="X51" s="84"/>
      <c r="Y51" s="84"/>
      <c r="Z51" s="84"/>
      <c r="AA51" s="84"/>
      <c r="AB51" s="84"/>
      <c r="AC51" s="84"/>
      <c r="AD51" s="84"/>
      <c r="AE51" s="84"/>
      <c r="AF51" s="56"/>
      <c r="AG51" s="56"/>
      <c r="AH51" s="56"/>
      <c r="AI51" s="56"/>
      <c r="AJ51" s="56"/>
      <c r="AK51" s="57"/>
      <c r="AL51" s="57"/>
      <c r="AM51" s="63"/>
      <c r="AN51" s="63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7"/>
      <c r="CN51" s="57"/>
      <c r="CO51" s="57"/>
      <c r="CP51" s="57"/>
      <c r="CQ51" s="57"/>
      <c r="CR51" s="57"/>
      <c r="CS51" s="57"/>
      <c r="CT51" s="57"/>
      <c r="CU51" s="57"/>
      <c r="CV51" s="57"/>
      <c r="CW51" s="57"/>
      <c r="CX51" s="57"/>
      <c r="CY51" s="57"/>
      <c r="CZ51" s="57"/>
      <c r="DA51" s="57"/>
      <c r="DB51" s="57"/>
      <c r="DC51" s="57"/>
      <c r="DD51" s="57"/>
      <c r="DE51" s="57"/>
      <c r="DF51" s="57"/>
      <c r="DG51" s="57"/>
      <c r="DH51" s="57"/>
      <c r="DI51" s="57"/>
      <c r="DJ51" s="57"/>
      <c r="DK51" s="57"/>
      <c r="DL51" s="57"/>
      <c r="DM51" s="57"/>
      <c r="DN51" s="57"/>
      <c r="DO51" s="22"/>
      <c r="DP51" s="22"/>
      <c r="DQ51" s="22"/>
      <c r="DR51" s="154"/>
      <c r="DS51" s="57"/>
      <c r="DT51" s="57"/>
      <c r="DU51" s="52"/>
      <c r="DV51" s="52"/>
      <c r="DW51" s="52"/>
      <c r="DX51" s="52"/>
      <c r="DY51" s="52"/>
      <c r="DZ51" s="52"/>
      <c r="EA51" s="52"/>
      <c r="EB51" s="52"/>
      <c r="EC51" s="52"/>
      <c r="ED51" s="52"/>
      <c r="EE51" s="52"/>
      <c r="EF51" s="52"/>
      <c r="EG51" s="52"/>
      <c r="EH51" s="52"/>
      <c r="EI51" s="52"/>
      <c r="EJ51" s="52"/>
    </row>
    <row r="52" spans="1:140" s="21" customFormat="1" ht="15" customHeight="1">
      <c r="A52" s="81"/>
      <c r="B52" s="81"/>
      <c r="C52" s="185" t="str">
        <f>IF(MasterSheet!$A$1=1,MasterSheet!C194,MasterSheet!B194)</f>
        <v>Prihodi od kapitala</v>
      </c>
      <c r="D52" s="186">
        <f>+'Local Government_int'!D52</f>
        <v>0</v>
      </c>
      <c r="E52" s="187">
        <f>+'Local Government_int'!E52</f>
        <v>0</v>
      </c>
      <c r="F52" s="186">
        <f>+'Local Government_int'!F52</f>
        <v>0</v>
      </c>
      <c r="G52" s="187">
        <f>+'Local Government_int'!G52</f>
        <v>0</v>
      </c>
      <c r="H52" s="186">
        <f>+'Local Government_int'!H52</f>
        <v>0</v>
      </c>
      <c r="I52" s="187">
        <f>+'Local Government_int'!I52</f>
        <v>0</v>
      </c>
      <c r="J52" s="186">
        <f>+'Local Government_int'!J52</f>
        <v>0</v>
      </c>
      <c r="K52" s="187">
        <f>+'Local Government_int'!K52</f>
        <v>0</v>
      </c>
      <c r="L52" s="186">
        <f>+'Local Government_int'!L52</f>
        <v>0</v>
      </c>
      <c r="M52" s="187">
        <f>+'Local Government_int'!M52</f>
        <v>0</v>
      </c>
      <c r="N52" s="186">
        <f>+'Local Government_int'!N52</f>
        <v>227956.88</v>
      </c>
      <c r="O52" s="187">
        <f>+'Local Government_int'!O52</f>
        <v>7.0487594310451457E-3</v>
      </c>
      <c r="P52" s="282">
        <f>+'Local Government_int'!P52</f>
        <v>284541.62999999995</v>
      </c>
      <c r="Q52" s="283">
        <f>+'Local Government_int'!Q52</f>
        <v>9.0359361702127654E-3</v>
      </c>
      <c r="R52" s="282">
        <f>+'Local Government_int'!R52</f>
        <v>206630.40150000001</v>
      </c>
      <c r="S52" s="283">
        <f>+'Local Government_int'!S52</f>
        <v>5.875189124253625E-3</v>
      </c>
      <c r="T52" s="282">
        <f>+'Local Government_int'!T52</f>
        <v>210763.00953000001</v>
      </c>
      <c r="U52" s="284">
        <f>+'Local Government_int'!U52</f>
        <v>5.992692906738698E-3</v>
      </c>
      <c r="V52" s="282">
        <f>+'Local Government_int'!V52</f>
        <v>4132.6080300000031</v>
      </c>
      <c r="W52" s="283">
        <f>+'Local Government_int'!W52</f>
        <v>1.1750378248507297E-4</v>
      </c>
      <c r="X52" s="84"/>
      <c r="Y52" s="84"/>
      <c r="Z52" s="84"/>
      <c r="AA52" s="84"/>
      <c r="AB52" s="84"/>
      <c r="AC52" s="84"/>
      <c r="AD52" s="84"/>
      <c r="AE52" s="84"/>
      <c r="AF52" s="56"/>
      <c r="AG52" s="56"/>
      <c r="AH52" s="56"/>
      <c r="AI52" s="56"/>
      <c r="AJ52" s="56"/>
      <c r="AK52" s="57"/>
      <c r="AL52" s="57"/>
      <c r="AM52" s="6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/>
      <c r="CK52" s="57"/>
      <c r="CL52" s="57"/>
      <c r="CM52" s="57"/>
      <c r="CN52" s="57"/>
      <c r="CO52" s="57"/>
      <c r="CP52" s="57"/>
      <c r="CQ52" s="57"/>
      <c r="CR52" s="57"/>
      <c r="CS52" s="57"/>
      <c r="CT52" s="57"/>
      <c r="CU52" s="57"/>
      <c r="CV52" s="57"/>
      <c r="CW52" s="57"/>
      <c r="CX52" s="57"/>
      <c r="CY52" s="57"/>
      <c r="CZ52" s="57"/>
      <c r="DA52" s="57"/>
      <c r="DB52" s="57"/>
      <c r="DC52" s="57"/>
      <c r="DD52" s="57"/>
      <c r="DE52" s="57"/>
      <c r="DF52" s="57"/>
      <c r="DG52" s="57"/>
      <c r="DH52" s="57"/>
      <c r="DI52" s="57"/>
      <c r="DJ52" s="57"/>
      <c r="DK52" s="57"/>
      <c r="DL52" s="55"/>
      <c r="DM52" s="55"/>
      <c r="DN52" s="55"/>
      <c r="DO52" s="22"/>
      <c r="DP52" s="22"/>
      <c r="DQ52" s="22"/>
      <c r="DR52" s="154"/>
      <c r="DS52" s="57"/>
      <c r="DT52" s="57"/>
      <c r="DU52" s="52"/>
      <c r="DV52" s="52"/>
      <c r="DW52" s="52"/>
      <c r="DX52" s="52"/>
      <c r="DY52" s="52"/>
      <c r="DZ52" s="52"/>
      <c r="EA52" s="52"/>
      <c r="EB52" s="52"/>
      <c r="EC52" s="52"/>
      <c r="ED52" s="52"/>
      <c r="EE52" s="52"/>
      <c r="EF52" s="52"/>
      <c r="EG52" s="52"/>
      <c r="EH52" s="52"/>
      <c r="EI52" s="52"/>
      <c r="EJ52" s="52"/>
    </row>
    <row r="53" spans="1:140" s="21" customFormat="1" ht="15" customHeight="1">
      <c r="A53" s="81"/>
      <c r="B53" s="81"/>
      <c r="C53" s="185" t="str">
        <f>IF(MasterSheet!$A$1=1,MasterSheet!C195,MasterSheet!B195)</f>
        <v>Novčane kazne i oduzete imovinske koristi</v>
      </c>
      <c r="D53" s="186">
        <f>+'Local Government_int'!D53</f>
        <v>281254.96999999997</v>
      </c>
      <c r="E53" s="187">
        <f>+'Local Government_int'!E53</f>
        <v>1.3088322862860066E-2</v>
      </c>
      <c r="F53" s="186">
        <f>+'Local Government_int'!F53</f>
        <v>1554080.11</v>
      </c>
      <c r="G53" s="187">
        <f>+'Local Government_int'!G53</f>
        <v>5.7977247155381467E-2</v>
      </c>
      <c r="H53" s="186">
        <f>+'Local Government_int'!H53</f>
        <v>695871.25</v>
      </c>
      <c r="I53" s="187">
        <f>+'Local Government_int'!I53</f>
        <v>2.2552218369198858E-2</v>
      </c>
      <c r="J53" s="186">
        <f>+'Local Government_int'!J53</f>
        <v>392915.63</v>
      </c>
      <c r="K53" s="187">
        <f>+'Local Government_int'!K53</f>
        <v>1.3180665213015768E-2</v>
      </c>
      <c r="L53" s="186">
        <f>+'Local Government_int'!L53</f>
        <v>0</v>
      </c>
      <c r="M53" s="187">
        <f>+'Local Government_int'!M53</f>
        <v>0</v>
      </c>
      <c r="N53" s="186">
        <f>+'Local Government_int'!N53</f>
        <v>404453.77</v>
      </c>
      <c r="O53" s="187">
        <f>+'Local Government_int'!O53</f>
        <v>1.2506300865800865E-2</v>
      </c>
      <c r="P53" s="282">
        <f>+'Local Government_int'!P53</f>
        <v>346643.42</v>
      </c>
      <c r="Q53" s="283">
        <f>+'Local Government_int'!Q53</f>
        <v>1.1008047634169578E-2</v>
      </c>
      <c r="R53" s="282">
        <f>+'Local Government_int'!R53</f>
        <v>341090.47656000004</v>
      </c>
      <c r="S53" s="283">
        <f>+'Local Government_int'!S53</f>
        <v>9.6983359840773394E-3</v>
      </c>
      <c r="T53" s="282">
        <f>+'Local Government_int'!T53</f>
        <v>347912.28609120002</v>
      </c>
      <c r="U53" s="284">
        <f>+'Local Government_int'!U53</f>
        <v>9.8923027037588866E-3</v>
      </c>
      <c r="V53" s="282">
        <f>+'Local Government_int'!V53</f>
        <v>6821.8095311999787</v>
      </c>
      <c r="W53" s="283">
        <f>+'Local Government_int'!W53</f>
        <v>1.9396671968154727E-4</v>
      </c>
      <c r="X53" s="84"/>
      <c r="Y53" s="84"/>
      <c r="Z53" s="84"/>
      <c r="AA53" s="84"/>
      <c r="AB53" s="84"/>
      <c r="AC53" s="84"/>
      <c r="AD53" s="84"/>
      <c r="AE53" s="84"/>
      <c r="AF53" s="56"/>
      <c r="AG53" s="56"/>
      <c r="AH53" s="56"/>
      <c r="AI53" s="56"/>
      <c r="AJ53" s="56"/>
      <c r="AK53" s="57"/>
      <c r="AL53" s="57"/>
      <c r="AM53" s="6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57"/>
      <c r="CM53" s="57"/>
      <c r="CN53" s="57"/>
      <c r="CO53" s="57"/>
      <c r="CP53" s="57"/>
      <c r="CQ53" s="57"/>
      <c r="CR53" s="57"/>
      <c r="CS53" s="57"/>
      <c r="CT53" s="57"/>
      <c r="CU53" s="57"/>
      <c r="CV53" s="57"/>
      <c r="CW53" s="57"/>
      <c r="CX53" s="57"/>
      <c r="CY53" s="57"/>
      <c r="CZ53" s="57"/>
      <c r="DA53" s="57"/>
      <c r="DB53" s="57"/>
      <c r="DC53" s="57"/>
      <c r="DD53" s="57"/>
      <c r="DE53" s="57"/>
      <c r="DF53" s="57"/>
      <c r="DG53" s="57"/>
      <c r="DH53" s="57"/>
      <c r="DI53" s="57"/>
      <c r="DJ53" s="57"/>
      <c r="DK53" s="57"/>
      <c r="DL53" s="55"/>
      <c r="DM53" s="55"/>
      <c r="DN53" s="55"/>
      <c r="DO53" s="22"/>
      <c r="DP53" s="22"/>
      <c r="DQ53" s="22"/>
      <c r="DR53" s="154"/>
      <c r="DS53" s="57"/>
      <c r="DT53" s="57"/>
      <c r="DU53" s="52"/>
      <c r="DV53" s="52"/>
      <c r="DW53" s="52"/>
      <c r="DX53" s="52"/>
      <c r="DY53" s="52"/>
      <c r="DZ53" s="52"/>
      <c r="EA53" s="52"/>
      <c r="EB53" s="52"/>
      <c r="EC53" s="52"/>
      <c r="ED53" s="52"/>
      <c r="EE53" s="52"/>
      <c r="EF53" s="52"/>
      <c r="EG53" s="52"/>
      <c r="EH53" s="52"/>
      <c r="EI53" s="52"/>
      <c r="EJ53" s="52"/>
    </row>
    <row r="54" spans="1:140" s="21" customFormat="1" ht="15" customHeight="1">
      <c r="A54" s="81"/>
      <c r="B54" s="81"/>
      <c r="C54" s="185" t="str">
        <f>IF(MasterSheet!$A$1=1,MasterSheet!C196,MasterSheet!B196)</f>
        <v>Prihodi koje organi ostvaruju vršenjem svoje djelatnosti</v>
      </c>
      <c r="D54" s="186">
        <f>+'Local Government_int'!D54</f>
        <v>3468097.74</v>
      </c>
      <c r="E54" s="187">
        <f>+'Local Government_int'!E54</f>
        <v>0.16138944297082228</v>
      </c>
      <c r="F54" s="186">
        <f>+'Local Government_int'!F54</f>
        <v>4793050.37</v>
      </c>
      <c r="G54" s="187">
        <f>+'Local Government_int'!G54</f>
        <v>0.17881180264875957</v>
      </c>
      <c r="H54" s="186">
        <f>+'Local Government_int'!H54</f>
        <v>11158000.25</v>
      </c>
      <c r="I54" s="187">
        <f>+'Local Government_int'!I54</f>
        <v>0.36161525311122639</v>
      </c>
      <c r="J54" s="186">
        <f>+'Local Government_int'!J54</f>
        <v>4234645.05</v>
      </c>
      <c r="K54" s="187">
        <f>+'Local Government_int'!K54</f>
        <v>0.14205451358604496</v>
      </c>
      <c r="L54" s="186">
        <f>+'Local Government_int'!L54</f>
        <v>0</v>
      </c>
      <c r="M54" s="187">
        <f>+'Local Government_int'!M54</f>
        <v>0</v>
      </c>
      <c r="N54" s="186">
        <f>+'Local Government_int'!N54</f>
        <v>4757313.25</v>
      </c>
      <c r="O54" s="187">
        <f>+'Local Government_int'!O54</f>
        <v>0.14710306895485467</v>
      </c>
      <c r="P54" s="282">
        <f>+'Local Government_int'!P54</f>
        <v>4971901.540000001</v>
      </c>
      <c r="Q54" s="283">
        <f>+'Local Government_int'!Q54</f>
        <v>0.15788826738647191</v>
      </c>
      <c r="R54" s="282">
        <f>+'Local Government_int'!R54</f>
        <v>3776144.4806400002</v>
      </c>
      <c r="S54" s="283">
        <f>+'Local Government_int'!S54</f>
        <v>0.1073683389434177</v>
      </c>
      <c r="T54" s="282">
        <f>+'Local Government_int'!T54</f>
        <v>3851667.3702528002</v>
      </c>
      <c r="U54" s="284">
        <f>+'Local Government_int'!U54</f>
        <v>0.10951570572228604</v>
      </c>
      <c r="V54" s="282">
        <f>+'Local Government_int'!V54</f>
        <v>75522.889612799976</v>
      </c>
      <c r="W54" s="283">
        <f>+'Local Government_int'!W54</f>
        <v>2.1473667788683426E-3</v>
      </c>
      <c r="X54" s="81"/>
      <c r="Y54" s="81"/>
      <c r="Z54" s="81"/>
      <c r="AA54" s="81"/>
      <c r="AB54" s="81"/>
      <c r="AC54" s="81"/>
      <c r="AD54" s="81"/>
      <c r="AE54" s="81"/>
      <c r="AF54" s="52"/>
      <c r="AG54" s="52"/>
      <c r="AH54" s="52"/>
      <c r="AI54" s="52"/>
      <c r="AJ54" s="52"/>
      <c r="AK54" s="55"/>
      <c r="AL54" s="57"/>
      <c r="AM54" s="63"/>
      <c r="AN54" s="63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  <c r="CP54" s="57"/>
      <c r="CQ54" s="57"/>
      <c r="CR54" s="57"/>
      <c r="CS54" s="57"/>
      <c r="CT54" s="57"/>
      <c r="CU54" s="57"/>
      <c r="CV54" s="57"/>
      <c r="CW54" s="57"/>
      <c r="CX54" s="57"/>
      <c r="CY54" s="57"/>
      <c r="CZ54" s="57"/>
      <c r="DA54" s="57"/>
      <c r="DB54" s="57"/>
      <c r="DC54" s="57"/>
      <c r="DD54" s="57"/>
      <c r="DE54" s="57"/>
      <c r="DF54" s="57"/>
      <c r="DG54" s="57"/>
      <c r="DH54" s="57"/>
      <c r="DI54" s="57"/>
      <c r="DJ54" s="57"/>
      <c r="DK54" s="57"/>
      <c r="DL54" s="57"/>
      <c r="DM54" s="57"/>
      <c r="DN54" s="57"/>
      <c r="DO54" s="22"/>
      <c r="DP54" s="22"/>
      <c r="DQ54" s="22"/>
      <c r="DR54" s="154"/>
      <c r="DS54" s="57"/>
      <c r="DT54" s="57"/>
      <c r="DU54" s="52"/>
      <c r="DV54" s="52"/>
      <c r="DW54" s="52"/>
      <c r="DX54" s="52"/>
      <c r="DY54" s="52"/>
      <c r="DZ54" s="52"/>
      <c r="EA54" s="52"/>
      <c r="EB54" s="52"/>
      <c r="EC54" s="52"/>
      <c r="ED54" s="52"/>
      <c r="EE54" s="52"/>
      <c r="EF54" s="52"/>
      <c r="EG54" s="52"/>
      <c r="EH54" s="52"/>
      <c r="EI54" s="52"/>
      <c r="EJ54" s="52"/>
    </row>
    <row r="55" spans="1:140" s="21" customFormat="1" ht="15" customHeight="1">
      <c r="A55" s="81"/>
      <c r="B55" s="81"/>
      <c r="C55" s="185" t="str">
        <f>IF(MasterSheet!$A$1=1,MasterSheet!C197,MasterSheet!B197)</f>
        <v>Ostali prihodi</v>
      </c>
      <c r="D55" s="186">
        <f>+'Local Government_int'!D55</f>
        <v>3697714.92</v>
      </c>
      <c r="E55" s="187">
        <f>+'Local Government_int'!E55</f>
        <v>0.17207477872399832</v>
      </c>
      <c r="F55" s="186">
        <f>+'Local Government_int'!F55</f>
        <v>6117214.0500000007</v>
      </c>
      <c r="G55" s="187">
        <f>+'Local Government_int'!G55</f>
        <v>0.22821167879127033</v>
      </c>
      <c r="H55" s="186">
        <f>+'Local Government_int'!H55</f>
        <v>9947215.3599999994</v>
      </c>
      <c r="I55" s="187">
        <f>+'Local Government_int'!I55</f>
        <v>0.32237540057039149</v>
      </c>
      <c r="J55" s="186">
        <f>+'Local Government_int'!J55</f>
        <v>12092599.58</v>
      </c>
      <c r="K55" s="187">
        <f>+'Local Government_int'!K55</f>
        <v>0.4056558061053338</v>
      </c>
      <c r="L55" s="186">
        <f>+'Local Government_int'!L55</f>
        <v>0</v>
      </c>
      <c r="M55" s="187">
        <f>+'Local Government_int'!M55</f>
        <v>0</v>
      </c>
      <c r="N55" s="186">
        <f>+'Local Government_int'!N55</f>
        <v>7244132.419999999</v>
      </c>
      <c r="O55" s="187">
        <f>+'Local Government_int'!O55</f>
        <v>0.22399914718614716</v>
      </c>
      <c r="P55" s="282">
        <f>+'Local Government_int'!P55</f>
        <v>8200629.4299999997</v>
      </c>
      <c r="Q55" s="283">
        <f>+'Local Government_int'!Q55</f>
        <v>0.26042011527469039</v>
      </c>
      <c r="R55" s="282">
        <f>+'Local Government_int'!R55</f>
        <v>8323527.2853599992</v>
      </c>
      <c r="S55" s="283">
        <f>+'Local Government_int'!S55</f>
        <v>0.23666554692522035</v>
      </c>
      <c r="T55" s="282">
        <f>+'Local Government_int'!T55</f>
        <v>8489997.8310671989</v>
      </c>
      <c r="U55" s="284">
        <f>+'Local Government_int'!U55</f>
        <v>0.24139885786372473</v>
      </c>
      <c r="V55" s="282">
        <f>+'Local Government_int'!V55</f>
        <v>166470.54570719972</v>
      </c>
      <c r="W55" s="283">
        <f>+'Local Government_int'!W55</f>
        <v>4.7333109385043759E-3</v>
      </c>
      <c r="X55" s="84"/>
      <c r="Y55" s="84"/>
      <c r="Z55" s="84"/>
      <c r="AA55" s="84"/>
      <c r="AB55" s="84"/>
      <c r="AC55" s="84"/>
      <c r="AD55" s="84"/>
      <c r="AE55" s="84"/>
      <c r="AF55" s="56"/>
      <c r="AG55" s="56"/>
      <c r="AH55" s="56"/>
      <c r="AI55" s="56"/>
      <c r="AJ55" s="56"/>
      <c r="AK55" s="55"/>
      <c r="AL55" s="57"/>
      <c r="AM55" s="155"/>
      <c r="AN55" s="155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7"/>
      <c r="CK55" s="57"/>
      <c r="CL55" s="57"/>
      <c r="CM55" s="57"/>
      <c r="CN55" s="57"/>
      <c r="CO55" s="57"/>
      <c r="CP55" s="57"/>
      <c r="CQ55" s="57"/>
      <c r="CR55" s="57"/>
      <c r="CS55" s="57"/>
      <c r="CT55" s="57"/>
      <c r="CU55" s="57"/>
      <c r="CV55" s="57"/>
      <c r="CW55" s="57"/>
      <c r="CX55" s="57"/>
      <c r="CY55" s="57"/>
      <c r="CZ55" s="57"/>
      <c r="DA55" s="57"/>
      <c r="DB55" s="57"/>
      <c r="DC55" s="57"/>
      <c r="DD55" s="57"/>
      <c r="DE55" s="57"/>
      <c r="DF55" s="57"/>
      <c r="DG55" s="57"/>
      <c r="DH55" s="57"/>
      <c r="DI55" s="57"/>
      <c r="DJ55" s="57"/>
      <c r="DK55" s="57"/>
      <c r="DL55" s="57"/>
      <c r="DM55" s="64"/>
      <c r="DN55" s="64"/>
      <c r="DO55" s="65"/>
      <c r="DP55" s="65"/>
      <c r="DQ55" s="65"/>
      <c r="DR55" s="154"/>
      <c r="DS55" s="57"/>
      <c r="DT55" s="57"/>
      <c r="DU55" s="52"/>
      <c r="DV55" s="52"/>
      <c r="DW55" s="52"/>
      <c r="DX55" s="52"/>
      <c r="DY55" s="52"/>
      <c r="DZ55" s="52"/>
      <c r="EA55" s="52"/>
      <c r="EB55" s="52"/>
      <c r="EC55" s="52"/>
      <c r="ED55" s="52"/>
      <c r="EE55" s="52"/>
      <c r="EF55" s="52"/>
      <c r="EG55" s="52"/>
      <c r="EH55" s="52"/>
      <c r="EI55" s="52"/>
      <c r="EJ55" s="52"/>
    </row>
    <row r="56" spans="1:140" s="21" customFormat="1" ht="15" customHeight="1" thickBot="1">
      <c r="A56" s="81"/>
      <c r="B56" s="81"/>
      <c r="C56" s="189" t="str">
        <f>IF(MasterSheet!$A$1=1,MasterSheet!C198,MasterSheet!B198)</f>
        <v>Primici od otplate kredita i sredstva prenijeta iz prethodne godine</v>
      </c>
      <c r="D56" s="190">
        <f>+'Local Government_int'!D56</f>
        <v>2780504.02</v>
      </c>
      <c r="E56" s="191">
        <f>+'Local Government_int'!E56</f>
        <v>0.12939196891432825</v>
      </c>
      <c r="F56" s="190">
        <f>+'Local Government_int'!F56</f>
        <v>12570110.34</v>
      </c>
      <c r="G56" s="191">
        <f>+'Local Government_int'!G56</f>
        <v>0.46894647789591498</v>
      </c>
      <c r="H56" s="190">
        <f>+'Local Government_int'!H56</f>
        <v>0</v>
      </c>
      <c r="I56" s="191">
        <f>+'Local Government_int'!I56</f>
        <v>0</v>
      </c>
      <c r="J56" s="190">
        <f>+'Local Government_int'!J56</f>
        <v>0</v>
      </c>
      <c r="K56" s="191">
        <f>+'Local Government_int'!K56</f>
        <v>0</v>
      </c>
      <c r="L56" s="190">
        <f>+'Local Government_int'!L56</f>
        <v>0</v>
      </c>
      <c r="M56" s="191">
        <f>+'Local Government_int'!M56</f>
        <v>0</v>
      </c>
      <c r="N56" s="190">
        <f>+'Local Government_int'!N56</f>
        <v>0</v>
      </c>
      <c r="O56" s="191">
        <f>+'Local Government_int'!O56</f>
        <v>0</v>
      </c>
      <c r="P56" s="285">
        <f>+'Local Government_int'!P56</f>
        <v>0</v>
      </c>
      <c r="Q56" s="286">
        <f>+'Local Government_int'!Q56</f>
        <v>0</v>
      </c>
      <c r="R56" s="285">
        <f>+'Local Government_int'!R56</f>
        <v>0</v>
      </c>
      <c r="S56" s="286">
        <f>+'Local Government_int'!S56</f>
        <v>0</v>
      </c>
      <c r="T56" s="285">
        <f>+'Local Government_int'!T56</f>
        <v>0</v>
      </c>
      <c r="U56" s="287">
        <f>+'Local Government_int'!U56</f>
        <v>0</v>
      </c>
      <c r="V56" s="285">
        <f>+'Local Government_int'!V56</f>
        <v>0</v>
      </c>
      <c r="W56" s="286">
        <f>+'Local Government_int'!W56</f>
        <v>0</v>
      </c>
      <c r="X56" s="84"/>
      <c r="Y56" s="84"/>
      <c r="Z56" s="84"/>
      <c r="AA56" s="84"/>
      <c r="AB56" s="84"/>
      <c r="AC56" s="84"/>
      <c r="AD56" s="84"/>
      <c r="AE56" s="84"/>
      <c r="AF56" s="56"/>
      <c r="AG56" s="56"/>
      <c r="AH56" s="56"/>
      <c r="AI56" s="56"/>
      <c r="AJ56" s="56"/>
      <c r="AK56" s="55"/>
      <c r="AL56" s="57"/>
      <c r="AM56" s="156"/>
      <c r="AN56" s="156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/>
      <c r="CK56" s="57"/>
      <c r="CL56" s="57"/>
      <c r="CM56" s="57"/>
      <c r="CN56" s="57"/>
      <c r="CO56" s="57"/>
      <c r="CP56" s="57"/>
      <c r="CQ56" s="57"/>
      <c r="CR56" s="57"/>
      <c r="CS56" s="57"/>
      <c r="CT56" s="57"/>
      <c r="CU56" s="57"/>
      <c r="CV56" s="57"/>
      <c r="CW56" s="57"/>
      <c r="CX56" s="57"/>
      <c r="CY56" s="57"/>
      <c r="CZ56" s="57"/>
      <c r="DA56" s="57"/>
      <c r="DB56" s="57"/>
      <c r="DC56" s="57"/>
      <c r="DD56" s="57"/>
      <c r="DE56" s="57"/>
      <c r="DF56" s="57"/>
      <c r="DG56" s="57"/>
      <c r="DH56" s="57"/>
      <c r="DI56" s="57"/>
      <c r="DJ56" s="57"/>
      <c r="DK56" s="57"/>
      <c r="DL56" s="57"/>
      <c r="DM56" s="57"/>
      <c r="DN56" s="57"/>
      <c r="DO56" s="57"/>
      <c r="DP56" s="57"/>
      <c r="DQ56" s="57"/>
      <c r="DR56" s="57"/>
      <c r="DS56" s="57"/>
      <c r="DT56" s="57"/>
      <c r="DU56" s="52"/>
      <c r="DV56" s="52"/>
      <c r="DW56" s="52"/>
      <c r="DX56" s="52"/>
      <c r="DY56" s="52"/>
      <c r="DZ56" s="52"/>
      <c r="EA56" s="52"/>
      <c r="EB56" s="52"/>
      <c r="EC56" s="52"/>
      <c r="ED56" s="52"/>
      <c r="EE56" s="52"/>
      <c r="EF56" s="52"/>
      <c r="EG56" s="52"/>
      <c r="EH56" s="52"/>
      <c r="EI56" s="52"/>
      <c r="EJ56" s="52"/>
    </row>
    <row r="57" spans="1:140" s="21" customFormat="1" ht="15" hidden="1" customHeight="1" thickTop="1" thickBot="1">
      <c r="A57" s="81"/>
      <c r="B57" s="81"/>
      <c r="C57" s="143" t="str">
        <f>IF(MasterSheet!$A$1=1,MasterSheet!C199,MasterSheet!B199)</f>
        <v>Donacije</v>
      </c>
      <c r="D57" s="141">
        <v>0</v>
      </c>
      <c r="E57" s="142">
        <f t="shared" ref="E57:E59" si="0">+D57/$D$15*100</f>
        <v>0</v>
      </c>
      <c r="F57" s="141">
        <v>0</v>
      </c>
      <c r="G57" s="142">
        <f t="shared" ref="G57:G59" si="1">+F57/$F$15*100</f>
        <v>0</v>
      </c>
      <c r="H57" s="141">
        <v>0</v>
      </c>
      <c r="I57" s="142">
        <f t="shared" ref="I57:I59" si="2">+H57/$H$15*100</f>
        <v>0</v>
      </c>
      <c r="J57" s="141">
        <v>0</v>
      </c>
      <c r="K57" s="142">
        <f t="shared" ref="K57:K59" si="3">+J57/$J$15*100</f>
        <v>0</v>
      </c>
      <c r="L57" s="141">
        <v>0</v>
      </c>
      <c r="M57" s="142">
        <f t="shared" ref="M57:M59" si="4">+L57/$L$15*100</f>
        <v>0</v>
      </c>
      <c r="N57" s="563">
        <v>0</v>
      </c>
      <c r="O57" s="564">
        <f t="shared" ref="O57:O59" si="5">+N57/$N$15*100</f>
        <v>0</v>
      </c>
      <c r="P57" s="288"/>
      <c r="Q57" s="289">
        <f t="shared" ref="Q57:Q59" si="6">+P57/$P$15*100</f>
        <v>0</v>
      </c>
      <c r="R57" s="288"/>
      <c r="S57" s="289">
        <f t="shared" ref="S57:S59" si="7">+R57/$R$15*100</f>
        <v>0</v>
      </c>
      <c r="T57" s="288"/>
      <c r="U57" s="290">
        <f t="shared" ref="U57:U59" si="8">+T57/$T$15*100</f>
        <v>0</v>
      </c>
      <c r="V57" s="288"/>
      <c r="W57" s="289" t="e">
        <f t="shared" ref="W57:W59" si="9">+V57/$V$15*100</f>
        <v>#DIV/0!</v>
      </c>
      <c r="X57" s="84"/>
      <c r="Y57" s="84"/>
      <c r="Z57" s="84"/>
      <c r="AA57" s="84"/>
      <c r="AB57" s="84"/>
      <c r="AC57" s="84"/>
      <c r="AD57" s="84"/>
      <c r="AE57" s="84"/>
      <c r="AF57" s="56"/>
      <c r="AG57" s="56"/>
      <c r="AH57" s="56"/>
      <c r="AI57" s="56"/>
      <c r="AJ57" s="56"/>
      <c r="AK57" s="55"/>
      <c r="AL57" s="57"/>
      <c r="AM57" s="156"/>
      <c r="AN57" s="156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57"/>
      <c r="BY57" s="57"/>
      <c r="BZ57" s="57"/>
      <c r="CA57" s="57"/>
      <c r="CB57" s="57"/>
      <c r="CC57" s="57"/>
      <c r="CD57" s="57"/>
      <c r="CE57" s="57"/>
      <c r="CF57" s="57"/>
      <c r="CG57" s="57"/>
      <c r="CH57" s="57"/>
      <c r="CI57" s="57"/>
      <c r="CJ57" s="57"/>
      <c r="CK57" s="57"/>
      <c r="CL57" s="57"/>
      <c r="CM57" s="57"/>
      <c r="CN57" s="57"/>
      <c r="CO57" s="57"/>
      <c r="CP57" s="57"/>
      <c r="CQ57" s="57"/>
      <c r="CR57" s="57"/>
      <c r="CS57" s="57"/>
      <c r="CT57" s="57"/>
      <c r="CU57" s="57"/>
      <c r="CV57" s="57"/>
      <c r="CW57" s="57"/>
      <c r="CX57" s="57"/>
      <c r="CY57" s="57"/>
      <c r="CZ57" s="57"/>
      <c r="DA57" s="57"/>
      <c r="DB57" s="57"/>
      <c r="DC57" s="57"/>
      <c r="DD57" s="57"/>
      <c r="DE57" s="57"/>
      <c r="DF57" s="57"/>
      <c r="DG57" s="57"/>
      <c r="DH57" s="57"/>
      <c r="DI57" s="57"/>
      <c r="DJ57" s="57"/>
      <c r="DK57" s="57"/>
      <c r="DL57" s="57"/>
      <c r="DM57" s="57"/>
      <c r="DN57" s="57"/>
      <c r="DO57" s="57"/>
      <c r="DP57" s="22"/>
      <c r="DQ57" s="57"/>
      <c r="DR57" s="57"/>
      <c r="DS57" s="57"/>
      <c r="DT57" s="57"/>
      <c r="DU57" s="52"/>
      <c r="DV57" s="52"/>
      <c r="DW57" s="52"/>
      <c r="DX57" s="52"/>
      <c r="DY57" s="52"/>
      <c r="DZ57" s="52"/>
      <c r="EA57" s="52"/>
      <c r="EB57" s="52"/>
      <c r="EC57" s="52"/>
      <c r="ED57" s="52"/>
      <c r="EE57" s="52"/>
      <c r="EF57" s="52"/>
      <c r="EG57" s="52"/>
      <c r="EH57" s="52"/>
      <c r="EI57" s="52"/>
      <c r="EJ57" s="52"/>
    </row>
    <row r="58" spans="1:140" s="21" customFormat="1" ht="15" customHeight="1" thickTop="1" thickBot="1">
      <c r="A58" s="81"/>
      <c r="B58" s="81"/>
      <c r="C58" s="176" t="str">
        <f>IF(MasterSheet!$A$1=1,MasterSheet!C200,MasterSheet!B200)</f>
        <v>Izdaci</v>
      </c>
      <c r="D58" s="177">
        <f>+D60+D74+D80+D86+D87+D88++D89</f>
        <v>122152514.3198</v>
      </c>
      <c r="E58" s="170">
        <f t="shared" si="0"/>
        <v>5.6844206021592445</v>
      </c>
      <c r="F58" s="177">
        <f>+F60+F74+F80+F86+F87+F88++F89</f>
        <v>210021333.29000002</v>
      </c>
      <c r="G58" s="170">
        <f t="shared" si="1"/>
        <v>7.8351551311322529</v>
      </c>
      <c r="H58" s="177">
        <f>+H60+H74+H80+H86+H87+H88++H89</f>
        <v>286758914.61149997</v>
      </c>
      <c r="I58" s="170">
        <f t="shared" si="2"/>
        <v>9.2934571756384496</v>
      </c>
      <c r="J58" s="177">
        <f>+J60+J74+J80+J86+J87+J88++J89</f>
        <v>222677512.22999999</v>
      </c>
      <c r="K58" s="170">
        <f t="shared" si="3"/>
        <v>7.4698930637370005</v>
      </c>
      <c r="L58" s="177">
        <f>+L60+L74+L80+L86+L87+L88++L89</f>
        <v>213712969.94999999</v>
      </c>
      <c r="M58" s="170">
        <f t="shared" si="4"/>
        <v>6.8850827947809279</v>
      </c>
      <c r="N58" s="177">
        <f>+N60+N74+N80+N86+N87+N88++N89</f>
        <v>143305610.81</v>
      </c>
      <c r="O58" s="170">
        <f t="shared" si="5"/>
        <v>4.4312186397649969</v>
      </c>
      <c r="P58" s="291">
        <f>+P60+P74+P80+P86+P87+P88++P89</f>
        <v>149031925.75000003</v>
      </c>
      <c r="Q58" s="277">
        <f t="shared" si="6"/>
        <v>4.732674682438871</v>
      </c>
      <c r="R58" s="291">
        <f>+R60+R74+R80+R86+R87+R88++R89</f>
        <v>118898705.62599</v>
      </c>
      <c r="S58" s="277">
        <f t="shared" si="7"/>
        <v>3.3806854030705145</v>
      </c>
      <c r="T58" s="276">
        <f>+T60+T74+T80+T86+T87+T88++T89</f>
        <v>122676679.73850982</v>
      </c>
      <c r="U58" s="278">
        <f t="shared" si="8"/>
        <v>3.488105764529708</v>
      </c>
      <c r="V58" s="276">
        <f>+V60+V74+V80+V86+V87+V88++V89</f>
        <v>3777974.1125197983</v>
      </c>
      <c r="W58" s="277" t="e">
        <f t="shared" si="9"/>
        <v>#DIV/0!</v>
      </c>
      <c r="X58" s="84"/>
      <c r="Y58" s="84"/>
      <c r="Z58" s="84"/>
      <c r="AA58" s="84"/>
      <c r="AB58" s="84"/>
      <c r="AC58" s="84"/>
      <c r="AD58" s="84"/>
      <c r="AE58" s="84"/>
      <c r="AF58" s="56"/>
      <c r="AG58" s="56"/>
      <c r="AH58" s="56"/>
      <c r="AI58" s="56"/>
      <c r="AJ58" s="56"/>
      <c r="AK58" s="55"/>
      <c r="AL58" s="57"/>
      <c r="AM58" s="156"/>
      <c r="AN58" s="156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57"/>
      <c r="BY58" s="57"/>
      <c r="BZ58" s="57"/>
      <c r="CA58" s="57"/>
      <c r="CB58" s="57"/>
      <c r="CC58" s="57"/>
      <c r="CD58" s="57"/>
      <c r="CE58" s="57"/>
      <c r="CF58" s="57"/>
      <c r="CG58" s="57"/>
      <c r="CH58" s="57"/>
      <c r="CI58" s="57"/>
      <c r="CJ58" s="57"/>
      <c r="CK58" s="57"/>
      <c r="CL58" s="57"/>
      <c r="CM58" s="57"/>
      <c r="CN58" s="57"/>
      <c r="CO58" s="57"/>
      <c r="CP58" s="57"/>
      <c r="CQ58" s="57"/>
      <c r="CR58" s="57"/>
      <c r="CS58" s="57"/>
      <c r="CT58" s="57"/>
      <c r="CU58" s="57"/>
      <c r="CV58" s="57"/>
      <c r="CW58" s="57"/>
      <c r="CX58" s="57"/>
      <c r="CY58" s="57"/>
      <c r="CZ58" s="57"/>
      <c r="DA58" s="57"/>
      <c r="DB58" s="57"/>
      <c r="DC58" s="57"/>
      <c r="DD58" s="57"/>
      <c r="DE58" s="57"/>
      <c r="DF58" s="57"/>
      <c r="DG58" s="57"/>
      <c r="DH58" s="57"/>
      <c r="DI58" s="57"/>
      <c r="DJ58" s="57"/>
      <c r="DK58" s="57"/>
      <c r="DL58" s="57"/>
      <c r="DM58" s="57"/>
      <c r="DN58" s="57"/>
      <c r="DO58" s="57"/>
      <c r="DP58" s="57"/>
      <c r="DQ58" s="57"/>
      <c r="DR58" s="57"/>
      <c r="DS58" s="57"/>
      <c r="DT58" s="57"/>
      <c r="DU58" s="52"/>
      <c r="DV58" s="52"/>
      <c r="DW58" s="52"/>
      <c r="DX58" s="52"/>
      <c r="DY58" s="52"/>
      <c r="DZ58" s="52"/>
      <c r="EA58" s="52"/>
      <c r="EB58" s="52"/>
      <c r="EC58" s="52"/>
      <c r="ED58" s="52"/>
      <c r="EE58" s="52"/>
      <c r="EF58" s="52"/>
      <c r="EG58" s="52"/>
      <c r="EH58" s="52"/>
      <c r="EI58" s="52"/>
      <c r="EJ58" s="52"/>
    </row>
    <row r="59" spans="1:140" s="21" customFormat="1" ht="15" customHeight="1" thickTop="1" thickBot="1">
      <c r="A59" s="81"/>
      <c r="B59" s="81"/>
      <c r="C59" s="178" t="str">
        <f>IF(MasterSheet!$A$1=1,MasterSheet!C201,MasterSheet!B201)</f>
        <v>Tekuća potrošnja lokalne samouprave</v>
      </c>
      <c r="D59" s="179">
        <f>+D58-D86</f>
        <v>65241030.659800008</v>
      </c>
      <c r="E59" s="170">
        <f t="shared" si="0"/>
        <v>3.0360198548001307</v>
      </c>
      <c r="F59" s="179">
        <f>+F58-F86</f>
        <v>105218682.56000002</v>
      </c>
      <c r="G59" s="170">
        <f t="shared" si="1"/>
        <v>3.9253379056146245</v>
      </c>
      <c r="H59" s="179">
        <f>+H58-H86</f>
        <v>124407867.63150001</v>
      </c>
      <c r="I59" s="170">
        <f t="shared" si="2"/>
        <v>4.0318857801238011</v>
      </c>
      <c r="J59" s="179">
        <f>+J58-J86</f>
        <v>110342352.22999999</v>
      </c>
      <c r="K59" s="170">
        <f t="shared" si="3"/>
        <v>3.7015213763837638</v>
      </c>
      <c r="L59" s="179">
        <f>+L58-L86</f>
        <v>130562969.94999999</v>
      </c>
      <c r="M59" s="170">
        <f t="shared" si="4"/>
        <v>4.2062812483891747</v>
      </c>
      <c r="N59" s="169">
        <f>+N58-N86</f>
        <v>91835936.319999993</v>
      </c>
      <c r="O59" s="171">
        <f t="shared" si="5"/>
        <v>2.8397011849103277</v>
      </c>
      <c r="P59" s="276">
        <f>+P58-P86</f>
        <v>100715220.68000004</v>
      </c>
      <c r="Q59" s="278">
        <f t="shared" si="6"/>
        <v>3.1983239339472864</v>
      </c>
      <c r="R59" s="276">
        <f>+R58-R86</f>
        <v>88898705.625990003</v>
      </c>
      <c r="S59" s="278">
        <f t="shared" si="7"/>
        <v>2.5276856874037534</v>
      </c>
      <c r="T59" s="276">
        <f>+T58-T86</f>
        <v>90676679.738509819</v>
      </c>
      <c r="U59" s="278">
        <f t="shared" si="8"/>
        <v>2.5782394011518286</v>
      </c>
      <c r="V59" s="276">
        <f>+V58-V86</f>
        <v>1777974.1125197983</v>
      </c>
      <c r="W59" s="278" t="e">
        <f t="shared" si="9"/>
        <v>#DIV/0!</v>
      </c>
      <c r="X59" s="84"/>
      <c r="Y59" s="84"/>
      <c r="Z59" s="84"/>
      <c r="AA59" s="84"/>
      <c r="AB59" s="84"/>
      <c r="AC59" s="84"/>
      <c r="AD59" s="84"/>
      <c r="AE59" s="84"/>
      <c r="AF59" s="56"/>
      <c r="AG59" s="56"/>
      <c r="AH59" s="56"/>
      <c r="AI59" s="56"/>
      <c r="AJ59" s="56"/>
      <c r="AK59" s="55"/>
      <c r="AL59" s="57"/>
      <c r="AM59" s="156"/>
      <c r="AN59" s="156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7"/>
      <c r="CA59" s="57"/>
      <c r="CB59" s="57"/>
      <c r="CC59" s="57"/>
      <c r="CD59" s="57"/>
      <c r="CE59" s="57"/>
      <c r="CF59" s="57"/>
      <c r="CG59" s="57"/>
      <c r="CH59" s="57"/>
      <c r="CI59" s="57"/>
      <c r="CJ59" s="57"/>
      <c r="CK59" s="57"/>
      <c r="CL59" s="57"/>
      <c r="CM59" s="57"/>
      <c r="CN59" s="57"/>
      <c r="CO59" s="57"/>
      <c r="CP59" s="57"/>
      <c r="CQ59" s="57"/>
      <c r="CR59" s="57"/>
      <c r="CS59" s="57"/>
      <c r="CT59" s="57"/>
      <c r="CU59" s="57"/>
      <c r="CV59" s="57"/>
      <c r="CW59" s="57"/>
      <c r="CX59" s="57"/>
      <c r="CY59" s="57"/>
      <c r="CZ59" s="57"/>
      <c r="DA59" s="57"/>
      <c r="DB59" s="57"/>
      <c r="DC59" s="57"/>
      <c r="DD59" s="57"/>
      <c r="DE59" s="57"/>
      <c r="DF59" s="57"/>
      <c r="DG59" s="57"/>
      <c r="DH59" s="57"/>
      <c r="DI59" s="57"/>
      <c r="DJ59" s="57"/>
      <c r="DK59" s="57"/>
      <c r="DL59" s="57"/>
      <c r="DM59" s="57"/>
      <c r="DN59" s="57"/>
      <c r="DO59" s="57"/>
      <c r="DP59" s="57"/>
      <c r="DQ59" s="57"/>
      <c r="DR59" s="57"/>
      <c r="DS59" s="57"/>
      <c r="DT59" s="57"/>
      <c r="DU59" s="52"/>
      <c r="DV59" s="52"/>
      <c r="DW59" s="52"/>
      <c r="DX59" s="52"/>
      <c r="DY59" s="52"/>
      <c r="DZ59" s="52"/>
      <c r="EA59" s="52"/>
      <c r="EB59" s="52"/>
      <c r="EC59" s="52"/>
      <c r="ED59" s="52"/>
      <c r="EE59" s="52"/>
      <c r="EF59" s="52"/>
      <c r="EG59" s="52"/>
      <c r="EH59" s="52"/>
      <c r="EI59" s="52"/>
      <c r="EJ59" s="52"/>
    </row>
    <row r="60" spans="1:140" s="21" customFormat="1" ht="15" customHeight="1" thickTop="1">
      <c r="A60" s="81"/>
      <c r="B60" s="81"/>
      <c r="C60" s="194" t="str">
        <f>IF(MasterSheet!$A$1=1,MasterSheet!C202,MasterSheet!B202)</f>
        <v>Tekući izdaci</v>
      </c>
      <c r="D60" s="183">
        <f>+'Local Government_int'!D60</f>
        <v>49256706.21980001</v>
      </c>
      <c r="E60" s="184">
        <f>+'Local Government_int'!E60</f>
        <v>2.2921823360696174</v>
      </c>
      <c r="F60" s="183">
        <f>+'Local Government_int'!F60</f>
        <v>71093291.460000008</v>
      </c>
      <c r="G60" s="184">
        <f>+'Local Government_int'!G60</f>
        <v>2.6522399350867381</v>
      </c>
      <c r="H60" s="183">
        <f>+'Local Government_int'!H60</f>
        <v>86689566.571500003</v>
      </c>
      <c r="I60" s="184">
        <f>+'Local Government_int'!I60</f>
        <v>2.8094881569710917</v>
      </c>
      <c r="J60" s="183">
        <f>+'Local Government_int'!J60</f>
        <v>75125141.88000001</v>
      </c>
      <c r="K60" s="184">
        <f>+'Local Government_int'!K60</f>
        <v>2.5201322334786989</v>
      </c>
      <c r="L60" s="183">
        <f>+'Local Government_int'!L60</f>
        <v>64610000</v>
      </c>
      <c r="M60" s="184">
        <f>+'Local Government_int'!M60</f>
        <v>2.0815077319587627</v>
      </c>
      <c r="N60" s="183">
        <f>+'Local Government_int'!N60</f>
        <v>65516340.920000002</v>
      </c>
      <c r="O60" s="184">
        <f>+'Local Government_int'!O60</f>
        <v>2.0258608818800248</v>
      </c>
      <c r="P60" s="279">
        <f>+'Local Government_int'!P60</f>
        <v>62674225.200000018</v>
      </c>
      <c r="Q60" s="280">
        <f>+'Local Government_int'!Q60</f>
        <v>1.9902897808828206</v>
      </c>
      <c r="R60" s="279">
        <f>+'Local Government_int'!R60</f>
        <v>53623068.265050009</v>
      </c>
      <c r="S60" s="280">
        <f>+'Local Government_int'!S60</f>
        <v>1.5246820661089</v>
      </c>
      <c r="T60" s="279">
        <f>+'Local Government_int'!T60</f>
        <v>54695529.630351007</v>
      </c>
      <c r="U60" s="281">
        <f>+'Local Government_int'!U60</f>
        <v>1.5551757074310777</v>
      </c>
      <c r="V60" s="279">
        <f>+'Local Government_int'!V60</f>
        <v>1072461.3653009981</v>
      </c>
      <c r="W60" s="280">
        <f>+'Local Government_int'!W60</f>
        <v>3.0493641322177689E-2</v>
      </c>
      <c r="X60" s="84"/>
      <c r="Y60" s="84"/>
      <c r="Z60" s="84"/>
      <c r="AA60" s="84"/>
      <c r="AB60" s="84"/>
      <c r="AC60" s="84"/>
      <c r="AD60" s="84"/>
      <c r="AE60" s="84"/>
      <c r="AF60" s="56"/>
      <c r="AG60" s="56"/>
      <c r="AH60" s="56"/>
      <c r="AI60" s="56"/>
      <c r="AJ60" s="56"/>
      <c r="AK60" s="55"/>
      <c r="AL60" s="57"/>
      <c r="AM60" s="156"/>
      <c r="AN60" s="156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7"/>
      <c r="CA60" s="57"/>
      <c r="CB60" s="57"/>
      <c r="CC60" s="57"/>
      <c r="CD60" s="57"/>
      <c r="CE60" s="57"/>
      <c r="CF60" s="57"/>
      <c r="CG60" s="57"/>
      <c r="CH60" s="57"/>
      <c r="CI60" s="57"/>
      <c r="CJ60" s="57"/>
      <c r="CK60" s="57"/>
      <c r="CL60" s="57"/>
      <c r="CM60" s="57"/>
      <c r="CN60" s="57"/>
      <c r="CO60" s="57"/>
      <c r="CP60" s="57"/>
      <c r="CQ60" s="57"/>
      <c r="CR60" s="57"/>
      <c r="CS60" s="57"/>
      <c r="CT60" s="57"/>
      <c r="CU60" s="57"/>
      <c r="CV60" s="57"/>
      <c r="CW60" s="57"/>
      <c r="CX60" s="57"/>
      <c r="CY60" s="57"/>
      <c r="CZ60" s="57"/>
      <c r="DA60" s="57"/>
      <c r="DB60" s="57"/>
      <c r="DC60" s="57"/>
      <c r="DD60" s="57"/>
      <c r="DE60" s="57"/>
      <c r="DF60" s="57"/>
      <c r="DG60" s="57"/>
      <c r="DH60" s="57"/>
      <c r="DI60" s="57"/>
      <c r="DJ60" s="57"/>
      <c r="DK60" s="57"/>
      <c r="DL60" s="57"/>
      <c r="DM60" s="57"/>
      <c r="DN60" s="57"/>
      <c r="DO60" s="57"/>
      <c r="DP60" s="57"/>
      <c r="DQ60" s="57"/>
      <c r="DR60" s="57"/>
      <c r="DS60" s="57"/>
      <c r="DT60" s="57"/>
      <c r="DU60" s="52"/>
      <c r="DV60" s="52"/>
      <c r="DW60" s="52"/>
      <c r="DX60" s="52"/>
      <c r="DY60" s="52"/>
      <c r="DZ60" s="52"/>
      <c r="EA60" s="52"/>
      <c r="EB60" s="52"/>
      <c r="EC60" s="52"/>
      <c r="ED60" s="52"/>
      <c r="EE60" s="52"/>
      <c r="EF60" s="52"/>
      <c r="EG60" s="52"/>
      <c r="EH60" s="52"/>
      <c r="EI60" s="52"/>
      <c r="EJ60" s="52"/>
    </row>
    <row r="61" spans="1:140" s="21" customFormat="1" ht="15" customHeight="1">
      <c r="A61" s="81"/>
      <c r="B61" s="81"/>
      <c r="C61" s="196" t="str">
        <f>IF(MasterSheet!$A$1=1,MasterSheet!C203,MasterSheet!B203)</f>
        <v>Bruto zarade i doprinosi na teret poslodavca</v>
      </c>
      <c r="D61" s="190">
        <f>+'Local Government_int'!D61</f>
        <v>22909978.369800005</v>
      </c>
      <c r="E61" s="191">
        <f>+'Local Government_int'!E61</f>
        <v>1.0661258490297363</v>
      </c>
      <c r="F61" s="190">
        <f>+'Local Government_int'!F61</f>
        <v>31729442.970000006</v>
      </c>
      <c r="G61" s="191">
        <f>+'Local Government_int'!G61</f>
        <v>1.1837135970900954</v>
      </c>
      <c r="H61" s="190">
        <f>+'Local Government_int'!H61</f>
        <v>40399850.68</v>
      </c>
      <c r="I61" s="191">
        <f>+'Local Government_int'!I61</f>
        <v>1.3093029128856624</v>
      </c>
      <c r="J61" s="190">
        <f>+'Local Government_int'!J61</f>
        <v>40532718.950000003</v>
      </c>
      <c r="K61" s="191">
        <f>+'Local Government_int'!K61</f>
        <v>1.3597020781616909</v>
      </c>
      <c r="L61" s="190">
        <f>+'Local Government_int'!L61</f>
        <v>32760000</v>
      </c>
      <c r="M61" s="191">
        <f>+'Local Government_int'!M61</f>
        <v>1.0554123711340206</v>
      </c>
      <c r="N61" s="190">
        <f>+'Local Government_int'!N61</f>
        <v>32685526.710000005</v>
      </c>
      <c r="O61" s="191">
        <f>+'Local Government_int'!O61</f>
        <v>1.0106841901669761</v>
      </c>
      <c r="P61" s="285">
        <f>+'Local Government_int'!P61</f>
        <v>33099260.940000013</v>
      </c>
      <c r="Q61" s="286">
        <f>+'Local Government_int'!Q61</f>
        <v>1.0511038723404258</v>
      </c>
      <c r="R61" s="285">
        <f>+'Local Government_int'!R61</f>
        <v>25441990.113750003</v>
      </c>
      <c r="S61" s="286">
        <f>+'Local Government_int'!S61</f>
        <v>0.72340034443417689</v>
      </c>
      <c r="T61" s="285">
        <f>+'Local Government_int'!T61</f>
        <v>25950829.916025005</v>
      </c>
      <c r="U61" s="287">
        <f>+'Local Government_int'!U61</f>
        <v>0.73786835132286055</v>
      </c>
      <c r="V61" s="285">
        <f>+'Local Government_int'!V61</f>
        <v>508839.802275002</v>
      </c>
      <c r="W61" s="286">
        <f>+'Local Government_int'!W61</f>
        <v>1.446800688868366E-2</v>
      </c>
      <c r="X61" s="84"/>
      <c r="Y61" s="84"/>
      <c r="Z61" s="84"/>
      <c r="AA61" s="84"/>
      <c r="AB61" s="84"/>
      <c r="AC61" s="84"/>
      <c r="AD61" s="84"/>
      <c r="AE61" s="84"/>
      <c r="AF61" s="56"/>
      <c r="AG61" s="56"/>
      <c r="AH61" s="56"/>
      <c r="AI61" s="56"/>
      <c r="AJ61" s="56"/>
      <c r="AK61" s="55"/>
      <c r="AL61" s="57"/>
      <c r="AM61" s="157"/>
      <c r="AN61" s="1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7"/>
      <c r="CJ61" s="57"/>
      <c r="CK61" s="57"/>
      <c r="CL61" s="57"/>
      <c r="CM61" s="57"/>
      <c r="CN61" s="57"/>
      <c r="CO61" s="57"/>
      <c r="CP61" s="57"/>
      <c r="CQ61" s="57"/>
      <c r="CR61" s="57"/>
      <c r="CS61" s="57"/>
      <c r="CT61" s="57"/>
      <c r="CU61" s="57"/>
      <c r="CV61" s="57"/>
      <c r="CW61" s="57"/>
      <c r="CX61" s="57"/>
      <c r="CY61" s="57"/>
      <c r="CZ61" s="57"/>
      <c r="DA61" s="57"/>
      <c r="DB61" s="57"/>
      <c r="DC61" s="57"/>
      <c r="DD61" s="57"/>
      <c r="DE61" s="57"/>
      <c r="DF61" s="57"/>
      <c r="DG61" s="57"/>
      <c r="DH61" s="57"/>
      <c r="DI61" s="57"/>
      <c r="DJ61" s="57"/>
      <c r="DK61" s="57"/>
      <c r="DL61" s="57"/>
      <c r="DM61" s="57"/>
      <c r="DN61" s="57"/>
      <c r="DO61" s="57"/>
      <c r="DP61" s="57"/>
      <c r="DQ61" s="57"/>
      <c r="DR61" s="57"/>
      <c r="DS61" s="57"/>
      <c r="DT61" s="57"/>
      <c r="DU61" s="52"/>
      <c r="DV61" s="52"/>
      <c r="DW61" s="52"/>
      <c r="DX61" s="52"/>
      <c r="DY61" s="52"/>
      <c r="DZ61" s="52"/>
      <c r="EA61" s="52"/>
      <c r="EB61" s="52"/>
      <c r="EC61" s="52"/>
      <c r="ED61" s="52"/>
      <c r="EE61" s="52"/>
      <c r="EF61" s="52"/>
      <c r="EG61" s="52"/>
      <c r="EH61" s="52"/>
      <c r="EI61" s="52"/>
      <c r="EJ61" s="52"/>
    </row>
    <row r="62" spans="1:140" s="21" customFormat="1" ht="15" customHeight="1">
      <c r="A62" s="81"/>
      <c r="B62" s="81"/>
      <c r="C62" s="195" t="str">
        <f>IF(MasterSheet!$A$1=1,MasterSheet!C204,MasterSheet!B204)</f>
        <v>Neto zarade</v>
      </c>
      <c r="D62" s="186">
        <f>+'Local Government_int'!D62</f>
        <v>12842648.100000005</v>
      </c>
      <c r="E62" s="187">
        <f>+'Local Government_int'!E62</f>
        <v>0.59763823816836548</v>
      </c>
      <c r="F62" s="186">
        <f>+'Local Government_int'!F62</f>
        <v>18387273.760000002</v>
      </c>
      <c r="G62" s="187">
        <f>+'Local Government_int'!G62</f>
        <v>0.68596432605857127</v>
      </c>
      <c r="H62" s="186">
        <f>+'Local Government_int'!H62</f>
        <v>24932926.689999998</v>
      </c>
      <c r="I62" s="187">
        <f>+'Local Government_int'!I62</f>
        <v>0.80804144056261329</v>
      </c>
      <c r="J62" s="186">
        <f>+'Local Government_int'!J62</f>
        <v>0</v>
      </c>
      <c r="K62" s="187">
        <f>+'Local Government_int'!K62</f>
        <v>0</v>
      </c>
      <c r="L62" s="186">
        <f>+'Local Government_int'!L62</f>
        <v>0</v>
      </c>
      <c r="M62" s="187">
        <f>+'Local Government_int'!M62</f>
        <v>0</v>
      </c>
      <c r="N62" s="186">
        <f>+'Local Government_int'!N62</f>
        <v>26607131.840000004</v>
      </c>
      <c r="O62" s="187">
        <f>+'Local Government_int'!O62</f>
        <v>0.82273134941249237</v>
      </c>
      <c r="P62" s="282">
        <f>+'Local Government_int'!P62</f>
        <v>25572694.79000001</v>
      </c>
      <c r="Q62" s="283">
        <f>+'Local Government_int'!Q62</f>
        <v>0.8120893867894573</v>
      </c>
      <c r="R62" s="282">
        <f>+'Local Government_int'!R62</f>
        <v>19773293.82</v>
      </c>
      <c r="S62" s="283">
        <f>+'Local Government_int'!S62</f>
        <v>0.56222046687517779</v>
      </c>
      <c r="T62" s="282">
        <f>+'Local Government_int'!T62</f>
        <v>20168759.696400002</v>
      </c>
      <c r="U62" s="284">
        <f>+'Local Government_int'!U62</f>
        <v>0.57346487621268127</v>
      </c>
      <c r="V62" s="282">
        <f>+'Local Government_int'!V62</f>
        <v>395465.87640000135</v>
      </c>
      <c r="W62" s="283">
        <f>+'Local Government_int'!W62</f>
        <v>1.124440933750348E-2</v>
      </c>
      <c r="X62" s="84"/>
      <c r="Y62" s="84"/>
      <c r="Z62" s="84"/>
      <c r="AA62" s="84"/>
      <c r="AB62" s="84"/>
      <c r="AC62" s="84"/>
      <c r="AD62" s="84"/>
      <c r="AE62" s="84"/>
      <c r="AF62" s="56"/>
      <c r="AG62" s="56"/>
      <c r="AH62" s="56"/>
      <c r="AI62" s="56"/>
      <c r="AJ62" s="56"/>
      <c r="AK62" s="55"/>
      <c r="AL62" s="57"/>
      <c r="AM62" s="157"/>
      <c r="AN62" s="1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7"/>
      <c r="CJ62" s="57"/>
      <c r="CK62" s="57"/>
      <c r="CL62" s="57"/>
      <c r="CM62" s="57"/>
      <c r="CN62" s="57"/>
      <c r="CO62" s="57"/>
      <c r="CP62" s="57"/>
      <c r="CQ62" s="57"/>
      <c r="CR62" s="57"/>
      <c r="CS62" s="57"/>
      <c r="CT62" s="57"/>
      <c r="CU62" s="57"/>
      <c r="CV62" s="57"/>
      <c r="CW62" s="57"/>
      <c r="CX62" s="57"/>
      <c r="CY62" s="57"/>
      <c r="CZ62" s="57"/>
      <c r="DA62" s="57"/>
      <c r="DB62" s="57"/>
      <c r="DC62" s="57"/>
      <c r="DD62" s="57"/>
      <c r="DE62" s="57"/>
      <c r="DF62" s="57"/>
      <c r="DG62" s="57"/>
      <c r="DH62" s="57"/>
      <c r="DI62" s="57"/>
      <c r="DJ62" s="57"/>
      <c r="DK62" s="57"/>
      <c r="DL62" s="57"/>
      <c r="DM62" s="57"/>
      <c r="DN62" s="57"/>
      <c r="DO62" s="57"/>
      <c r="DP62" s="57"/>
      <c r="DQ62" s="57"/>
      <c r="DR62" s="57"/>
      <c r="DS62" s="57"/>
      <c r="DT62" s="57"/>
      <c r="DU62" s="52"/>
      <c r="DV62" s="52"/>
      <c r="DW62" s="52"/>
      <c r="DX62" s="52"/>
      <c r="DY62" s="52"/>
      <c r="DZ62" s="52"/>
      <c r="EA62" s="52"/>
      <c r="EB62" s="52"/>
      <c r="EC62" s="52"/>
      <c r="ED62" s="52"/>
      <c r="EE62" s="52"/>
      <c r="EF62" s="52"/>
      <c r="EG62" s="52"/>
      <c r="EH62" s="52"/>
      <c r="EI62" s="52"/>
      <c r="EJ62" s="52"/>
    </row>
    <row r="63" spans="1:140" s="21" customFormat="1" ht="15" customHeight="1">
      <c r="A63" s="81"/>
      <c r="B63" s="81"/>
      <c r="C63" s="195" t="str">
        <f>IF(MasterSheet!$A$1=1,MasterSheet!C205,MasterSheet!B205)</f>
        <v>Porez na zarade</v>
      </c>
      <c r="D63" s="186">
        <f>+'Local Government_int'!D63</f>
        <v>2843884.07</v>
      </c>
      <c r="E63" s="187">
        <f>+'Local Government_int'!E63</f>
        <v>0.13234138722136907</v>
      </c>
      <c r="F63" s="186">
        <f>+'Local Government_int'!F63</f>
        <v>3358772.28</v>
      </c>
      <c r="G63" s="187">
        <f>+'Local Government_int'!G63</f>
        <v>0.12530394627867933</v>
      </c>
      <c r="H63" s="186">
        <f>+'Local Government_int'!H63</f>
        <v>4100316.02</v>
      </c>
      <c r="I63" s="187">
        <f>+'Local Government_int'!I63</f>
        <v>0.13288553344568316</v>
      </c>
      <c r="J63" s="186">
        <f>+'Local Government_int'!J63</f>
        <v>0</v>
      </c>
      <c r="K63" s="187">
        <f>+'Local Government_int'!K63</f>
        <v>0</v>
      </c>
      <c r="L63" s="186">
        <f>+'Local Government_int'!L63</f>
        <v>0</v>
      </c>
      <c r="M63" s="187">
        <f>+'Local Government_int'!M63</f>
        <v>0</v>
      </c>
      <c r="N63" s="186">
        <f>+'Local Government_int'!N63</f>
        <v>1280341.3400000001</v>
      </c>
      <c r="O63" s="187">
        <f>+'Local Government_int'!O63</f>
        <v>3.9590022881880023E-2</v>
      </c>
      <c r="P63" s="282">
        <f>+'Local Government_int'!P63</f>
        <v>1523568.7499999998</v>
      </c>
      <c r="Q63" s="283">
        <f>+'Local Government_int'!Q63</f>
        <v>4.8382621467132417E-2</v>
      </c>
      <c r="R63" s="282">
        <f>+'Local Government_int'!R63</f>
        <v>1198203.0375000001</v>
      </c>
      <c r="S63" s="283">
        <f>+'Local Government_int'!S63</f>
        <v>3.4068895009951666E-2</v>
      </c>
      <c r="T63" s="282">
        <f>+'Local Government_int'!T63</f>
        <v>1222167.09825</v>
      </c>
      <c r="U63" s="284">
        <f>+'Local Government_int'!U63</f>
        <v>3.4750272910150704E-2</v>
      </c>
      <c r="V63" s="282">
        <f>+'Local Government_int'!V63</f>
        <v>23964.060749999946</v>
      </c>
      <c r="W63" s="283">
        <f>+'Local Government_int'!W63</f>
        <v>6.8137790019903721E-4</v>
      </c>
      <c r="X63" s="84"/>
      <c r="Y63" s="84"/>
      <c r="Z63" s="84"/>
      <c r="AA63" s="84"/>
      <c r="AB63" s="84"/>
      <c r="AC63" s="84"/>
      <c r="AD63" s="84"/>
      <c r="AE63" s="84"/>
      <c r="AF63" s="56"/>
      <c r="AG63" s="56"/>
      <c r="AH63" s="56"/>
      <c r="AI63" s="56"/>
      <c r="AJ63" s="56"/>
      <c r="AK63" s="55"/>
      <c r="AL63" s="57"/>
      <c r="AM63" s="157"/>
      <c r="AN63" s="1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57"/>
      <c r="CM63" s="57"/>
      <c r="CN63" s="57"/>
      <c r="CO63" s="57"/>
      <c r="CP63" s="57"/>
      <c r="CQ63" s="57"/>
      <c r="CR63" s="57"/>
      <c r="CS63" s="57"/>
      <c r="CT63" s="57"/>
      <c r="CU63" s="57"/>
      <c r="CV63" s="57"/>
      <c r="CW63" s="57"/>
      <c r="CX63" s="57"/>
      <c r="CY63" s="57"/>
      <c r="CZ63" s="57"/>
      <c r="DA63" s="57"/>
      <c r="DB63" s="57"/>
      <c r="DC63" s="57"/>
      <c r="DD63" s="57"/>
      <c r="DE63" s="57"/>
      <c r="DF63" s="57"/>
      <c r="DG63" s="57"/>
      <c r="DH63" s="57"/>
      <c r="DI63" s="57"/>
      <c r="DJ63" s="57"/>
      <c r="DK63" s="57"/>
      <c r="DL63" s="57"/>
      <c r="DM63" s="57"/>
      <c r="DN63" s="57"/>
      <c r="DO63" s="57"/>
      <c r="DP63" s="158"/>
      <c r="DQ63" s="57"/>
      <c r="DR63" s="57"/>
      <c r="DS63" s="57"/>
      <c r="DT63" s="57"/>
      <c r="DU63" s="52"/>
      <c r="DV63" s="52"/>
      <c r="DW63" s="52"/>
      <c r="DX63" s="52"/>
      <c r="DY63" s="52"/>
      <c r="DZ63" s="52"/>
      <c r="EA63" s="52"/>
      <c r="EB63" s="52"/>
      <c r="EC63" s="52"/>
      <c r="ED63" s="52"/>
      <c r="EE63" s="52"/>
      <c r="EF63" s="52"/>
      <c r="EG63" s="52"/>
      <c r="EH63" s="52"/>
      <c r="EI63" s="52"/>
      <c r="EJ63" s="52"/>
    </row>
    <row r="64" spans="1:140" s="21" customFormat="1" ht="15" customHeight="1">
      <c r="A64" s="81"/>
      <c r="B64" s="81"/>
      <c r="C64" s="195" t="str">
        <f>IF(MasterSheet!$A$1=1,MasterSheet!C206,MasterSheet!B206)</f>
        <v>Doprinosi na teret zaposlenog</v>
      </c>
      <c r="D64" s="186">
        <f>+'Local Government_int'!D64</f>
        <v>3661666.71</v>
      </c>
      <c r="E64" s="187">
        <f>+'Local Government_int'!E64</f>
        <v>0.17039725952813067</v>
      </c>
      <c r="F64" s="186">
        <f>+'Local Government_int'!F64</f>
        <v>5065861.34</v>
      </c>
      <c r="G64" s="187">
        <f>+'Local Government_int'!G64</f>
        <v>0.18898941764596155</v>
      </c>
      <c r="H64" s="186">
        <f>+'Local Government_int'!H64</f>
        <v>5810034.6499999994</v>
      </c>
      <c r="I64" s="187">
        <f>+'Local Government_int'!I64</f>
        <v>0.18829513384754989</v>
      </c>
      <c r="J64" s="186">
        <f>+'Local Government_int'!J64</f>
        <v>0</v>
      </c>
      <c r="K64" s="187">
        <f>+'Local Government_int'!K64</f>
        <v>0</v>
      </c>
      <c r="L64" s="186">
        <f>+'Local Government_int'!L64</f>
        <v>0</v>
      </c>
      <c r="M64" s="187">
        <f>+'Local Government_int'!M64</f>
        <v>0</v>
      </c>
      <c r="N64" s="186">
        <f>+'Local Government_int'!N64</f>
        <v>3067317.62</v>
      </c>
      <c r="O64" s="187">
        <f>+'Local Government_int'!O64</f>
        <v>9.4845937538651837E-2</v>
      </c>
      <c r="P64" s="282">
        <f>+'Local Government_int'!P64</f>
        <v>3904382.58</v>
      </c>
      <c r="Q64" s="283">
        <f>+'Local Government_int'!Q64</f>
        <v>0.12398801460781202</v>
      </c>
      <c r="R64" s="282">
        <f>+'Local Government_int'!R64</f>
        <v>2876325.6637500003</v>
      </c>
      <c r="S64" s="283">
        <f>+'Local Government_int'!S64</f>
        <v>8.1783499111458643E-2</v>
      </c>
      <c r="T64" s="282">
        <f>+'Local Government_int'!T64</f>
        <v>2933852.1770250006</v>
      </c>
      <c r="U64" s="284">
        <f>+'Local Government_int'!U64</f>
        <v>8.3419169093687823E-2</v>
      </c>
      <c r="V64" s="282">
        <f>+'Local Government_int'!V64</f>
        <v>57526.513275000267</v>
      </c>
      <c r="W64" s="283">
        <f>+'Local Government_int'!W64</f>
        <v>1.6356699822291793E-3</v>
      </c>
      <c r="X64" s="84"/>
      <c r="Y64" s="84"/>
      <c r="Z64" s="84"/>
      <c r="AA64" s="84"/>
      <c r="AB64" s="84"/>
      <c r="AC64" s="84"/>
      <c r="AD64" s="84"/>
      <c r="AE64" s="84"/>
      <c r="AF64" s="56"/>
      <c r="AG64" s="56"/>
      <c r="AH64" s="56"/>
      <c r="AI64" s="56"/>
      <c r="AJ64" s="56"/>
      <c r="AK64" s="55"/>
      <c r="AL64" s="57"/>
      <c r="AM64" s="157"/>
      <c r="AN64" s="1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57"/>
      <c r="BY64" s="57"/>
      <c r="BZ64" s="57"/>
      <c r="CA64" s="57"/>
      <c r="CB64" s="57"/>
      <c r="CC64" s="57"/>
      <c r="CD64" s="57"/>
      <c r="CE64" s="57"/>
      <c r="CF64" s="57"/>
      <c r="CG64" s="57"/>
      <c r="CH64" s="57"/>
      <c r="CI64" s="57"/>
      <c r="CJ64" s="57"/>
      <c r="CK64" s="57"/>
      <c r="CL64" s="57"/>
      <c r="CM64" s="57"/>
      <c r="CN64" s="57"/>
      <c r="CO64" s="57"/>
      <c r="CP64" s="57"/>
      <c r="CQ64" s="57"/>
      <c r="CR64" s="57"/>
      <c r="CS64" s="57"/>
      <c r="CT64" s="57"/>
      <c r="CU64" s="57"/>
      <c r="CV64" s="57"/>
      <c r="CW64" s="57"/>
      <c r="CX64" s="57"/>
      <c r="CY64" s="57"/>
      <c r="CZ64" s="57"/>
      <c r="DA64" s="57"/>
      <c r="DB64" s="57"/>
      <c r="DC64" s="57"/>
      <c r="DD64" s="57"/>
      <c r="DE64" s="57"/>
      <c r="DF64" s="57"/>
      <c r="DG64" s="57"/>
      <c r="DH64" s="57"/>
      <c r="DI64" s="57"/>
      <c r="DJ64" s="57"/>
      <c r="DK64" s="57"/>
      <c r="DL64" s="57"/>
      <c r="DM64" s="57"/>
      <c r="DN64" s="57"/>
      <c r="DO64" s="57"/>
      <c r="DP64" s="57"/>
      <c r="DQ64" s="57"/>
      <c r="DR64" s="57"/>
      <c r="DS64" s="57"/>
      <c r="DT64" s="57"/>
      <c r="DU64" s="52"/>
      <c r="DV64" s="52"/>
      <c r="DW64" s="52"/>
      <c r="DX64" s="52"/>
      <c r="DY64" s="52"/>
      <c r="DZ64" s="52"/>
      <c r="EA64" s="52"/>
      <c r="EB64" s="52"/>
      <c r="EC64" s="52"/>
      <c r="ED64" s="52"/>
      <c r="EE64" s="52"/>
      <c r="EF64" s="52"/>
      <c r="EG64" s="52"/>
      <c r="EH64" s="52"/>
      <c r="EI64" s="52"/>
      <c r="EJ64" s="52"/>
    </row>
    <row r="65" spans="1:140" s="21" customFormat="1" ht="15" customHeight="1">
      <c r="A65" s="81"/>
      <c r="B65" s="81"/>
      <c r="C65" s="195" t="str">
        <f>IF(MasterSheet!$A$1=1,MasterSheet!C207,MasterSheet!B207)</f>
        <v>Doprinosi na teret poslodavca</v>
      </c>
      <c r="D65" s="186">
        <f>+'Local Government_int'!D65</f>
        <v>3186770.2497999999</v>
      </c>
      <c r="E65" s="187">
        <f>+'Local Government_int'!E65</f>
        <v>0.14829774534878309</v>
      </c>
      <c r="F65" s="186">
        <f>+'Local Government_int'!F65</f>
        <v>4443188.17</v>
      </c>
      <c r="G65" s="187">
        <f>+'Local Government_int'!G65</f>
        <v>0.16575967804514083</v>
      </c>
      <c r="H65" s="186">
        <f>+'Local Government_int'!H65</f>
        <v>4975018.1100000003</v>
      </c>
      <c r="I65" s="187">
        <f>+'Local Government_int'!I65</f>
        <v>0.16123341035779104</v>
      </c>
      <c r="J65" s="186">
        <f>+'Local Government_int'!J65</f>
        <v>0</v>
      </c>
      <c r="K65" s="187">
        <f>+'Local Government_int'!K65</f>
        <v>0</v>
      </c>
      <c r="L65" s="186">
        <f>+'Local Government_int'!L65</f>
        <v>0</v>
      </c>
      <c r="M65" s="187">
        <f>+'Local Government_int'!M65</f>
        <v>0</v>
      </c>
      <c r="N65" s="186">
        <f>+'Local Government_int'!N65</f>
        <v>1525124.6500000001</v>
      </c>
      <c r="O65" s="187">
        <f>+'Local Government_int'!O65</f>
        <v>4.7159080086580089E-2</v>
      </c>
      <c r="P65" s="282">
        <f>+'Local Government_int'!P65</f>
        <v>1867935.3099999996</v>
      </c>
      <c r="Q65" s="283">
        <f>+'Local Government_int'!Q65</f>
        <v>5.9318364877738949E-2</v>
      </c>
      <c r="R65" s="282">
        <f>+'Local Government_int'!R65</f>
        <v>1379860.5450000002</v>
      </c>
      <c r="S65" s="283">
        <f>+'Local Government_int'!S65</f>
        <v>3.9234021751492751E-2</v>
      </c>
      <c r="T65" s="282">
        <f>+'Local Government_int'!T65</f>
        <v>1407457.7559000002</v>
      </c>
      <c r="U65" s="284">
        <f>+'Local Government_int'!U65</f>
        <v>4.0018702186522606E-2</v>
      </c>
      <c r="V65" s="282">
        <f>+'Local Government_int'!V65</f>
        <v>27597.210900000064</v>
      </c>
      <c r="W65" s="283">
        <f>+'Local Government_int'!W65</f>
        <v>7.8468043502985529E-4</v>
      </c>
      <c r="X65" s="84"/>
      <c r="Y65" s="84"/>
      <c r="Z65" s="84"/>
      <c r="AA65" s="84"/>
      <c r="AB65" s="84"/>
      <c r="AC65" s="84"/>
      <c r="AD65" s="84"/>
      <c r="AE65" s="84"/>
      <c r="AF65" s="56"/>
      <c r="AG65" s="56"/>
      <c r="AH65" s="56"/>
      <c r="AI65" s="56"/>
      <c r="AJ65" s="56"/>
      <c r="AK65" s="55"/>
      <c r="AL65" s="57"/>
      <c r="AM65" s="157"/>
      <c r="AN65" s="1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57"/>
      <c r="CM65" s="57"/>
      <c r="CN65" s="57"/>
      <c r="CO65" s="57"/>
      <c r="CP65" s="57"/>
      <c r="CQ65" s="57"/>
      <c r="CR65" s="57"/>
      <c r="CS65" s="57"/>
      <c r="CT65" s="57"/>
      <c r="CU65" s="57"/>
      <c r="CV65" s="57"/>
      <c r="CW65" s="57"/>
      <c r="CX65" s="57"/>
      <c r="CY65" s="57"/>
      <c r="CZ65" s="57"/>
      <c r="DA65" s="57"/>
      <c r="DB65" s="57"/>
      <c r="DC65" s="57"/>
      <c r="DD65" s="57"/>
      <c r="DE65" s="57"/>
      <c r="DF65" s="57"/>
      <c r="DG65" s="57"/>
      <c r="DH65" s="57"/>
      <c r="DI65" s="57"/>
      <c r="DJ65" s="57"/>
      <c r="DK65" s="57"/>
      <c r="DL65" s="57"/>
      <c r="DM65" s="57"/>
      <c r="DN65" s="57"/>
      <c r="DO65" s="57"/>
      <c r="DP65" s="57"/>
      <c r="DQ65" s="57"/>
      <c r="DR65" s="57"/>
      <c r="DS65" s="57"/>
      <c r="DT65" s="57"/>
      <c r="DU65" s="52"/>
      <c r="DV65" s="52"/>
      <c r="DW65" s="52"/>
      <c r="DX65" s="52"/>
      <c r="DY65" s="52"/>
      <c r="DZ65" s="52"/>
      <c r="EA65" s="52"/>
      <c r="EB65" s="52"/>
      <c r="EC65" s="52"/>
      <c r="ED65" s="52"/>
      <c r="EE65" s="52"/>
      <c r="EF65" s="52"/>
      <c r="EG65" s="52"/>
      <c r="EH65" s="52"/>
      <c r="EI65" s="52"/>
      <c r="EJ65" s="52"/>
    </row>
    <row r="66" spans="1:140" s="21" customFormat="1" ht="15" customHeight="1">
      <c r="A66" s="91"/>
      <c r="B66" s="91"/>
      <c r="C66" s="195" t="str">
        <f>IF(MasterSheet!$A$1=1,MasterSheet!C208,MasterSheet!B208)</f>
        <v>Prirez na porez</v>
      </c>
      <c r="D66" s="186">
        <f>+'Local Government_int'!D66</f>
        <v>375009.24</v>
      </c>
      <c r="E66" s="187">
        <f>+'Local Government_int'!E66</f>
        <v>1.7451218763088094E-2</v>
      </c>
      <c r="F66" s="186">
        <f>+'Local Government_int'!F66</f>
        <v>474347.42</v>
      </c>
      <c r="G66" s="187">
        <f>+'Local Government_int'!G66</f>
        <v>1.7696229061742213E-2</v>
      </c>
      <c r="H66" s="186">
        <f>+'Local Government_int'!H66</f>
        <v>581555.21</v>
      </c>
      <c r="I66" s="187">
        <f>+'Local Government_int'!I66</f>
        <v>1.8847394672024891E-2</v>
      </c>
      <c r="J66" s="186">
        <f>+'Local Government_int'!J66</f>
        <v>0</v>
      </c>
      <c r="K66" s="187">
        <f>+'Local Government_int'!K66</f>
        <v>0</v>
      </c>
      <c r="L66" s="186">
        <f>+'Local Government_int'!L66</f>
        <v>0</v>
      </c>
      <c r="M66" s="187">
        <f>+'Local Government_int'!M66</f>
        <v>0</v>
      </c>
      <c r="N66" s="186">
        <f>+'Local Government_int'!N66</f>
        <v>205611.25999999998</v>
      </c>
      <c r="O66" s="187">
        <f>+'Local Government_int'!O66</f>
        <v>6.3578002473716755E-3</v>
      </c>
      <c r="P66" s="282">
        <f>+'Local Government_int'!P66</f>
        <v>230679.51</v>
      </c>
      <c r="Q66" s="283">
        <f>+'Local Government_int'!Q66</f>
        <v>7.3254845982851698E-3</v>
      </c>
      <c r="R66" s="282">
        <f>+'Local Government_int'!R66</f>
        <v>214307.04749999996</v>
      </c>
      <c r="S66" s="283">
        <f>+'Local Government_int'!S66</f>
        <v>6.0934616860961041E-3</v>
      </c>
      <c r="T66" s="282">
        <f>+'Local Government_int'!T66</f>
        <v>218593.18844999996</v>
      </c>
      <c r="U66" s="284">
        <f>+'Local Government_int'!U66</f>
        <v>6.2153309198180254E-3</v>
      </c>
      <c r="V66" s="282">
        <f>+'Local Government_int'!V66</f>
        <v>4286.1409500000009</v>
      </c>
      <c r="W66" s="283">
        <f>+'Local Government_int'!W66</f>
        <v>1.218692337219213E-4</v>
      </c>
      <c r="X66" s="84"/>
      <c r="Y66" s="84"/>
      <c r="Z66" s="84"/>
      <c r="AA66" s="84"/>
      <c r="AB66" s="84"/>
      <c r="AC66" s="84"/>
      <c r="AD66" s="84"/>
      <c r="AE66" s="84"/>
      <c r="AF66" s="56"/>
      <c r="AG66" s="56"/>
      <c r="AH66" s="56"/>
      <c r="AI66" s="56"/>
      <c r="AJ66" s="56"/>
      <c r="AK66" s="55"/>
      <c r="AL66" s="57"/>
      <c r="AM66" s="157"/>
      <c r="AN66" s="1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7"/>
      <c r="BY66" s="57"/>
      <c r="BZ66" s="57"/>
      <c r="CA66" s="57"/>
      <c r="CB66" s="57"/>
      <c r="CC66" s="57"/>
      <c r="CD66" s="57"/>
      <c r="CE66" s="57"/>
      <c r="CF66" s="57"/>
      <c r="CG66" s="57"/>
      <c r="CH66" s="57"/>
      <c r="CI66" s="57"/>
      <c r="CJ66" s="57"/>
      <c r="CK66" s="57"/>
      <c r="CL66" s="57"/>
      <c r="CM66" s="57"/>
      <c r="CN66" s="57"/>
      <c r="CO66" s="57"/>
      <c r="CP66" s="57"/>
      <c r="CQ66" s="57"/>
      <c r="CR66" s="57"/>
      <c r="CS66" s="57"/>
      <c r="CT66" s="57"/>
      <c r="CU66" s="57"/>
      <c r="CV66" s="57"/>
      <c r="CW66" s="57"/>
      <c r="CX66" s="57"/>
      <c r="CY66" s="57"/>
      <c r="CZ66" s="57"/>
      <c r="DA66" s="57"/>
      <c r="DB66" s="57"/>
      <c r="DC66" s="57"/>
      <c r="DD66" s="57"/>
      <c r="DE66" s="57"/>
      <c r="DF66" s="57"/>
      <c r="DG66" s="57"/>
      <c r="DH66" s="57"/>
      <c r="DI66" s="57"/>
      <c r="DJ66" s="57"/>
      <c r="DK66" s="57"/>
      <c r="DL66" s="57"/>
      <c r="DM66" s="57"/>
      <c r="DN66" s="57"/>
      <c r="DO66" s="57"/>
      <c r="DP66" s="57"/>
      <c r="DQ66" s="57"/>
      <c r="DR66" s="57"/>
      <c r="DS66" s="57"/>
      <c r="DT66" s="57"/>
      <c r="DU66" s="52"/>
      <c r="DV66" s="52"/>
      <c r="DW66" s="52"/>
      <c r="DX66" s="52"/>
      <c r="DY66" s="52"/>
      <c r="DZ66" s="52"/>
      <c r="EA66" s="52"/>
      <c r="EB66" s="52"/>
      <c r="EC66" s="52"/>
      <c r="ED66" s="52"/>
      <c r="EE66" s="52"/>
      <c r="EF66" s="52"/>
      <c r="EG66" s="52"/>
      <c r="EH66" s="52"/>
      <c r="EI66" s="52"/>
      <c r="EJ66" s="52"/>
    </row>
    <row r="67" spans="1:140" s="21" customFormat="1" ht="15" customHeight="1">
      <c r="A67" s="91"/>
      <c r="B67" s="91"/>
      <c r="C67" s="196" t="str">
        <f>IF(MasterSheet!$A$1=1,MasterSheet!C209,MasterSheet!B209)</f>
        <v>Ostala lična primanja</v>
      </c>
      <c r="D67" s="190">
        <f>+'Local Government_int'!D67</f>
        <v>4368113.9400000004</v>
      </c>
      <c r="E67" s="191">
        <f>+'Local Government_int'!E67</f>
        <v>0.20327208990646378</v>
      </c>
      <c r="F67" s="190">
        <f>+'Local Government_int'!F67</f>
        <v>6156084.9900000002</v>
      </c>
      <c r="G67" s="191">
        <f>+'Local Government_int'!G67</f>
        <v>0.22966181645215447</v>
      </c>
      <c r="H67" s="190">
        <f>+'Local Government_int'!H67</f>
        <v>7066165.1400000006</v>
      </c>
      <c r="I67" s="191">
        <f>+'Local Government_int'!I67</f>
        <v>0.22900457415089451</v>
      </c>
      <c r="J67" s="190">
        <f>+'Local Government_int'!J67</f>
        <v>6026649.0199999996</v>
      </c>
      <c r="K67" s="191">
        <f>+'Local Government_int'!K67</f>
        <v>0.20216870244884264</v>
      </c>
      <c r="L67" s="190">
        <f>+'Local Government_int'!L67</f>
        <v>5720000</v>
      </c>
      <c r="M67" s="191">
        <f>+'Local Government_int'!M67</f>
        <v>0.18427835051546393</v>
      </c>
      <c r="N67" s="190">
        <f>+'Local Government_int'!N67</f>
        <v>7347314.0199999996</v>
      </c>
      <c r="O67" s="191">
        <f>+'Local Government_int'!O67</f>
        <v>0.22718967285095854</v>
      </c>
      <c r="P67" s="285">
        <f>+'Local Government_int'!P67</f>
        <v>2935022.82</v>
      </c>
      <c r="Q67" s="286">
        <f>+'Local Government_int'!Q67</f>
        <v>9.3204916481422678E-2</v>
      </c>
      <c r="R67" s="285">
        <f>+'Local Government_int'!R67</f>
        <v>2804993.1524999999</v>
      </c>
      <c r="S67" s="286">
        <f>+'Local Government_int'!S67</f>
        <v>7.9755278717657085E-2</v>
      </c>
      <c r="T67" s="285">
        <f>+'Local Government_int'!T67</f>
        <v>2861093.0155500001</v>
      </c>
      <c r="U67" s="287">
        <f>+'Local Government_int'!U67</f>
        <v>8.1350384292010233E-2</v>
      </c>
      <c r="V67" s="282">
        <f>+'Local Government_int'!V67</f>
        <v>56099.863050000276</v>
      </c>
      <c r="W67" s="286">
        <f>+'Local Government_int'!W67</f>
        <v>1.5951055743531478E-3</v>
      </c>
      <c r="X67" s="84"/>
      <c r="Y67" s="84"/>
      <c r="Z67" s="84"/>
      <c r="AA67" s="84"/>
      <c r="AB67" s="84"/>
      <c r="AC67" s="84"/>
      <c r="AD67" s="84"/>
      <c r="AE67" s="84"/>
      <c r="AF67" s="56"/>
      <c r="AG67" s="56"/>
      <c r="AH67" s="56"/>
      <c r="AI67" s="56"/>
      <c r="AJ67" s="56"/>
      <c r="AK67" s="55"/>
      <c r="AL67" s="57"/>
      <c r="AM67" s="157"/>
      <c r="AN67" s="1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7"/>
      <c r="CA67" s="57"/>
      <c r="CB67" s="57"/>
      <c r="CC67" s="57"/>
      <c r="CD67" s="57"/>
      <c r="CE67" s="57"/>
      <c r="CF67" s="57"/>
      <c r="CG67" s="57"/>
      <c r="CH67" s="57"/>
      <c r="CI67" s="57"/>
      <c r="CJ67" s="57"/>
      <c r="CK67" s="57"/>
      <c r="CL67" s="57"/>
      <c r="CM67" s="57"/>
      <c r="CN67" s="57"/>
      <c r="CO67" s="57"/>
      <c r="CP67" s="57"/>
      <c r="CQ67" s="57"/>
      <c r="CR67" s="57"/>
      <c r="CS67" s="57"/>
      <c r="CT67" s="57"/>
      <c r="CU67" s="57"/>
      <c r="CV67" s="57"/>
      <c r="CW67" s="57"/>
      <c r="CX67" s="57"/>
      <c r="CY67" s="57"/>
      <c r="CZ67" s="57"/>
      <c r="DA67" s="57"/>
      <c r="DB67" s="57"/>
      <c r="DC67" s="57"/>
      <c r="DD67" s="57"/>
      <c r="DE67" s="57"/>
      <c r="DF67" s="57"/>
      <c r="DG67" s="57"/>
      <c r="DH67" s="57"/>
      <c r="DI67" s="57"/>
      <c r="DJ67" s="57"/>
      <c r="DK67" s="57"/>
      <c r="DL67" s="57"/>
      <c r="DM67" s="57"/>
      <c r="DN67" s="57"/>
      <c r="DO67" s="57"/>
      <c r="DP67" s="57"/>
      <c r="DQ67" s="57"/>
      <c r="DR67" s="57"/>
      <c r="DS67" s="57"/>
      <c r="DT67" s="57"/>
      <c r="DU67" s="52"/>
      <c r="DV67" s="52"/>
      <c r="DW67" s="52"/>
      <c r="DX67" s="52"/>
      <c r="DY67" s="52"/>
      <c r="DZ67" s="52"/>
      <c r="EA67" s="52"/>
      <c r="EB67" s="52"/>
      <c r="EC67" s="52"/>
      <c r="ED67" s="52"/>
      <c r="EE67" s="52"/>
      <c r="EF67" s="52"/>
      <c r="EG67" s="52"/>
      <c r="EH67" s="52"/>
      <c r="EI67" s="52"/>
      <c r="EJ67" s="52"/>
    </row>
    <row r="68" spans="1:140" s="21" customFormat="1" ht="15" customHeight="1">
      <c r="A68" s="91"/>
      <c r="B68" s="91"/>
      <c r="C68" s="196" t="str">
        <f>IF(MasterSheet!$A$1=1,MasterSheet!C210,MasterSheet!B210)</f>
        <v>Rashodi za materijal i usluge</v>
      </c>
      <c r="D68" s="190">
        <f>+'Local Government_int'!D68</f>
        <v>14680010.780000001</v>
      </c>
      <c r="E68" s="191">
        <f>+'Local Government_int'!E68</f>
        <v>0.6831407129228908</v>
      </c>
      <c r="F68" s="190">
        <f>+'Local Government_int'!F68</f>
        <v>21387573.460000001</v>
      </c>
      <c r="G68" s="191">
        <f>+'Local Government_int'!G68</f>
        <v>0.7978949248274575</v>
      </c>
      <c r="H68" s="190">
        <f>+'Local Government_int'!H68</f>
        <v>23284608.100000001</v>
      </c>
      <c r="I68" s="191">
        <f>+'Local Government_int'!I68</f>
        <v>0.75462172997148047</v>
      </c>
      <c r="J68" s="190">
        <f>+'Local Government_int'!J68</f>
        <v>19998061.219999999</v>
      </c>
      <c r="K68" s="191">
        <f>+'Local Government_int'!K68</f>
        <v>0.67085076216034878</v>
      </c>
      <c r="L68" s="190">
        <f>+'Local Government_int'!L68</f>
        <v>17840000</v>
      </c>
      <c r="M68" s="191">
        <f>+'Local Government_int'!M68</f>
        <v>0.57474226804123707</v>
      </c>
      <c r="N68" s="190">
        <f>+'Local Government_int'!N68</f>
        <v>15836529.350000001</v>
      </c>
      <c r="O68" s="191">
        <f>+'Local Government_int'!O68</f>
        <v>0.48968860080395799</v>
      </c>
      <c r="P68" s="285">
        <f>+'Local Government_int'!P68</f>
        <v>16836563.879999999</v>
      </c>
      <c r="Q68" s="286">
        <f>+'Local Government_int'!Q68</f>
        <v>0.53466382597650042</v>
      </c>
      <c r="R68" s="285">
        <f>+'Local Government_int'!R68</f>
        <v>14672436.078300001</v>
      </c>
      <c r="S68" s="286">
        <f>+'Local Government_int'!S68</f>
        <v>0.41718612676428779</v>
      </c>
      <c r="T68" s="285">
        <f>+'Local Government_int'!T68</f>
        <v>14965884.799866002</v>
      </c>
      <c r="U68" s="287">
        <f>+'Local Government_int'!U68</f>
        <v>0.42552984929957355</v>
      </c>
      <c r="V68" s="282">
        <f>+'Local Government_int'!V68</f>
        <v>293448.72156600095</v>
      </c>
      <c r="W68" s="286">
        <f>+'Local Government_int'!W68</f>
        <v>8.343722535285758E-3</v>
      </c>
      <c r="X68" s="84"/>
      <c r="Y68" s="84"/>
      <c r="Z68" s="84"/>
      <c r="AA68" s="84"/>
      <c r="AB68" s="84"/>
      <c r="AC68" s="84"/>
      <c r="AD68" s="84"/>
      <c r="AE68" s="84"/>
      <c r="AF68" s="56"/>
      <c r="AG68" s="56"/>
      <c r="AH68" s="56"/>
      <c r="AI68" s="56"/>
      <c r="AJ68" s="56"/>
      <c r="AK68" s="57"/>
      <c r="AL68" s="57"/>
      <c r="AM68" s="63"/>
      <c r="AN68" s="63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7"/>
      <c r="BY68" s="57"/>
      <c r="BZ68" s="57"/>
      <c r="CA68" s="57"/>
      <c r="CB68" s="57"/>
      <c r="CC68" s="57"/>
      <c r="CD68" s="57"/>
      <c r="CE68" s="57"/>
      <c r="CF68" s="57"/>
      <c r="CG68" s="57"/>
      <c r="CH68" s="57"/>
      <c r="CI68" s="57"/>
      <c r="CJ68" s="57"/>
      <c r="CK68" s="57"/>
      <c r="CL68" s="57"/>
      <c r="CM68" s="57"/>
      <c r="CN68" s="57"/>
      <c r="CO68" s="57"/>
      <c r="CP68" s="57"/>
      <c r="CQ68" s="57"/>
      <c r="CR68" s="57"/>
      <c r="CS68" s="57"/>
      <c r="CT68" s="57"/>
      <c r="CU68" s="57"/>
      <c r="CV68" s="57"/>
      <c r="CW68" s="57"/>
      <c r="CX68" s="57"/>
      <c r="CY68" s="57"/>
      <c r="CZ68" s="57"/>
      <c r="DA68" s="57"/>
      <c r="DB68" s="57"/>
      <c r="DC68" s="57"/>
      <c r="DD68" s="57"/>
      <c r="DE68" s="57"/>
      <c r="DF68" s="57"/>
      <c r="DG68" s="57"/>
      <c r="DH68" s="57"/>
      <c r="DI68" s="57"/>
      <c r="DJ68" s="57"/>
      <c r="DK68" s="57"/>
      <c r="DL68" s="57"/>
      <c r="DM68" s="57"/>
      <c r="DN68" s="57"/>
      <c r="DO68" s="57"/>
      <c r="DP68" s="57"/>
      <c r="DQ68" s="57"/>
      <c r="DR68" s="57"/>
      <c r="DS68" s="57"/>
      <c r="DT68" s="57"/>
      <c r="DU68" s="52"/>
      <c r="DV68" s="52"/>
      <c r="DW68" s="52"/>
      <c r="DX68" s="52"/>
      <c r="DY68" s="52"/>
      <c r="DZ68" s="52"/>
      <c r="EA68" s="52"/>
      <c r="EB68" s="52"/>
      <c r="EC68" s="52"/>
      <c r="ED68" s="52"/>
      <c r="EE68" s="52"/>
      <c r="EF68" s="52"/>
      <c r="EG68" s="52"/>
      <c r="EH68" s="52"/>
      <c r="EI68" s="52"/>
      <c r="EJ68" s="52"/>
    </row>
    <row r="69" spans="1:140" s="21" customFormat="1" ht="15" customHeight="1">
      <c r="A69" s="81"/>
      <c r="B69" s="81"/>
      <c r="C69" s="196" t="str">
        <f>IF(MasterSheet!$A$1=1,MasterSheet!C211,MasterSheet!B211)</f>
        <v>Tekuće održavanje</v>
      </c>
      <c r="D69" s="190">
        <f>+'Local Government_int'!D69</f>
        <v>4644683.17</v>
      </c>
      <c r="E69" s="191">
        <f>+'Local Government_int'!E69</f>
        <v>0.21614235981199684</v>
      </c>
      <c r="F69" s="190">
        <f>+'Local Government_int'!F69</f>
        <v>7490889.2599999998</v>
      </c>
      <c r="G69" s="191">
        <f>+'Local Government_int'!G69</f>
        <v>0.27945865547472487</v>
      </c>
      <c r="H69" s="190">
        <f>+'Local Government_int'!H69</f>
        <v>7738618.5800000001</v>
      </c>
      <c r="I69" s="191">
        <f>+'Local Government_int'!I69</f>
        <v>0.25079785390199638</v>
      </c>
      <c r="J69" s="190">
        <f>+'Local Government_int'!J69</f>
        <v>4862089.4800000004</v>
      </c>
      <c r="K69" s="191">
        <f>+'Local Government_int'!K69</f>
        <v>0.16310263267359948</v>
      </c>
      <c r="L69" s="190">
        <f>+'Local Government_int'!L69</f>
        <v>4840000</v>
      </c>
      <c r="M69" s="191">
        <f>+'Local Government_int'!M69</f>
        <v>0.15592783505154639</v>
      </c>
      <c r="N69" s="190">
        <f>+'Local Government_int'!N69</f>
        <v>4621732.5999999996</v>
      </c>
      <c r="O69" s="191">
        <f>+'Local Government_int'!O69</f>
        <v>0.14291071737786021</v>
      </c>
      <c r="P69" s="285">
        <f>+'Local Government_int'!P69</f>
        <v>5028758.5099999988</v>
      </c>
      <c r="Q69" s="286">
        <f>+'Local Government_int'!Q69</f>
        <v>0.15969382375357252</v>
      </c>
      <c r="R69" s="285">
        <f>+'Local Government_int'!R69</f>
        <v>4697878.71</v>
      </c>
      <c r="S69" s="286">
        <f>+'Local Government_int'!S69</f>
        <v>0.1335763067955644</v>
      </c>
      <c r="T69" s="285">
        <f>+'Local Government_int'!T69</f>
        <v>4791836.2841999996</v>
      </c>
      <c r="U69" s="287">
        <f>+'Local Government_int'!U69</f>
        <v>0.13624783293147569</v>
      </c>
      <c r="V69" s="282">
        <f>+'Local Government_int'!V69</f>
        <v>93957.574199999683</v>
      </c>
      <c r="W69" s="286">
        <f>+'Local Government_int'!W69</f>
        <v>2.6715261359112896E-3</v>
      </c>
      <c r="X69" s="84"/>
      <c r="Y69" s="84"/>
      <c r="Z69" s="84"/>
      <c r="AA69" s="84"/>
      <c r="AB69" s="84"/>
      <c r="AC69" s="84"/>
      <c r="AD69" s="84"/>
      <c r="AE69" s="84"/>
      <c r="AF69" s="56"/>
      <c r="AG69" s="56"/>
      <c r="AH69" s="56"/>
      <c r="AI69" s="56"/>
      <c r="AJ69" s="56"/>
      <c r="AK69" s="57"/>
      <c r="AL69" s="57"/>
      <c r="AM69" s="157"/>
      <c r="AN69" s="1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7"/>
      <c r="CA69" s="57"/>
      <c r="CB69" s="57"/>
      <c r="CC69" s="57"/>
      <c r="CD69" s="57"/>
      <c r="CE69" s="57"/>
      <c r="CF69" s="57"/>
      <c r="CG69" s="57"/>
      <c r="CH69" s="57"/>
      <c r="CI69" s="57"/>
      <c r="CJ69" s="57"/>
      <c r="CK69" s="57"/>
      <c r="CL69" s="57"/>
      <c r="CM69" s="57"/>
      <c r="CN69" s="57"/>
      <c r="CO69" s="57"/>
      <c r="CP69" s="57"/>
      <c r="CQ69" s="57"/>
      <c r="CR69" s="57"/>
      <c r="CS69" s="57"/>
      <c r="CT69" s="57"/>
      <c r="CU69" s="57"/>
      <c r="CV69" s="57"/>
      <c r="CW69" s="57"/>
      <c r="CX69" s="57"/>
      <c r="CY69" s="57"/>
      <c r="CZ69" s="57"/>
      <c r="DA69" s="57"/>
      <c r="DB69" s="57"/>
      <c r="DC69" s="57"/>
      <c r="DD69" s="57"/>
      <c r="DE69" s="57"/>
      <c r="DF69" s="57"/>
      <c r="DG69" s="57"/>
      <c r="DH69" s="57"/>
      <c r="DI69" s="57"/>
      <c r="DJ69" s="57"/>
      <c r="DK69" s="57"/>
      <c r="DL69" s="57"/>
      <c r="DM69" s="57"/>
      <c r="DN69" s="57"/>
      <c r="DO69" s="57"/>
      <c r="DP69" s="57"/>
      <c r="DQ69" s="57"/>
      <c r="DR69" s="57"/>
      <c r="DS69" s="57"/>
      <c r="DT69" s="57"/>
      <c r="DU69" s="52"/>
      <c r="DV69" s="52"/>
      <c r="DW69" s="52"/>
      <c r="DX69" s="52"/>
      <c r="DY69" s="52"/>
      <c r="DZ69" s="52"/>
      <c r="EA69" s="52"/>
      <c r="EB69" s="52"/>
      <c r="EC69" s="52"/>
      <c r="ED69" s="52"/>
      <c r="EE69" s="52"/>
      <c r="EF69" s="52"/>
      <c r="EG69" s="52"/>
      <c r="EH69" s="52"/>
      <c r="EI69" s="52"/>
      <c r="EJ69" s="52"/>
    </row>
    <row r="70" spans="1:140" s="21" customFormat="1" ht="15" customHeight="1">
      <c r="A70" s="81"/>
      <c r="B70" s="81"/>
      <c r="C70" s="196" t="str">
        <f>IF(MasterSheet!$A$1=1,MasterSheet!C212,MasterSheet!B212)</f>
        <v>Kamate</v>
      </c>
      <c r="D70" s="190">
        <f>+'Local Government_int'!D70</f>
        <v>455669.44</v>
      </c>
      <c r="E70" s="191">
        <f>+'Local Government_int'!E70</f>
        <v>2.1204776397226489E-2</v>
      </c>
      <c r="F70" s="190">
        <f>+'Local Government_int'!F70</f>
        <v>836173.69</v>
      </c>
      <c r="G70" s="191">
        <f>+'Local Government_int'!G70</f>
        <v>3.1194690915873902E-2</v>
      </c>
      <c r="H70" s="190">
        <f>+'Local Government_int'!H70</f>
        <v>1273698.22</v>
      </c>
      <c r="I70" s="191">
        <f>+'Local Government_int'!I70</f>
        <v>4.1278785973554576E-2</v>
      </c>
      <c r="J70" s="190">
        <f>+'Local Government_int'!J70</f>
        <v>1010709.4</v>
      </c>
      <c r="K70" s="191">
        <f>+'Local Government_int'!K70</f>
        <v>3.3905045286816503E-2</v>
      </c>
      <c r="L70" s="190">
        <f>+'Local Government_int'!L70</f>
        <v>1150000</v>
      </c>
      <c r="M70" s="191">
        <f>+'Local Government_int'!M70</f>
        <v>3.7048969072164949E-2</v>
      </c>
      <c r="N70" s="190">
        <f>+'Local Government_int'!N70</f>
        <v>2510915.6800000002</v>
      </c>
      <c r="O70" s="191">
        <f>+'Local Government_int'!O70</f>
        <v>7.7641177489177496E-2</v>
      </c>
      <c r="P70" s="285">
        <f>+'Local Government_int'!P70</f>
        <v>2860462.2</v>
      </c>
      <c r="Q70" s="286">
        <f>+'Local Government_int'!Q70</f>
        <v>9.0837161003493178E-2</v>
      </c>
      <c r="R70" s="285">
        <f>+'Local Government_int'!R70</f>
        <v>3919955.4450000003</v>
      </c>
      <c r="S70" s="286">
        <f>+'Local Government_int'!S70</f>
        <v>0.1114573626670458</v>
      </c>
      <c r="T70" s="285">
        <f>+'Local Government_int'!T70</f>
        <v>3998354.5539000002</v>
      </c>
      <c r="U70" s="287">
        <f>+'Local Government_int'!U70</f>
        <v>0.1136865099203867</v>
      </c>
      <c r="V70" s="282">
        <f>+'Local Government_int'!V70</f>
        <v>78399.108899999876</v>
      </c>
      <c r="W70" s="286">
        <f>+'Local Government_int'!W70</f>
        <v>2.2291472533409046E-3</v>
      </c>
      <c r="X70" s="84"/>
      <c r="Y70" s="84"/>
      <c r="Z70" s="84"/>
      <c r="AA70" s="84"/>
      <c r="AB70" s="84"/>
      <c r="AC70" s="84"/>
      <c r="AD70" s="84"/>
      <c r="AE70" s="84"/>
      <c r="AF70" s="56"/>
      <c r="AG70" s="56"/>
      <c r="AH70" s="56"/>
      <c r="AI70" s="56"/>
      <c r="AJ70" s="56"/>
      <c r="AK70" s="57"/>
      <c r="AL70" s="57"/>
      <c r="AM70" s="157"/>
      <c r="AN70" s="1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7"/>
      <c r="CA70" s="57"/>
      <c r="CB70" s="57"/>
      <c r="CC70" s="57"/>
      <c r="CD70" s="57"/>
      <c r="CE70" s="57"/>
      <c r="CF70" s="57"/>
      <c r="CG70" s="57"/>
      <c r="CH70" s="57"/>
      <c r="CI70" s="57"/>
      <c r="CJ70" s="57"/>
      <c r="CK70" s="57"/>
      <c r="CL70" s="57"/>
      <c r="CM70" s="57"/>
      <c r="CN70" s="57"/>
      <c r="CO70" s="57"/>
      <c r="CP70" s="57"/>
      <c r="CQ70" s="57"/>
      <c r="CR70" s="57"/>
      <c r="CS70" s="57"/>
      <c r="CT70" s="57"/>
      <c r="CU70" s="57"/>
      <c r="CV70" s="57"/>
      <c r="CW70" s="57"/>
      <c r="CX70" s="57"/>
      <c r="CY70" s="57"/>
      <c r="CZ70" s="57"/>
      <c r="DA70" s="57"/>
      <c r="DB70" s="57"/>
      <c r="DC70" s="57"/>
      <c r="DD70" s="57"/>
      <c r="DE70" s="57"/>
      <c r="DF70" s="57"/>
      <c r="DG70" s="57"/>
      <c r="DH70" s="57"/>
      <c r="DI70" s="57"/>
      <c r="DJ70" s="57"/>
      <c r="DK70" s="57"/>
      <c r="DL70" s="57"/>
      <c r="DM70" s="57"/>
      <c r="DN70" s="57"/>
      <c r="DO70" s="57"/>
      <c r="DP70" s="57"/>
      <c r="DQ70" s="57"/>
      <c r="DR70" s="57"/>
      <c r="DS70" s="57"/>
      <c r="DT70" s="57"/>
      <c r="DU70" s="52"/>
      <c r="DV70" s="52"/>
      <c r="DW70" s="52"/>
      <c r="DX70" s="52"/>
      <c r="DY70" s="52"/>
      <c r="DZ70" s="52"/>
      <c r="EA70" s="52"/>
      <c r="EB70" s="52"/>
      <c r="EC70" s="52"/>
      <c r="ED70" s="52"/>
      <c r="EE70" s="52"/>
      <c r="EF70" s="52"/>
      <c r="EG70" s="52"/>
      <c r="EH70" s="52"/>
      <c r="EI70" s="52"/>
      <c r="EJ70" s="52"/>
    </row>
    <row r="71" spans="1:140" s="21" customFormat="1" ht="15" customHeight="1">
      <c r="A71" s="81"/>
      <c r="B71" s="81"/>
      <c r="C71" s="196" t="str">
        <f>IF(MasterSheet!$A$1=1,MasterSheet!C213,MasterSheet!B213)</f>
        <v>Renta</v>
      </c>
      <c r="D71" s="190">
        <f>+'Local Government_int'!D71</f>
        <v>422746.26</v>
      </c>
      <c r="E71" s="191">
        <f>+'Local Government_int'!E71</f>
        <v>1.9672681837219042E-2</v>
      </c>
      <c r="F71" s="190">
        <f>+'Local Government_int'!F71</f>
        <v>681936.29</v>
      </c>
      <c r="G71" s="191">
        <f>+'Local Government_int'!G71</f>
        <v>2.5440637567617982E-2</v>
      </c>
      <c r="H71" s="190">
        <f>+'Local Government_int'!H71</f>
        <v>813077.09</v>
      </c>
      <c r="I71" s="191">
        <f>+'Local Government_int'!I71</f>
        <v>2.6350696460980035E-2</v>
      </c>
      <c r="J71" s="190">
        <f>+'Local Government_int'!J71</f>
        <v>729952.59</v>
      </c>
      <c r="K71" s="191">
        <f>+'Local Government_int'!K71</f>
        <v>2.4486836296544783E-2</v>
      </c>
      <c r="L71" s="190">
        <f>+'Local Government_int'!L71</f>
        <v>570000</v>
      </c>
      <c r="M71" s="191">
        <f>+'Local Government_int'!M71</f>
        <v>1.8363402061855671E-2</v>
      </c>
      <c r="N71" s="190">
        <f>+'Local Government_int'!N71</f>
        <v>330969.98</v>
      </c>
      <c r="O71" s="191">
        <f>+'Local Government_int'!O71</f>
        <v>1.0234074829931973E-2</v>
      </c>
      <c r="P71" s="285">
        <f>+'Local Government_int'!P71</f>
        <v>317175.2</v>
      </c>
      <c r="Q71" s="286">
        <f>+'Local Government_int'!Q71</f>
        <v>1.007225150841537E-2</v>
      </c>
      <c r="R71" s="285">
        <f>+'Local Government_int'!R71</f>
        <v>361752.85499999998</v>
      </c>
      <c r="S71" s="286">
        <f>+'Local Government_int'!S71</f>
        <v>1.0285836081887972E-2</v>
      </c>
      <c r="T71" s="285">
        <f>+'Local Government_int'!T71</f>
        <v>368987.91210000002</v>
      </c>
      <c r="U71" s="287">
        <f>+'Local Government_int'!U71</f>
        <v>1.0491552803525733E-2</v>
      </c>
      <c r="V71" s="282">
        <f>+'Local Government_int'!V71</f>
        <v>7235.0571000000346</v>
      </c>
      <c r="W71" s="286">
        <f>+'Local Government_int'!W71</f>
        <v>2.0571672163776158E-4</v>
      </c>
      <c r="X71" s="84"/>
      <c r="Y71" s="84"/>
      <c r="Z71" s="84"/>
      <c r="AA71" s="84"/>
      <c r="AB71" s="84"/>
      <c r="AC71" s="84"/>
      <c r="AD71" s="84"/>
      <c r="AE71" s="84"/>
      <c r="AF71" s="56"/>
      <c r="AG71" s="56"/>
      <c r="AH71" s="56"/>
      <c r="AI71" s="56"/>
      <c r="AJ71" s="56"/>
      <c r="AK71" s="57"/>
      <c r="AL71" s="57"/>
      <c r="AM71" s="157"/>
      <c r="AN71" s="1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7"/>
      <c r="CA71" s="57"/>
      <c r="CB71" s="57"/>
      <c r="CC71" s="57"/>
      <c r="CD71" s="57"/>
      <c r="CE71" s="57"/>
      <c r="CF71" s="57"/>
      <c r="CG71" s="57"/>
      <c r="CH71" s="57"/>
      <c r="CI71" s="57"/>
      <c r="CJ71" s="57"/>
      <c r="CK71" s="57"/>
      <c r="CL71" s="57"/>
      <c r="CM71" s="57"/>
      <c r="CN71" s="57"/>
      <c r="CO71" s="57"/>
      <c r="CP71" s="57"/>
      <c r="CQ71" s="57"/>
      <c r="CR71" s="57"/>
      <c r="CS71" s="57"/>
      <c r="CT71" s="57"/>
      <c r="CU71" s="57"/>
      <c r="CV71" s="57"/>
      <c r="CW71" s="57"/>
      <c r="CX71" s="57"/>
      <c r="CY71" s="57"/>
      <c r="CZ71" s="57"/>
      <c r="DA71" s="57"/>
      <c r="DB71" s="57"/>
      <c r="DC71" s="57"/>
      <c r="DD71" s="57"/>
      <c r="DE71" s="57"/>
      <c r="DF71" s="57"/>
      <c r="DG71" s="57"/>
      <c r="DH71" s="57"/>
      <c r="DI71" s="57"/>
      <c r="DJ71" s="57"/>
      <c r="DK71" s="57"/>
      <c r="DL71" s="57"/>
      <c r="DM71" s="57"/>
      <c r="DN71" s="57"/>
      <c r="DO71" s="57"/>
      <c r="DP71" s="57"/>
      <c r="DQ71" s="57"/>
      <c r="DR71" s="57"/>
      <c r="DS71" s="57"/>
      <c r="DT71" s="57"/>
      <c r="DU71" s="52"/>
      <c r="DV71" s="52"/>
      <c r="DW71" s="52"/>
      <c r="DX71" s="52"/>
      <c r="DY71" s="52"/>
      <c r="DZ71" s="52"/>
      <c r="EA71" s="52"/>
      <c r="EB71" s="52"/>
      <c r="EC71" s="52"/>
      <c r="ED71" s="52"/>
      <c r="EE71" s="52"/>
      <c r="EF71" s="52"/>
      <c r="EG71" s="52"/>
      <c r="EH71" s="52"/>
      <c r="EI71" s="52"/>
      <c r="EJ71" s="52"/>
    </row>
    <row r="72" spans="1:140" s="21" customFormat="1" ht="15" customHeight="1">
      <c r="A72" s="81"/>
      <c r="B72" s="81"/>
      <c r="C72" s="196" t="str">
        <f>IF(MasterSheet!$A$1=1,MasterSheet!C214,MasterSheet!B214)</f>
        <v>Subvencije</v>
      </c>
      <c r="D72" s="190">
        <f>+'Local Government_int'!D72</f>
        <v>535086.44999999995</v>
      </c>
      <c r="E72" s="191">
        <f>+'Local Government_int'!E72</f>
        <v>2.4900481641770205E-2</v>
      </c>
      <c r="F72" s="190">
        <f>+'Local Government_int'!F72</f>
        <v>797354.68</v>
      </c>
      <c r="G72" s="191">
        <f>+'Local Government_int'!G72</f>
        <v>2.974649058011565E-2</v>
      </c>
      <c r="H72" s="190">
        <f>+'Local Government_int'!H72</f>
        <v>1547180</v>
      </c>
      <c r="I72" s="191">
        <f>+'Local Government_int'!I72</f>
        <v>5.0141949701840813E-2</v>
      </c>
      <c r="J72" s="190">
        <f>+'Local Government_int'!J72</f>
        <v>1131782.23</v>
      </c>
      <c r="K72" s="191">
        <f>+'Local Government_int'!K72</f>
        <v>3.7966529017108348E-2</v>
      </c>
      <c r="L72" s="190">
        <f>+'Local Government_int'!L72</f>
        <v>750000</v>
      </c>
      <c r="M72" s="191">
        <f>+'Local Government_int'!M72</f>
        <v>2.4162371134020619E-2</v>
      </c>
      <c r="N72" s="190">
        <f>+'Local Government_int'!N72</f>
        <v>952860</v>
      </c>
      <c r="O72" s="191">
        <f>+'Local Government_int'!O72</f>
        <v>2.946382189239332E-2</v>
      </c>
      <c r="P72" s="285">
        <f>+'Local Government_int'!P72</f>
        <v>754203.5</v>
      </c>
      <c r="Q72" s="286">
        <f>+'Local Government_int'!Q72</f>
        <v>2.3950571610034933E-2</v>
      </c>
      <c r="R72" s="285">
        <f>+'Local Government_int'!R72</f>
        <v>701490.13350000011</v>
      </c>
      <c r="S72" s="286">
        <f>+'Local Government_int'!S72</f>
        <v>1.9945696147284621E-2</v>
      </c>
      <c r="T72" s="285">
        <f>+'Local Government_int'!T72</f>
        <v>715519.93617000012</v>
      </c>
      <c r="U72" s="287">
        <f>+'Local Government_int'!U72</f>
        <v>2.0344610070230314E-2</v>
      </c>
      <c r="V72" s="282">
        <f>+'Local Government_int'!V72</f>
        <v>14029.802670000005</v>
      </c>
      <c r="W72" s="286">
        <f>+'Local Government_int'!W72</f>
        <v>3.9891392294569283E-4</v>
      </c>
      <c r="X72" s="84"/>
      <c r="Y72" s="84"/>
      <c r="Z72" s="84"/>
      <c r="AA72" s="84"/>
      <c r="AB72" s="84"/>
      <c r="AC72" s="84"/>
      <c r="AD72" s="84"/>
      <c r="AE72" s="84"/>
      <c r="AF72" s="56"/>
      <c r="AG72" s="56"/>
      <c r="AH72" s="56"/>
      <c r="AI72" s="56"/>
      <c r="AJ72" s="56"/>
      <c r="AK72" s="57"/>
      <c r="AL72" s="57"/>
      <c r="AM72" s="157"/>
      <c r="AN72" s="1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  <c r="CM72" s="57"/>
      <c r="CN72" s="57"/>
      <c r="CO72" s="57"/>
      <c r="CP72" s="57"/>
      <c r="CQ72" s="57"/>
      <c r="CR72" s="57"/>
      <c r="CS72" s="57"/>
      <c r="CT72" s="57"/>
      <c r="CU72" s="57"/>
      <c r="CV72" s="57"/>
      <c r="CW72" s="57"/>
      <c r="CX72" s="57"/>
      <c r="CY72" s="57"/>
      <c r="CZ72" s="57"/>
      <c r="DA72" s="57"/>
      <c r="DB72" s="57"/>
      <c r="DC72" s="57"/>
      <c r="DD72" s="57"/>
      <c r="DE72" s="57"/>
      <c r="DF72" s="57"/>
      <c r="DG72" s="57"/>
      <c r="DH72" s="57"/>
      <c r="DI72" s="57"/>
      <c r="DJ72" s="57"/>
      <c r="DK72" s="57"/>
      <c r="DL72" s="57"/>
      <c r="DM72" s="57"/>
      <c r="DN72" s="57"/>
      <c r="DO72" s="57"/>
      <c r="DP72" s="57"/>
      <c r="DQ72" s="57"/>
      <c r="DR72" s="57"/>
      <c r="DS72" s="57"/>
      <c r="DT72" s="57"/>
      <c r="DU72" s="52"/>
      <c r="DV72" s="52"/>
      <c r="DW72" s="52"/>
      <c r="DX72" s="52"/>
      <c r="DY72" s="52"/>
      <c r="DZ72" s="52"/>
      <c r="EA72" s="52"/>
      <c r="EB72" s="52"/>
      <c r="EC72" s="52"/>
      <c r="ED72" s="52"/>
      <c r="EE72" s="52"/>
      <c r="EF72" s="52"/>
      <c r="EG72" s="52"/>
      <c r="EH72" s="52"/>
      <c r="EI72" s="52"/>
      <c r="EJ72" s="52"/>
    </row>
    <row r="73" spans="1:140" s="21" customFormat="1" ht="15" customHeight="1">
      <c r="A73" s="81"/>
      <c r="B73" s="81"/>
      <c r="C73" s="196" t="str">
        <f>IF(MasterSheet!$A$1=1,MasterSheet!C215,MasterSheet!B215)</f>
        <v>Ostali izdaci</v>
      </c>
      <c r="D73" s="190">
        <f>+'Local Government_int'!D73</f>
        <v>1240417.81</v>
      </c>
      <c r="E73" s="191">
        <f>+'Local Government_int'!E73</f>
        <v>5.772338452231375E-2</v>
      </c>
      <c r="F73" s="190">
        <f>+'Local Government_int'!F73</f>
        <v>2013836.12</v>
      </c>
      <c r="G73" s="191">
        <f>+'Local Government_int'!G73</f>
        <v>7.5129122178698007E-2</v>
      </c>
      <c r="H73" s="190">
        <f>+'Local Government_int'!H73</f>
        <v>4566368.7615</v>
      </c>
      <c r="I73" s="191">
        <f>+'Local Government_int'!I73</f>
        <v>0.14798965392468239</v>
      </c>
      <c r="J73" s="190">
        <f>+'Local Government_int'!J73</f>
        <v>833178.99</v>
      </c>
      <c r="K73" s="191">
        <f>+'Local Government_int'!K73</f>
        <v>2.7949647433747064E-2</v>
      </c>
      <c r="L73" s="190">
        <f>+'Local Government_int'!L73</f>
        <v>980000</v>
      </c>
      <c r="M73" s="191">
        <f>+'Local Government_int'!M73</f>
        <v>3.1572164948453607E-2</v>
      </c>
      <c r="N73" s="190">
        <f>+'Local Government_int'!N73</f>
        <v>1230492.5799999998</v>
      </c>
      <c r="O73" s="191">
        <f>+'Local Government_int'!O73</f>
        <v>3.8048626468769324E-2</v>
      </c>
      <c r="P73" s="285">
        <f>+'Local Government_int'!P73</f>
        <v>842778.14999999991</v>
      </c>
      <c r="Q73" s="286">
        <f>+'Local Government_int'!Q73</f>
        <v>2.6763358208955222E-2</v>
      </c>
      <c r="R73" s="285">
        <f>+'Local Government_int'!R73</f>
        <v>1022571.777</v>
      </c>
      <c r="S73" s="286">
        <f>+'Local Government_int'!S73</f>
        <v>2.9075114500995165E-2</v>
      </c>
      <c r="T73" s="285">
        <f>+'Local Government_int'!T73</f>
        <v>1043023.21254</v>
      </c>
      <c r="U73" s="287">
        <f>+'Local Government_int'!U73</f>
        <v>2.965661679101507E-2</v>
      </c>
      <c r="V73" s="282">
        <f>+'Local Government_int'!V73</f>
        <v>20451.435539999977</v>
      </c>
      <c r="W73" s="286">
        <f>+'Local Government_int'!W73</f>
        <v>5.8150229001990503E-4</v>
      </c>
      <c r="X73" s="81"/>
      <c r="Y73" s="81"/>
      <c r="Z73" s="81"/>
      <c r="AA73" s="81"/>
      <c r="AB73" s="81"/>
      <c r="AC73" s="81"/>
      <c r="AD73" s="81"/>
      <c r="AE73" s="81"/>
      <c r="AF73" s="52"/>
      <c r="AG73" s="52"/>
      <c r="AH73" s="52"/>
      <c r="AI73" s="52"/>
      <c r="AJ73" s="52"/>
      <c r="AK73" s="57"/>
      <c r="AL73" s="57"/>
      <c r="AM73" s="157"/>
      <c r="AN73" s="1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7"/>
      <c r="CA73" s="57"/>
      <c r="CB73" s="57"/>
      <c r="CC73" s="57"/>
      <c r="CD73" s="57"/>
      <c r="CE73" s="57"/>
      <c r="CF73" s="57"/>
      <c r="CG73" s="57"/>
      <c r="CH73" s="57"/>
      <c r="CI73" s="57"/>
      <c r="CJ73" s="57"/>
      <c r="CK73" s="57"/>
      <c r="CL73" s="57"/>
      <c r="CM73" s="57"/>
      <c r="CN73" s="57"/>
      <c r="CO73" s="57"/>
      <c r="CP73" s="57"/>
      <c r="CQ73" s="57"/>
      <c r="CR73" s="57"/>
      <c r="CS73" s="57"/>
      <c r="CT73" s="57"/>
      <c r="CU73" s="57"/>
      <c r="CV73" s="57"/>
      <c r="CW73" s="57"/>
      <c r="CX73" s="57"/>
      <c r="CY73" s="57"/>
      <c r="CZ73" s="57"/>
      <c r="DA73" s="57"/>
      <c r="DB73" s="57"/>
      <c r="DC73" s="57"/>
      <c r="DD73" s="57"/>
      <c r="DE73" s="57"/>
      <c r="DF73" s="57"/>
      <c r="DG73" s="57"/>
      <c r="DH73" s="57"/>
      <c r="DI73" s="57"/>
      <c r="DJ73" s="57"/>
      <c r="DK73" s="57"/>
      <c r="DL73" s="57"/>
      <c r="DM73" s="57"/>
      <c r="DN73" s="57"/>
      <c r="DO73" s="57"/>
      <c r="DP73" s="57"/>
      <c r="DQ73" s="57"/>
      <c r="DR73" s="57"/>
      <c r="DS73" s="57"/>
      <c r="DT73" s="57"/>
      <c r="DU73" s="52"/>
      <c r="DV73" s="52"/>
      <c r="DW73" s="52"/>
      <c r="DX73" s="52"/>
      <c r="DY73" s="52"/>
      <c r="DZ73" s="52"/>
      <c r="EA73" s="52"/>
      <c r="EB73" s="52"/>
      <c r="EC73" s="52"/>
      <c r="ED73" s="52"/>
      <c r="EE73" s="52"/>
      <c r="EF73" s="52"/>
      <c r="EG73" s="52"/>
      <c r="EH73" s="52"/>
      <c r="EI73" s="52"/>
      <c r="EJ73" s="52"/>
    </row>
    <row r="74" spans="1:140" s="21" customFormat="1" ht="15" customHeight="1">
      <c r="A74" s="81"/>
      <c r="B74" s="81"/>
      <c r="C74" s="196" t="str">
        <f>IF(MasterSheet!$A$1=1,MasterSheet!C216,MasterSheet!B216)</f>
        <v>Transferi za socijalnu zaštitu</v>
      </c>
      <c r="D74" s="190">
        <f>+'Local Government_int'!D74</f>
        <v>285178.90000000002</v>
      </c>
      <c r="E74" s="191">
        <f>+'Local Government_int'!E74</f>
        <v>1.3270924659127928E-2</v>
      </c>
      <c r="F74" s="190">
        <f>+'Local Government_int'!F74</f>
        <v>267122.38</v>
      </c>
      <c r="G74" s="191">
        <f>+'Local Government_int'!G74</f>
        <v>9.9653937698190639E-3</v>
      </c>
      <c r="H74" s="190">
        <f>+'Local Government_int'!H74</f>
        <v>3877000.1</v>
      </c>
      <c r="I74" s="191">
        <f>+'Local Government_int'!I74</f>
        <v>0.125648175395385</v>
      </c>
      <c r="J74" s="190">
        <f>+'Local Government_int'!J74</f>
        <v>604891.49</v>
      </c>
      <c r="K74" s="191">
        <f>+'Local Government_int'!K74</f>
        <v>2.0291562898356257E-2</v>
      </c>
      <c r="L74" s="190">
        <f>+'Local Government_int'!L74</f>
        <v>440000</v>
      </c>
      <c r="M74" s="191">
        <f>+'Local Government_int'!M74</f>
        <v>1.4175257731958763E-2</v>
      </c>
      <c r="N74" s="190">
        <f>+'Local Government_int'!N74</f>
        <v>761932.83999999985</v>
      </c>
      <c r="O74" s="191">
        <f>+'Local Government_int'!O74</f>
        <v>2.3560075448361157E-2</v>
      </c>
      <c r="P74" s="285">
        <f>+'Local Government_int'!P74</f>
        <v>453275.36</v>
      </c>
      <c r="Q74" s="286">
        <f>+'Local Government_int'!Q74</f>
        <v>1.4394263575738329E-2</v>
      </c>
      <c r="R74" s="285">
        <f>+'Local Government_int'!R74</f>
        <v>389678.83500000008</v>
      </c>
      <c r="S74" s="286">
        <f>+'Local Government_int'!S74</f>
        <v>1.1079864515211832E-2</v>
      </c>
      <c r="T74" s="285">
        <f>+'Local Government_int'!T74</f>
        <v>397472.41170000011</v>
      </c>
      <c r="U74" s="287">
        <f>+'Local Government_int'!U74</f>
        <v>1.1301461805516068E-2</v>
      </c>
      <c r="V74" s="285">
        <f>+'Local Government_int'!V74</f>
        <v>7793.5767000000342</v>
      </c>
      <c r="W74" s="286">
        <f>+'Local Government_int'!W74</f>
        <v>2.2159729030423597E-4</v>
      </c>
      <c r="X74" s="81"/>
      <c r="Y74" s="81"/>
      <c r="Z74" s="81"/>
      <c r="AA74" s="81"/>
      <c r="AB74" s="81"/>
      <c r="AC74" s="81"/>
      <c r="AD74" s="81"/>
      <c r="AE74" s="81"/>
      <c r="AF74" s="52"/>
      <c r="AG74" s="52"/>
      <c r="AH74" s="52"/>
      <c r="AI74" s="52"/>
      <c r="AJ74" s="52"/>
      <c r="AK74" s="57"/>
      <c r="AL74" s="57"/>
      <c r="AM74" s="63"/>
      <c r="AN74" s="63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7"/>
      <c r="CJ74" s="57"/>
      <c r="CK74" s="57"/>
      <c r="CL74" s="57"/>
      <c r="CM74" s="57"/>
      <c r="CN74" s="57"/>
      <c r="CO74" s="57"/>
      <c r="CP74" s="57"/>
      <c r="CQ74" s="57"/>
      <c r="CR74" s="57"/>
      <c r="CS74" s="57"/>
      <c r="CT74" s="57"/>
      <c r="CU74" s="57"/>
      <c r="CV74" s="57"/>
      <c r="CW74" s="57"/>
      <c r="CX74" s="57"/>
      <c r="CY74" s="57"/>
      <c r="CZ74" s="57"/>
      <c r="DA74" s="57"/>
      <c r="DB74" s="57"/>
      <c r="DC74" s="57"/>
      <c r="DD74" s="57"/>
      <c r="DE74" s="57"/>
      <c r="DF74" s="57"/>
      <c r="DG74" s="57"/>
      <c r="DH74" s="57"/>
      <c r="DI74" s="57"/>
      <c r="DJ74" s="57"/>
      <c r="DK74" s="57"/>
      <c r="DL74" s="57"/>
      <c r="DM74" s="57"/>
      <c r="DN74" s="57"/>
      <c r="DO74" s="57"/>
      <c r="DP74" s="57"/>
      <c r="DQ74" s="57"/>
      <c r="DR74" s="57"/>
      <c r="DS74" s="57"/>
      <c r="DT74" s="57"/>
      <c r="DU74" s="52"/>
      <c r="DV74" s="52"/>
      <c r="DW74" s="52"/>
      <c r="DX74" s="52"/>
      <c r="DY74" s="52"/>
      <c r="DZ74" s="52"/>
      <c r="EA74" s="52"/>
      <c r="EB74" s="52"/>
      <c r="EC74" s="52"/>
      <c r="ED74" s="52"/>
      <c r="EE74" s="52"/>
      <c r="EF74" s="52"/>
      <c r="EG74" s="52"/>
      <c r="EH74" s="52"/>
      <c r="EI74" s="52"/>
      <c r="EJ74" s="52"/>
    </row>
    <row r="75" spans="1:140" s="21" customFormat="1" ht="15" customHeight="1">
      <c r="A75" s="81"/>
      <c r="B75" s="81"/>
      <c r="C75" s="195" t="str">
        <f>IF(MasterSheet!$A$1=1,MasterSheet!C217,MasterSheet!B217)</f>
        <v>Prava iz oblasti socijalne zaštite</v>
      </c>
      <c r="D75" s="190">
        <f>+'Local Government_int'!D75</f>
        <v>254133.9</v>
      </c>
      <c r="E75" s="187">
        <f>+'Local Government_int'!E75</f>
        <v>1.182623202568756E-2</v>
      </c>
      <c r="F75" s="190">
        <f>+'Local Government_int'!F75</f>
        <v>195543.38</v>
      </c>
      <c r="G75" s="187">
        <f>+'Local Government_int'!G75</f>
        <v>7.2950337623577692E-3</v>
      </c>
      <c r="H75" s="186">
        <f>+'Local Government_int'!H75</f>
        <v>3801208.7</v>
      </c>
      <c r="I75" s="187">
        <f>+'Local Government_int'!I75</f>
        <v>0.12319188164376459</v>
      </c>
      <c r="J75" s="186">
        <f>+'Local Government_int'!J75</f>
        <v>549056.49</v>
      </c>
      <c r="K75" s="187">
        <f>+'Local Government_int'!K75</f>
        <v>1.8418533713518953E-2</v>
      </c>
      <c r="L75" s="190">
        <f>+'Local Government_int'!L75</f>
        <v>0</v>
      </c>
      <c r="M75" s="187">
        <f>+'Local Government_int'!M75</f>
        <v>0</v>
      </c>
      <c r="N75" s="186">
        <f>+'Local Government_int'!N75</f>
        <v>761932.83999999985</v>
      </c>
      <c r="O75" s="187">
        <f>+'Local Government_int'!O75</f>
        <v>2.3560075448361157E-2</v>
      </c>
      <c r="P75" s="282">
        <f>+'Local Government_int'!P75</f>
        <v>453275.36</v>
      </c>
      <c r="Q75" s="283">
        <f>+'Local Government_int'!Q75</f>
        <v>1.4394263575738329E-2</v>
      </c>
      <c r="R75" s="282">
        <f>+'Local Government_int'!R75</f>
        <v>389678.83500000008</v>
      </c>
      <c r="S75" s="283">
        <f>+'Local Government_int'!S75</f>
        <v>1.1079864515211832E-2</v>
      </c>
      <c r="T75" s="282">
        <f>+'Local Government_int'!T75</f>
        <v>397472.41170000011</v>
      </c>
      <c r="U75" s="284">
        <f>+'Local Government_int'!U75</f>
        <v>1.1301461805516068E-2</v>
      </c>
      <c r="V75" s="282">
        <f>+'Local Government_int'!V75</f>
        <v>7793.5767000000342</v>
      </c>
      <c r="W75" s="283">
        <f>+'Local Government_int'!W75</f>
        <v>2.2159729030423597E-4</v>
      </c>
      <c r="X75" s="84"/>
      <c r="Y75" s="84"/>
      <c r="Z75" s="84"/>
      <c r="AA75" s="84"/>
      <c r="AB75" s="84"/>
      <c r="AC75" s="84"/>
      <c r="AD75" s="84"/>
      <c r="AE75" s="84"/>
      <c r="AF75" s="56"/>
      <c r="AG75" s="56"/>
      <c r="AH75" s="56"/>
      <c r="AI75" s="56"/>
      <c r="AJ75" s="56"/>
      <c r="AK75" s="57"/>
      <c r="AL75" s="57"/>
      <c r="AM75" s="157"/>
      <c r="AN75" s="1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7"/>
      <c r="CK75" s="57"/>
      <c r="CL75" s="57"/>
      <c r="CM75" s="57"/>
      <c r="CN75" s="57"/>
      <c r="CO75" s="57"/>
      <c r="CP75" s="57"/>
      <c r="CQ75" s="57"/>
      <c r="CR75" s="57"/>
      <c r="CS75" s="57"/>
      <c r="CT75" s="57"/>
      <c r="CU75" s="57"/>
      <c r="CV75" s="57"/>
      <c r="CW75" s="57"/>
      <c r="CX75" s="57"/>
      <c r="CY75" s="57"/>
      <c r="CZ75" s="57"/>
      <c r="DA75" s="57"/>
      <c r="DB75" s="57"/>
      <c r="DC75" s="57"/>
      <c r="DD75" s="57"/>
      <c r="DE75" s="57"/>
      <c r="DF75" s="57"/>
      <c r="DG75" s="57"/>
      <c r="DH75" s="57"/>
      <c r="DI75" s="57"/>
      <c r="DJ75" s="57"/>
      <c r="DK75" s="57"/>
      <c r="DL75" s="57"/>
      <c r="DM75" s="57"/>
      <c r="DN75" s="57"/>
      <c r="DO75" s="57"/>
      <c r="DP75" s="57"/>
      <c r="DQ75" s="57"/>
      <c r="DR75" s="57"/>
      <c r="DS75" s="57"/>
      <c r="DT75" s="57"/>
      <c r="DU75" s="52"/>
      <c r="DV75" s="52"/>
      <c r="DW75" s="52"/>
      <c r="DX75" s="52"/>
      <c r="DY75" s="52"/>
      <c r="DZ75" s="52"/>
      <c r="EA75" s="52"/>
      <c r="EB75" s="52"/>
      <c r="EC75" s="52"/>
      <c r="ED75" s="52"/>
      <c r="EE75" s="52"/>
      <c r="EF75" s="52"/>
      <c r="EG75" s="52"/>
      <c r="EH75" s="52"/>
      <c r="EI75" s="52"/>
      <c r="EJ75" s="52"/>
    </row>
    <row r="76" spans="1:140" s="21" customFormat="1" ht="15" customHeight="1">
      <c r="A76" s="81"/>
      <c r="B76" s="81"/>
      <c r="C76" s="195" t="str">
        <f>IF(MasterSheet!$A$1=1,MasterSheet!C218,MasterSheet!B218)</f>
        <v>Sredstva za tehnološke viškove</v>
      </c>
      <c r="D76" s="186">
        <f>+'Local Government_int'!D76</f>
        <v>31045</v>
      </c>
      <c r="E76" s="187">
        <f>+'Local Government_int'!E76</f>
        <v>1.4446926334403649E-3</v>
      </c>
      <c r="F76" s="186">
        <f>+'Local Government_int'!F76</f>
        <v>71579</v>
      </c>
      <c r="G76" s="187">
        <f>+'Local Government_int'!G76</f>
        <v>2.6703600074612947E-3</v>
      </c>
      <c r="H76" s="186">
        <f>+'Local Government_int'!H76</f>
        <v>75791.399999999994</v>
      </c>
      <c r="I76" s="187">
        <f>+'Local Government_int'!I76</f>
        <v>2.4562937516204304E-3</v>
      </c>
      <c r="J76" s="186">
        <f>+'Local Government_int'!J76</f>
        <v>55835</v>
      </c>
      <c r="K76" s="187">
        <f>+'Local Government_int'!K76</f>
        <v>1.873029184837303E-3</v>
      </c>
      <c r="L76" s="186">
        <f>+'Local Government_int'!L76</f>
        <v>440000</v>
      </c>
      <c r="M76" s="187">
        <f>+'Local Government_int'!M76</f>
        <v>1.4175257731958763E-2</v>
      </c>
      <c r="N76" s="186">
        <f>+'Local Government_int'!N76</f>
        <v>0</v>
      </c>
      <c r="O76" s="187">
        <f>+'Local Government_int'!O76</f>
        <v>0</v>
      </c>
      <c r="P76" s="282">
        <f>+'Local Government_int'!P76</f>
        <v>0</v>
      </c>
      <c r="Q76" s="283">
        <f>+'Local Government_int'!Q76</f>
        <v>0</v>
      </c>
      <c r="R76" s="282">
        <f>+'Local Government_int'!R76</f>
        <v>0</v>
      </c>
      <c r="S76" s="283">
        <f>+'Local Government_int'!S76</f>
        <v>0</v>
      </c>
      <c r="T76" s="282">
        <f>+'Local Government_int'!T76</f>
        <v>0</v>
      </c>
      <c r="U76" s="284">
        <f>+'Local Government_int'!U76</f>
        <v>0</v>
      </c>
      <c r="V76" s="282">
        <f>+'Local Government_int'!V76</f>
        <v>0</v>
      </c>
      <c r="W76" s="283">
        <f>+'Local Government_int'!W76</f>
        <v>0</v>
      </c>
      <c r="X76" s="84"/>
      <c r="Y76" s="84"/>
      <c r="Z76" s="84"/>
      <c r="AA76" s="84"/>
      <c r="AB76" s="84"/>
      <c r="AC76" s="84"/>
      <c r="AD76" s="84"/>
      <c r="AE76" s="84"/>
      <c r="AF76" s="56"/>
      <c r="AG76" s="56"/>
      <c r="AH76" s="56"/>
      <c r="AI76" s="56"/>
      <c r="AJ76" s="56"/>
      <c r="AK76" s="57"/>
      <c r="AL76" s="57"/>
      <c r="AM76" s="157"/>
      <c r="AN76" s="1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7"/>
      <c r="CA76" s="57"/>
      <c r="CB76" s="57"/>
      <c r="CC76" s="57"/>
      <c r="CD76" s="57"/>
      <c r="CE76" s="57"/>
      <c r="CF76" s="57"/>
      <c r="CG76" s="57"/>
      <c r="CH76" s="57"/>
      <c r="CI76" s="57"/>
      <c r="CJ76" s="57"/>
      <c r="CK76" s="57"/>
      <c r="CL76" s="57"/>
      <c r="CM76" s="57"/>
      <c r="CN76" s="57"/>
      <c r="CO76" s="57"/>
      <c r="CP76" s="57"/>
      <c r="CQ76" s="57"/>
      <c r="CR76" s="57"/>
      <c r="CS76" s="57"/>
      <c r="CT76" s="57"/>
      <c r="CU76" s="57"/>
      <c r="CV76" s="57"/>
      <c r="CW76" s="57"/>
      <c r="CX76" s="57"/>
      <c r="CY76" s="57"/>
      <c r="CZ76" s="57"/>
      <c r="DA76" s="57"/>
      <c r="DB76" s="57"/>
      <c r="DC76" s="57"/>
      <c r="DD76" s="57"/>
      <c r="DE76" s="57"/>
      <c r="DF76" s="57"/>
      <c r="DG76" s="57"/>
      <c r="DH76" s="57"/>
      <c r="DI76" s="57"/>
      <c r="DJ76" s="57"/>
      <c r="DK76" s="57"/>
      <c r="DL76" s="57"/>
      <c r="DM76" s="57"/>
      <c r="DN76" s="57"/>
      <c r="DO76" s="57"/>
      <c r="DP76" s="57"/>
      <c r="DQ76" s="57"/>
      <c r="DR76" s="57"/>
      <c r="DS76" s="57"/>
      <c r="DT76" s="57"/>
      <c r="DU76" s="52"/>
      <c r="DV76" s="52"/>
      <c r="DW76" s="52"/>
      <c r="DX76" s="52"/>
      <c r="DY76" s="52"/>
      <c r="DZ76" s="52"/>
      <c r="EA76" s="52"/>
      <c r="EB76" s="52"/>
      <c r="EC76" s="52"/>
      <c r="ED76" s="52"/>
      <c r="EE76" s="52"/>
      <c r="EF76" s="52"/>
      <c r="EG76" s="52"/>
      <c r="EH76" s="52"/>
      <c r="EI76" s="52"/>
      <c r="EJ76" s="52"/>
    </row>
    <row r="77" spans="1:140" s="21" customFormat="1" ht="15" customHeight="1">
      <c r="A77" s="81"/>
      <c r="B77" s="81"/>
      <c r="C77" s="195" t="str">
        <f>IF(MasterSheet!$A$1=1,MasterSheet!C219,MasterSheet!B219)</f>
        <v>Prava iz oblasti penzijskog i invalidskog osiguranja</v>
      </c>
      <c r="D77" s="186">
        <f>+'Local Government_int'!D77</f>
        <v>0</v>
      </c>
      <c r="E77" s="191">
        <f>+'Local Government_int'!E77</f>
        <v>0</v>
      </c>
      <c r="F77" s="186">
        <f>+'Local Government_int'!F77</f>
        <v>0</v>
      </c>
      <c r="G77" s="191">
        <f>+'Local Government_int'!G77</f>
        <v>0</v>
      </c>
      <c r="H77" s="186">
        <f>+'Local Government_int'!H77</f>
        <v>0</v>
      </c>
      <c r="I77" s="191">
        <f>+'Local Government_int'!I77</f>
        <v>0</v>
      </c>
      <c r="J77" s="186">
        <f>+'Local Government_int'!J77</f>
        <v>0</v>
      </c>
      <c r="K77" s="191">
        <f>+'Local Government_int'!K77</f>
        <v>0</v>
      </c>
      <c r="L77" s="186">
        <f>+'Local Government_int'!L77</f>
        <v>0</v>
      </c>
      <c r="M77" s="191">
        <f>+'Local Government_int'!M77</f>
        <v>0</v>
      </c>
      <c r="N77" s="186">
        <f>+'Local Government_int'!N77</f>
        <v>0</v>
      </c>
      <c r="O77" s="191">
        <f>+'Local Government_int'!O77</f>
        <v>0</v>
      </c>
      <c r="P77" s="282">
        <f>+'Local Government_int'!P77</f>
        <v>0</v>
      </c>
      <c r="Q77" s="286">
        <f>+'Local Government_int'!Q77</f>
        <v>0</v>
      </c>
      <c r="R77" s="282">
        <f>+'Local Government_int'!R77</f>
        <v>0</v>
      </c>
      <c r="S77" s="286">
        <f>+'Local Government_int'!S77</f>
        <v>0</v>
      </c>
      <c r="T77" s="282">
        <f>+'Local Government_int'!T77</f>
        <v>0</v>
      </c>
      <c r="U77" s="287">
        <f>+'Local Government_int'!U77</f>
        <v>0</v>
      </c>
      <c r="V77" s="282">
        <f>+'Local Government_int'!V77</f>
        <v>0</v>
      </c>
      <c r="W77" s="286">
        <f>+'Local Government_int'!W77</f>
        <v>0</v>
      </c>
      <c r="X77" s="84"/>
      <c r="Y77" s="84"/>
      <c r="Z77" s="84"/>
      <c r="AA77" s="84"/>
      <c r="AB77" s="84"/>
      <c r="AC77" s="84"/>
      <c r="AD77" s="84"/>
      <c r="AE77" s="84"/>
      <c r="AF77" s="56"/>
      <c r="AG77" s="56"/>
      <c r="AH77" s="56"/>
      <c r="AI77" s="56"/>
      <c r="AJ77" s="56"/>
      <c r="AK77" s="57"/>
      <c r="AL77" s="57"/>
      <c r="AM77" s="157"/>
      <c r="AN77" s="1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57"/>
      <c r="BY77" s="57"/>
      <c r="BZ77" s="57"/>
      <c r="CA77" s="57"/>
      <c r="CB77" s="57"/>
      <c r="CC77" s="57"/>
      <c r="CD77" s="57"/>
      <c r="CE77" s="57"/>
      <c r="CF77" s="57"/>
      <c r="CG77" s="57"/>
      <c r="CH77" s="57"/>
      <c r="CI77" s="57"/>
      <c r="CJ77" s="57"/>
      <c r="CK77" s="57"/>
      <c r="CL77" s="57"/>
      <c r="CM77" s="57"/>
      <c r="CN77" s="57"/>
      <c r="CO77" s="57"/>
      <c r="CP77" s="57"/>
      <c r="CQ77" s="57"/>
      <c r="CR77" s="57"/>
      <c r="CS77" s="57"/>
      <c r="CT77" s="57"/>
      <c r="CU77" s="57"/>
      <c r="CV77" s="57"/>
      <c r="CW77" s="57"/>
      <c r="CX77" s="57"/>
      <c r="CY77" s="57"/>
      <c r="CZ77" s="57"/>
      <c r="DA77" s="57"/>
      <c r="DB77" s="57"/>
      <c r="DC77" s="57"/>
      <c r="DD77" s="57"/>
      <c r="DE77" s="57"/>
      <c r="DF77" s="57"/>
      <c r="DG77" s="57"/>
      <c r="DH77" s="57"/>
      <c r="DI77" s="57"/>
      <c r="DJ77" s="57"/>
      <c r="DK77" s="57"/>
      <c r="DL77" s="57"/>
      <c r="DM77" s="57"/>
      <c r="DN77" s="57"/>
      <c r="DO77" s="57"/>
      <c r="DP77" s="57"/>
      <c r="DQ77" s="57"/>
      <c r="DR77" s="57"/>
      <c r="DS77" s="57"/>
      <c r="DT77" s="57"/>
      <c r="DU77" s="52"/>
      <c r="DV77" s="52"/>
      <c r="DW77" s="52"/>
      <c r="DX77" s="52"/>
      <c r="DY77" s="52"/>
      <c r="DZ77" s="52"/>
      <c r="EA77" s="52"/>
      <c r="EB77" s="52"/>
      <c r="EC77" s="52"/>
      <c r="ED77" s="52"/>
      <c r="EE77" s="52"/>
      <c r="EF77" s="52"/>
      <c r="EG77" s="52"/>
      <c r="EH77" s="52"/>
      <c r="EI77" s="52"/>
      <c r="EJ77" s="52"/>
    </row>
    <row r="78" spans="1:140" s="21" customFormat="1">
      <c r="A78" s="81"/>
      <c r="B78" s="81"/>
      <c r="C78" s="195" t="str">
        <f>IF(MasterSheet!$A$1=1,MasterSheet!C220,MasterSheet!B220)</f>
        <v>Ostala prava iz oblasti zdravstvene zaštite</v>
      </c>
      <c r="D78" s="186">
        <f>+'Local Government_int'!D78</f>
        <v>0</v>
      </c>
      <c r="E78" s="191">
        <f>+'Local Government_int'!E78</f>
        <v>0</v>
      </c>
      <c r="F78" s="186">
        <f>+'Local Government_int'!F78</f>
        <v>0</v>
      </c>
      <c r="G78" s="191">
        <f>+'Local Government_int'!G78</f>
        <v>0</v>
      </c>
      <c r="H78" s="186">
        <f>+'Local Government_int'!H78</f>
        <v>0</v>
      </c>
      <c r="I78" s="191">
        <f>+'Local Government_int'!I78</f>
        <v>0</v>
      </c>
      <c r="J78" s="186">
        <f>+'Local Government_int'!J78</f>
        <v>0</v>
      </c>
      <c r="K78" s="191">
        <f>+'Local Government_int'!K78</f>
        <v>0</v>
      </c>
      <c r="L78" s="186">
        <f>+'Local Government_int'!L78</f>
        <v>0</v>
      </c>
      <c r="M78" s="191">
        <f>+'Local Government_int'!M78</f>
        <v>0</v>
      </c>
      <c r="N78" s="186">
        <f>+'Local Government_int'!N78</f>
        <v>0</v>
      </c>
      <c r="O78" s="191">
        <f>+'Local Government_int'!O78</f>
        <v>0</v>
      </c>
      <c r="P78" s="282">
        <f>+'Local Government_int'!P78</f>
        <v>0</v>
      </c>
      <c r="Q78" s="286">
        <f>+'Local Government_int'!Q78</f>
        <v>0</v>
      </c>
      <c r="R78" s="282">
        <f>+'Local Government_int'!R78</f>
        <v>0</v>
      </c>
      <c r="S78" s="286">
        <f>+'Local Government_int'!S78</f>
        <v>0</v>
      </c>
      <c r="T78" s="282">
        <f>+'Local Government_int'!T78</f>
        <v>0</v>
      </c>
      <c r="U78" s="287">
        <f>+'Local Government_int'!U78</f>
        <v>0</v>
      </c>
      <c r="V78" s="282">
        <f>+'Local Government_int'!V78</f>
        <v>0</v>
      </c>
      <c r="W78" s="286">
        <f>+'Local Government_int'!W78</f>
        <v>0</v>
      </c>
      <c r="X78" s="84"/>
      <c r="Y78" s="84"/>
      <c r="Z78" s="84"/>
      <c r="AA78" s="84"/>
      <c r="AB78" s="84"/>
      <c r="AC78" s="84"/>
      <c r="AD78" s="84"/>
      <c r="AE78" s="84"/>
      <c r="AF78" s="56"/>
      <c r="AG78" s="56"/>
      <c r="AH78" s="56"/>
      <c r="AI78" s="56"/>
      <c r="AJ78" s="56"/>
      <c r="AK78" s="57"/>
      <c r="AL78" s="57"/>
      <c r="AM78" s="157"/>
      <c r="AN78" s="1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57"/>
      <c r="BW78" s="57"/>
      <c r="BX78" s="57"/>
      <c r="BY78" s="57"/>
      <c r="BZ78" s="57"/>
      <c r="CA78" s="57"/>
      <c r="CB78" s="57"/>
      <c r="CC78" s="57"/>
      <c r="CD78" s="57"/>
      <c r="CE78" s="57"/>
      <c r="CF78" s="57"/>
      <c r="CG78" s="57"/>
      <c r="CH78" s="57"/>
      <c r="CI78" s="57"/>
      <c r="CJ78" s="57"/>
      <c r="CK78" s="57"/>
      <c r="CL78" s="57"/>
      <c r="CM78" s="57"/>
      <c r="CN78" s="57"/>
      <c r="CO78" s="57"/>
      <c r="CP78" s="57"/>
      <c r="CQ78" s="57"/>
      <c r="CR78" s="57"/>
      <c r="CS78" s="57"/>
      <c r="CT78" s="57"/>
      <c r="CU78" s="57"/>
      <c r="CV78" s="57"/>
      <c r="CW78" s="57"/>
      <c r="CX78" s="57"/>
      <c r="CY78" s="57"/>
      <c r="CZ78" s="57"/>
      <c r="DA78" s="57"/>
      <c r="DB78" s="57"/>
      <c r="DC78" s="57"/>
      <c r="DD78" s="57"/>
      <c r="DE78" s="57"/>
      <c r="DF78" s="57"/>
      <c r="DG78" s="57"/>
      <c r="DH78" s="57"/>
      <c r="DI78" s="57"/>
      <c r="DJ78" s="57"/>
      <c r="DK78" s="57"/>
      <c r="DL78" s="57"/>
      <c r="DM78" s="57"/>
      <c r="DN78" s="57"/>
      <c r="DO78" s="57"/>
      <c r="DP78" s="57"/>
      <c r="DQ78" s="57"/>
      <c r="DR78" s="57"/>
      <c r="DS78" s="57"/>
      <c r="DT78" s="57"/>
      <c r="DU78" s="52"/>
      <c r="DV78" s="52"/>
      <c r="DW78" s="52"/>
      <c r="DX78" s="52"/>
      <c r="DY78" s="52"/>
      <c r="DZ78" s="52"/>
      <c r="EA78" s="52"/>
      <c r="EB78" s="52"/>
      <c r="EC78" s="52"/>
      <c r="ED78" s="52"/>
      <c r="EE78" s="52"/>
      <c r="EF78" s="52"/>
      <c r="EG78" s="52"/>
      <c r="EH78" s="52"/>
      <c r="EI78" s="52"/>
      <c r="EJ78" s="52"/>
    </row>
    <row r="79" spans="1:140" s="21" customFormat="1" ht="15" customHeight="1">
      <c r="A79" s="81"/>
      <c r="B79" s="81"/>
      <c r="C79" s="195" t="str">
        <f>IF(MasterSheet!$A$1=1,MasterSheet!C221,MasterSheet!B221)</f>
        <v>Ostala prava iz oblasti zdravstvenog osiguranja</v>
      </c>
      <c r="D79" s="186">
        <f>+'Local Government_int'!D79</f>
        <v>0</v>
      </c>
      <c r="E79" s="191">
        <f>+'Local Government_int'!E79</f>
        <v>0</v>
      </c>
      <c r="F79" s="186">
        <f>+'Local Government_int'!F79</f>
        <v>0</v>
      </c>
      <c r="G79" s="191">
        <f>+'Local Government_int'!G79</f>
        <v>0</v>
      </c>
      <c r="H79" s="186">
        <f>+'Local Government_int'!H79</f>
        <v>0</v>
      </c>
      <c r="I79" s="191">
        <f>+'Local Government_int'!I79</f>
        <v>0</v>
      </c>
      <c r="J79" s="186">
        <f>+'Local Government_int'!J79</f>
        <v>0</v>
      </c>
      <c r="K79" s="191">
        <f>+'Local Government_int'!K79</f>
        <v>0</v>
      </c>
      <c r="L79" s="186">
        <f>+'Local Government_int'!L79</f>
        <v>0</v>
      </c>
      <c r="M79" s="191">
        <f>+'Local Government_int'!M79</f>
        <v>0</v>
      </c>
      <c r="N79" s="186">
        <f>+'Local Government_int'!N79</f>
        <v>0</v>
      </c>
      <c r="O79" s="191">
        <f>+'Local Government_int'!O79</f>
        <v>0</v>
      </c>
      <c r="P79" s="282">
        <f>+'Local Government_int'!P79</f>
        <v>0</v>
      </c>
      <c r="Q79" s="286">
        <f>+'Local Government_int'!Q79</f>
        <v>0</v>
      </c>
      <c r="R79" s="282">
        <f>+'Local Government_int'!R79</f>
        <v>0</v>
      </c>
      <c r="S79" s="286">
        <f>+'Local Government_int'!S79</f>
        <v>0</v>
      </c>
      <c r="T79" s="282">
        <f>+'Local Government_int'!T79</f>
        <v>0</v>
      </c>
      <c r="U79" s="287">
        <f>+'Local Government_int'!U79</f>
        <v>0</v>
      </c>
      <c r="V79" s="282">
        <f>+'Local Government_int'!V79</f>
        <v>0</v>
      </c>
      <c r="W79" s="286">
        <f>+'Local Government_int'!W79</f>
        <v>0</v>
      </c>
      <c r="X79" s="84"/>
      <c r="Y79" s="84"/>
      <c r="Z79" s="84"/>
      <c r="AA79" s="84"/>
      <c r="AB79" s="84"/>
      <c r="AC79" s="84"/>
      <c r="AD79" s="84"/>
      <c r="AE79" s="84"/>
      <c r="AF79" s="56"/>
      <c r="AG79" s="56"/>
      <c r="AH79" s="56"/>
      <c r="AI79" s="56"/>
      <c r="AJ79" s="56"/>
      <c r="AK79" s="57"/>
      <c r="AL79" s="57"/>
      <c r="AM79" s="157"/>
      <c r="AN79" s="1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7"/>
      <c r="BZ79" s="57"/>
      <c r="CA79" s="57"/>
      <c r="CB79" s="57"/>
      <c r="CC79" s="57"/>
      <c r="CD79" s="57"/>
      <c r="CE79" s="57"/>
      <c r="CF79" s="57"/>
      <c r="CG79" s="57"/>
      <c r="CH79" s="57"/>
      <c r="CI79" s="57"/>
      <c r="CJ79" s="57"/>
      <c r="CK79" s="57"/>
      <c r="CL79" s="57"/>
      <c r="CM79" s="57"/>
      <c r="CN79" s="57"/>
      <c r="CO79" s="57"/>
      <c r="CP79" s="57"/>
      <c r="CQ79" s="57"/>
      <c r="CR79" s="57"/>
      <c r="CS79" s="57"/>
      <c r="CT79" s="57"/>
      <c r="CU79" s="57"/>
      <c r="CV79" s="57"/>
      <c r="CW79" s="57"/>
      <c r="CX79" s="57"/>
      <c r="CY79" s="57"/>
      <c r="CZ79" s="57"/>
      <c r="DA79" s="57"/>
      <c r="DB79" s="57"/>
      <c r="DC79" s="57"/>
      <c r="DD79" s="57"/>
      <c r="DE79" s="57"/>
      <c r="DF79" s="57"/>
      <c r="DG79" s="57"/>
      <c r="DH79" s="57"/>
      <c r="DI79" s="57"/>
      <c r="DJ79" s="57"/>
      <c r="DK79" s="57"/>
      <c r="DL79" s="57"/>
      <c r="DM79" s="57"/>
      <c r="DN79" s="57"/>
      <c r="DO79" s="57"/>
      <c r="DP79" s="57"/>
      <c r="DQ79" s="57"/>
      <c r="DR79" s="57"/>
      <c r="DS79" s="57"/>
      <c r="DT79" s="57"/>
      <c r="DU79" s="52"/>
      <c r="DV79" s="52"/>
      <c r="DW79" s="52"/>
      <c r="DX79" s="52"/>
      <c r="DY79" s="52"/>
      <c r="DZ79" s="52"/>
      <c r="EA79" s="52"/>
      <c r="EB79" s="52"/>
      <c r="EC79" s="52"/>
      <c r="ED79" s="52"/>
      <c r="EE79" s="52"/>
      <c r="EF79" s="52"/>
      <c r="EG79" s="52"/>
      <c r="EH79" s="52"/>
      <c r="EI79" s="52"/>
      <c r="EJ79" s="52"/>
    </row>
    <row r="80" spans="1:140" s="21" customFormat="1" ht="15" customHeight="1">
      <c r="A80" s="81"/>
      <c r="B80" s="81"/>
      <c r="C80" s="196" t="str">
        <f>IF(MasterSheet!$A$1=1,MasterSheet!C222,MasterSheet!B222)</f>
        <v>Transferi inst. pojedinicima NVO i javnom sektoru</v>
      </c>
      <c r="D80" s="190">
        <f>+'Local Government_int'!D80</f>
        <v>9650993.2699999996</v>
      </c>
      <c r="E80" s="191">
        <f>+'Local Government_int'!E80</f>
        <v>0.44911318674670764</v>
      </c>
      <c r="F80" s="190">
        <f>+'Local Government_int'!F80</f>
        <v>25747211.559999999</v>
      </c>
      <c r="G80" s="191">
        <f>+'Local Government_int'!G80</f>
        <v>0.96053764446931544</v>
      </c>
      <c r="H80" s="190">
        <f>+'Local Government_int'!H80</f>
        <v>26119681.829999998</v>
      </c>
      <c r="I80" s="191">
        <f>+'Local Government_int'!I80</f>
        <v>0.84650252236193935</v>
      </c>
      <c r="J80" s="190">
        <f>+'Local Government_int'!J80</f>
        <v>30389270.27</v>
      </c>
      <c r="K80" s="191">
        <f>+'Local Government_int'!K80</f>
        <v>1.0194320788326066</v>
      </c>
      <c r="L80" s="190">
        <f>+'Local Government_int'!L80</f>
        <v>29330000</v>
      </c>
      <c r="M80" s="191">
        <f>+'Local Government_int'!M80</f>
        <v>0.94490979381443296</v>
      </c>
      <c r="N80" s="190">
        <f>+'Local Government_int'!N80</f>
        <v>25970721.580000002</v>
      </c>
      <c r="O80" s="191">
        <f>+'Local Government_int'!O80</f>
        <v>0.80305261533704397</v>
      </c>
      <c r="P80" s="285">
        <f>+'Local Government_int'!P80</f>
        <v>32940489.75</v>
      </c>
      <c r="Q80" s="286">
        <f>+'Local Government_int'!Q80</f>
        <v>1.0460619164814227</v>
      </c>
      <c r="R80" s="285">
        <f>+'Local Government_int'!R80</f>
        <v>29376039.572940003</v>
      </c>
      <c r="S80" s="286">
        <f>+'Local Government_int'!S80</f>
        <v>0.83525844677111183</v>
      </c>
      <c r="T80" s="285">
        <f>+'Local Government_int'!T80</f>
        <v>29963560.364398804</v>
      </c>
      <c r="U80" s="287">
        <f>+'Local Government_int'!U80</f>
        <v>0.85196361570653401</v>
      </c>
      <c r="V80" s="285">
        <f>+'Local Government_int'!V80</f>
        <v>587520.79145880044</v>
      </c>
      <c r="W80" s="286">
        <f>+'Local Government_int'!W80</f>
        <v>1.6705168935422177E-2</v>
      </c>
      <c r="X80" s="84"/>
      <c r="Y80" s="84"/>
      <c r="Z80" s="84"/>
      <c r="AA80" s="84"/>
      <c r="AB80" s="84"/>
      <c r="AC80" s="84"/>
      <c r="AD80" s="84"/>
      <c r="AE80" s="84"/>
      <c r="AF80" s="56"/>
      <c r="AG80" s="56"/>
      <c r="AH80" s="56"/>
      <c r="AI80" s="56"/>
      <c r="AJ80" s="56"/>
      <c r="AK80" s="57"/>
      <c r="AL80" s="57"/>
      <c r="AM80" s="63"/>
      <c r="AN80" s="63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7"/>
      <c r="BZ80" s="57"/>
      <c r="CA80" s="57"/>
      <c r="CB80" s="57"/>
      <c r="CC80" s="57"/>
      <c r="CD80" s="57"/>
      <c r="CE80" s="57"/>
      <c r="CF80" s="57"/>
      <c r="CG80" s="57"/>
      <c r="CH80" s="57"/>
      <c r="CI80" s="57"/>
      <c r="CJ80" s="57"/>
      <c r="CK80" s="57"/>
      <c r="CL80" s="57"/>
      <c r="CM80" s="57"/>
      <c r="CN80" s="57"/>
      <c r="CO80" s="57"/>
      <c r="CP80" s="57"/>
      <c r="CQ80" s="57"/>
      <c r="CR80" s="57"/>
      <c r="CS80" s="57"/>
      <c r="CT80" s="57"/>
      <c r="CU80" s="57"/>
      <c r="CV80" s="57"/>
      <c r="CW80" s="57"/>
      <c r="CX80" s="57"/>
      <c r="CY80" s="57"/>
      <c r="CZ80" s="57"/>
      <c r="DA80" s="57"/>
      <c r="DB80" s="57"/>
      <c r="DC80" s="57"/>
      <c r="DD80" s="57"/>
      <c r="DE80" s="57"/>
      <c r="DF80" s="57"/>
      <c r="DG80" s="57"/>
      <c r="DH80" s="57"/>
      <c r="DI80" s="57"/>
      <c r="DJ80" s="57"/>
      <c r="DK80" s="57"/>
      <c r="DL80" s="57"/>
      <c r="DM80" s="57"/>
      <c r="DN80" s="57"/>
      <c r="DO80" s="57"/>
      <c r="DP80" s="57"/>
      <c r="DQ80" s="57"/>
      <c r="DR80" s="57"/>
      <c r="DS80" s="57"/>
      <c r="DT80" s="57"/>
      <c r="DU80" s="52"/>
      <c r="DV80" s="52"/>
      <c r="DW80" s="52"/>
      <c r="DX80" s="52"/>
      <c r="DY80" s="52"/>
      <c r="DZ80" s="52"/>
      <c r="EA80" s="52"/>
      <c r="EB80" s="52"/>
      <c r="EC80" s="52"/>
      <c r="ED80" s="52"/>
      <c r="EE80" s="52"/>
      <c r="EF80" s="52"/>
      <c r="EG80" s="52"/>
      <c r="EH80" s="52"/>
      <c r="EI80" s="52"/>
      <c r="EJ80" s="52"/>
    </row>
    <row r="81" spans="1:140" s="21" customFormat="1" ht="15" customHeight="1">
      <c r="A81" s="81"/>
      <c r="B81" s="81"/>
      <c r="C81" s="195" t="str">
        <f>IF(MasterSheet!$A$1=1,MasterSheet!C223,MasterSheet!B223)</f>
        <v>Transferi javnim institucijama</v>
      </c>
      <c r="D81" s="186">
        <f>+'Local Government_int'!D81</f>
        <v>4594921.79</v>
      </c>
      <c r="E81" s="187">
        <f>+'Local Government_int'!E81</f>
        <v>0.21382669226115686</v>
      </c>
      <c r="F81" s="186">
        <f>+'Local Government_int'!F81</f>
        <v>7631561.1200000001</v>
      </c>
      <c r="G81" s="187">
        <f>+'Local Government_int'!G81</f>
        <v>0.28470662637567618</v>
      </c>
      <c r="H81" s="186">
        <f>+'Local Government_int'!H81</f>
        <v>8699880.1600000001</v>
      </c>
      <c r="I81" s="187">
        <f>+'Local Government_int'!I81</f>
        <v>0.28195100337049517</v>
      </c>
      <c r="J81" s="186">
        <f>+'Local Government_int'!J81</f>
        <v>30389270.27</v>
      </c>
      <c r="K81" s="187">
        <f>+'Local Government_int'!K81</f>
        <v>1.0194320788326066</v>
      </c>
      <c r="L81" s="186">
        <f>+'Local Government_int'!L81</f>
        <v>29330000</v>
      </c>
      <c r="M81" s="187">
        <f>+'Local Government_int'!M81</f>
        <v>0.94490979381443296</v>
      </c>
      <c r="N81" s="186">
        <f>+'Local Government_int'!N81</f>
        <v>7736126.5500000017</v>
      </c>
      <c r="O81" s="187">
        <f>+'Local Government_int'!O81</f>
        <v>0.23921232374768095</v>
      </c>
      <c r="P81" s="282">
        <f>+'Local Government_int'!P81</f>
        <v>10302219.9</v>
      </c>
      <c r="Q81" s="283">
        <f>+'Local Government_int'!Q81</f>
        <v>0.32715845982851705</v>
      </c>
      <c r="R81" s="282">
        <f>+'Local Government_int'!R81</f>
        <v>10392420.603</v>
      </c>
      <c r="S81" s="283">
        <f>+'Local Government_int'!S81</f>
        <v>0.29549106064827979</v>
      </c>
      <c r="T81" s="282">
        <f>+'Local Government_int'!T81</f>
        <v>10600269.01506</v>
      </c>
      <c r="U81" s="284">
        <f>+'Local Government_int'!U81</f>
        <v>0.30140088186124536</v>
      </c>
      <c r="V81" s="282">
        <f>+'Local Government_int'!V81</f>
        <v>207848.41206</v>
      </c>
      <c r="W81" s="283">
        <f>+'Local Government_int'!W81</f>
        <v>5.9098212129655714E-3</v>
      </c>
      <c r="X81" s="84"/>
      <c r="Y81" s="84"/>
      <c r="Z81" s="84"/>
      <c r="AA81" s="84"/>
      <c r="AB81" s="84"/>
      <c r="AC81" s="84"/>
      <c r="AD81" s="84"/>
      <c r="AE81" s="84"/>
      <c r="AF81" s="56"/>
      <c r="AG81" s="56"/>
      <c r="AH81" s="56"/>
      <c r="AI81" s="56"/>
      <c r="AJ81" s="56"/>
      <c r="AK81" s="57"/>
      <c r="AL81" s="57"/>
      <c r="AM81" s="63"/>
      <c r="AN81" s="63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57"/>
      <c r="BY81" s="57"/>
      <c r="BZ81" s="57"/>
      <c r="CA81" s="57"/>
      <c r="CB81" s="57"/>
      <c r="CC81" s="57"/>
      <c r="CD81" s="57"/>
      <c r="CE81" s="57"/>
      <c r="CF81" s="57"/>
      <c r="CG81" s="57"/>
      <c r="CH81" s="57"/>
      <c r="CI81" s="57"/>
      <c r="CJ81" s="57"/>
      <c r="CK81" s="57"/>
      <c r="CL81" s="57"/>
      <c r="CM81" s="57"/>
      <c r="CN81" s="57"/>
      <c r="CO81" s="57"/>
      <c r="CP81" s="57"/>
      <c r="CQ81" s="57"/>
      <c r="CR81" s="57"/>
      <c r="CS81" s="57"/>
      <c r="CT81" s="57"/>
      <c r="CU81" s="57"/>
      <c r="CV81" s="57"/>
      <c r="CW81" s="57"/>
      <c r="CX81" s="57"/>
      <c r="CY81" s="57"/>
      <c r="CZ81" s="57"/>
      <c r="DA81" s="57"/>
      <c r="DB81" s="57"/>
      <c r="DC81" s="57"/>
      <c r="DD81" s="57"/>
      <c r="DE81" s="57"/>
      <c r="DF81" s="57"/>
      <c r="DG81" s="57"/>
      <c r="DH81" s="57"/>
      <c r="DI81" s="57"/>
      <c r="DJ81" s="57"/>
      <c r="DK81" s="57"/>
      <c r="DL81" s="57"/>
      <c r="DM81" s="57"/>
      <c r="DN81" s="57"/>
      <c r="DO81" s="57"/>
      <c r="DP81" s="57"/>
      <c r="DQ81" s="57"/>
      <c r="DR81" s="57"/>
      <c r="DS81" s="57"/>
      <c r="DT81" s="57"/>
      <c r="DU81" s="52"/>
      <c r="DV81" s="52"/>
      <c r="DW81" s="52"/>
      <c r="DX81" s="52"/>
      <c r="DY81" s="52"/>
      <c r="DZ81" s="52"/>
      <c r="EA81" s="52"/>
      <c r="EB81" s="52"/>
      <c r="EC81" s="52"/>
      <c r="ED81" s="52"/>
      <c r="EE81" s="52"/>
      <c r="EF81" s="52"/>
      <c r="EG81" s="52"/>
      <c r="EH81" s="52"/>
      <c r="EI81" s="52"/>
      <c r="EJ81" s="52"/>
    </row>
    <row r="82" spans="1:140" s="21" customFormat="1" ht="15" customHeight="1">
      <c r="A82" s="81"/>
      <c r="B82" s="81"/>
      <c r="C82" s="195" t="str">
        <f>IF(MasterSheet!$A$1=1,MasterSheet!C224,MasterSheet!B224)</f>
        <v>Transferi nevladinim organizacijama</v>
      </c>
      <c r="D82" s="186">
        <f>+'Local Government_int'!D82</f>
        <v>3246552.13</v>
      </c>
      <c r="E82" s="187">
        <f>+'Local Government_int'!E82</f>
        <v>0.15107972125273397</v>
      </c>
      <c r="F82" s="186">
        <f>+'Local Government_int'!F82</f>
        <v>3439884.9</v>
      </c>
      <c r="G82" s="187">
        <f>+'Local Government_int'!G82</f>
        <v>0.12832997202014551</v>
      </c>
      <c r="H82" s="186">
        <f>+'Local Government_int'!H82</f>
        <v>3630299.76</v>
      </c>
      <c r="I82" s="187">
        <f>+'Local Government_int'!I82</f>
        <v>0.11765296085040186</v>
      </c>
      <c r="J82" s="186">
        <f>+'Local Government_int'!J82</f>
        <v>0</v>
      </c>
      <c r="K82" s="187">
        <f>+'Local Government_int'!K82</f>
        <v>0</v>
      </c>
      <c r="L82" s="186">
        <f>+'Local Government_int'!L82</f>
        <v>0</v>
      </c>
      <c r="M82" s="187">
        <f>+'Local Government_int'!M82</f>
        <v>0</v>
      </c>
      <c r="N82" s="186">
        <f>+'Local Government_int'!N82</f>
        <v>1704066.0099999998</v>
      </c>
      <c r="O82" s="187">
        <f>+'Local Government_int'!O82</f>
        <v>5.2692208101422382E-2</v>
      </c>
      <c r="P82" s="282">
        <f>+'Local Government_int'!P82</f>
        <v>2007979.5599999998</v>
      </c>
      <c r="Q82" s="283">
        <f>+'Local Government_int'!Q82</f>
        <v>6.3765625912988247E-2</v>
      </c>
      <c r="R82" s="282">
        <f>+'Local Government_int'!R82</f>
        <v>1864455.2714999996</v>
      </c>
      <c r="S82" s="283">
        <f>+'Local Government_int'!S82</f>
        <v>5.3012660548763142E-2</v>
      </c>
      <c r="T82" s="282">
        <f>+'Local Government_int'!T82</f>
        <v>1901744.3769299996</v>
      </c>
      <c r="U82" s="284">
        <f>+'Local Government_int'!U82</f>
        <v>5.4072913759738397E-2</v>
      </c>
      <c r="V82" s="282">
        <f>+'Local Government_int'!V82</f>
        <v>37289.105429999996</v>
      </c>
      <c r="W82" s="283">
        <f>+'Local Government_int'!W82</f>
        <v>1.0602532109752552E-3</v>
      </c>
      <c r="X82" s="84"/>
      <c r="Y82" s="84"/>
      <c r="Z82" s="84"/>
      <c r="AA82" s="84"/>
      <c r="AB82" s="84"/>
      <c r="AC82" s="84"/>
      <c r="AD82" s="84"/>
      <c r="AE82" s="84"/>
      <c r="AF82" s="56"/>
      <c r="AG82" s="56"/>
      <c r="AH82" s="56"/>
      <c r="AI82" s="56"/>
      <c r="AJ82" s="56"/>
      <c r="AK82" s="57"/>
      <c r="AL82" s="57"/>
      <c r="AM82" s="63"/>
      <c r="AN82" s="63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  <c r="AZ82" s="57"/>
      <c r="BA82" s="57"/>
      <c r="BB82" s="57"/>
      <c r="BC82" s="57"/>
      <c r="BD82" s="57"/>
      <c r="BE82" s="57"/>
      <c r="BF82" s="57"/>
      <c r="BG82" s="57"/>
      <c r="BH82" s="57"/>
      <c r="BI82" s="57"/>
      <c r="BJ82" s="57"/>
      <c r="BK82" s="57"/>
      <c r="BL82" s="57"/>
      <c r="BM82" s="57"/>
      <c r="BN82" s="57"/>
      <c r="BO82" s="57"/>
      <c r="BP82" s="57"/>
      <c r="BQ82" s="57"/>
      <c r="BR82" s="57"/>
      <c r="BS82" s="57"/>
      <c r="BT82" s="57"/>
      <c r="BU82" s="57"/>
      <c r="BV82" s="57"/>
      <c r="BW82" s="57"/>
      <c r="BX82" s="57"/>
      <c r="BY82" s="57"/>
      <c r="BZ82" s="57"/>
      <c r="CA82" s="57"/>
      <c r="CB82" s="57"/>
      <c r="CC82" s="57"/>
      <c r="CD82" s="57"/>
      <c r="CE82" s="57"/>
      <c r="CF82" s="57"/>
      <c r="CG82" s="57"/>
      <c r="CH82" s="57"/>
      <c r="CI82" s="57"/>
      <c r="CJ82" s="57"/>
      <c r="CK82" s="57"/>
      <c r="CL82" s="57"/>
      <c r="CM82" s="57"/>
      <c r="CN82" s="57"/>
      <c r="CO82" s="57"/>
      <c r="CP82" s="57"/>
      <c r="CQ82" s="57"/>
      <c r="CR82" s="57"/>
      <c r="CS82" s="57"/>
      <c r="CT82" s="57"/>
      <c r="CU82" s="57"/>
      <c r="CV82" s="57"/>
      <c r="CW82" s="57"/>
      <c r="CX82" s="57"/>
      <c r="CY82" s="57"/>
      <c r="CZ82" s="57"/>
      <c r="DA82" s="57"/>
      <c r="DB82" s="57"/>
      <c r="DC82" s="57"/>
      <c r="DD82" s="57"/>
      <c r="DE82" s="57"/>
      <c r="DF82" s="57"/>
      <c r="DG82" s="57"/>
      <c r="DH82" s="57"/>
      <c r="DI82" s="57"/>
      <c r="DJ82" s="57"/>
      <c r="DK82" s="57"/>
      <c r="DL82" s="57"/>
      <c r="DM82" s="57"/>
      <c r="DN82" s="57"/>
      <c r="DO82" s="57"/>
      <c r="DP82" s="57"/>
      <c r="DQ82" s="57"/>
      <c r="DR82" s="57"/>
      <c r="DS82" s="57"/>
      <c r="DT82" s="57"/>
      <c r="DU82" s="52"/>
      <c r="DV82" s="52"/>
      <c r="DW82" s="52"/>
      <c r="DX82" s="52"/>
      <c r="DY82" s="52"/>
      <c r="DZ82" s="52"/>
      <c r="EA82" s="52"/>
      <c r="EB82" s="52"/>
      <c r="EC82" s="52"/>
      <c r="ED82" s="52"/>
      <c r="EE82" s="52"/>
      <c r="EF82" s="52"/>
      <c r="EG82" s="52"/>
      <c r="EH82" s="52"/>
      <c r="EI82" s="52"/>
      <c r="EJ82" s="52"/>
    </row>
    <row r="83" spans="1:140" s="21" customFormat="1" ht="15" customHeight="1">
      <c r="A83" s="81"/>
      <c r="B83" s="81"/>
      <c r="C83" s="195" t="str">
        <f>IF(MasterSheet!$A$1=1,MasterSheet!C225,MasterSheet!B225)</f>
        <v>Transferi pojedincima</v>
      </c>
      <c r="D83" s="186">
        <f>+'Local Government_int'!D83</f>
        <v>1809519.35</v>
      </c>
      <c r="E83" s="187">
        <f>+'Local Government_int'!E83</f>
        <v>8.4206773232816806E-2</v>
      </c>
      <c r="F83" s="186">
        <f>+'Local Government_int'!F83</f>
        <v>2954250.77</v>
      </c>
      <c r="G83" s="187">
        <f>+'Local Government_int'!G83</f>
        <v>0.11021267562022011</v>
      </c>
      <c r="H83" s="186">
        <f>+'Local Government_int'!H83</f>
        <v>4125355.32</v>
      </c>
      <c r="I83" s="187">
        <f>+'Local Government_int'!I83</f>
        <v>0.1336970222971221</v>
      </c>
      <c r="J83" s="186">
        <f>+'Local Government_int'!J83</f>
        <v>0</v>
      </c>
      <c r="K83" s="187">
        <f>+'Local Government_int'!K83</f>
        <v>0</v>
      </c>
      <c r="L83" s="186">
        <f>+'Local Government_int'!L83</f>
        <v>0</v>
      </c>
      <c r="M83" s="187">
        <f>+'Local Government_int'!M83</f>
        <v>0</v>
      </c>
      <c r="N83" s="186">
        <f>+'Local Government_int'!N83</f>
        <v>2805869.4000000004</v>
      </c>
      <c r="O83" s="187">
        <f>+'Local Government_int'!O83</f>
        <v>8.6761576994434153E-2</v>
      </c>
      <c r="P83" s="282">
        <f>+'Local Government_int'!P83</f>
        <v>2876786.48</v>
      </c>
      <c r="Q83" s="283">
        <f>+'Local Government_int'!Q83</f>
        <v>9.135555668466179E-2</v>
      </c>
      <c r="R83" s="282">
        <f>+'Local Government_int'!R83</f>
        <v>2892753.4559999998</v>
      </c>
      <c r="S83" s="283">
        <f>+'Local Government_int'!S83</f>
        <v>8.2250595848734703E-2</v>
      </c>
      <c r="T83" s="282">
        <f>+'Local Government_int'!T83</f>
        <v>2950608.5251199999</v>
      </c>
      <c r="U83" s="284">
        <f>+'Local Government_int'!U83</f>
        <v>8.389560776570941E-2</v>
      </c>
      <c r="V83" s="282">
        <f>+'Local Government_int'!V83</f>
        <v>57855.069120000117</v>
      </c>
      <c r="W83" s="283">
        <f>+'Local Government_int'!W83</f>
        <v>1.6450119169747063E-3</v>
      </c>
      <c r="X83" s="84"/>
      <c r="Y83" s="84"/>
      <c r="Z83" s="84"/>
      <c r="AA83" s="84"/>
      <c r="AB83" s="84"/>
      <c r="AC83" s="84"/>
      <c r="AD83" s="84"/>
      <c r="AE83" s="84"/>
      <c r="AF83" s="56"/>
      <c r="AG83" s="56"/>
      <c r="AH83" s="56"/>
      <c r="AI83" s="56"/>
      <c r="AJ83" s="56"/>
      <c r="AK83" s="57"/>
      <c r="AL83" s="57"/>
      <c r="AM83" s="63"/>
      <c r="AN83" s="63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  <c r="AZ83" s="57"/>
      <c r="BA83" s="57"/>
      <c r="BB83" s="57"/>
      <c r="BC83" s="57"/>
      <c r="BD83" s="57"/>
      <c r="BE83" s="57"/>
      <c r="BF83" s="57"/>
      <c r="BG83" s="57"/>
      <c r="BH83" s="57"/>
      <c r="BI83" s="57"/>
      <c r="BJ83" s="57"/>
      <c r="BK83" s="57"/>
      <c r="BL83" s="57"/>
      <c r="BM83" s="57"/>
      <c r="BN83" s="57"/>
      <c r="BO83" s="57"/>
      <c r="BP83" s="57"/>
      <c r="BQ83" s="57"/>
      <c r="BR83" s="57"/>
      <c r="BS83" s="57"/>
      <c r="BT83" s="57"/>
      <c r="BU83" s="57"/>
      <c r="BV83" s="57"/>
      <c r="BW83" s="57"/>
      <c r="BX83" s="57"/>
      <c r="BY83" s="57"/>
      <c r="BZ83" s="57"/>
      <c r="CA83" s="57"/>
      <c r="CB83" s="57"/>
      <c r="CC83" s="57"/>
      <c r="CD83" s="57"/>
      <c r="CE83" s="57"/>
      <c r="CF83" s="57"/>
      <c r="CG83" s="57"/>
      <c r="CH83" s="57"/>
      <c r="CI83" s="57"/>
      <c r="CJ83" s="57"/>
      <c r="CK83" s="57"/>
      <c r="CL83" s="57"/>
      <c r="CM83" s="57"/>
      <c r="CN83" s="57"/>
      <c r="CO83" s="57"/>
      <c r="CP83" s="57"/>
      <c r="CQ83" s="57"/>
      <c r="CR83" s="57"/>
      <c r="CS83" s="57"/>
      <c r="CT83" s="57"/>
      <c r="CU83" s="57"/>
      <c r="CV83" s="57"/>
      <c r="CW83" s="57"/>
      <c r="CX83" s="57"/>
      <c r="CY83" s="57"/>
      <c r="CZ83" s="57"/>
      <c r="DA83" s="57"/>
      <c r="DB83" s="57"/>
      <c r="DC83" s="57"/>
      <c r="DD83" s="57"/>
      <c r="DE83" s="57"/>
      <c r="DF83" s="57"/>
      <c r="DG83" s="57"/>
      <c r="DH83" s="57"/>
      <c r="DI83" s="57"/>
      <c r="DJ83" s="57"/>
      <c r="DK83" s="57"/>
      <c r="DL83" s="57"/>
      <c r="DM83" s="57"/>
      <c r="DN83" s="57"/>
      <c r="DO83" s="57"/>
      <c r="DP83" s="57"/>
      <c r="DQ83" s="57"/>
      <c r="DR83" s="57"/>
      <c r="DS83" s="57"/>
      <c r="DT83" s="57"/>
      <c r="DU83" s="52"/>
      <c r="DV83" s="52"/>
      <c r="DW83" s="52"/>
      <c r="DX83" s="52"/>
      <c r="DY83" s="52"/>
      <c r="DZ83" s="52"/>
      <c r="EA83" s="52"/>
      <c r="EB83" s="52"/>
      <c r="EC83" s="52"/>
      <c r="ED83" s="52"/>
      <c r="EE83" s="52"/>
      <c r="EF83" s="52"/>
      <c r="EG83" s="52"/>
      <c r="EH83" s="52"/>
      <c r="EI83" s="52"/>
      <c r="EJ83" s="52"/>
    </row>
    <row r="84" spans="1:140" s="21" customFormat="1" ht="15" hidden="1" customHeight="1">
      <c r="A84" s="81"/>
      <c r="B84" s="81"/>
      <c r="C84" s="195" t="str">
        <f>IF(MasterSheet!$A$1=1,MasterSheet!C226,MasterSheet!B226)</f>
        <v>Transferi opštinama</v>
      </c>
      <c r="D84" s="186">
        <f>+'Local Government_int'!D84</f>
        <v>0</v>
      </c>
      <c r="E84" s="187">
        <f>+'Local Government_int'!E84</f>
        <v>0</v>
      </c>
      <c r="F84" s="186">
        <f>+'Local Government_int'!F84</f>
        <v>0</v>
      </c>
      <c r="G84" s="187">
        <f>+'Local Government_int'!G84</f>
        <v>0</v>
      </c>
      <c r="H84" s="186">
        <f>+'Local Government_int'!H84</f>
        <v>0</v>
      </c>
      <c r="I84" s="187">
        <f>+'Local Government_int'!I84</f>
        <v>0</v>
      </c>
      <c r="J84" s="186">
        <f>+'Local Government_int'!J84</f>
        <v>0</v>
      </c>
      <c r="K84" s="187">
        <f>+'Local Government_int'!K84</f>
        <v>0</v>
      </c>
      <c r="L84" s="186">
        <f>+'Local Government_int'!L84</f>
        <v>0</v>
      </c>
      <c r="M84" s="187">
        <f>+'Local Government_int'!M84</f>
        <v>0</v>
      </c>
      <c r="N84" s="186">
        <f>+'Local Government_int'!N84</f>
        <v>0</v>
      </c>
      <c r="O84" s="187">
        <f>+'Local Government_int'!O84</f>
        <v>0</v>
      </c>
      <c r="P84" s="282">
        <f>+'Local Government_int'!P84</f>
        <v>0</v>
      </c>
      <c r="Q84" s="283">
        <f>+'Local Government_int'!Q84</f>
        <v>0</v>
      </c>
      <c r="R84" s="282">
        <f>+'Local Government_int'!R84</f>
        <v>0</v>
      </c>
      <c r="S84" s="283">
        <f>+'Local Government_int'!S84</f>
        <v>0</v>
      </c>
      <c r="T84" s="282">
        <f>+'Local Government_int'!T84</f>
        <v>0</v>
      </c>
      <c r="U84" s="284">
        <f>+'Local Government_int'!U84</f>
        <v>0</v>
      </c>
      <c r="V84" s="282">
        <f>+'Local Government_int'!V84</f>
        <v>0</v>
      </c>
      <c r="W84" s="283">
        <f>+'Local Government_int'!W84</f>
        <v>0</v>
      </c>
      <c r="X84" s="84"/>
      <c r="Y84" s="84"/>
      <c r="Z84" s="84"/>
      <c r="AA84" s="84"/>
      <c r="AB84" s="84"/>
      <c r="AC84" s="84"/>
      <c r="AD84" s="84"/>
      <c r="AE84" s="84"/>
      <c r="AF84" s="56"/>
      <c r="AG84" s="56"/>
      <c r="AH84" s="56"/>
      <c r="AI84" s="56"/>
      <c r="AJ84" s="56"/>
      <c r="AK84" s="57"/>
      <c r="AL84" s="57"/>
      <c r="AM84" s="63"/>
      <c r="AN84" s="63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  <c r="AZ84" s="57"/>
      <c r="BA84" s="57"/>
      <c r="BB84" s="57"/>
      <c r="BC84" s="57"/>
      <c r="BD84" s="57"/>
      <c r="BE84" s="57"/>
      <c r="BF84" s="57"/>
      <c r="BG84" s="57"/>
      <c r="BH84" s="57"/>
      <c r="BI84" s="57"/>
      <c r="BJ84" s="57"/>
      <c r="BK84" s="57"/>
      <c r="BL84" s="57"/>
      <c r="BM84" s="57"/>
      <c r="BN84" s="57"/>
      <c r="BO84" s="57"/>
      <c r="BP84" s="57"/>
      <c r="BQ84" s="57"/>
      <c r="BR84" s="57"/>
      <c r="BS84" s="57"/>
      <c r="BT84" s="57"/>
      <c r="BU84" s="57"/>
      <c r="BV84" s="57"/>
      <c r="BW84" s="57"/>
      <c r="BX84" s="57"/>
      <c r="BY84" s="57"/>
      <c r="BZ84" s="57"/>
      <c r="CA84" s="57"/>
      <c r="CB84" s="57"/>
      <c r="CC84" s="57"/>
      <c r="CD84" s="57"/>
      <c r="CE84" s="57"/>
      <c r="CF84" s="57"/>
      <c r="CG84" s="57"/>
      <c r="CH84" s="57"/>
      <c r="CI84" s="57"/>
      <c r="CJ84" s="57"/>
      <c r="CK84" s="57"/>
      <c r="CL84" s="57"/>
      <c r="CM84" s="57"/>
      <c r="CN84" s="57"/>
      <c r="CO84" s="57"/>
      <c r="CP84" s="57"/>
      <c r="CQ84" s="57"/>
      <c r="CR84" s="57"/>
      <c r="CS84" s="57"/>
      <c r="CT84" s="57"/>
      <c r="CU84" s="57"/>
      <c r="CV84" s="57"/>
      <c r="CW84" s="57"/>
      <c r="CX84" s="57"/>
      <c r="CY84" s="57"/>
      <c r="CZ84" s="57"/>
      <c r="DA84" s="57"/>
      <c r="DB84" s="57"/>
      <c r="DC84" s="57"/>
      <c r="DD84" s="57"/>
      <c r="DE84" s="57"/>
      <c r="DF84" s="57"/>
      <c r="DG84" s="57"/>
      <c r="DH84" s="57"/>
      <c r="DI84" s="57"/>
      <c r="DJ84" s="57"/>
      <c r="DK84" s="57"/>
      <c r="DL84" s="57"/>
      <c r="DM84" s="57"/>
      <c r="DN84" s="57"/>
      <c r="DO84" s="57"/>
      <c r="DP84" s="57"/>
      <c r="DQ84" s="57"/>
      <c r="DR84" s="57"/>
      <c r="DS84" s="57"/>
      <c r="DT84" s="57"/>
      <c r="DU84" s="52"/>
      <c r="DV84" s="52"/>
      <c r="DW84" s="52"/>
      <c r="DX84" s="52"/>
      <c r="DY84" s="52"/>
      <c r="DZ84" s="52"/>
      <c r="EA84" s="52"/>
      <c r="EB84" s="52"/>
      <c r="EC84" s="52"/>
      <c r="ED84" s="52"/>
      <c r="EE84" s="52"/>
      <c r="EF84" s="52"/>
      <c r="EG84" s="52"/>
      <c r="EH84" s="52"/>
      <c r="EI84" s="52"/>
      <c r="EJ84" s="52"/>
    </row>
    <row r="85" spans="1:140" s="21" customFormat="1" ht="15" customHeight="1">
      <c r="A85" s="85"/>
      <c r="B85" s="85"/>
      <c r="C85" s="195" t="str">
        <f>IF(MasterSheet!$A$1=1,MasterSheet!C227,MasterSheet!B227)</f>
        <v>Transferi javnim preduzećima</v>
      </c>
      <c r="D85" s="186">
        <f>+'Local Government_int'!D85</f>
        <v>0</v>
      </c>
      <c r="E85" s="187">
        <f>+'Local Government_int'!E85</f>
        <v>0</v>
      </c>
      <c r="F85" s="186">
        <f>+'Local Government_int'!F85</f>
        <v>11721514.77</v>
      </c>
      <c r="G85" s="187">
        <f>+'Local Government_int'!G85</f>
        <v>0.43728837045327362</v>
      </c>
      <c r="H85" s="186">
        <f>+'Local Government_int'!H85</f>
        <v>9664146.5899999999</v>
      </c>
      <c r="I85" s="187">
        <f>+'Local Government_int'!I85</f>
        <v>0.31320153584392013</v>
      </c>
      <c r="J85" s="186">
        <f>+'Local Government_int'!J85</f>
        <v>0</v>
      </c>
      <c r="K85" s="187">
        <f>+'Local Government_int'!K85</f>
        <v>0</v>
      </c>
      <c r="L85" s="186">
        <f>+'Local Government_int'!L85</f>
        <v>0</v>
      </c>
      <c r="M85" s="187">
        <f>+'Local Government_int'!M85</f>
        <v>0</v>
      </c>
      <c r="N85" s="186">
        <f>+'Local Government_int'!N85</f>
        <v>13724659.619999999</v>
      </c>
      <c r="O85" s="187">
        <f>+'Local Government_int'!O85</f>
        <v>0.42438650649350645</v>
      </c>
      <c r="P85" s="282">
        <f>+'Local Government_int'!P85</f>
        <v>17753503.809999999</v>
      </c>
      <c r="Q85" s="283">
        <f>+'Local Government_int'!Q85</f>
        <v>0.56378227405525561</v>
      </c>
      <c r="R85" s="282">
        <f>+'Local Government_int'!R85</f>
        <v>14226410.242440004</v>
      </c>
      <c r="S85" s="283">
        <f>+'Local Government_int'!S85</f>
        <v>0.40450412972533417</v>
      </c>
      <c r="T85" s="282">
        <f>+'Local Government_int'!T85</f>
        <v>14510938.447288804</v>
      </c>
      <c r="U85" s="284">
        <f>+'Local Government_int'!U85</f>
        <v>0.41259421231984084</v>
      </c>
      <c r="V85" s="282">
        <f>+'Local Government_int'!V85</f>
        <v>284528.20484879985</v>
      </c>
      <c r="W85" s="283">
        <f>+'Local Government_int'!W85</f>
        <v>8.0900825945066646E-3</v>
      </c>
      <c r="X85" s="84"/>
      <c r="Y85" s="84"/>
      <c r="Z85" s="84"/>
      <c r="AA85" s="84"/>
      <c r="AB85" s="84"/>
      <c r="AC85" s="84"/>
      <c r="AD85" s="84"/>
      <c r="AE85" s="84"/>
      <c r="AF85" s="56"/>
      <c r="AG85" s="56"/>
      <c r="AH85" s="56"/>
      <c r="AI85" s="56"/>
      <c r="AJ85" s="56"/>
      <c r="AK85" s="57"/>
      <c r="AL85" s="57"/>
      <c r="AM85" s="63"/>
      <c r="AN85" s="63"/>
      <c r="AO85" s="57"/>
      <c r="AP85" s="57"/>
      <c r="AQ85" s="57"/>
      <c r="AR85" s="57"/>
      <c r="AS85" s="57"/>
      <c r="AT85" s="57"/>
      <c r="AU85" s="57"/>
      <c r="AV85" s="57"/>
      <c r="AW85" s="57"/>
      <c r="AX85" s="57"/>
      <c r="AY85" s="57"/>
      <c r="AZ85" s="57"/>
      <c r="BA85" s="57"/>
      <c r="BB85" s="57"/>
      <c r="BC85" s="57"/>
      <c r="BD85" s="57"/>
      <c r="BE85" s="57"/>
      <c r="BF85" s="57"/>
      <c r="BG85" s="57"/>
      <c r="BH85" s="57"/>
      <c r="BI85" s="57"/>
      <c r="BJ85" s="57"/>
      <c r="BK85" s="57"/>
      <c r="BL85" s="57"/>
      <c r="BM85" s="57"/>
      <c r="BN85" s="57"/>
      <c r="BO85" s="57"/>
      <c r="BP85" s="57"/>
      <c r="BQ85" s="57"/>
      <c r="BR85" s="57"/>
      <c r="BS85" s="57"/>
      <c r="BT85" s="57"/>
      <c r="BU85" s="57"/>
      <c r="BV85" s="57"/>
      <c r="BW85" s="57"/>
      <c r="BX85" s="57"/>
      <c r="BY85" s="57"/>
      <c r="BZ85" s="57"/>
      <c r="CA85" s="57"/>
      <c r="CB85" s="57"/>
      <c r="CC85" s="57"/>
      <c r="CD85" s="57"/>
      <c r="CE85" s="57"/>
      <c r="CF85" s="57"/>
      <c r="CG85" s="57"/>
      <c r="CH85" s="57"/>
      <c r="CI85" s="57"/>
      <c r="CJ85" s="57"/>
      <c r="CK85" s="57"/>
      <c r="CL85" s="57"/>
      <c r="CM85" s="57"/>
      <c r="CN85" s="57"/>
      <c r="CO85" s="57"/>
      <c r="CP85" s="57"/>
      <c r="CQ85" s="57"/>
      <c r="CR85" s="57"/>
      <c r="CS85" s="57"/>
      <c r="CT85" s="57"/>
      <c r="CU85" s="57"/>
      <c r="CV85" s="57"/>
      <c r="CW85" s="57"/>
      <c r="CX85" s="57"/>
      <c r="CY85" s="57"/>
      <c r="CZ85" s="57"/>
      <c r="DA85" s="57"/>
      <c r="DB85" s="57"/>
      <c r="DC85" s="57"/>
      <c r="DD85" s="57"/>
      <c r="DE85" s="57"/>
      <c r="DF85" s="57"/>
      <c r="DG85" s="57"/>
      <c r="DH85" s="57"/>
      <c r="DI85" s="57"/>
      <c r="DJ85" s="57"/>
      <c r="DK85" s="57"/>
      <c r="DL85" s="57"/>
      <c r="DM85" s="57"/>
      <c r="DN85" s="57"/>
      <c r="DO85" s="57"/>
      <c r="DP85" s="57"/>
      <c r="DQ85" s="57"/>
      <c r="DR85" s="57"/>
      <c r="DS85" s="57"/>
      <c r="DT85" s="57"/>
      <c r="DU85" s="52"/>
      <c r="DV85" s="52"/>
      <c r="DW85" s="52"/>
      <c r="DX85" s="52"/>
      <c r="DY85" s="52"/>
      <c r="DZ85" s="52"/>
      <c r="EA85" s="52"/>
      <c r="EB85" s="52"/>
      <c r="EC85" s="52"/>
      <c r="ED85" s="52"/>
      <c r="EE85" s="52"/>
      <c r="EF85" s="52"/>
      <c r="EG85" s="52"/>
      <c r="EH85" s="52"/>
      <c r="EI85" s="52"/>
      <c r="EJ85" s="52"/>
    </row>
    <row r="86" spans="1:140" s="21" customFormat="1" ht="15" customHeight="1">
      <c r="A86" s="85"/>
      <c r="B86" s="407"/>
      <c r="C86" s="196" t="str">
        <f>IF(MasterSheet!$A$1=1,MasterSheet!C228,MasterSheet!B228)</f>
        <v>Kapitalni budzet lokalne samouprave</v>
      </c>
      <c r="D86" s="190">
        <f>+'Local Government_int'!D86</f>
        <v>56911483.659999996</v>
      </c>
      <c r="E86" s="191">
        <f>+'Local Government_int'!E86</f>
        <v>2.6484007473591138</v>
      </c>
      <c r="F86" s="190">
        <f>+'Local Government_int'!F86</f>
        <v>104802650.73</v>
      </c>
      <c r="G86" s="191">
        <f>+'Local Government_int'!G86</f>
        <v>3.9098172255176276</v>
      </c>
      <c r="H86" s="190">
        <f>+'Local Government_int'!H86</f>
        <v>162351046.97999996</v>
      </c>
      <c r="I86" s="191">
        <f>+'Local Government_int'!I86</f>
        <v>5.2615713955146468</v>
      </c>
      <c r="J86" s="190">
        <f>+'Local Government_int'!J86</f>
        <v>112335160</v>
      </c>
      <c r="K86" s="191">
        <f>+'Local Government_int'!K86</f>
        <v>3.7683716873532371</v>
      </c>
      <c r="L86" s="190">
        <f>+'Local Government_int'!L86</f>
        <v>83150000</v>
      </c>
      <c r="M86" s="191">
        <f>+'Local Government_int'!M86</f>
        <v>2.6788015463917523</v>
      </c>
      <c r="N86" s="190">
        <f>+'Local Government_int'!N86</f>
        <v>51469674.490000002</v>
      </c>
      <c r="O86" s="191">
        <f>+'Local Government_int'!O86</f>
        <v>1.5915174548546691</v>
      </c>
      <c r="P86" s="285">
        <f>+'Local Government_int'!P86</f>
        <v>48316705.07</v>
      </c>
      <c r="Q86" s="286">
        <f>+'Local Government_int'!Q86</f>
        <v>1.5343507484915846</v>
      </c>
      <c r="R86" s="285">
        <f>+'Local Government_int'!R86</f>
        <v>30000000</v>
      </c>
      <c r="S86" s="286">
        <f>+'Local Government_int'!S86</f>
        <v>0.85299971566676136</v>
      </c>
      <c r="T86" s="285">
        <f>+'Local Government_int'!T86</f>
        <v>32000000</v>
      </c>
      <c r="U86" s="287">
        <f>+'Local Government_int'!U86</f>
        <v>0.90986636337787885</v>
      </c>
      <c r="V86" s="282">
        <f>+'Local Government_int'!V86</f>
        <v>2000000</v>
      </c>
      <c r="W86" s="286">
        <f>+'Local Government_int'!W86</f>
        <v>5.6866647711117491E-2</v>
      </c>
      <c r="X86" s="84"/>
      <c r="Y86" s="84"/>
      <c r="Z86" s="84"/>
      <c r="AA86" s="84"/>
      <c r="AB86" s="84"/>
      <c r="AC86" s="84"/>
      <c r="AD86" s="84"/>
      <c r="AE86" s="84"/>
      <c r="AF86" s="56"/>
      <c r="AG86" s="56"/>
      <c r="AH86" s="56"/>
      <c r="AI86" s="56"/>
      <c r="AJ86" s="56"/>
      <c r="AK86" s="57"/>
      <c r="AL86" s="57"/>
      <c r="AM86" s="63"/>
      <c r="AN86" s="63"/>
      <c r="AO86" s="57"/>
      <c r="AP86" s="57"/>
      <c r="AQ86" s="57"/>
      <c r="AR86" s="57"/>
      <c r="AS86" s="57"/>
      <c r="AT86" s="57"/>
      <c r="AU86" s="57"/>
      <c r="AV86" s="57"/>
      <c r="AW86" s="57"/>
      <c r="AX86" s="57"/>
      <c r="AY86" s="57"/>
      <c r="AZ86" s="57"/>
      <c r="BA86" s="57"/>
      <c r="BB86" s="57"/>
      <c r="BC86" s="57"/>
      <c r="BD86" s="57"/>
      <c r="BE86" s="57"/>
      <c r="BF86" s="57"/>
      <c r="BG86" s="57"/>
      <c r="BH86" s="57"/>
      <c r="BI86" s="57"/>
      <c r="BJ86" s="57"/>
      <c r="BK86" s="57"/>
      <c r="BL86" s="57"/>
      <c r="BM86" s="57"/>
      <c r="BN86" s="57"/>
      <c r="BO86" s="57"/>
      <c r="BP86" s="57"/>
      <c r="BQ86" s="57"/>
      <c r="BR86" s="57"/>
      <c r="BS86" s="57"/>
      <c r="BT86" s="57"/>
      <c r="BU86" s="57"/>
      <c r="BV86" s="57"/>
      <c r="BW86" s="57"/>
      <c r="BX86" s="57"/>
      <c r="BY86" s="57"/>
      <c r="BZ86" s="57"/>
      <c r="CA86" s="57"/>
      <c r="CB86" s="57"/>
      <c r="CC86" s="57"/>
      <c r="CD86" s="57"/>
      <c r="CE86" s="57"/>
      <c r="CF86" s="57"/>
      <c r="CG86" s="57"/>
      <c r="CH86" s="57"/>
      <c r="CI86" s="57"/>
      <c r="CJ86" s="57"/>
      <c r="CK86" s="57"/>
      <c r="CL86" s="57"/>
      <c r="CM86" s="57"/>
      <c r="CN86" s="57"/>
      <c r="CO86" s="57"/>
      <c r="CP86" s="57"/>
      <c r="CQ86" s="57"/>
      <c r="CR86" s="57"/>
      <c r="CS86" s="57"/>
      <c r="CT86" s="57"/>
      <c r="CU86" s="57"/>
      <c r="CV86" s="57"/>
      <c r="CW86" s="57"/>
      <c r="CX86" s="57"/>
      <c r="CY86" s="57"/>
      <c r="CZ86" s="57"/>
      <c r="DA86" s="57"/>
      <c r="DB86" s="57"/>
      <c r="DC86" s="57"/>
      <c r="DD86" s="57"/>
      <c r="DE86" s="57"/>
      <c r="DF86" s="57"/>
      <c r="DG86" s="57"/>
      <c r="DH86" s="57"/>
      <c r="DI86" s="57"/>
      <c r="DJ86" s="57"/>
      <c r="DK86" s="57"/>
      <c r="DL86" s="57"/>
      <c r="DM86" s="57"/>
      <c r="DN86" s="57"/>
      <c r="DO86" s="57"/>
      <c r="DP86" s="57"/>
      <c r="DQ86" s="57"/>
      <c r="DR86" s="57"/>
      <c r="DS86" s="57"/>
      <c r="DT86" s="57"/>
      <c r="DU86" s="52"/>
      <c r="DV86" s="52"/>
      <c r="DW86" s="52"/>
      <c r="DX86" s="52"/>
      <c r="DY86" s="52"/>
      <c r="DZ86" s="52"/>
      <c r="EA86" s="52"/>
      <c r="EB86" s="52"/>
      <c r="EC86" s="52"/>
      <c r="ED86" s="52"/>
      <c r="EE86" s="52"/>
      <c r="EF86" s="52"/>
      <c r="EG86" s="52"/>
      <c r="EH86" s="52"/>
      <c r="EI86" s="52"/>
      <c r="EJ86" s="52"/>
    </row>
    <row r="87" spans="1:140" s="23" customFormat="1" ht="15" customHeight="1">
      <c r="A87" s="69"/>
      <c r="B87" s="69"/>
      <c r="C87" s="196" t="str">
        <f>IF(MasterSheet!$A$1=1,MasterSheet!C230,MasterSheet!B230)</f>
        <v>Pozajmice i krediti</v>
      </c>
      <c r="D87" s="190">
        <f>+'Local Government_int'!D87</f>
        <v>1165260.56</v>
      </c>
      <c r="E87" s="191">
        <f>+'Local Government_int'!E87</f>
        <v>5.422590906975662E-2</v>
      </c>
      <c r="F87" s="190">
        <f>+'Local Government_int'!F87</f>
        <v>7077.33</v>
      </c>
      <c r="G87" s="191">
        <f>+'Local Government_int'!G87</f>
        <v>2.6403021824286514E-4</v>
      </c>
      <c r="H87" s="190">
        <f>+'Local Government_int'!H87</f>
        <v>971121</v>
      </c>
      <c r="I87" s="191">
        <f>+'Local Government_int'!I87</f>
        <v>3.1472679543686807E-2</v>
      </c>
      <c r="J87" s="190">
        <f>+'Local Government_int'!J87</f>
        <v>609500</v>
      </c>
      <c r="K87" s="191">
        <f>+'Local Government_int'!K87</f>
        <v>2.0446159007044617E-2</v>
      </c>
      <c r="L87" s="190">
        <f>+'Local Government_int'!L87</f>
        <v>970000</v>
      </c>
      <c r="M87" s="191">
        <f>+'Local Government_int'!M87</f>
        <v>3.125E-2</v>
      </c>
      <c r="N87" s="190">
        <f>+'Local Government_int'!N87</f>
        <v>2142181.59</v>
      </c>
      <c r="O87" s="191">
        <f>+'Local Government_int'!O87</f>
        <v>6.6239381261595537E-2</v>
      </c>
      <c r="P87" s="285">
        <f>+'Local Government_int'!P87</f>
        <v>1189239.27</v>
      </c>
      <c r="Q87" s="286">
        <f>+'Local Government_int'!Q87</f>
        <v>3.7765616703715463E-2</v>
      </c>
      <c r="R87" s="285">
        <f>+'Local Government_int'!R87</f>
        <v>2005826.3165</v>
      </c>
      <c r="S87" s="286">
        <f>+'Local Government_int'!S87</f>
        <v>5.703230925504691E-2</v>
      </c>
      <c r="T87" s="285">
        <f>+'Local Government_int'!T87</f>
        <v>2045942.84283</v>
      </c>
      <c r="U87" s="287">
        <f>+'Local Government_int'!U87</f>
        <v>5.8172955440147854E-2</v>
      </c>
      <c r="V87" s="282">
        <f>+'Local Government_int'!V87</f>
        <v>40116.526330000022</v>
      </c>
      <c r="W87" s="286">
        <f>+'Local Government_int'!W87</f>
        <v>1.1406461851009436E-3</v>
      </c>
      <c r="X87" s="85"/>
      <c r="Y87" s="85"/>
      <c r="Z87" s="85"/>
      <c r="AA87" s="85"/>
      <c r="AB87" s="85"/>
      <c r="AC87" s="85"/>
      <c r="AD87" s="85"/>
      <c r="AE87" s="85"/>
      <c r="AF87" s="66"/>
      <c r="AG87" s="66"/>
      <c r="AH87" s="66"/>
      <c r="AI87" s="66"/>
      <c r="AJ87" s="66"/>
      <c r="AK87" s="55"/>
      <c r="AL87" s="159"/>
      <c r="AM87" s="67"/>
      <c r="AN87" s="67"/>
      <c r="AO87" s="159"/>
      <c r="AP87" s="159"/>
      <c r="AQ87" s="159"/>
      <c r="AR87" s="159"/>
      <c r="AS87" s="159"/>
      <c r="AT87" s="159"/>
      <c r="AU87" s="159"/>
      <c r="AV87" s="159"/>
      <c r="AW87" s="159"/>
      <c r="AX87" s="159"/>
      <c r="AY87" s="159"/>
      <c r="AZ87" s="159"/>
      <c r="BA87" s="159"/>
      <c r="BB87" s="159"/>
      <c r="BC87" s="159"/>
      <c r="BD87" s="159"/>
      <c r="BE87" s="159"/>
      <c r="BF87" s="159"/>
      <c r="BG87" s="159"/>
      <c r="BH87" s="159"/>
      <c r="BI87" s="159"/>
      <c r="BJ87" s="159"/>
      <c r="BK87" s="159"/>
      <c r="BL87" s="159"/>
      <c r="BM87" s="159"/>
      <c r="BN87" s="159"/>
      <c r="BO87" s="159"/>
      <c r="BP87" s="159"/>
      <c r="BQ87" s="159"/>
      <c r="BR87" s="159"/>
      <c r="BS87" s="159"/>
      <c r="BT87" s="159"/>
      <c r="BU87" s="159"/>
      <c r="BV87" s="159"/>
      <c r="BW87" s="159"/>
      <c r="BX87" s="159"/>
      <c r="BY87" s="159"/>
      <c r="BZ87" s="159"/>
      <c r="CA87" s="159"/>
      <c r="CB87" s="159"/>
      <c r="CC87" s="159"/>
      <c r="CD87" s="159"/>
      <c r="CE87" s="159"/>
      <c r="CF87" s="159"/>
      <c r="CG87" s="159"/>
      <c r="CH87" s="159"/>
      <c r="CI87" s="159"/>
      <c r="CJ87" s="159"/>
      <c r="CK87" s="159"/>
      <c r="CL87" s="159"/>
      <c r="CM87" s="159"/>
      <c r="CN87" s="159"/>
      <c r="CO87" s="159"/>
      <c r="CP87" s="159"/>
      <c r="CQ87" s="159"/>
      <c r="CR87" s="159"/>
      <c r="CS87" s="159"/>
      <c r="CT87" s="159"/>
      <c r="CU87" s="159"/>
      <c r="CV87" s="159"/>
      <c r="CW87" s="159"/>
      <c r="CX87" s="159"/>
      <c r="CY87" s="159"/>
      <c r="CZ87" s="159"/>
      <c r="DA87" s="159"/>
      <c r="DB87" s="159"/>
      <c r="DC87" s="159"/>
      <c r="DD87" s="159"/>
      <c r="DE87" s="159"/>
      <c r="DF87" s="159"/>
      <c r="DG87" s="159"/>
      <c r="DH87" s="159"/>
      <c r="DI87" s="159"/>
      <c r="DJ87" s="159"/>
      <c r="DK87" s="159"/>
      <c r="DL87" s="159"/>
      <c r="DM87" s="159"/>
      <c r="DN87" s="159"/>
      <c r="DO87" s="159"/>
      <c r="DP87" s="159"/>
      <c r="DQ87" s="159"/>
      <c r="DR87" s="159"/>
      <c r="DS87" s="159"/>
      <c r="DT87" s="159"/>
      <c r="DU87" s="66"/>
      <c r="DV87" s="66"/>
      <c r="DW87" s="66"/>
      <c r="DX87" s="66"/>
      <c r="DY87" s="66"/>
      <c r="DZ87" s="66"/>
      <c r="EA87" s="66"/>
      <c r="EB87" s="66"/>
      <c r="EC87" s="66"/>
      <c r="ED87" s="66"/>
      <c r="EE87" s="66"/>
      <c r="EF87" s="66"/>
      <c r="EG87" s="66"/>
      <c r="EH87" s="66"/>
      <c r="EI87" s="66"/>
      <c r="EJ87" s="66"/>
    </row>
    <row r="88" spans="1:140" ht="13.5" thickBot="1">
      <c r="A88" s="69"/>
      <c r="B88" s="69"/>
      <c r="C88" s="425" t="str">
        <f>IF(MasterSheet!$A$1=1,MasterSheet!C233,MasterSheet!B233)</f>
        <v>Rezerve</v>
      </c>
      <c r="D88" s="426">
        <f>+'Local Government_int'!D89</f>
        <v>4882891.71</v>
      </c>
      <c r="E88" s="577">
        <f>+'Local Government_int'!E89</f>
        <v>0.22722749825492111</v>
      </c>
      <c r="F88" s="426">
        <f>+'Local Government_int'!F89</f>
        <v>8103979.8300000001</v>
      </c>
      <c r="G88" s="577">
        <f>+'Local Government_int'!G89</f>
        <v>0.30233090207050922</v>
      </c>
      <c r="H88" s="426">
        <f>+'Local Government_int'!H89</f>
        <v>6750498.1299999999</v>
      </c>
      <c r="I88" s="577">
        <f>+'Local Government_int'!I89</f>
        <v>0.21877424585169822</v>
      </c>
      <c r="J88" s="426">
        <f>+'Local Government_int'!J89</f>
        <v>3613548.59</v>
      </c>
      <c r="K88" s="577">
        <f>+'Local Government_int'!K89</f>
        <v>0.12121934216705803</v>
      </c>
      <c r="L88" s="426">
        <f>+'Local Government_int'!L89</f>
        <v>3250000</v>
      </c>
      <c r="M88" s="577">
        <f>+'Local Government_int'!M89</f>
        <v>0.10470360824742268</v>
      </c>
      <c r="N88" s="426">
        <f>+'Local Government_int'!N89</f>
        <v>2296279.0099999998</v>
      </c>
      <c r="O88" s="577">
        <f>+'Local Government_int'!O89</f>
        <v>7.1004298392084095E-2</v>
      </c>
      <c r="P88" s="578">
        <f>+'Local Government_int'!P89</f>
        <v>3457991.1000000006</v>
      </c>
      <c r="Q88" s="579">
        <f>+'Local Government_int'!Q89</f>
        <v>0.10981235630358845</v>
      </c>
      <c r="R88" s="578">
        <f>+'Local Government_int'!R89</f>
        <v>3504092.6365</v>
      </c>
      <c r="S88" s="580">
        <f>+'Local Government_int'!S89</f>
        <v>9.9633000753483081E-2</v>
      </c>
      <c r="T88" s="578">
        <f>+'Local Government_int'!T89</f>
        <v>3574174.4892299999</v>
      </c>
      <c r="U88" s="579">
        <f>+'Local Government_int'!U89</f>
        <v>0.10162566076855274</v>
      </c>
      <c r="V88" s="297">
        <f>+'Local Government_int'!V89</f>
        <v>70081.852729999926</v>
      </c>
      <c r="W88" s="580">
        <f>+'Local Government_int'!W89</f>
        <v>1.9926600150696611E-3</v>
      </c>
      <c r="X88" s="69"/>
      <c r="Y88" s="69"/>
      <c r="Z88" s="69"/>
      <c r="AA88" s="69"/>
      <c r="AB88" s="69"/>
      <c r="AC88" s="69"/>
      <c r="AD88" s="69"/>
      <c r="AE88" s="69"/>
      <c r="AF88" s="51"/>
      <c r="AG88" s="51"/>
      <c r="AH88" s="51"/>
      <c r="AI88" s="51"/>
      <c r="AJ88" s="51"/>
      <c r="AK88" s="612"/>
      <c r="AL88" s="612"/>
      <c r="AM88" s="160"/>
      <c r="AN88" s="612"/>
      <c r="AO88" s="612"/>
      <c r="AP88" s="612"/>
      <c r="AQ88" s="612"/>
      <c r="AR88" s="612"/>
      <c r="AS88" s="612"/>
      <c r="AT88" s="612"/>
      <c r="AU88" s="612"/>
      <c r="AV88" s="612"/>
      <c r="AW88" s="612"/>
      <c r="AX88" s="612"/>
      <c r="AY88" s="612"/>
      <c r="AZ88" s="612"/>
      <c r="BA88" s="612"/>
      <c r="BB88" s="612"/>
      <c r="BC88" s="612"/>
      <c r="BD88" s="612"/>
      <c r="BE88" s="612"/>
      <c r="BF88" s="612"/>
      <c r="BG88" s="612"/>
      <c r="BH88" s="612"/>
      <c r="BI88" s="612"/>
      <c r="BJ88" s="612"/>
      <c r="BK88" s="612"/>
      <c r="BL88" s="612"/>
      <c r="BM88" s="612"/>
      <c r="BN88" s="612"/>
      <c r="BO88" s="612"/>
      <c r="BP88" s="612"/>
      <c r="BQ88" s="612"/>
      <c r="BR88" s="612"/>
      <c r="BS88" s="612"/>
      <c r="BT88" s="612"/>
      <c r="BU88" s="612"/>
      <c r="BV88" s="612"/>
      <c r="BW88" s="612"/>
      <c r="BX88" s="612"/>
      <c r="BY88" s="612"/>
      <c r="BZ88" s="612"/>
      <c r="CA88" s="612"/>
      <c r="CB88" s="612"/>
      <c r="CC88" s="612"/>
      <c r="CD88" s="612"/>
      <c r="CE88" s="612"/>
      <c r="CF88" s="612"/>
      <c r="CG88" s="612"/>
      <c r="CH88" s="612"/>
      <c r="CI88" s="612"/>
      <c r="CJ88" s="612"/>
      <c r="CK88" s="612"/>
      <c r="CL88" s="612"/>
      <c r="CM88" s="612"/>
      <c r="CN88" s="612"/>
      <c r="CO88" s="612"/>
      <c r="CP88" s="612"/>
      <c r="CQ88" s="612"/>
      <c r="CR88" s="612"/>
      <c r="CS88" s="612"/>
      <c r="CT88" s="612"/>
      <c r="CU88" s="612"/>
      <c r="CV88" s="612"/>
      <c r="CW88" s="612"/>
      <c r="CX88" s="612"/>
      <c r="CY88" s="612"/>
      <c r="CZ88" s="612"/>
      <c r="DA88" s="612"/>
      <c r="DB88" s="612"/>
      <c r="DC88" s="612"/>
      <c r="DD88" s="612"/>
      <c r="DE88" s="612"/>
      <c r="DF88" s="612"/>
      <c r="DG88" s="612"/>
      <c r="DH88" s="612"/>
      <c r="DI88" s="612"/>
      <c r="DJ88" s="612"/>
      <c r="DK88" s="612"/>
      <c r="DL88" s="612"/>
      <c r="DM88" s="612"/>
      <c r="DN88" s="612"/>
      <c r="DO88" s="612"/>
      <c r="DP88" s="612"/>
      <c r="DQ88" s="612"/>
      <c r="DR88" s="612"/>
      <c r="DS88" s="612"/>
      <c r="DT88" s="612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</row>
    <row r="89" spans="1:140" ht="14.25" thickTop="1" thickBot="1">
      <c r="A89" s="69"/>
      <c r="B89" s="69"/>
      <c r="C89" s="146" t="str">
        <f>IF(MasterSheet!$A$1=1,MasterSheet!C234,MasterSheet!B234)</f>
        <v>Neto povećanje obaveza</v>
      </c>
      <c r="D89" s="144"/>
      <c r="E89" s="142">
        <f t="shared" ref="E89:E103" si="10">+D89/$D$15*100</f>
        <v>0</v>
      </c>
      <c r="F89" s="144"/>
      <c r="G89" s="142">
        <f t="shared" ref="G89:G103" si="11">+F89/$F$15*100</f>
        <v>0</v>
      </c>
      <c r="H89" s="144"/>
      <c r="I89" s="142">
        <f t="shared" ref="I89:I103" si="12">+H89/$H$15*100</f>
        <v>0</v>
      </c>
      <c r="J89" s="144"/>
      <c r="K89" s="142">
        <f t="shared" ref="K89:K103" si="13">+J89/$J$15*100</f>
        <v>0</v>
      </c>
      <c r="L89" s="144">
        <v>31962969.949999999</v>
      </c>
      <c r="M89" s="142">
        <f t="shared" ref="M89:M103" si="14">+L89/$L$15*100</f>
        <v>1.029734856636598</v>
      </c>
      <c r="N89" s="141">
        <v>-4851519.62</v>
      </c>
      <c r="O89" s="145">
        <f t="shared" ref="O89:O103" si="15">+N89/$N$15*100</f>
        <v>-0.15001606740878171</v>
      </c>
      <c r="P89" s="288"/>
      <c r="Q89" s="290">
        <f t="shared" ref="Q89:Q103" si="16">+P89/$P$15*100</f>
        <v>0</v>
      </c>
      <c r="R89" s="292"/>
      <c r="S89" s="290">
        <f t="shared" ref="S89:S103" si="17">+R89/$R$15*100</f>
        <v>0</v>
      </c>
      <c r="T89" s="288"/>
      <c r="U89" s="290">
        <f t="shared" ref="U89:U103" si="18">+T89/$T$15*100</f>
        <v>0</v>
      </c>
      <c r="V89" s="288"/>
      <c r="W89" s="290" t="e">
        <f t="shared" ref="W89:W103" si="19">+V89/$V$15*100</f>
        <v>#DIV/0!</v>
      </c>
      <c r="X89" s="69"/>
      <c r="Y89" s="69"/>
      <c r="Z89" s="69"/>
      <c r="AA89" s="69"/>
      <c r="AB89" s="69"/>
      <c r="AC89" s="69"/>
      <c r="AD89" s="69"/>
      <c r="AE89" s="69"/>
      <c r="AF89" s="51"/>
      <c r="AG89" s="51"/>
      <c r="AH89" s="51"/>
      <c r="AI89" s="51"/>
      <c r="AJ89" s="51"/>
      <c r="AK89" s="51"/>
      <c r="AL89" s="51"/>
      <c r="AM89" s="68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</row>
    <row r="90" spans="1:140" ht="14.25" thickTop="1" thickBot="1">
      <c r="A90" s="69"/>
      <c r="B90" s="69"/>
      <c r="C90" s="180" t="str">
        <f>IF(MasterSheet!$A$1=1,MasterSheet!C235,MasterSheet!B235)</f>
        <v>Suficit/deficit</v>
      </c>
      <c r="D90" s="179">
        <f>+D20-D58+D104</f>
        <v>-5919333.7098000199</v>
      </c>
      <c r="E90" s="170">
        <f t="shared" si="10"/>
        <v>-0.27545877936618829</v>
      </c>
      <c r="F90" s="179">
        <f>+F20-F58+F104</f>
        <v>-8773875.1500000209</v>
      </c>
      <c r="G90" s="170">
        <f t="shared" si="11"/>
        <v>-0.3273223335198665</v>
      </c>
      <c r="H90" s="179">
        <f>+H20-H58+H104</f>
        <v>-27237173.702543128</v>
      </c>
      <c r="I90" s="170">
        <f t="shared" si="12"/>
        <v>-0.8827188780964198</v>
      </c>
      <c r="J90" s="179">
        <f>+J20-J58+J104</f>
        <v>-38979717.939999998</v>
      </c>
      <c r="K90" s="170">
        <f t="shared" si="13"/>
        <v>-1.3076054324052331</v>
      </c>
      <c r="L90" s="179">
        <f>+L20-L58+L104</f>
        <v>-38841165.291538469</v>
      </c>
      <c r="M90" s="170">
        <f t="shared" si="14"/>
        <v>-1.2513262014026569</v>
      </c>
      <c r="N90" s="169">
        <f>+N20-N58+N104</f>
        <v>13693447.169999976</v>
      </c>
      <c r="O90" s="171">
        <f t="shared" si="15"/>
        <v>0.42342137198515695</v>
      </c>
      <c r="P90" s="276">
        <f>+P20-P58+P104</f>
        <v>30704374.843333293</v>
      </c>
      <c r="Q90" s="278">
        <f t="shared" si="16"/>
        <v>0.97505159870858349</v>
      </c>
      <c r="R90" s="276">
        <f>+R20-R58+R104</f>
        <v>13646927.081038505</v>
      </c>
      <c r="S90" s="278">
        <f t="shared" si="17"/>
        <v>0.38802749732836239</v>
      </c>
      <c r="T90" s="276">
        <f>+T20-T58+T104</f>
        <v>13873265.622659251</v>
      </c>
      <c r="U90" s="278">
        <f t="shared" si="18"/>
        <v>0.3944630543832599</v>
      </c>
      <c r="V90" s="276">
        <f>+V20-V58+V104</f>
        <v>226338.54162076348</v>
      </c>
      <c r="W90" s="278" t="e">
        <f t="shared" si="19"/>
        <v>#DIV/0!</v>
      </c>
      <c r="X90" s="69"/>
      <c r="Y90" s="69"/>
      <c r="Z90" s="69"/>
      <c r="AA90" s="69"/>
      <c r="AB90" s="69"/>
      <c r="AC90" s="69"/>
      <c r="AD90" s="69"/>
      <c r="AE90" s="69"/>
      <c r="AF90" s="51"/>
      <c r="AG90" s="51"/>
      <c r="AH90" s="51"/>
      <c r="AI90" s="51"/>
      <c r="AJ90" s="51"/>
      <c r="AK90" s="51"/>
      <c r="AL90" s="51"/>
      <c r="AM90" s="68"/>
      <c r="AN90" s="51"/>
      <c r="AO90" s="51"/>
      <c r="AP90" s="51"/>
      <c r="AQ90" s="51"/>
      <c r="AR90" s="51"/>
      <c r="AS90" s="51"/>
      <c r="AT90" s="51"/>
      <c r="AU90" s="51"/>
      <c r="AV90" s="51"/>
      <c r="AW90" s="51"/>
      <c r="AX90" s="51"/>
      <c r="AY90" s="51"/>
      <c r="AZ90" s="51"/>
      <c r="BA90" s="51"/>
      <c r="BB90" s="51"/>
      <c r="BC90" s="51"/>
      <c r="BD90" s="51"/>
      <c r="BE90" s="51"/>
      <c r="BF90" s="51"/>
      <c r="BG90" s="51"/>
      <c r="BH90" s="51"/>
      <c r="BI90" s="51"/>
      <c r="BJ90" s="51"/>
      <c r="BK90" s="51"/>
      <c r="BL90" s="51"/>
      <c r="BM90" s="51"/>
      <c r="BN90" s="51"/>
      <c r="BO90" s="51"/>
      <c r="BP90" s="51"/>
      <c r="BQ90" s="51"/>
      <c r="BR90" s="51"/>
      <c r="BS90" s="51"/>
      <c r="BT90" s="51"/>
      <c r="BU90" s="51"/>
      <c r="BV90" s="51"/>
      <c r="BW90" s="51"/>
      <c r="BX90" s="51"/>
      <c r="BY90" s="51"/>
      <c r="BZ90" s="51"/>
      <c r="CA90" s="51"/>
      <c r="CB90" s="51"/>
      <c r="CC90" s="51"/>
      <c r="CD90" s="51"/>
      <c r="CE90" s="51"/>
      <c r="CF90" s="51"/>
      <c r="CG90" s="51"/>
      <c r="CH90" s="51"/>
      <c r="CI90" s="51"/>
      <c r="CJ90" s="51"/>
      <c r="CK90" s="51"/>
      <c r="CL90" s="51"/>
      <c r="CM90" s="51"/>
      <c r="CN90" s="51"/>
      <c r="CO90" s="51"/>
      <c r="CP90" s="51"/>
      <c r="CQ90" s="51"/>
      <c r="CR90" s="51"/>
      <c r="CS90" s="51"/>
      <c r="CT90" s="51"/>
      <c r="CU90" s="51"/>
      <c r="CV90" s="51"/>
      <c r="CW90" s="51"/>
      <c r="CX90" s="51"/>
      <c r="CY90" s="51"/>
      <c r="CZ90" s="51"/>
      <c r="DA90" s="51"/>
      <c r="DB90" s="51"/>
      <c r="DC90" s="51"/>
      <c r="DD90" s="51"/>
      <c r="DE90" s="51"/>
      <c r="DF90" s="51"/>
      <c r="DG90" s="51"/>
      <c r="DH90" s="51"/>
      <c r="DI90" s="51"/>
      <c r="DJ90" s="51"/>
      <c r="DK90" s="51"/>
      <c r="DL90" s="51"/>
      <c r="DM90" s="51"/>
      <c r="DN90" s="51"/>
      <c r="DO90" s="51"/>
      <c r="DP90" s="51"/>
      <c r="DQ90" s="51"/>
      <c r="DR90" s="51"/>
      <c r="DS90" s="51"/>
      <c r="DT90" s="51"/>
      <c r="DU90" s="51"/>
      <c r="DV90" s="51"/>
      <c r="DW90" s="51"/>
      <c r="DX90" s="51"/>
      <c r="DY90" s="51"/>
      <c r="DZ90" s="51"/>
      <c r="EA90" s="51"/>
      <c r="EB90" s="51"/>
      <c r="EC90" s="51"/>
      <c r="ED90" s="51"/>
      <c r="EE90" s="51"/>
      <c r="EF90" s="51"/>
      <c r="EG90" s="51"/>
      <c r="EH90" s="51"/>
      <c r="EI90" s="51"/>
      <c r="EJ90" s="51"/>
    </row>
    <row r="91" spans="1:140" ht="14.25" thickTop="1" thickBot="1">
      <c r="A91" s="69"/>
      <c r="B91" s="69"/>
      <c r="C91" s="180" t="str">
        <f>IF(MasterSheet!$A$1=1,MasterSheet!C236,MasterSheet!B236)</f>
        <v>Primarni deficit</v>
      </c>
      <c r="D91" s="181">
        <f>+D90+D70</f>
        <v>-5463664.2698000195</v>
      </c>
      <c r="E91" s="170">
        <f t="shared" si="10"/>
        <v>-0.25425400296896178</v>
      </c>
      <c r="F91" s="181">
        <f>+F90+F70</f>
        <v>-7937701.4600000214</v>
      </c>
      <c r="G91" s="170">
        <f t="shared" si="11"/>
        <v>-0.2961276426039926</v>
      </c>
      <c r="H91" s="181">
        <f>+H90+H70</f>
        <v>-25963475.482543129</v>
      </c>
      <c r="I91" s="170">
        <f t="shared" si="12"/>
        <v>-0.8414400921228653</v>
      </c>
      <c r="J91" s="181">
        <f>+J90+J70</f>
        <v>-37969008.539999999</v>
      </c>
      <c r="K91" s="170">
        <f t="shared" si="13"/>
        <v>-1.2737003871184167</v>
      </c>
      <c r="L91" s="181">
        <f>+L90+L70</f>
        <v>-37691165.291538469</v>
      </c>
      <c r="M91" s="170">
        <f t="shared" si="14"/>
        <v>-1.2142772323304918</v>
      </c>
      <c r="N91" s="177">
        <f>+N90+N70</f>
        <v>16204362.849999975</v>
      </c>
      <c r="O91" s="171">
        <f t="shared" si="15"/>
        <v>0.50106254947433448</v>
      </c>
      <c r="P91" s="291">
        <f>+P90+P70</f>
        <v>33564837.043333292</v>
      </c>
      <c r="Q91" s="278">
        <f t="shared" si="16"/>
        <v>1.0658887597120767</v>
      </c>
      <c r="R91" s="291">
        <f>+R90+R70</f>
        <v>17566882.526038505</v>
      </c>
      <c r="S91" s="278">
        <f t="shared" si="17"/>
        <v>0.49948485999540815</v>
      </c>
      <c r="T91" s="276">
        <f>+T90+T70</f>
        <v>17871620.176559251</v>
      </c>
      <c r="U91" s="278">
        <f t="shared" si="18"/>
        <v>0.50814956430364666</v>
      </c>
      <c r="V91" s="276">
        <f>+V90+V70</f>
        <v>304737.65052076336</v>
      </c>
      <c r="W91" s="277" t="e">
        <f t="shared" si="19"/>
        <v>#DIV/0!</v>
      </c>
      <c r="X91" s="69"/>
      <c r="Y91" s="69"/>
      <c r="Z91" s="69"/>
      <c r="AA91" s="69"/>
      <c r="AB91" s="69"/>
      <c r="AC91" s="69"/>
      <c r="AD91" s="69"/>
      <c r="AE91" s="69"/>
      <c r="AF91" s="51"/>
      <c r="AG91" s="51"/>
      <c r="AH91" s="51"/>
      <c r="AI91" s="51"/>
      <c r="AJ91" s="51"/>
      <c r="AK91" s="51"/>
      <c r="AL91" s="51"/>
      <c r="AM91" s="68"/>
      <c r="AN91" s="51"/>
      <c r="AO91" s="51"/>
      <c r="AP91" s="51"/>
      <c r="AQ91" s="51"/>
      <c r="AR91" s="51"/>
      <c r="AS91" s="51"/>
      <c r="AT91" s="51"/>
      <c r="AU91" s="51"/>
      <c r="AV91" s="51"/>
      <c r="AW91" s="51"/>
      <c r="AX91" s="51"/>
      <c r="AY91" s="51"/>
      <c r="AZ91" s="51"/>
      <c r="BA91" s="51"/>
      <c r="BB91" s="51"/>
      <c r="BC91" s="51"/>
      <c r="BD91" s="51"/>
      <c r="BE91" s="51"/>
      <c r="BF91" s="51"/>
      <c r="BG91" s="51"/>
      <c r="BH91" s="51"/>
      <c r="BI91" s="51"/>
      <c r="BJ91" s="51"/>
      <c r="BK91" s="51"/>
      <c r="BL91" s="51"/>
      <c r="BM91" s="51"/>
      <c r="BN91" s="51"/>
      <c r="BO91" s="51"/>
      <c r="BP91" s="51"/>
      <c r="BQ91" s="51"/>
      <c r="BR91" s="51"/>
      <c r="BS91" s="51"/>
      <c r="BT91" s="51"/>
      <c r="BU91" s="51"/>
      <c r="BV91" s="51"/>
      <c r="BW91" s="51"/>
      <c r="BX91" s="51"/>
      <c r="BY91" s="51"/>
      <c r="BZ91" s="51"/>
      <c r="CA91" s="51"/>
      <c r="CB91" s="51"/>
      <c r="CC91" s="51"/>
      <c r="CD91" s="51"/>
      <c r="CE91" s="51"/>
      <c r="CF91" s="51"/>
      <c r="CG91" s="51"/>
      <c r="CH91" s="51"/>
      <c r="CI91" s="51"/>
      <c r="CJ91" s="51"/>
      <c r="CK91" s="51"/>
      <c r="CL91" s="51"/>
      <c r="CM91" s="51"/>
      <c r="CN91" s="51"/>
      <c r="CO91" s="51"/>
      <c r="CP91" s="51"/>
      <c r="CQ91" s="51"/>
      <c r="CR91" s="51"/>
      <c r="CS91" s="51"/>
      <c r="CT91" s="51"/>
      <c r="CU91" s="51"/>
      <c r="CV91" s="51"/>
      <c r="CW91" s="51"/>
      <c r="CX91" s="51"/>
      <c r="CY91" s="51"/>
      <c r="CZ91" s="51"/>
      <c r="DA91" s="51"/>
      <c r="DB91" s="51"/>
      <c r="DC91" s="51"/>
      <c r="DD91" s="51"/>
      <c r="DE91" s="51"/>
      <c r="DF91" s="51"/>
      <c r="DG91" s="51"/>
      <c r="DH91" s="51"/>
      <c r="DI91" s="51"/>
      <c r="DJ91" s="51"/>
      <c r="DK91" s="51"/>
      <c r="DL91" s="51"/>
      <c r="DM91" s="51"/>
      <c r="DN91" s="51"/>
      <c r="DO91" s="51"/>
      <c r="DP91" s="51"/>
      <c r="DQ91" s="51"/>
      <c r="DR91" s="51"/>
      <c r="DS91" s="51"/>
      <c r="DT91" s="51"/>
      <c r="DU91" s="51"/>
      <c r="DV91" s="51"/>
      <c r="DW91" s="51"/>
      <c r="DX91" s="51"/>
      <c r="DY91" s="51"/>
      <c r="DZ91" s="51"/>
      <c r="EA91" s="51"/>
      <c r="EB91" s="51"/>
      <c r="EC91" s="51"/>
      <c r="ED91" s="51"/>
      <c r="EE91" s="51"/>
      <c r="EF91" s="51"/>
      <c r="EG91" s="51"/>
      <c r="EH91" s="51"/>
      <c r="EI91" s="51"/>
      <c r="EJ91" s="51"/>
    </row>
    <row r="92" spans="1:140" ht="14.25" thickTop="1" thickBot="1">
      <c r="A92" s="69"/>
      <c r="B92" s="69"/>
      <c r="C92" s="180" t="str">
        <f>IF(MasterSheet!$A$1=1,MasterSheet!C237,MasterSheet!B237)</f>
        <v>Otplata duga</v>
      </c>
      <c r="D92" s="179">
        <f>SUM(D93:D96)</f>
        <v>17229438.09</v>
      </c>
      <c r="E92" s="170">
        <f t="shared" si="10"/>
        <v>0.80177942621806508</v>
      </c>
      <c r="F92" s="179">
        <f>SUM(F93:F96)</f>
        <v>21508720.48</v>
      </c>
      <c r="G92" s="170">
        <f t="shared" si="11"/>
        <v>0.80241449281850397</v>
      </c>
      <c r="H92" s="179">
        <f>SUM(H93:H96)</f>
        <v>22702726.235089999</v>
      </c>
      <c r="I92" s="170">
        <f t="shared" si="12"/>
        <v>0.7357637488686154</v>
      </c>
      <c r="J92" s="179">
        <f>SUM(J93:J96)</f>
        <v>36561416.140000001</v>
      </c>
      <c r="K92" s="170">
        <f t="shared" si="13"/>
        <v>1.2264815880576989</v>
      </c>
      <c r="L92" s="179">
        <f>SUM(L93:L96)</f>
        <v>10837030.049999997</v>
      </c>
      <c r="M92" s="170">
        <f t="shared" si="14"/>
        <v>0.34913112274484526</v>
      </c>
      <c r="N92" s="169">
        <f>SUM(N93:N96)</f>
        <v>49899652.32</v>
      </c>
      <c r="O92" s="171">
        <f t="shared" si="15"/>
        <v>1.5429700779220779</v>
      </c>
      <c r="P92" s="276">
        <f>SUM(P93:P96)</f>
        <v>54950812.849999994</v>
      </c>
      <c r="Q92" s="278">
        <f t="shared" si="16"/>
        <v>1.7450242251508412</v>
      </c>
      <c r="R92" s="276">
        <f>SUM(R93:R96)</f>
        <v>42000000</v>
      </c>
      <c r="S92" s="278">
        <f t="shared" si="17"/>
        <v>1.194199601933466</v>
      </c>
      <c r="T92" s="276">
        <f>SUM(T93:T96)</f>
        <v>43000000</v>
      </c>
      <c r="U92" s="278">
        <f t="shared" si="18"/>
        <v>1.2226329257890247</v>
      </c>
      <c r="V92" s="276">
        <f>SUM(V93:V96)</f>
        <v>1000000</v>
      </c>
      <c r="W92" s="277" t="e">
        <f t="shared" si="19"/>
        <v>#DIV/0!</v>
      </c>
      <c r="X92" s="69"/>
      <c r="Y92" s="69"/>
      <c r="Z92" s="69"/>
      <c r="AA92" s="69"/>
      <c r="AB92" s="69"/>
      <c r="AC92" s="69"/>
      <c r="AD92" s="69"/>
      <c r="AE92" s="69"/>
      <c r="AF92" s="51"/>
      <c r="AG92" s="51"/>
      <c r="AH92" s="51"/>
      <c r="AI92" s="51"/>
      <c r="AJ92" s="51"/>
      <c r="AK92" s="51"/>
      <c r="AL92" s="51"/>
      <c r="AM92" s="68"/>
      <c r="AN92" s="51"/>
      <c r="AO92" s="51"/>
      <c r="AP92" s="51"/>
      <c r="AQ92" s="51"/>
      <c r="AR92" s="51"/>
      <c r="AS92" s="51"/>
      <c r="AT92" s="51"/>
      <c r="AU92" s="51"/>
      <c r="AV92" s="51"/>
      <c r="AW92" s="51"/>
      <c r="AX92" s="51"/>
      <c r="AY92" s="51"/>
      <c r="AZ92" s="51"/>
      <c r="BA92" s="51"/>
      <c r="BB92" s="51"/>
      <c r="BC92" s="51"/>
      <c r="BD92" s="51"/>
      <c r="BE92" s="51"/>
      <c r="BF92" s="51"/>
      <c r="BG92" s="51"/>
      <c r="BH92" s="51"/>
      <c r="BI92" s="51"/>
      <c r="BJ92" s="51"/>
      <c r="BK92" s="51"/>
      <c r="BL92" s="51"/>
      <c r="BM92" s="51"/>
      <c r="BN92" s="51"/>
      <c r="BO92" s="51"/>
      <c r="BP92" s="51"/>
      <c r="BQ92" s="51"/>
      <c r="BR92" s="51"/>
      <c r="BS92" s="51"/>
      <c r="BT92" s="51"/>
      <c r="BU92" s="51"/>
      <c r="BV92" s="51"/>
      <c r="BW92" s="51"/>
      <c r="BX92" s="51"/>
      <c r="BY92" s="51"/>
      <c r="BZ92" s="51"/>
      <c r="CA92" s="51"/>
      <c r="CB92" s="51"/>
      <c r="CC92" s="51"/>
      <c r="CD92" s="51"/>
      <c r="CE92" s="51"/>
      <c r="CF92" s="51"/>
      <c r="CG92" s="51"/>
      <c r="CH92" s="51"/>
      <c r="CI92" s="51"/>
      <c r="CJ92" s="51"/>
      <c r="CK92" s="51"/>
      <c r="CL92" s="51"/>
      <c r="CM92" s="51"/>
      <c r="CN92" s="51"/>
      <c r="CO92" s="51"/>
      <c r="CP92" s="51"/>
      <c r="CQ92" s="51"/>
      <c r="CR92" s="51"/>
      <c r="CS92" s="51"/>
      <c r="CT92" s="51"/>
      <c r="CU92" s="51"/>
      <c r="CV92" s="51"/>
      <c r="CW92" s="51"/>
      <c r="CX92" s="51"/>
      <c r="CY92" s="51"/>
      <c r="CZ92" s="51"/>
      <c r="DA92" s="51"/>
      <c r="DB92" s="51"/>
      <c r="DC92" s="51"/>
      <c r="DD92" s="51"/>
      <c r="DE92" s="51"/>
      <c r="DF92" s="51"/>
      <c r="DG92" s="51"/>
      <c r="DH92" s="51"/>
      <c r="DI92" s="51"/>
      <c r="DJ92" s="51"/>
      <c r="DK92" s="51"/>
      <c r="DL92" s="51"/>
      <c r="DM92" s="51"/>
      <c r="DN92" s="51"/>
      <c r="DO92" s="51"/>
      <c r="DP92" s="51"/>
      <c r="DQ92" s="51"/>
      <c r="DR92" s="51"/>
      <c r="DS92" s="51"/>
      <c r="DT92" s="51"/>
      <c r="DU92" s="51"/>
      <c r="DV92" s="51"/>
      <c r="DW92" s="51"/>
      <c r="DX92" s="51"/>
      <c r="DY92" s="51"/>
      <c r="DZ92" s="51"/>
      <c r="EA92" s="51"/>
      <c r="EB92" s="51"/>
      <c r="EC92" s="51"/>
      <c r="ED92" s="51"/>
      <c r="EE92" s="51"/>
      <c r="EF92" s="51"/>
      <c r="EG92" s="51"/>
      <c r="EH92" s="51"/>
      <c r="EI92" s="51"/>
      <c r="EJ92" s="51"/>
    </row>
    <row r="93" spans="1:140" ht="13.5" thickTop="1">
      <c r="A93" s="69"/>
      <c r="B93" s="69"/>
      <c r="C93" s="197" t="str">
        <f>IF(MasterSheet!$A$1=1,MasterSheet!C238,MasterSheet!B238)</f>
        <v>Otplata glavnice rezidentima</v>
      </c>
      <c r="D93" s="198">
        <f>+'Local Government_int'!D95</f>
        <v>11024495.749999998</v>
      </c>
      <c r="E93" s="199">
        <f>+'Local Government_int'!E95</f>
        <v>0.51302972451021445</v>
      </c>
      <c r="F93" s="198">
        <f>+'Local Government_int'!F95</f>
        <v>6481912.0199999996</v>
      </c>
      <c r="G93" s="199">
        <f>+'Local Government_int'!G95</f>
        <v>0.24181727364297706</v>
      </c>
      <c r="H93" s="198">
        <f>+'Local Government_int'!H95</f>
        <v>4464123.0729599996</v>
      </c>
      <c r="I93" s="199">
        <f>+'Local Government_int'!I95</f>
        <v>0.14467601351309306</v>
      </c>
      <c r="J93" s="198">
        <f>+'Local Government_int'!J95</f>
        <v>7754843.96</v>
      </c>
      <c r="K93" s="199">
        <f>+'Local Government_int'!K95</f>
        <v>0.26014236699094262</v>
      </c>
      <c r="L93" s="198">
        <f>+'Local Government_int'!L95</f>
        <v>5330000</v>
      </c>
      <c r="M93" s="199">
        <f>+'Local Government_int'!M95</f>
        <v>0.1717139175257732</v>
      </c>
      <c r="N93" s="200">
        <f>+'Local Government_int'!N95</f>
        <v>7608617.8899999997</v>
      </c>
      <c r="O93" s="201">
        <f>+'Local Government_int'!O95</f>
        <v>0.23526956988249845</v>
      </c>
      <c r="P93" s="293">
        <f>+'Local Government_int'!P95</f>
        <v>5489000</v>
      </c>
      <c r="Q93" s="294">
        <f>+'Local Government_int'!Q95</f>
        <v>0.17430930454112417</v>
      </c>
      <c r="R93" s="293">
        <f>+'Local Government_int'!R95</f>
        <v>4000000</v>
      </c>
      <c r="S93" s="294">
        <f>+'Local Government_int'!S95</f>
        <v>0.11373329542223486</v>
      </c>
      <c r="T93" s="293">
        <f>+'Local Government_int'!T95</f>
        <v>4500000</v>
      </c>
      <c r="U93" s="295">
        <f>+'Local Government_int'!U95</f>
        <v>0.12794995735001422</v>
      </c>
      <c r="V93" s="293">
        <f>+'Local Government_int'!V95</f>
        <v>500000</v>
      </c>
      <c r="W93" s="582">
        <f>+'Local Government_int'!W95</f>
        <v>1.4216661927779359E-2</v>
      </c>
      <c r="X93" s="69"/>
      <c r="Y93" s="69"/>
      <c r="Z93" s="69"/>
      <c r="AA93" s="69"/>
      <c r="AB93" s="69"/>
      <c r="AC93" s="69"/>
      <c r="AD93" s="69"/>
      <c r="AE93" s="69"/>
      <c r="AF93" s="51"/>
      <c r="AG93" s="51"/>
      <c r="AH93" s="51"/>
      <c r="AI93" s="51"/>
      <c r="AJ93" s="51"/>
      <c r="AK93" s="51"/>
      <c r="AL93" s="51"/>
      <c r="AM93" s="68"/>
      <c r="AN93" s="51"/>
      <c r="AO93" s="51"/>
      <c r="AP93" s="51"/>
      <c r="AQ93" s="51"/>
      <c r="AR93" s="51"/>
      <c r="AS93" s="51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1"/>
      <c r="BE93" s="51"/>
      <c r="BF93" s="51"/>
      <c r="BG93" s="51"/>
      <c r="BH93" s="51"/>
      <c r="BI93" s="51"/>
      <c r="BJ93" s="51"/>
      <c r="BK93" s="51"/>
      <c r="BL93" s="51"/>
      <c r="BM93" s="51"/>
      <c r="BN93" s="51"/>
      <c r="BO93" s="51"/>
      <c r="BP93" s="51"/>
      <c r="BQ93" s="51"/>
      <c r="BR93" s="51"/>
      <c r="BS93" s="51"/>
      <c r="BT93" s="51"/>
      <c r="BU93" s="51"/>
      <c r="BV93" s="51"/>
      <c r="BW93" s="51"/>
      <c r="BX93" s="51"/>
      <c r="BY93" s="51"/>
      <c r="BZ93" s="51"/>
      <c r="CA93" s="51"/>
      <c r="CB93" s="51"/>
      <c r="CC93" s="51"/>
      <c r="CD93" s="51"/>
      <c r="CE93" s="51"/>
      <c r="CF93" s="51"/>
      <c r="CG93" s="51"/>
      <c r="CH93" s="51"/>
      <c r="CI93" s="51"/>
      <c r="CJ93" s="51"/>
      <c r="CK93" s="51"/>
      <c r="CL93" s="51"/>
      <c r="CM93" s="51"/>
      <c r="CN93" s="51"/>
      <c r="CO93" s="51"/>
      <c r="CP93" s="51"/>
      <c r="CQ93" s="51"/>
      <c r="CR93" s="51"/>
      <c r="CS93" s="51"/>
      <c r="CT93" s="51"/>
      <c r="CU93" s="51"/>
      <c r="CV93" s="51"/>
      <c r="CW93" s="51"/>
      <c r="CX93" s="51"/>
      <c r="CY93" s="51"/>
      <c r="CZ93" s="51"/>
      <c r="DA93" s="51"/>
      <c r="DB93" s="51"/>
      <c r="DC93" s="51"/>
      <c r="DD93" s="51"/>
      <c r="DE93" s="51"/>
      <c r="DF93" s="51"/>
      <c r="DG93" s="51"/>
      <c r="DH93" s="51"/>
      <c r="DI93" s="51"/>
      <c r="DJ93" s="51"/>
      <c r="DK93" s="51"/>
      <c r="DL93" s="51"/>
      <c r="DM93" s="51"/>
      <c r="DN93" s="51"/>
      <c r="DO93" s="51"/>
      <c r="DP93" s="51"/>
      <c r="DQ93" s="51"/>
      <c r="DR93" s="51"/>
      <c r="DS93" s="51"/>
      <c r="DT93" s="51"/>
      <c r="DU93" s="51"/>
      <c r="DV93" s="51"/>
      <c r="DW93" s="51"/>
      <c r="DX93" s="51"/>
      <c r="DY93" s="51"/>
      <c r="DZ93" s="51"/>
      <c r="EA93" s="51"/>
      <c r="EB93" s="51"/>
      <c r="EC93" s="51"/>
      <c r="ED93" s="51"/>
      <c r="EE93" s="51"/>
      <c r="EF93" s="51"/>
      <c r="EG93" s="51"/>
      <c r="EH93" s="51"/>
      <c r="EI93" s="51"/>
      <c r="EJ93" s="51"/>
    </row>
    <row r="94" spans="1:140">
      <c r="A94" s="69"/>
      <c r="B94" s="69"/>
      <c r="C94" s="195" t="str">
        <f>IF(MasterSheet!$A$1=1,MasterSheet!C239,MasterSheet!B239)</f>
        <v>Otplata glavnice nerezidentima</v>
      </c>
      <c r="D94" s="203">
        <f>+'Local Government_int'!D96</f>
        <v>0</v>
      </c>
      <c r="E94" s="204">
        <f>+'Local Government_int'!E96</f>
        <v>0</v>
      </c>
      <c r="F94" s="203">
        <f>+'Local Government_int'!F96</f>
        <v>89385.47</v>
      </c>
      <c r="G94" s="204">
        <f>+'Local Government_int'!G96</f>
        <v>3.3346565939190451E-3</v>
      </c>
      <c r="H94" s="192">
        <f>+'Local Government_int'!H96</f>
        <v>3151725.3795199995</v>
      </c>
      <c r="I94" s="204">
        <f>+'Local Government_int'!I96</f>
        <v>0.10214303148561056</v>
      </c>
      <c r="J94" s="203">
        <f>+'Local Government_int'!J96</f>
        <v>0</v>
      </c>
      <c r="K94" s="204">
        <f>+'Local Government_int'!K96</f>
        <v>0</v>
      </c>
      <c r="L94" s="203">
        <f>+'Local Government_int'!L96</f>
        <v>0</v>
      </c>
      <c r="M94" s="204">
        <f>+'Local Government_int'!M96</f>
        <v>0</v>
      </c>
      <c r="N94" s="186">
        <f>+'Local Government_int'!N96</f>
        <v>806645.45</v>
      </c>
      <c r="O94" s="205">
        <f>+'Local Government_int'!O96</f>
        <v>2.494265460729746E-2</v>
      </c>
      <c r="P94" s="282">
        <f>+'Local Government_int'!P96</f>
        <v>5000000</v>
      </c>
      <c r="Q94" s="296">
        <f>+'Local Government_int'!Q96</f>
        <v>0.15878056525881232</v>
      </c>
      <c r="R94" s="282">
        <f>+'Local Government_int'!R96</f>
        <v>4000000</v>
      </c>
      <c r="S94" s="296">
        <f>+'Local Government_int'!S96</f>
        <v>0.11373329542223486</v>
      </c>
      <c r="T94" s="282">
        <f>+'Local Government_int'!T96</f>
        <v>4500000</v>
      </c>
      <c r="U94" s="284">
        <f>+'Local Government_int'!U96</f>
        <v>0.12794995735001422</v>
      </c>
      <c r="V94" s="282">
        <f>+'Local Government_int'!V96</f>
        <v>500000</v>
      </c>
      <c r="W94" s="283">
        <f>+'Local Government_int'!W96</f>
        <v>1.4216661927779359E-2</v>
      </c>
      <c r="X94" s="69"/>
      <c r="Y94" s="69"/>
      <c r="Z94" s="69"/>
      <c r="AA94" s="69"/>
      <c r="AB94" s="69"/>
      <c r="AC94" s="69"/>
      <c r="AD94" s="69"/>
      <c r="AE94" s="69"/>
      <c r="AF94" s="51"/>
      <c r="AG94" s="51"/>
      <c r="AH94" s="51"/>
      <c r="AI94" s="51"/>
      <c r="AJ94" s="51"/>
      <c r="AK94" s="51"/>
      <c r="AL94" s="51"/>
      <c r="AM94" s="68"/>
      <c r="AN94" s="51"/>
      <c r="AO94" s="51"/>
      <c r="AP94" s="51"/>
      <c r="AQ94" s="51"/>
      <c r="AR94" s="51"/>
      <c r="AS94" s="51"/>
      <c r="AT94" s="51"/>
      <c r="AU94" s="51"/>
      <c r="AV94" s="51"/>
      <c r="AW94" s="51"/>
      <c r="AX94" s="51"/>
      <c r="AY94" s="51"/>
      <c r="AZ94" s="51"/>
      <c r="BA94" s="51"/>
      <c r="BB94" s="51"/>
      <c r="BC94" s="51"/>
      <c r="BD94" s="51"/>
      <c r="BE94" s="51"/>
      <c r="BF94" s="51"/>
      <c r="BG94" s="51"/>
      <c r="BH94" s="51"/>
      <c r="BI94" s="51"/>
      <c r="BJ94" s="51"/>
      <c r="BK94" s="51"/>
      <c r="BL94" s="51"/>
      <c r="BM94" s="51"/>
      <c r="BN94" s="51"/>
      <c r="BO94" s="51"/>
      <c r="BP94" s="51"/>
      <c r="BQ94" s="51"/>
      <c r="BR94" s="51"/>
      <c r="BS94" s="51"/>
      <c r="BT94" s="51"/>
      <c r="BU94" s="51"/>
      <c r="BV94" s="51"/>
      <c r="BW94" s="51"/>
      <c r="BX94" s="51"/>
      <c r="BY94" s="51"/>
      <c r="BZ94" s="51"/>
      <c r="CA94" s="51"/>
      <c r="CB94" s="51"/>
      <c r="CC94" s="51"/>
      <c r="CD94" s="51"/>
      <c r="CE94" s="51"/>
      <c r="CF94" s="51"/>
      <c r="CG94" s="51"/>
      <c r="CH94" s="51"/>
      <c r="CI94" s="51"/>
      <c r="CJ94" s="51"/>
      <c r="CK94" s="51"/>
      <c r="CL94" s="51"/>
      <c r="CM94" s="51"/>
      <c r="CN94" s="51"/>
      <c r="CO94" s="51"/>
      <c r="CP94" s="51"/>
      <c r="CQ94" s="51"/>
      <c r="CR94" s="51"/>
      <c r="CS94" s="51"/>
      <c r="CT94" s="51"/>
      <c r="CU94" s="51"/>
      <c r="CV94" s="51"/>
      <c r="CW94" s="51"/>
      <c r="CX94" s="51"/>
      <c r="CY94" s="51"/>
      <c r="CZ94" s="51"/>
      <c r="DA94" s="51"/>
      <c r="DB94" s="51"/>
      <c r="DC94" s="51"/>
      <c r="DD94" s="51"/>
      <c r="DE94" s="51"/>
      <c r="DF94" s="51"/>
      <c r="DG94" s="51"/>
      <c r="DH94" s="51"/>
      <c r="DI94" s="51"/>
      <c r="DJ94" s="51"/>
      <c r="DK94" s="51"/>
      <c r="DL94" s="51"/>
      <c r="DM94" s="51"/>
      <c r="DN94" s="51"/>
      <c r="DO94" s="51"/>
      <c r="DP94" s="51"/>
      <c r="DQ94" s="51"/>
      <c r="DR94" s="51"/>
      <c r="DS94" s="51"/>
      <c r="DT94" s="51"/>
      <c r="DU94" s="51"/>
      <c r="DV94" s="51"/>
      <c r="DW94" s="51"/>
      <c r="DX94" s="51"/>
      <c r="DY94" s="51"/>
      <c r="DZ94" s="51"/>
      <c r="EA94" s="51"/>
      <c r="EB94" s="51"/>
      <c r="EC94" s="51"/>
      <c r="ED94" s="51"/>
      <c r="EE94" s="51"/>
      <c r="EF94" s="51"/>
      <c r="EG94" s="51"/>
      <c r="EH94" s="51"/>
      <c r="EI94" s="51"/>
      <c r="EJ94" s="51"/>
    </row>
    <row r="95" spans="1:140">
      <c r="A95" s="69"/>
      <c r="B95" s="69"/>
      <c r="C95" s="195" t="str">
        <f>IF(MasterSheet!$A$1=1,MasterSheet!C240,MasterSheet!B240)</f>
        <v>Otplata  obaveza iz prethodnog perioda</v>
      </c>
      <c r="D95" s="203">
        <f>+'Local Government_int'!D97</f>
        <v>6204942.3400000008</v>
      </c>
      <c r="E95" s="204">
        <f>+'Local Government_int'!E97</f>
        <v>0.28874970170785053</v>
      </c>
      <c r="F95" s="203">
        <f>+'Local Government_int'!F97</f>
        <v>14937422.99</v>
      </c>
      <c r="G95" s="204">
        <f>+'Local Government_int'!G97</f>
        <v>0.55726256258160789</v>
      </c>
      <c r="H95" s="203">
        <f>+'Local Government_int'!H97</f>
        <v>15086877.782609999</v>
      </c>
      <c r="I95" s="204">
        <f>+'Local Government_int'!I97</f>
        <v>0.48894470386991185</v>
      </c>
      <c r="J95" s="203">
        <f>+'Local Government_int'!J97</f>
        <v>28806572.18</v>
      </c>
      <c r="K95" s="204">
        <f>+'Local Government_int'!K97</f>
        <v>0.96633922106675618</v>
      </c>
      <c r="L95" s="203">
        <f>+'Local Government_int'!L97</f>
        <v>5507030.049999997</v>
      </c>
      <c r="M95" s="204">
        <f>+'Local Government_int'!M97</f>
        <v>0.17741720521907209</v>
      </c>
      <c r="N95" s="186">
        <f>+'Local Government_int'!N97</f>
        <v>41286910.969999999</v>
      </c>
      <c r="O95" s="205">
        <f>+'Local Government_int'!O97</f>
        <v>1.2766515451453309</v>
      </c>
      <c r="P95" s="282">
        <f>+'Local Government_int'!P97</f>
        <v>44461812.849999994</v>
      </c>
      <c r="Q95" s="296">
        <f>+'Local Government_int'!Q97</f>
        <v>1.4119343553509049</v>
      </c>
      <c r="R95" s="282">
        <f>+'Local Government_int'!R97</f>
        <v>34000000</v>
      </c>
      <c r="S95" s="296">
        <f>+'Local Government_int'!S97</f>
        <v>0.96673301108899634</v>
      </c>
      <c r="T95" s="282">
        <f>+'Local Government_int'!T97</f>
        <v>34000000</v>
      </c>
      <c r="U95" s="284">
        <f>+'Local Government_int'!U97</f>
        <v>0.96673301108899634</v>
      </c>
      <c r="V95" s="282">
        <f>+'Local Government_int'!V97</f>
        <v>0</v>
      </c>
      <c r="W95" s="283">
        <f>+'Local Government_int'!W97</f>
        <v>0</v>
      </c>
      <c r="X95" s="69"/>
      <c r="Y95" s="69"/>
      <c r="Z95" s="69"/>
      <c r="AA95" s="69"/>
      <c r="AB95" s="69"/>
      <c r="AC95" s="69"/>
      <c r="AD95" s="69"/>
      <c r="AE95" s="69"/>
      <c r="AF95" s="51"/>
      <c r="AG95" s="51"/>
      <c r="AH95" s="51"/>
      <c r="AI95" s="51"/>
      <c r="AJ95" s="51"/>
      <c r="AK95" s="51"/>
      <c r="AL95" s="51"/>
      <c r="AM95" s="68"/>
      <c r="AN95" s="51"/>
      <c r="AO95" s="51"/>
      <c r="AP95" s="51"/>
      <c r="AQ95" s="51"/>
      <c r="AR95" s="51"/>
      <c r="AS95" s="51"/>
      <c r="AT95" s="51"/>
      <c r="AU95" s="51"/>
      <c r="AV95" s="51"/>
      <c r="AW95" s="51"/>
      <c r="AX95" s="51"/>
      <c r="AY95" s="51"/>
      <c r="AZ95" s="51"/>
      <c r="BA95" s="51"/>
      <c r="BB95" s="51"/>
      <c r="BC95" s="51"/>
      <c r="BD95" s="51"/>
      <c r="BE95" s="51"/>
      <c r="BF95" s="51"/>
      <c r="BG95" s="51"/>
      <c r="BH95" s="51"/>
      <c r="BI95" s="51"/>
      <c r="BJ95" s="51"/>
      <c r="BK95" s="51"/>
      <c r="BL95" s="51"/>
      <c r="BM95" s="51"/>
      <c r="BN95" s="51"/>
      <c r="BO95" s="51"/>
      <c r="BP95" s="51"/>
      <c r="BQ95" s="51"/>
      <c r="BR95" s="51"/>
      <c r="BS95" s="51"/>
      <c r="BT95" s="51"/>
      <c r="BU95" s="51"/>
      <c r="BV95" s="51"/>
      <c r="BW95" s="51"/>
      <c r="BX95" s="51"/>
      <c r="BY95" s="51"/>
      <c r="BZ95" s="51"/>
      <c r="CA95" s="51"/>
      <c r="CB95" s="51"/>
      <c r="CC95" s="51"/>
      <c r="CD95" s="51"/>
      <c r="CE95" s="51"/>
      <c r="CF95" s="51"/>
      <c r="CG95" s="51"/>
      <c r="CH95" s="51"/>
      <c r="CI95" s="51"/>
      <c r="CJ95" s="51"/>
      <c r="CK95" s="51"/>
      <c r="CL95" s="51"/>
      <c r="CM95" s="51"/>
      <c r="CN95" s="51"/>
      <c r="CO95" s="51"/>
      <c r="CP95" s="51"/>
      <c r="CQ95" s="51"/>
      <c r="CR95" s="51"/>
      <c r="CS95" s="51"/>
      <c r="CT95" s="51"/>
      <c r="CU95" s="51"/>
      <c r="CV95" s="51"/>
      <c r="CW95" s="51"/>
      <c r="CX95" s="51"/>
      <c r="CY95" s="51"/>
      <c r="CZ95" s="51"/>
      <c r="DA95" s="51"/>
      <c r="DB95" s="51"/>
      <c r="DC95" s="51"/>
      <c r="DD95" s="51"/>
      <c r="DE95" s="51"/>
      <c r="DF95" s="51"/>
      <c r="DG95" s="51"/>
      <c r="DH95" s="51"/>
      <c r="DI95" s="51"/>
      <c r="DJ95" s="51"/>
      <c r="DK95" s="51"/>
      <c r="DL95" s="51"/>
      <c r="DM95" s="51"/>
      <c r="DN95" s="51"/>
      <c r="DO95" s="51"/>
      <c r="DP95" s="51"/>
      <c r="DQ95" s="51"/>
      <c r="DR95" s="51"/>
      <c r="DS95" s="51"/>
      <c r="DT95" s="51"/>
      <c r="DU95" s="51"/>
      <c r="DV95" s="51"/>
      <c r="DW95" s="51"/>
      <c r="DX95" s="51"/>
      <c r="DY95" s="51"/>
      <c r="DZ95" s="51"/>
      <c r="EA95" s="51"/>
      <c r="EB95" s="51"/>
      <c r="EC95" s="51"/>
      <c r="ED95" s="51"/>
      <c r="EE95" s="51"/>
      <c r="EF95" s="51"/>
      <c r="EG95" s="51"/>
      <c r="EH95" s="51"/>
      <c r="EI95" s="51"/>
      <c r="EJ95" s="51"/>
    </row>
    <row r="96" spans="1:140" ht="13.5" thickBot="1">
      <c r="A96" s="69"/>
      <c r="B96" s="69"/>
      <c r="C96" s="207" t="str">
        <f>IF(MasterSheet!$A$1=1,MasterSheet!C241,MasterSheet!B241)</f>
        <v>Otplata garancija</v>
      </c>
      <c r="D96" s="401">
        <f>+'Local Government_int'!D90</f>
        <v>0</v>
      </c>
      <c r="E96" s="402">
        <f>+'Local Government_int'!E90</f>
        <v>0</v>
      </c>
      <c r="F96" s="401">
        <f>+'Local Government_int'!F90</f>
        <v>0</v>
      </c>
      <c r="G96" s="402">
        <f>+'Local Government_int'!G90</f>
        <v>0</v>
      </c>
      <c r="H96" s="401">
        <f>+'Local Government_int'!H90</f>
        <v>0</v>
      </c>
      <c r="I96" s="402">
        <f>+'Local Government_int'!I90</f>
        <v>0</v>
      </c>
      <c r="J96" s="401">
        <f>+'Local Government_int'!J90</f>
        <v>0</v>
      </c>
      <c r="K96" s="402">
        <f>+'Local Government_int'!K90</f>
        <v>0</v>
      </c>
      <c r="L96" s="401">
        <f>+'Local Government_int'!L90</f>
        <v>0</v>
      </c>
      <c r="M96" s="402">
        <f>+'Local Government_int'!M90</f>
        <v>0</v>
      </c>
      <c r="N96" s="403">
        <f>+'Local Government_int'!N90</f>
        <v>197478.01</v>
      </c>
      <c r="O96" s="404">
        <f>+'Local Government_int'!O90</f>
        <v>6.1063082869511447E-3</v>
      </c>
      <c r="P96" s="405">
        <f>+'Local Government_int'!P90</f>
        <v>0</v>
      </c>
      <c r="Q96" s="406">
        <f>+'Local Government_int'!Q90</f>
        <v>0</v>
      </c>
      <c r="R96" s="405">
        <f>+'Local Government_int'!R90</f>
        <v>0</v>
      </c>
      <c r="S96" s="406">
        <f>+'Local Government_int'!S90</f>
        <v>0</v>
      </c>
      <c r="T96" s="405">
        <f>+'Local Government_int'!T90</f>
        <v>0</v>
      </c>
      <c r="U96" s="406">
        <f>+'Local Government_int'!U90</f>
        <v>0</v>
      </c>
      <c r="V96" s="405">
        <f>+'Local Government_int'!V90</f>
        <v>0</v>
      </c>
      <c r="W96" s="581">
        <f>+'Local Government_int'!W90</f>
        <v>0</v>
      </c>
      <c r="X96" s="380"/>
      <c r="Y96" s="69"/>
      <c r="Z96" s="69"/>
      <c r="AA96" s="69"/>
      <c r="AB96" s="69"/>
      <c r="AC96" s="69"/>
      <c r="AD96" s="69"/>
      <c r="AE96" s="69"/>
      <c r="AF96" s="51"/>
      <c r="AG96" s="51"/>
      <c r="AH96" s="51"/>
      <c r="AI96" s="51"/>
      <c r="AJ96" s="51"/>
      <c r="AK96" s="51"/>
      <c r="AL96" s="51"/>
      <c r="AM96" s="68"/>
      <c r="AN96" s="51"/>
      <c r="AO96" s="51"/>
      <c r="AP96" s="51"/>
      <c r="AQ96" s="51"/>
      <c r="AR96" s="51"/>
      <c r="AS96" s="51"/>
      <c r="AT96" s="51"/>
      <c r="AU96" s="51"/>
      <c r="AV96" s="51"/>
      <c r="AW96" s="51"/>
      <c r="AX96" s="51"/>
      <c r="AY96" s="51"/>
      <c r="AZ96" s="51"/>
      <c r="BA96" s="51"/>
      <c r="BB96" s="51"/>
      <c r="BC96" s="51"/>
      <c r="BD96" s="51"/>
      <c r="BE96" s="51"/>
      <c r="BF96" s="51"/>
      <c r="BG96" s="51"/>
      <c r="BH96" s="51"/>
      <c r="BI96" s="51"/>
      <c r="BJ96" s="51"/>
      <c r="BK96" s="51"/>
      <c r="BL96" s="51"/>
      <c r="BM96" s="51"/>
      <c r="BN96" s="51"/>
      <c r="BO96" s="51"/>
      <c r="BP96" s="51"/>
      <c r="BQ96" s="51"/>
      <c r="BR96" s="51"/>
      <c r="BS96" s="51"/>
      <c r="BT96" s="51"/>
      <c r="BU96" s="51"/>
      <c r="BV96" s="51"/>
      <c r="BW96" s="51"/>
      <c r="BX96" s="51"/>
      <c r="BY96" s="51"/>
      <c r="BZ96" s="51"/>
      <c r="CA96" s="51"/>
      <c r="CB96" s="51"/>
      <c r="CC96" s="51"/>
      <c r="CD96" s="51"/>
      <c r="CE96" s="51"/>
      <c r="CF96" s="51"/>
      <c r="CG96" s="51"/>
      <c r="CH96" s="51"/>
      <c r="CI96" s="51"/>
      <c r="CJ96" s="51"/>
      <c r="CK96" s="51"/>
      <c r="CL96" s="51"/>
      <c r="CM96" s="51"/>
      <c r="CN96" s="51"/>
      <c r="CO96" s="51"/>
      <c r="CP96" s="51"/>
      <c r="CQ96" s="51"/>
      <c r="CR96" s="51"/>
      <c r="CS96" s="51"/>
      <c r="CT96" s="51"/>
      <c r="CU96" s="51"/>
      <c r="CV96" s="51"/>
      <c r="CW96" s="51"/>
      <c r="CX96" s="51"/>
      <c r="CY96" s="51"/>
      <c r="CZ96" s="51"/>
      <c r="DA96" s="51"/>
      <c r="DB96" s="51"/>
      <c r="DC96" s="51"/>
      <c r="DD96" s="51"/>
      <c r="DE96" s="51"/>
      <c r="DF96" s="51"/>
      <c r="DG96" s="51"/>
      <c r="DH96" s="51"/>
      <c r="DI96" s="51"/>
      <c r="DJ96" s="51"/>
      <c r="DK96" s="51"/>
      <c r="DL96" s="51"/>
      <c r="DM96" s="51"/>
      <c r="DN96" s="51"/>
      <c r="DO96" s="51"/>
      <c r="DP96" s="51"/>
      <c r="DQ96" s="51"/>
      <c r="DR96" s="51"/>
      <c r="DS96" s="51"/>
      <c r="DT96" s="51"/>
      <c r="DU96" s="51"/>
      <c r="DV96" s="51"/>
      <c r="DW96" s="51"/>
      <c r="DX96" s="51"/>
      <c r="DY96" s="51"/>
      <c r="DZ96" s="51"/>
      <c r="EA96" s="51"/>
      <c r="EB96" s="51"/>
      <c r="EC96" s="51"/>
      <c r="ED96" s="51"/>
      <c r="EE96" s="51"/>
      <c r="EF96" s="51"/>
      <c r="EG96" s="51"/>
      <c r="EH96" s="51"/>
      <c r="EI96" s="51"/>
      <c r="EJ96" s="51"/>
    </row>
    <row r="97" spans="1:140" ht="14.25" thickTop="1" thickBot="1">
      <c r="A97" s="69"/>
      <c r="B97" s="69"/>
      <c r="C97" s="180" t="str">
        <f>IF(MasterSheet!$A$1=1,MasterSheet!C245,MasterSheet!B242)</f>
        <v>Nedostajuća sredstva</v>
      </c>
      <c r="D97" s="179">
        <f>+D90-D92</f>
        <v>-23148771.79980002</v>
      </c>
      <c r="E97" s="170">
        <f t="shared" si="10"/>
        <v>-1.0772382055842533</v>
      </c>
      <c r="F97" s="179">
        <f>+F90-F92</f>
        <v>-30282595.630000021</v>
      </c>
      <c r="G97" s="170">
        <f t="shared" si="11"/>
        <v>-1.1297368263383705</v>
      </c>
      <c r="H97" s="179">
        <f>+H90-H92</f>
        <v>-49939899.937633127</v>
      </c>
      <c r="I97" s="170">
        <f t="shared" si="12"/>
        <v>-1.6184826269650354</v>
      </c>
      <c r="J97" s="179">
        <f>+J90-J92</f>
        <v>-75541134.079999998</v>
      </c>
      <c r="K97" s="170">
        <f t="shared" si="13"/>
        <v>-2.5340870204629318</v>
      </c>
      <c r="L97" s="179">
        <f>+L90-L92</f>
        <v>-49678195.341538467</v>
      </c>
      <c r="M97" s="170">
        <f t="shared" si="14"/>
        <v>-1.6004573241475022</v>
      </c>
      <c r="N97" s="169">
        <f>+N90-N92</f>
        <v>-36206205.150000021</v>
      </c>
      <c r="O97" s="171">
        <f t="shared" si="15"/>
        <v>-1.1195487059369209</v>
      </c>
      <c r="P97" s="276">
        <f>+P90-P92</f>
        <v>-24246438.006666701</v>
      </c>
      <c r="Q97" s="278">
        <f t="shared" si="16"/>
        <v>-0.76997262644225795</v>
      </c>
      <c r="R97" s="276">
        <f>+R90-R92</f>
        <v>-28353072.918961495</v>
      </c>
      <c r="S97" s="278">
        <f t="shared" si="17"/>
        <v>-0.80617210460510369</v>
      </c>
      <c r="T97" s="276">
        <f>+T90-T92</f>
        <v>-29126734.377340749</v>
      </c>
      <c r="U97" s="278">
        <f t="shared" si="18"/>
        <v>-0.82816987140576481</v>
      </c>
      <c r="V97" s="276">
        <f>+V90-V92</f>
        <v>-773661.45837923652</v>
      </c>
      <c r="W97" s="277" t="e">
        <f t="shared" si="19"/>
        <v>#DIV/0!</v>
      </c>
      <c r="X97" s="69"/>
      <c r="Y97" s="69"/>
      <c r="Z97" s="69"/>
      <c r="AA97" s="69"/>
      <c r="AB97" s="69"/>
      <c r="AC97" s="69"/>
      <c r="AD97" s="69"/>
      <c r="AE97" s="69"/>
      <c r="AF97" s="51"/>
      <c r="AG97" s="51"/>
      <c r="AH97" s="51"/>
      <c r="AI97" s="51"/>
      <c r="AJ97" s="51"/>
      <c r="AK97" s="51"/>
      <c r="AL97" s="51"/>
      <c r="AM97" s="68"/>
      <c r="AN97" s="51"/>
      <c r="AO97" s="51"/>
      <c r="AP97" s="51"/>
      <c r="AQ97" s="51"/>
      <c r="AR97" s="51"/>
      <c r="AS97" s="51"/>
      <c r="AT97" s="51"/>
      <c r="AU97" s="51"/>
      <c r="AV97" s="51"/>
      <c r="AW97" s="51"/>
      <c r="AX97" s="51"/>
      <c r="AY97" s="51"/>
      <c r="AZ97" s="51"/>
      <c r="BA97" s="51"/>
      <c r="BB97" s="51"/>
      <c r="BC97" s="51"/>
      <c r="BD97" s="51"/>
      <c r="BE97" s="51"/>
      <c r="BF97" s="51"/>
      <c r="BG97" s="51"/>
      <c r="BH97" s="51"/>
      <c r="BI97" s="51"/>
      <c r="BJ97" s="51"/>
      <c r="BK97" s="51"/>
      <c r="BL97" s="51"/>
      <c r="BM97" s="51"/>
      <c r="BN97" s="51"/>
      <c r="BO97" s="51"/>
      <c r="BP97" s="51"/>
      <c r="BQ97" s="51"/>
      <c r="BR97" s="51"/>
      <c r="BS97" s="51"/>
      <c r="BT97" s="51"/>
      <c r="BU97" s="51"/>
      <c r="BV97" s="51"/>
      <c r="BW97" s="51"/>
      <c r="BX97" s="51"/>
      <c r="BY97" s="51"/>
      <c r="BZ97" s="51"/>
      <c r="CA97" s="51"/>
      <c r="CB97" s="51"/>
      <c r="CC97" s="51"/>
      <c r="CD97" s="51"/>
      <c r="CE97" s="51"/>
      <c r="CF97" s="51"/>
      <c r="CG97" s="51"/>
      <c r="CH97" s="51"/>
      <c r="CI97" s="51"/>
      <c r="CJ97" s="51"/>
      <c r="CK97" s="51"/>
      <c r="CL97" s="51"/>
      <c r="CM97" s="51"/>
      <c r="CN97" s="51"/>
      <c r="CO97" s="51"/>
      <c r="CP97" s="51"/>
      <c r="CQ97" s="51"/>
      <c r="CR97" s="51"/>
      <c r="CS97" s="51"/>
      <c r="CT97" s="51"/>
      <c r="CU97" s="51"/>
      <c r="CV97" s="51"/>
      <c r="CW97" s="51"/>
      <c r="CX97" s="51"/>
      <c r="CY97" s="51"/>
      <c r="CZ97" s="51"/>
      <c r="DA97" s="51"/>
      <c r="DB97" s="51"/>
      <c r="DC97" s="51"/>
      <c r="DD97" s="51"/>
      <c r="DE97" s="51"/>
      <c r="DF97" s="51"/>
      <c r="DG97" s="51"/>
      <c r="DH97" s="51"/>
      <c r="DI97" s="51"/>
      <c r="DJ97" s="51"/>
      <c r="DK97" s="51"/>
      <c r="DL97" s="51"/>
      <c r="DM97" s="51"/>
      <c r="DN97" s="51"/>
      <c r="DO97" s="51"/>
      <c r="DP97" s="51"/>
      <c r="DQ97" s="51"/>
      <c r="DR97" s="51"/>
      <c r="DS97" s="51"/>
      <c r="DT97" s="51"/>
      <c r="DU97" s="51"/>
      <c r="DV97" s="51"/>
      <c r="DW97" s="51"/>
      <c r="DX97" s="51"/>
      <c r="DY97" s="51"/>
      <c r="DZ97" s="51"/>
      <c r="EA97" s="51"/>
      <c r="EB97" s="51"/>
      <c r="EC97" s="51"/>
      <c r="ED97" s="51"/>
      <c r="EE97" s="51"/>
      <c r="EF97" s="51"/>
      <c r="EG97" s="51"/>
      <c r="EH97" s="51"/>
      <c r="EI97" s="51"/>
      <c r="EJ97" s="51"/>
    </row>
    <row r="98" spans="1:140" ht="14.25" thickTop="1" thickBot="1">
      <c r="A98" s="69"/>
      <c r="B98" s="69"/>
      <c r="C98" s="180" t="str">
        <f>IF(MasterSheet!$A$1=1,MasterSheet!C246,MasterSheet!B243)</f>
        <v>Finansiranje</v>
      </c>
      <c r="D98" s="181">
        <f>SUM(D99:D103)</f>
        <v>23148771.799800016</v>
      </c>
      <c r="E98" s="170">
        <f t="shared" si="10"/>
        <v>1.0772382055842531</v>
      </c>
      <c r="F98" s="181">
        <f>SUM(F99:F103)</f>
        <v>30282595.630000018</v>
      </c>
      <c r="G98" s="170">
        <f t="shared" si="11"/>
        <v>1.1297368263383705</v>
      </c>
      <c r="H98" s="181">
        <f>SUM(H99:H103)</f>
        <v>49939899.937633127</v>
      </c>
      <c r="I98" s="170">
        <f t="shared" si="12"/>
        <v>1.6184826269650354</v>
      </c>
      <c r="J98" s="181">
        <f>SUM(J99:J103)</f>
        <v>75541134.079999983</v>
      </c>
      <c r="K98" s="170">
        <f t="shared" si="13"/>
        <v>2.5340870204629313</v>
      </c>
      <c r="L98" s="181">
        <f>SUM(L99:L103)</f>
        <v>49678195.341538467</v>
      </c>
      <c r="M98" s="170">
        <f t="shared" si="14"/>
        <v>1.6004573241475022</v>
      </c>
      <c r="N98" s="177">
        <f>SUM(N99:N103)</f>
        <v>36206205.150000013</v>
      </c>
      <c r="O98" s="171">
        <f t="shared" si="15"/>
        <v>1.1195487059369207</v>
      </c>
      <c r="P98" s="291">
        <f>SUM(P99:P103)</f>
        <v>24246438.006666701</v>
      </c>
      <c r="Q98" s="278">
        <f t="shared" si="16"/>
        <v>0.76997262644225795</v>
      </c>
      <c r="R98" s="291">
        <f>SUM(R99:R103)</f>
        <v>28353072.918961495</v>
      </c>
      <c r="S98" s="278">
        <f t="shared" si="17"/>
        <v>0.80617210460510369</v>
      </c>
      <c r="T98" s="276">
        <f>SUM(T99:T103)</f>
        <v>29126734.377340749</v>
      </c>
      <c r="U98" s="278">
        <f t="shared" si="18"/>
        <v>0.82816987140576481</v>
      </c>
      <c r="V98" s="276">
        <f>SUM(V99:V103)</f>
        <v>773661.45837923652</v>
      </c>
      <c r="W98" s="278" t="e">
        <f t="shared" si="19"/>
        <v>#DIV/0!</v>
      </c>
      <c r="X98" s="69"/>
      <c r="Y98" s="69"/>
      <c r="Z98" s="69"/>
      <c r="AA98" s="69"/>
      <c r="AB98" s="69"/>
      <c r="AC98" s="69"/>
      <c r="AD98" s="69"/>
      <c r="AE98" s="69"/>
      <c r="AF98" s="51"/>
      <c r="AG98" s="51"/>
      <c r="AH98" s="51"/>
      <c r="AI98" s="51"/>
      <c r="AJ98" s="51"/>
      <c r="AK98" s="51"/>
      <c r="AL98" s="51"/>
      <c r="AM98" s="68"/>
      <c r="AN98" s="51"/>
      <c r="AO98" s="51"/>
      <c r="AP98" s="51"/>
      <c r="AQ98" s="51"/>
      <c r="AR98" s="51"/>
      <c r="AS98" s="51"/>
      <c r="AT98" s="51"/>
      <c r="AU98" s="51"/>
      <c r="AV98" s="51"/>
      <c r="AW98" s="51"/>
      <c r="AX98" s="51"/>
      <c r="AY98" s="51"/>
      <c r="AZ98" s="51"/>
      <c r="BA98" s="51"/>
      <c r="BB98" s="51"/>
      <c r="BC98" s="51"/>
      <c r="BD98" s="51"/>
      <c r="BE98" s="51"/>
      <c r="BF98" s="51"/>
      <c r="BG98" s="51"/>
      <c r="BH98" s="51"/>
      <c r="BI98" s="51"/>
      <c r="BJ98" s="51"/>
      <c r="BK98" s="51"/>
      <c r="BL98" s="51"/>
      <c r="BM98" s="51"/>
      <c r="BN98" s="51"/>
      <c r="BO98" s="51"/>
      <c r="BP98" s="51"/>
      <c r="BQ98" s="51"/>
      <c r="BR98" s="51"/>
      <c r="BS98" s="51"/>
      <c r="BT98" s="51"/>
      <c r="BU98" s="51"/>
      <c r="BV98" s="51"/>
      <c r="BW98" s="51"/>
      <c r="BX98" s="51"/>
      <c r="BY98" s="51"/>
      <c r="BZ98" s="51"/>
      <c r="CA98" s="51"/>
      <c r="CB98" s="51"/>
      <c r="CC98" s="51"/>
      <c r="CD98" s="51"/>
      <c r="CE98" s="51"/>
      <c r="CF98" s="51"/>
      <c r="CG98" s="51"/>
      <c r="CH98" s="51"/>
      <c r="CI98" s="51"/>
      <c r="CJ98" s="51"/>
      <c r="CK98" s="51"/>
      <c r="CL98" s="51"/>
      <c r="CM98" s="51"/>
      <c r="CN98" s="51"/>
      <c r="CO98" s="51"/>
      <c r="CP98" s="51"/>
      <c r="CQ98" s="51"/>
      <c r="CR98" s="51"/>
      <c r="CS98" s="51"/>
      <c r="CT98" s="51"/>
      <c r="CU98" s="51"/>
      <c r="CV98" s="51"/>
      <c r="CW98" s="51"/>
      <c r="CX98" s="51"/>
      <c r="CY98" s="51"/>
      <c r="CZ98" s="51"/>
      <c r="DA98" s="51"/>
      <c r="DB98" s="51"/>
      <c r="DC98" s="51"/>
      <c r="DD98" s="51"/>
      <c r="DE98" s="51"/>
      <c r="DF98" s="51"/>
      <c r="DG98" s="51"/>
      <c r="DH98" s="51"/>
      <c r="DI98" s="51"/>
      <c r="DJ98" s="51"/>
      <c r="DK98" s="51"/>
      <c r="DL98" s="51"/>
      <c r="DM98" s="51"/>
      <c r="DN98" s="51"/>
      <c r="DO98" s="51"/>
      <c r="DP98" s="51"/>
      <c r="DQ98" s="51"/>
      <c r="DR98" s="51"/>
      <c r="DS98" s="51"/>
      <c r="DT98" s="51"/>
      <c r="DU98" s="51"/>
      <c r="DV98" s="51"/>
      <c r="DW98" s="51"/>
      <c r="DX98" s="51"/>
      <c r="DY98" s="51"/>
      <c r="DZ98" s="51"/>
      <c r="EA98" s="51"/>
      <c r="EB98" s="51"/>
      <c r="EC98" s="51"/>
      <c r="ED98" s="51"/>
      <c r="EE98" s="51"/>
      <c r="EF98" s="51"/>
      <c r="EG98" s="51"/>
      <c r="EH98" s="51"/>
      <c r="EI98" s="51"/>
      <c r="EJ98" s="51"/>
    </row>
    <row r="99" spans="1:140" ht="13.5" thickTop="1">
      <c r="A99" s="69"/>
      <c r="B99" s="69"/>
      <c r="C99" s="197" t="str">
        <f>IF(MasterSheet!$A$1=1,MasterSheet!C240,MasterSheet!B244)</f>
        <v>Pozajmice i krediti iz domaćih izvora</v>
      </c>
      <c r="D99" s="198">
        <f>+'Local Government_int'!D100</f>
        <v>5893589.3600000003</v>
      </c>
      <c r="E99" s="206">
        <f>+'Local Government_int'!E100</f>
        <v>0.27426075480478385</v>
      </c>
      <c r="F99" s="198">
        <f>+'Local Government_int'!F100</f>
        <v>9181160.0299999993</v>
      </c>
      <c r="G99" s="206">
        <f>+'Local Government_int'!G100</f>
        <v>0.34251669576571531</v>
      </c>
      <c r="H99" s="198">
        <f>+'Local Government_int'!H100</f>
        <v>7250658</v>
      </c>
      <c r="I99" s="206">
        <f>+'Local Government_int'!I100</f>
        <v>0.23498373087892144</v>
      </c>
      <c r="J99" s="198">
        <f>+'Local Government_int'!J100</f>
        <v>17528712.059999999</v>
      </c>
      <c r="K99" s="206">
        <f>+'Local Government_int'!K100</f>
        <v>0.58801449379402881</v>
      </c>
      <c r="L99" s="198">
        <f>+'Local Government_int'!L100</f>
        <v>22050000</v>
      </c>
      <c r="M99" s="206">
        <f>+'Local Government_int'!M100</f>
        <v>0.71037371134020622</v>
      </c>
      <c r="N99" s="200">
        <f>+'Local Government_int'!N100</f>
        <v>19346883.030000001</v>
      </c>
      <c r="O99" s="202">
        <f>+'Local Government_int'!O100</f>
        <v>0.59823385992578859</v>
      </c>
      <c r="P99" s="293">
        <f>+'Local Government_int'!P100</f>
        <v>7816189.2200000007</v>
      </c>
      <c r="Q99" s="295">
        <f>+'Local Government_int'!Q100</f>
        <v>0.24821178850428707</v>
      </c>
      <c r="R99" s="293">
        <f>+'Local Government_int'!R100</f>
        <v>8000000</v>
      </c>
      <c r="S99" s="295">
        <f>+'Local Government_int'!S100</f>
        <v>0.22746659084446971</v>
      </c>
      <c r="T99" s="293">
        <f>+'Local Government_int'!T100</f>
        <v>8000000</v>
      </c>
      <c r="U99" s="295">
        <f>+'Local Government_int'!U100</f>
        <v>0.22746659084446971</v>
      </c>
      <c r="V99" s="293">
        <f>+'Local Government_int'!V100</f>
        <v>0</v>
      </c>
      <c r="W99" s="295">
        <f>+'Local Government_int'!W100</f>
        <v>0</v>
      </c>
      <c r="X99" s="69"/>
      <c r="Y99" s="69"/>
      <c r="Z99" s="69"/>
      <c r="AA99" s="69"/>
      <c r="AB99" s="69"/>
      <c r="AC99" s="69"/>
      <c r="AD99" s="69"/>
      <c r="AE99" s="69"/>
      <c r="AF99" s="51"/>
      <c r="AG99" s="51"/>
      <c r="AH99" s="51"/>
      <c r="AI99" s="51"/>
      <c r="AJ99" s="51"/>
      <c r="AK99" s="51"/>
      <c r="AL99" s="51"/>
      <c r="AM99" s="68"/>
      <c r="AN99" s="51"/>
      <c r="AO99" s="51"/>
      <c r="AP99" s="51"/>
      <c r="AQ99" s="51"/>
      <c r="AR99" s="51"/>
      <c r="AS99" s="51"/>
      <c r="AT99" s="51"/>
      <c r="AU99" s="51"/>
      <c r="AV99" s="51"/>
      <c r="AW99" s="51"/>
      <c r="AX99" s="51"/>
      <c r="AY99" s="51"/>
      <c r="AZ99" s="51"/>
      <c r="BA99" s="51"/>
      <c r="BB99" s="51"/>
      <c r="BC99" s="51"/>
      <c r="BD99" s="51"/>
      <c r="BE99" s="51"/>
      <c r="BF99" s="51"/>
      <c r="BG99" s="51"/>
      <c r="BH99" s="51"/>
      <c r="BI99" s="51"/>
      <c r="BJ99" s="51"/>
      <c r="BK99" s="51"/>
      <c r="BL99" s="51"/>
      <c r="BM99" s="51"/>
      <c r="BN99" s="51"/>
      <c r="BO99" s="51"/>
      <c r="BP99" s="51"/>
      <c r="BQ99" s="51"/>
      <c r="BR99" s="51"/>
      <c r="BS99" s="51"/>
      <c r="BT99" s="51"/>
      <c r="BU99" s="51"/>
      <c r="BV99" s="51"/>
      <c r="BW99" s="51"/>
      <c r="BX99" s="51"/>
      <c r="BY99" s="51"/>
      <c r="BZ99" s="51"/>
      <c r="CA99" s="51"/>
      <c r="CB99" s="51"/>
      <c r="CC99" s="51"/>
      <c r="CD99" s="51"/>
      <c r="CE99" s="51"/>
      <c r="CF99" s="51"/>
      <c r="CG99" s="51"/>
      <c r="CH99" s="51"/>
      <c r="CI99" s="51"/>
      <c r="CJ99" s="51"/>
      <c r="CK99" s="51"/>
      <c r="CL99" s="51"/>
      <c r="CM99" s="51"/>
      <c r="CN99" s="51"/>
      <c r="CO99" s="51"/>
      <c r="CP99" s="51"/>
      <c r="CQ99" s="51"/>
      <c r="CR99" s="51"/>
      <c r="CS99" s="51"/>
      <c r="CT99" s="51"/>
      <c r="CU99" s="51"/>
      <c r="CV99" s="51"/>
      <c r="CW99" s="51"/>
      <c r="CX99" s="51"/>
      <c r="CY99" s="51"/>
      <c r="CZ99" s="51"/>
      <c r="DA99" s="51"/>
      <c r="DB99" s="51"/>
      <c r="DC99" s="51"/>
      <c r="DD99" s="51"/>
      <c r="DE99" s="51"/>
      <c r="DF99" s="51"/>
      <c r="DG99" s="51"/>
      <c r="DH99" s="51"/>
      <c r="DI99" s="51"/>
      <c r="DJ99" s="51"/>
      <c r="DK99" s="51"/>
      <c r="DL99" s="51"/>
      <c r="DM99" s="51"/>
      <c r="DN99" s="51"/>
      <c r="DO99" s="51"/>
      <c r="DP99" s="51"/>
      <c r="DQ99" s="51"/>
      <c r="DR99" s="51"/>
      <c r="DS99" s="51"/>
      <c r="DT99" s="51"/>
      <c r="DU99" s="51"/>
      <c r="DV99" s="51"/>
      <c r="DW99" s="51"/>
      <c r="DX99" s="51"/>
      <c r="DY99" s="51"/>
      <c r="DZ99" s="51"/>
      <c r="EA99" s="51"/>
      <c r="EB99" s="51"/>
      <c r="EC99" s="51"/>
      <c r="ED99" s="51"/>
      <c r="EE99" s="51"/>
      <c r="EF99" s="51"/>
      <c r="EG99" s="51"/>
      <c r="EH99" s="51"/>
      <c r="EI99" s="51"/>
      <c r="EJ99" s="51"/>
    </row>
    <row r="100" spans="1:140">
      <c r="A100" s="69"/>
      <c r="B100" s="69"/>
      <c r="C100" s="195" t="str">
        <f>IF(MasterSheet!$A$1=1,MasterSheet!C241,MasterSheet!B245)</f>
        <v>Pozajmice i krediti iz inostranih izvora</v>
      </c>
      <c r="D100" s="203">
        <f>+'Local Government_int'!D101</f>
        <v>0</v>
      </c>
      <c r="E100" s="187">
        <f>+'Local Government_int'!E101</f>
        <v>0</v>
      </c>
      <c r="F100" s="203">
        <f>+'Local Government_int'!F101</f>
        <v>1526550</v>
      </c>
      <c r="G100" s="187">
        <f>+'Local Government_int'!G101</f>
        <v>5.6950195858981534E-2</v>
      </c>
      <c r="H100" s="192">
        <f>+'Local Government_int'!H101</f>
        <v>10068787</v>
      </c>
      <c r="I100" s="187">
        <f>+'Local Government_int'!I101</f>
        <v>0.32631536816178375</v>
      </c>
      <c r="J100" s="203">
        <f>+'Local Government_int'!J101</f>
        <v>0</v>
      </c>
      <c r="K100" s="187">
        <f>+'Local Government_int'!K101</f>
        <v>0</v>
      </c>
      <c r="L100" s="203">
        <f>+'Local Government_int'!L101</f>
        <v>0</v>
      </c>
      <c r="M100" s="187">
        <f>+'Local Government_int'!M101</f>
        <v>0</v>
      </c>
      <c r="N100" s="186">
        <f>+'Local Government_int'!N101</f>
        <v>2067504.4</v>
      </c>
      <c r="O100" s="188">
        <f>+'Local Government_int'!O101</f>
        <v>6.3930253555967848E-2</v>
      </c>
      <c r="P100" s="282">
        <f>+'Local Government_int'!P101</f>
        <v>0</v>
      </c>
      <c r="Q100" s="284">
        <f>+'Local Government_int'!Q101</f>
        <v>0</v>
      </c>
      <c r="R100" s="282">
        <f>+'Local Government_int'!R101</f>
        <v>0</v>
      </c>
      <c r="S100" s="284">
        <f>+'Local Government_int'!S101</f>
        <v>0</v>
      </c>
      <c r="T100" s="282">
        <f>+'Local Government_int'!T101</f>
        <v>0</v>
      </c>
      <c r="U100" s="284">
        <f>+'Local Government_int'!U101</f>
        <v>0</v>
      </c>
      <c r="V100" s="282">
        <f>+'Local Government_int'!V101</f>
        <v>0</v>
      </c>
      <c r="W100" s="284">
        <f>+'Local Government_int'!W101</f>
        <v>0</v>
      </c>
      <c r="X100" s="69"/>
      <c r="Y100" s="69"/>
      <c r="Z100" s="69"/>
      <c r="AA100" s="69"/>
      <c r="AB100" s="69"/>
      <c r="AC100" s="69"/>
      <c r="AD100" s="69"/>
      <c r="AE100" s="69"/>
      <c r="AF100" s="51"/>
      <c r="AG100" s="51"/>
      <c r="AH100" s="51"/>
      <c r="AI100" s="51"/>
      <c r="AJ100" s="51"/>
      <c r="AK100" s="51"/>
      <c r="AL100" s="51"/>
      <c r="AM100" s="68"/>
      <c r="AN100" s="51"/>
      <c r="AO100" s="51"/>
      <c r="AP100" s="51"/>
      <c r="AQ100" s="51"/>
      <c r="AR100" s="51"/>
      <c r="AS100" s="51"/>
      <c r="AT100" s="51"/>
      <c r="AU100" s="51"/>
      <c r="AV100" s="51"/>
      <c r="AW100" s="51"/>
      <c r="AX100" s="51"/>
      <c r="AY100" s="51"/>
      <c r="AZ100" s="51"/>
      <c r="BA100" s="51"/>
      <c r="BB100" s="51"/>
      <c r="BC100" s="51"/>
      <c r="BD100" s="51"/>
      <c r="BE100" s="51"/>
      <c r="BF100" s="51"/>
      <c r="BG100" s="51"/>
      <c r="BH100" s="51"/>
      <c r="BI100" s="51"/>
      <c r="BJ100" s="51"/>
      <c r="BK100" s="51"/>
      <c r="BL100" s="51"/>
      <c r="BM100" s="51"/>
      <c r="BN100" s="51"/>
      <c r="BO100" s="51"/>
      <c r="BP100" s="51"/>
      <c r="BQ100" s="51"/>
      <c r="BR100" s="51"/>
      <c r="BS100" s="51"/>
      <c r="BT100" s="51"/>
      <c r="BU100" s="51"/>
      <c r="BV100" s="51"/>
      <c r="BW100" s="51"/>
      <c r="BX100" s="51"/>
      <c r="BY100" s="51"/>
      <c r="BZ100" s="51"/>
      <c r="CA100" s="51"/>
      <c r="CB100" s="51"/>
      <c r="CC100" s="51"/>
      <c r="CD100" s="51"/>
      <c r="CE100" s="51"/>
      <c r="CF100" s="51"/>
      <c r="CG100" s="51"/>
      <c r="CH100" s="51"/>
      <c r="CI100" s="51"/>
      <c r="CJ100" s="51"/>
      <c r="CK100" s="51"/>
      <c r="CL100" s="51"/>
      <c r="CM100" s="51"/>
      <c r="CN100" s="51"/>
      <c r="CO100" s="51"/>
      <c r="CP100" s="51"/>
      <c r="CQ100" s="51"/>
      <c r="CR100" s="51"/>
      <c r="CS100" s="51"/>
      <c r="CT100" s="51"/>
      <c r="CU100" s="51"/>
      <c r="CV100" s="51"/>
      <c r="CW100" s="51"/>
      <c r="CX100" s="51"/>
      <c r="CY100" s="51"/>
      <c r="CZ100" s="51"/>
      <c r="DA100" s="51"/>
      <c r="DB100" s="51"/>
      <c r="DC100" s="51"/>
      <c r="DD100" s="51"/>
      <c r="DE100" s="51"/>
      <c r="DF100" s="51"/>
      <c r="DG100" s="51"/>
      <c r="DH100" s="51"/>
      <c r="DI100" s="51"/>
      <c r="DJ100" s="51"/>
      <c r="DK100" s="51"/>
      <c r="DL100" s="51"/>
      <c r="DM100" s="51"/>
      <c r="DN100" s="51"/>
      <c r="DO100" s="51"/>
      <c r="DP100" s="51"/>
      <c r="DQ100" s="51"/>
      <c r="DR100" s="51"/>
      <c r="DS100" s="51"/>
      <c r="DT100" s="51"/>
      <c r="DU100" s="51"/>
      <c r="DV100" s="51"/>
      <c r="DW100" s="51"/>
      <c r="DX100" s="51"/>
      <c r="DY100" s="51"/>
      <c r="DZ100" s="51"/>
      <c r="EA100" s="51"/>
      <c r="EB100" s="51"/>
      <c r="EC100" s="51"/>
      <c r="ED100" s="51"/>
      <c r="EE100" s="51"/>
      <c r="EF100" s="51"/>
      <c r="EG100" s="51"/>
      <c r="EH100" s="51"/>
      <c r="EI100" s="51"/>
      <c r="EJ100" s="51"/>
    </row>
    <row r="101" spans="1:140">
      <c r="A101" s="69"/>
      <c r="B101" s="69"/>
      <c r="C101" s="195" t="str">
        <f>IF(MasterSheet!$A$1=1,MasterSheet!C246,MasterSheet!B246)</f>
        <v>Prihodi od privatizacije i prodaje imovine</v>
      </c>
      <c r="D101" s="203">
        <f>+'Local Government_int'!D102</f>
        <v>38880231.440000005</v>
      </c>
      <c r="E101" s="187">
        <f>+'Local Government_int'!E102</f>
        <v>1.8093085504211459</v>
      </c>
      <c r="F101" s="203">
        <f>+'Local Government_int'!F102</f>
        <v>78586838.060000002</v>
      </c>
      <c r="G101" s="187">
        <f>+'Local Government_int'!G102</f>
        <v>2.9317977265435555</v>
      </c>
      <c r="H101" s="203">
        <f>+'Local Government_int'!H102</f>
        <v>13738634</v>
      </c>
      <c r="I101" s="187">
        <f>+'Local Government_int'!I102</f>
        <v>0.44524999999999998</v>
      </c>
      <c r="J101" s="203">
        <f>+'Local Government_int'!J102</f>
        <v>22730850.149999999</v>
      </c>
      <c r="K101" s="187">
        <f>+'Local Government_int'!K102</f>
        <v>0.76252432572962092</v>
      </c>
      <c r="L101" s="203">
        <f>+'Local Government_int'!L102</f>
        <v>22290000</v>
      </c>
      <c r="M101" s="187">
        <f>+'Local Government_int'!M102</f>
        <v>0.71810567010309279</v>
      </c>
      <c r="N101" s="186">
        <f>+'Local Government_int'!N102</f>
        <v>11633716.219999999</v>
      </c>
      <c r="O101" s="188">
        <f>+'Local Government_int'!O102</f>
        <v>0.35973148484848483</v>
      </c>
      <c r="P101" s="282">
        <f>+'Local Government_int'!P102</f>
        <v>10530729.020000001</v>
      </c>
      <c r="Q101" s="284">
        <f>+'Local Government_int'!Q102</f>
        <v>0.33441502127659578</v>
      </c>
      <c r="R101" s="282">
        <f>+'Local Government_int'!R102</f>
        <v>11000000</v>
      </c>
      <c r="S101" s="284">
        <f>+'Local Government_int'!S102</f>
        <v>0.31276656241114587</v>
      </c>
      <c r="T101" s="282">
        <f>+'Local Government_int'!T102</f>
        <v>11000000</v>
      </c>
      <c r="U101" s="284">
        <f>+'Local Government_int'!U102</f>
        <v>0.31276656241114587</v>
      </c>
      <c r="V101" s="282">
        <f>+'Local Government_int'!V102</f>
        <v>0</v>
      </c>
      <c r="W101" s="284">
        <f>+'Local Government_int'!W102</f>
        <v>0</v>
      </c>
      <c r="X101" s="69"/>
      <c r="Y101" s="69"/>
      <c r="Z101" s="69"/>
      <c r="AA101" s="69"/>
      <c r="AB101" s="69"/>
      <c r="AC101" s="69"/>
      <c r="AD101" s="69"/>
      <c r="AE101" s="69"/>
      <c r="AF101" s="51"/>
      <c r="AG101" s="51"/>
      <c r="AH101" s="51"/>
      <c r="AI101" s="51"/>
      <c r="AJ101" s="51"/>
      <c r="AK101" s="51"/>
      <c r="AL101" s="51"/>
      <c r="AM101" s="68"/>
      <c r="AN101" s="51"/>
      <c r="AO101" s="51"/>
      <c r="AP101" s="51"/>
      <c r="AQ101" s="51"/>
      <c r="AR101" s="51"/>
      <c r="AS101" s="51"/>
      <c r="AT101" s="51"/>
      <c r="AU101" s="51"/>
      <c r="AV101" s="51"/>
      <c r="AW101" s="51"/>
      <c r="AX101" s="51"/>
      <c r="AY101" s="51"/>
      <c r="AZ101" s="51"/>
      <c r="BA101" s="51"/>
      <c r="BB101" s="51"/>
      <c r="BC101" s="51"/>
      <c r="BD101" s="51"/>
      <c r="BE101" s="51"/>
      <c r="BF101" s="51"/>
      <c r="BG101" s="51"/>
      <c r="BH101" s="51"/>
      <c r="BI101" s="51"/>
      <c r="BJ101" s="51"/>
      <c r="BK101" s="51"/>
      <c r="BL101" s="51"/>
      <c r="BM101" s="51"/>
      <c r="BN101" s="51"/>
      <c r="BO101" s="51"/>
      <c r="BP101" s="51"/>
      <c r="BQ101" s="51"/>
      <c r="BR101" s="51"/>
      <c r="BS101" s="51"/>
      <c r="BT101" s="51"/>
      <c r="BU101" s="51"/>
      <c r="BV101" s="51"/>
      <c r="BW101" s="51"/>
      <c r="BX101" s="51"/>
      <c r="BY101" s="51"/>
      <c r="BZ101" s="51"/>
      <c r="CA101" s="51"/>
      <c r="CB101" s="51"/>
      <c r="CC101" s="51"/>
      <c r="CD101" s="51"/>
      <c r="CE101" s="51"/>
      <c r="CF101" s="51"/>
      <c r="CG101" s="51"/>
      <c r="CH101" s="51"/>
      <c r="CI101" s="51"/>
      <c r="CJ101" s="51"/>
      <c r="CK101" s="51"/>
      <c r="CL101" s="51"/>
      <c r="CM101" s="51"/>
      <c r="CN101" s="51"/>
      <c r="CO101" s="51"/>
      <c r="CP101" s="51"/>
      <c r="CQ101" s="51"/>
      <c r="CR101" s="51"/>
      <c r="CS101" s="51"/>
      <c r="CT101" s="51"/>
      <c r="CU101" s="51"/>
      <c r="CV101" s="51"/>
      <c r="CW101" s="51"/>
      <c r="CX101" s="51"/>
      <c r="CY101" s="51"/>
      <c r="CZ101" s="51"/>
      <c r="DA101" s="51"/>
      <c r="DB101" s="51"/>
      <c r="DC101" s="51"/>
      <c r="DD101" s="51"/>
      <c r="DE101" s="51"/>
      <c r="DF101" s="51"/>
      <c r="DG101" s="51"/>
      <c r="DH101" s="51"/>
      <c r="DI101" s="51"/>
      <c r="DJ101" s="51"/>
      <c r="DK101" s="51"/>
      <c r="DL101" s="51"/>
      <c r="DM101" s="51"/>
      <c r="DN101" s="51"/>
      <c r="DO101" s="51"/>
      <c r="DP101" s="51"/>
      <c r="DQ101" s="51"/>
      <c r="DR101" s="51"/>
      <c r="DS101" s="51"/>
      <c r="DT101" s="51"/>
      <c r="DU101" s="51"/>
      <c r="DV101" s="51"/>
      <c r="DW101" s="51"/>
      <c r="DX101" s="51"/>
      <c r="DY101" s="51"/>
      <c r="DZ101" s="51"/>
      <c r="EA101" s="51"/>
      <c r="EB101" s="51"/>
      <c r="EC101" s="51"/>
      <c r="ED101" s="51"/>
      <c r="EE101" s="51"/>
      <c r="EF101" s="51"/>
      <c r="EG101" s="51"/>
      <c r="EH101" s="51"/>
      <c r="EI101" s="51"/>
      <c r="EJ101" s="51"/>
    </row>
    <row r="102" spans="1:140">
      <c r="A102" s="69"/>
      <c r="B102" s="69"/>
      <c r="C102" s="195" t="str">
        <f>IF(MasterSheet!$A$1=1,MasterSheet!C247,MasterSheet!B247)</f>
        <v>Donacije</v>
      </c>
      <c r="D102" s="203">
        <f>+'Local Government_int'!D103</f>
        <v>1053772.6200000001</v>
      </c>
      <c r="E102" s="187">
        <f>+'Local Government_int'!E103</f>
        <v>4.9037769091162933E-2</v>
      </c>
      <c r="F102" s="203">
        <f>+'Local Government_int'!F103</f>
        <v>1560565.85</v>
      </c>
      <c r="G102" s="187">
        <f>+'Local Government_int'!G103</f>
        <v>5.8219207237455703E-2</v>
      </c>
      <c r="H102" s="203">
        <f>+'Local Government_int'!H103</f>
        <v>1980484</v>
      </c>
      <c r="I102" s="187">
        <f>+'Local Government_int'!I103</f>
        <v>6.4184729064039409E-2</v>
      </c>
      <c r="J102" s="203">
        <f>+'Local Government_int'!J103</f>
        <v>5542134.3700000001</v>
      </c>
      <c r="K102" s="187">
        <f>+'Local Government_int'!K103</f>
        <v>0.18591527574639383</v>
      </c>
      <c r="L102" s="203">
        <f>+'Local Government_int'!L103</f>
        <v>3080000</v>
      </c>
      <c r="M102" s="187">
        <f>+'Local Government_int'!M103</f>
        <v>9.9226804123711349E-2</v>
      </c>
      <c r="N102" s="186">
        <f>+'Local Government_int'!N103</f>
        <v>4244191.55</v>
      </c>
      <c r="O102" s="188">
        <f>+'Local Government_int'!O103</f>
        <v>0.13123659709338278</v>
      </c>
      <c r="P102" s="282">
        <f>+'Local Government_int'!P103</f>
        <v>2881375.29</v>
      </c>
      <c r="Q102" s="284">
        <f>+'Local Government_int'!Q103</f>
        <v>9.1501279453794854E-2</v>
      </c>
      <c r="R102" s="282">
        <f>+'Local Government_int'!R103</f>
        <v>2000000</v>
      </c>
      <c r="S102" s="284">
        <f>+'Local Government_int'!S103</f>
        <v>5.6866647711117428E-2</v>
      </c>
      <c r="T102" s="282">
        <f>+'Local Government_int'!T103</f>
        <v>2000000</v>
      </c>
      <c r="U102" s="284">
        <f>+'Local Government_int'!U103</f>
        <v>5.6866647711117428E-2</v>
      </c>
      <c r="V102" s="282">
        <f>+'Local Government_int'!V103</f>
        <v>0</v>
      </c>
      <c r="W102" s="284">
        <f>+'Local Government_int'!W103</f>
        <v>0</v>
      </c>
      <c r="X102" s="69"/>
      <c r="Y102" s="69"/>
      <c r="Z102" s="69"/>
      <c r="AA102" s="69"/>
      <c r="AB102" s="69"/>
      <c r="AC102" s="69"/>
      <c r="AD102" s="69"/>
      <c r="AE102" s="69"/>
      <c r="AF102" s="51"/>
      <c r="AG102" s="51"/>
      <c r="AH102" s="51"/>
      <c r="AI102" s="51"/>
      <c r="AJ102" s="51"/>
      <c r="AK102" s="51"/>
      <c r="AL102" s="51"/>
      <c r="AM102" s="51"/>
      <c r="AN102" s="51"/>
      <c r="AO102" s="51"/>
      <c r="AP102" s="51"/>
      <c r="AQ102" s="51"/>
      <c r="AR102" s="51"/>
      <c r="AS102" s="51"/>
      <c r="AT102" s="51"/>
      <c r="AU102" s="51"/>
      <c r="AV102" s="51"/>
      <c r="AW102" s="51"/>
      <c r="AX102" s="51"/>
      <c r="AY102" s="51"/>
      <c r="AZ102" s="51"/>
      <c r="BA102" s="51"/>
      <c r="BB102" s="51"/>
      <c r="BC102" s="51"/>
      <c r="BD102" s="51"/>
      <c r="BE102" s="51"/>
      <c r="BF102" s="51"/>
      <c r="BG102" s="51"/>
      <c r="BH102" s="51"/>
      <c r="BI102" s="51"/>
      <c r="BJ102" s="51"/>
      <c r="BK102" s="51"/>
      <c r="BL102" s="51"/>
      <c r="BM102" s="51"/>
      <c r="BN102" s="51"/>
      <c r="BO102" s="51"/>
      <c r="BP102" s="51"/>
      <c r="BQ102" s="51"/>
      <c r="BR102" s="51"/>
      <c r="BS102" s="51"/>
      <c r="BT102" s="51"/>
      <c r="BU102" s="51"/>
      <c r="BV102" s="51"/>
      <c r="BW102" s="51"/>
      <c r="BX102" s="51"/>
      <c r="BY102" s="51"/>
      <c r="BZ102" s="51"/>
      <c r="CA102" s="51"/>
      <c r="CB102" s="51"/>
      <c r="CC102" s="51"/>
      <c r="CD102" s="51"/>
      <c r="CE102" s="51"/>
      <c r="CF102" s="51"/>
      <c r="CG102" s="51"/>
      <c r="CH102" s="51"/>
      <c r="CI102" s="51"/>
      <c r="CJ102" s="51"/>
      <c r="CK102" s="51"/>
      <c r="CL102" s="51"/>
      <c r="CM102" s="51"/>
      <c r="CN102" s="51"/>
      <c r="CO102" s="51"/>
      <c r="CP102" s="51"/>
      <c r="CQ102" s="51"/>
      <c r="CR102" s="51"/>
      <c r="CS102" s="51"/>
      <c r="CT102" s="51"/>
      <c r="CU102" s="51"/>
      <c r="CV102" s="51"/>
      <c r="CW102" s="51"/>
      <c r="CX102" s="51"/>
      <c r="CY102" s="51"/>
      <c r="CZ102" s="51"/>
      <c r="DA102" s="51"/>
      <c r="DB102" s="51"/>
      <c r="DC102" s="51"/>
      <c r="DD102" s="51"/>
      <c r="DE102" s="51"/>
      <c r="DF102" s="51"/>
      <c r="DG102" s="51"/>
      <c r="DH102" s="51"/>
      <c r="DI102" s="51"/>
      <c r="DJ102" s="51"/>
      <c r="DK102" s="51"/>
      <c r="DL102" s="51"/>
      <c r="DM102" s="51"/>
      <c r="DN102" s="51"/>
      <c r="DO102" s="51"/>
      <c r="DP102" s="51"/>
      <c r="DQ102" s="51"/>
      <c r="DR102" s="51"/>
      <c r="DS102" s="51"/>
      <c r="DT102" s="51"/>
      <c r="DU102" s="51"/>
      <c r="DV102" s="51"/>
      <c r="DW102" s="51"/>
      <c r="DX102" s="51"/>
      <c r="DY102" s="51"/>
      <c r="DZ102" s="51"/>
      <c r="EA102" s="51"/>
      <c r="EB102" s="51"/>
      <c r="EC102" s="51"/>
      <c r="ED102" s="51"/>
      <c r="EE102" s="51"/>
      <c r="EF102" s="51"/>
      <c r="EG102" s="51"/>
      <c r="EH102" s="51"/>
      <c r="EI102" s="51"/>
      <c r="EJ102" s="51"/>
    </row>
    <row r="103" spans="1:140" ht="13.5" thickBot="1">
      <c r="A103" s="69"/>
      <c r="B103" s="69"/>
      <c r="C103" s="207" t="str">
        <f>IF(MasterSheet!$A$1=1,MasterSheet!C248,MasterSheet!B248)</f>
        <v>Korišćenje depozita lokalne samouprave</v>
      </c>
      <c r="D103" s="208">
        <f>+(-D97-D99-D100-D101-D102)</f>
        <v>-22678821.620199986</v>
      </c>
      <c r="E103" s="209">
        <f t="shared" si="10"/>
        <v>-1.0553688687328395</v>
      </c>
      <c r="F103" s="208">
        <f>+(-F97-F99-F100-F101-F102)</f>
        <v>-60572518.30999998</v>
      </c>
      <c r="G103" s="209">
        <f t="shared" si="11"/>
        <v>-2.2597469990673376</v>
      </c>
      <c r="H103" s="208">
        <f>+(-H97-H99-H100-H101-H102)</f>
        <v>16901336.937633127</v>
      </c>
      <c r="I103" s="209">
        <f t="shared" si="12"/>
        <v>0.5477487988602906</v>
      </c>
      <c r="J103" s="208">
        <f>+(-J97-J99-J100-J101-J102)</f>
        <v>29739437.499999996</v>
      </c>
      <c r="K103" s="209">
        <f t="shared" si="13"/>
        <v>0.99763292519288815</v>
      </c>
      <c r="L103" s="208">
        <f>+(-L97-L99-L100-L101-L102)</f>
        <v>2258195.3415384665</v>
      </c>
      <c r="M103" s="209">
        <f t="shared" si="14"/>
        <v>7.2751138580491828E-2</v>
      </c>
      <c r="N103" s="208">
        <f>+(-N97-N99-N100-N101-N102)</f>
        <v>-1086090.0499999793</v>
      </c>
      <c r="O103" s="210">
        <f t="shared" si="15"/>
        <v>-3.3583489486703137E-2</v>
      </c>
      <c r="P103" s="297">
        <f>+(-P97-P99-P100-P101-P102)</f>
        <v>3018144.4766666992</v>
      </c>
      <c r="Q103" s="298">
        <f t="shared" si="16"/>
        <v>9.5844537207580155E-2</v>
      </c>
      <c r="R103" s="297">
        <f>+(-R97-R99-R100-R101-R102)</f>
        <v>7353072.9189614952</v>
      </c>
      <c r="S103" s="298">
        <f t="shared" si="17"/>
        <v>0.20907230363837065</v>
      </c>
      <c r="T103" s="297">
        <f>+(-T97-T99-T100-T101-T102)</f>
        <v>8126734.3773407489</v>
      </c>
      <c r="U103" s="298">
        <f t="shared" si="18"/>
        <v>0.2310700704390318</v>
      </c>
      <c r="V103" s="297">
        <f>+(-V97-V99-V100-V101-V102)</f>
        <v>773661.45837923652</v>
      </c>
      <c r="W103" s="298" t="e">
        <f t="shared" si="19"/>
        <v>#DIV/0!</v>
      </c>
      <c r="X103" s="69"/>
      <c r="Y103" s="69"/>
      <c r="Z103" s="69"/>
      <c r="AA103" s="69"/>
      <c r="AB103" s="69"/>
      <c r="AC103" s="69"/>
      <c r="AD103" s="69"/>
      <c r="AE103" s="69"/>
      <c r="AF103" s="51"/>
      <c r="AG103" s="51"/>
      <c r="AH103" s="51"/>
      <c r="AI103" s="51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  <c r="AU103" s="51"/>
      <c r="AV103" s="51"/>
      <c r="AW103" s="51"/>
      <c r="AX103" s="51"/>
      <c r="AY103" s="51"/>
      <c r="AZ103" s="51"/>
      <c r="BA103" s="51"/>
      <c r="BB103" s="51"/>
      <c r="BC103" s="51"/>
      <c r="BD103" s="51"/>
      <c r="BE103" s="51"/>
      <c r="BF103" s="51"/>
      <c r="BG103" s="51"/>
      <c r="BH103" s="51"/>
      <c r="BI103" s="51"/>
      <c r="BJ103" s="51"/>
      <c r="BK103" s="51"/>
      <c r="BL103" s="51"/>
      <c r="BM103" s="51"/>
      <c r="BN103" s="51"/>
      <c r="BO103" s="51"/>
      <c r="BP103" s="51"/>
      <c r="BQ103" s="51"/>
      <c r="BR103" s="51"/>
      <c r="BS103" s="51"/>
      <c r="BT103" s="51"/>
      <c r="BU103" s="51"/>
      <c r="BV103" s="51"/>
      <c r="BW103" s="51"/>
      <c r="BX103" s="51"/>
      <c r="BY103" s="51"/>
      <c r="BZ103" s="51"/>
      <c r="CA103" s="51"/>
      <c r="CB103" s="51"/>
      <c r="CC103" s="51"/>
      <c r="CD103" s="51"/>
      <c r="CE103" s="51"/>
      <c r="CF103" s="51"/>
      <c r="CG103" s="51"/>
      <c r="CH103" s="51"/>
      <c r="CI103" s="51"/>
      <c r="CJ103" s="51"/>
      <c r="CK103" s="51"/>
      <c r="CL103" s="51"/>
      <c r="CM103" s="51"/>
      <c r="CN103" s="51"/>
      <c r="CO103" s="51"/>
      <c r="CP103" s="51"/>
      <c r="CQ103" s="51"/>
      <c r="CR103" s="51"/>
      <c r="CS103" s="51"/>
      <c r="CT103" s="51"/>
      <c r="CU103" s="51"/>
      <c r="CV103" s="51"/>
      <c r="CW103" s="51"/>
      <c r="CX103" s="51"/>
      <c r="CY103" s="51"/>
      <c r="CZ103" s="51"/>
      <c r="DA103" s="51"/>
      <c r="DB103" s="51"/>
      <c r="DC103" s="51"/>
      <c r="DD103" s="51"/>
      <c r="DE103" s="51"/>
      <c r="DF103" s="51"/>
      <c r="DG103" s="51"/>
      <c r="DH103" s="51"/>
      <c r="DI103" s="51"/>
      <c r="DJ103" s="51"/>
      <c r="DK103" s="51"/>
      <c r="DL103" s="51"/>
      <c r="DM103" s="51"/>
      <c r="DN103" s="51"/>
      <c r="DO103" s="51"/>
      <c r="DP103" s="51"/>
      <c r="DQ103" s="51"/>
      <c r="DR103" s="51"/>
      <c r="DS103" s="51"/>
      <c r="DT103" s="51"/>
      <c r="DU103" s="51"/>
      <c r="DV103" s="51"/>
      <c r="DW103" s="51"/>
      <c r="DX103" s="51"/>
      <c r="DY103" s="51"/>
      <c r="DZ103" s="51"/>
      <c r="EA103" s="51"/>
      <c r="EB103" s="51"/>
      <c r="EC103" s="51"/>
      <c r="ED103" s="51"/>
      <c r="EE103" s="51"/>
      <c r="EF103" s="51"/>
      <c r="EG103" s="51"/>
      <c r="EH103" s="51"/>
      <c r="EI103" s="51"/>
      <c r="EJ103" s="51"/>
    </row>
    <row r="104" spans="1:140" ht="14.25" thickTop="1" thickBot="1">
      <c r="A104" s="69"/>
      <c r="B104" s="69"/>
      <c r="C104" s="180" t="str">
        <f>IF(MasterSheet!$A$1=1,MasterSheet!C249,MasterSheet!B249)</f>
        <v>Transferi iz budžeta CG</v>
      </c>
      <c r="D104" s="181">
        <f>+'Local Government_int'!D105</f>
        <v>0</v>
      </c>
      <c r="E104" s="170">
        <f>+'Local Government_int'!E105</f>
        <v>0</v>
      </c>
      <c r="F104" s="181">
        <f>+'Local Government_int'!F105</f>
        <v>2094166.36</v>
      </c>
      <c r="G104" s="170">
        <f>+'Local Government_int'!G105</f>
        <v>7.8125960082074244E-2</v>
      </c>
      <c r="H104" s="181">
        <f>+'Local Government_int'!H105</f>
        <v>2285399.7000000002</v>
      </c>
      <c r="I104" s="170">
        <f>+'Local Government_int'!I105</f>
        <v>7.4066622374902788E-2</v>
      </c>
      <c r="J104" s="181">
        <f>+'Local Government_int'!J105</f>
        <v>0</v>
      </c>
      <c r="K104" s="170">
        <f>+'Local Government_int'!K105</f>
        <v>0</v>
      </c>
      <c r="L104" s="181">
        <f>+'Local Government_int'!L105</f>
        <v>903588.07</v>
      </c>
      <c r="M104" s="170">
        <f>+'Local Government_int'!M105</f>
        <v>2.911044039948453E-2</v>
      </c>
      <c r="N104" s="169">
        <f>+'Local Government_int'!N105</f>
        <v>1067088.02</v>
      </c>
      <c r="O104" s="171">
        <f>+'Local Government_int'!O105</f>
        <v>3.2995918985776126E-2</v>
      </c>
      <c r="P104" s="276">
        <f>+'Local Government_int'!P105</f>
        <v>847020.99</v>
      </c>
      <c r="Q104" s="278">
        <f>+'Local Government_int'!Q105</f>
        <v>2.6898094315655763E-2</v>
      </c>
      <c r="R104" s="276">
        <f>+'Local Government_int'!R105</f>
        <v>250000</v>
      </c>
      <c r="S104" s="278">
        <f>+'Local Government_int'!S105</f>
        <v>7.1083309638896785E-3</v>
      </c>
      <c r="T104" s="276">
        <f>+'Local Government_int'!T105</f>
        <v>250000</v>
      </c>
      <c r="U104" s="278">
        <f>+'Local Government_int'!U105</f>
        <v>7.1083309638896785E-3</v>
      </c>
      <c r="V104" s="276">
        <f>+'Local Government_int'!V105</f>
        <v>0</v>
      </c>
      <c r="W104" s="278">
        <f>+'Local Government_int'!W105</f>
        <v>0</v>
      </c>
      <c r="X104" s="69"/>
      <c r="Y104" s="69"/>
      <c r="Z104" s="69"/>
      <c r="AA104" s="69"/>
      <c r="AB104" s="69"/>
      <c r="AC104" s="69"/>
      <c r="AD104" s="69"/>
      <c r="AE104" s="69"/>
      <c r="AF104" s="51"/>
      <c r="AG104" s="51"/>
      <c r="AH104" s="51"/>
      <c r="AI104" s="51"/>
      <c r="AJ104" s="51"/>
      <c r="AK104" s="51"/>
      <c r="AL104" s="51"/>
      <c r="AM104" s="51"/>
      <c r="AN104" s="51"/>
      <c r="AO104" s="51"/>
      <c r="AP104" s="51"/>
      <c r="AQ104" s="51"/>
      <c r="AR104" s="51"/>
      <c r="AS104" s="51"/>
      <c r="AT104" s="51"/>
      <c r="AU104" s="51"/>
      <c r="AV104" s="51"/>
      <c r="AW104" s="51"/>
      <c r="AX104" s="51"/>
      <c r="AY104" s="51"/>
      <c r="AZ104" s="51"/>
      <c r="BA104" s="51"/>
      <c r="BB104" s="51"/>
      <c r="BC104" s="51"/>
      <c r="BD104" s="51"/>
      <c r="BE104" s="51"/>
      <c r="BF104" s="51"/>
      <c r="BG104" s="51"/>
      <c r="BH104" s="51"/>
      <c r="BI104" s="51"/>
      <c r="BJ104" s="51"/>
      <c r="BK104" s="51"/>
      <c r="BL104" s="51"/>
      <c r="BM104" s="51"/>
      <c r="BN104" s="51"/>
      <c r="BO104" s="51"/>
      <c r="BP104" s="51"/>
      <c r="BQ104" s="51"/>
      <c r="BR104" s="51"/>
      <c r="BS104" s="51"/>
      <c r="BT104" s="51"/>
      <c r="BU104" s="51"/>
      <c r="BV104" s="51"/>
      <c r="BW104" s="51"/>
      <c r="BX104" s="51"/>
      <c r="BY104" s="51"/>
      <c r="BZ104" s="51"/>
      <c r="CA104" s="51"/>
      <c r="CB104" s="51"/>
      <c r="CC104" s="51"/>
      <c r="CD104" s="51"/>
      <c r="CE104" s="51"/>
      <c r="CF104" s="51"/>
      <c r="CG104" s="51"/>
      <c r="CH104" s="51"/>
      <c r="CI104" s="51"/>
      <c r="CJ104" s="51"/>
      <c r="CK104" s="51"/>
      <c r="CL104" s="51"/>
      <c r="CM104" s="51"/>
      <c r="CN104" s="51"/>
      <c r="CO104" s="51"/>
      <c r="CP104" s="51"/>
      <c r="CQ104" s="51"/>
      <c r="CR104" s="51"/>
      <c r="CS104" s="51"/>
      <c r="CT104" s="51"/>
      <c r="CU104" s="51"/>
      <c r="CV104" s="51"/>
      <c r="CW104" s="51"/>
      <c r="CX104" s="51"/>
      <c r="CY104" s="51"/>
      <c r="CZ104" s="51"/>
      <c r="DA104" s="51"/>
      <c r="DB104" s="51"/>
      <c r="DC104" s="51"/>
      <c r="DD104" s="51"/>
      <c r="DE104" s="51"/>
      <c r="DF104" s="51"/>
      <c r="DG104" s="51"/>
      <c r="DH104" s="51"/>
      <c r="DI104" s="51"/>
      <c r="DJ104" s="51"/>
      <c r="DK104" s="51"/>
      <c r="DL104" s="51"/>
      <c r="DM104" s="51"/>
      <c r="DN104" s="51"/>
      <c r="DO104" s="51"/>
      <c r="DP104" s="51"/>
      <c r="DQ104" s="51"/>
      <c r="DR104" s="51"/>
      <c r="DS104" s="51"/>
      <c r="DT104" s="51"/>
      <c r="DU104" s="51"/>
      <c r="DV104" s="51"/>
      <c r="DW104" s="51"/>
      <c r="DX104" s="51"/>
      <c r="DY104" s="51"/>
      <c r="DZ104" s="51"/>
      <c r="EA104" s="51"/>
      <c r="EB104" s="51"/>
      <c r="EC104" s="51"/>
      <c r="ED104" s="51"/>
      <c r="EE104" s="51"/>
      <c r="EF104" s="51"/>
      <c r="EG104" s="51"/>
      <c r="EH104" s="51"/>
      <c r="EI104" s="51"/>
      <c r="EJ104" s="51"/>
    </row>
    <row r="105" spans="1:140" ht="13.5" thickTop="1">
      <c r="A105" s="69"/>
      <c r="B105" s="69"/>
      <c r="C105" s="123" t="str">
        <f>IF(MasterSheet!$A$1=1,MasterSheet!C250,MasterSheet!B250)</f>
        <v>Izvor: Ministarstvo finansija Crne Gore</v>
      </c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51"/>
      <c r="AG105" s="51"/>
      <c r="AH105" s="51"/>
      <c r="AI105" s="51"/>
      <c r="AJ105" s="51"/>
      <c r="AK105" s="51"/>
      <c r="AL105" s="51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  <c r="AX105" s="51"/>
      <c r="AY105" s="51"/>
      <c r="AZ105" s="51"/>
      <c r="BA105" s="51"/>
      <c r="BB105" s="51"/>
      <c r="BC105" s="51"/>
      <c r="BD105" s="51"/>
      <c r="BE105" s="51"/>
      <c r="BF105" s="51"/>
      <c r="BG105" s="51"/>
      <c r="BH105" s="51"/>
      <c r="BI105" s="51"/>
      <c r="BJ105" s="51"/>
      <c r="BK105" s="51"/>
      <c r="BL105" s="51"/>
      <c r="BM105" s="51"/>
      <c r="BN105" s="51"/>
      <c r="BO105" s="51"/>
      <c r="BP105" s="51"/>
      <c r="BQ105" s="51"/>
      <c r="BR105" s="51"/>
      <c r="BS105" s="51"/>
      <c r="BT105" s="51"/>
      <c r="BU105" s="51"/>
      <c r="BV105" s="51"/>
      <c r="BW105" s="51"/>
      <c r="BX105" s="51"/>
      <c r="BY105" s="51"/>
      <c r="BZ105" s="51"/>
      <c r="CA105" s="51"/>
      <c r="CB105" s="51"/>
      <c r="CC105" s="51"/>
      <c r="CD105" s="51"/>
      <c r="CE105" s="51"/>
      <c r="CF105" s="51"/>
      <c r="CG105" s="51"/>
      <c r="CH105" s="51"/>
      <c r="CI105" s="51"/>
      <c r="CJ105" s="51"/>
      <c r="CK105" s="51"/>
      <c r="CL105" s="51"/>
      <c r="CM105" s="51"/>
      <c r="CN105" s="51"/>
      <c r="CO105" s="51"/>
      <c r="CP105" s="51"/>
      <c r="CQ105" s="51"/>
      <c r="CR105" s="51"/>
      <c r="CS105" s="51"/>
      <c r="CT105" s="51"/>
      <c r="CU105" s="51"/>
      <c r="CV105" s="51"/>
      <c r="CW105" s="51"/>
      <c r="CX105" s="51"/>
      <c r="CY105" s="51"/>
      <c r="CZ105" s="51"/>
      <c r="DA105" s="51"/>
      <c r="DB105" s="51"/>
      <c r="DC105" s="51"/>
      <c r="DD105" s="51"/>
      <c r="DE105" s="51"/>
      <c r="DF105" s="51"/>
      <c r="DG105" s="51"/>
      <c r="DH105" s="51"/>
      <c r="DI105" s="51"/>
      <c r="DJ105" s="51"/>
      <c r="DK105" s="51"/>
      <c r="DL105" s="51"/>
      <c r="DM105" s="51"/>
      <c r="DN105" s="51"/>
      <c r="DO105" s="51"/>
      <c r="DP105" s="51"/>
      <c r="DQ105" s="51"/>
      <c r="DR105" s="51"/>
      <c r="DS105" s="51"/>
      <c r="DT105" s="51"/>
      <c r="DU105" s="51"/>
      <c r="DV105" s="51"/>
      <c r="DW105" s="51"/>
      <c r="DX105" s="51"/>
      <c r="DY105" s="51"/>
      <c r="DZ105" s="51"/>
      <c r="EA105" s="51"/>
      <c r="EB105" s="51"/>
      <c r="EC105" s="51"/>
      <c r="ED105" s="51"/>
      <c r="EE105" s="51"/>
      <c r="EF105" s="51"/>
      <c r="EG105" s="51"/>
      <c r="EH105" s="51"/>
      <c r="EI105" s="51"/>
      <c r="EJ105" s="51"/>
    </row>
    <row r="106" spans="1:140">
      <c r="A106" s="69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</row>
    <row r="107" spans="1:140">
      <c r="A107" s="69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51"/>
      <c r="AG107" s="51"/>
      <c r="AH107" s="51"/>
      <c r="AI107" s="51"/>
      <c r="AJ107" s="51"/>
      <c r="AK107" s="51"/>
      <c r="AL107" s="51"/>
      <c r="AM107" s="51"/>
      <c r="AN107" s="51"/>
      <c r="AO107" s="51"/>
      <c r="AP107" s="51"/>
      <c r="AQ107" s="51"/>
      <c r="AR107" s="51"/>
      <c r="AS107" s="51"/>
      <c r="AT107" s="51"/>
      <c r="AU107" s="51"/>
      <c r="AV107" s="51"/>
      <c r="AW107" s="51"/>
      <c r="AX107" s="51"/>
      <c r="AY107" s="51"/>
      <c r="AZ107" s="51"/>
      <c r="BA107" s="51"/>
      <c r="BB107" s="51"/>
      <c r="BC107" s="51"/>
      <c r="BD107" s="51"/>
      <c r="BE107" s="51"/>
      <c r="BF107" s="51"/>
      <c r="BG107" s="51"/>
      <c r="BH107" s="51"/>
      <c r="BI107" s="51"/>
      <c r="BJ107" s="51"/>
      <c r="BK107" s="51"/>
      <c r="BL107" s="51"/>
      <c r="BM107" s="51"/>
      <c r="BN107" s="51"/>
      <c r="BO107" s="51"/>
      <c r="BP107" s="51"/>
      <c r="BQ107" s="51"/>
      <c r="BR107" s="51"/>
      <c r="BS107" s="51"/>
      <c r="BT107" s="51"/>
      <c r="BU107" s="51"/>
      <c r="BV107" s="51"/>
      <c r="BW107" s="51"/>
      <c r="BX107" s="51"/>
      <c r="BY107" s="51"/>
      <c r="BZ107" s="51"/>
      <c r="CA107" s="51"/>
      <c r="CB107" s="51"/>
      <c r="CC107" s="51"/>
      <c r="CD107" s="51"/>
      <c r="CE107" s="51"/>
      <c r="CF107" s="51"/>
      <c r="CG107" s="51"/>
      <c r="CH107" s="51"/>
      <c r="CI107" s="51"/>
      <c r="CJ107" s="51"/>
      <c r="CK107" s="51"/>
      <c r="CL107" s="51"/>
      <c r="CM107" s="51"/>
      <c r="CN107" s="51"/>
      <c r="CO107" s="51"/>
      <c r="CP107" s="51"/>
      <c r="CQ107" s="51"/>
      <c r="CR107" s="51"/>
      <c r="CS107" s="51"/>
      <c r="CT107" s="51"/>
      <c r="CU107" s="51"/>
      <c r="CV107" s="51"/>
      <c r="CW107" s="51"/>
      <c r="CX107" s="51"/>
      <c r="CY107" s="51"/>
      <c r="CZ107" s="51"/>
      <c r="DA107" s="51"/>
      <c r="DB107" s="51"/>
      <c r="DC107" s="51"/>
      <c r="DD107" s="51"/>
      <c r="DE107" s="51"/>
      <c r="DF107" s="51"/>
      <c r="DG107" s="51"/>
      <c r="DH107" s="51"/>
      <c r="DI107" s="51"/>
      <c r="DJ107" s="51"/>
      <c r="DK107" s="51"/>
      <c r="DL107" s="51"/>
      <c r="DM107" s="51"/>
      <c r="DN107" s="51"/>
      <c r="DO107" s="51"/>
      <c r="DP107" s="51"/>
      <c r="DQ107" s="51"/>
      <c r="DR107" s="51"/>
      <c r="DS107" s="51"/>
      <c r="DT107" s="51"/>
      <c r="DU107" s="51"/>
      <c r="DV107" s="51"/>
      <c r="DW107" s="51"/>
      <c r="DX107" s="51"/>
      <c r="DY107" s="51"/>
      <c r="DZ107" s="51"/>
      <c r="EA107" s="51"/>
      <c r="EB107" s="51"/>
      <c r="EC107" s="51"/>
      <c r="ED107" s="51"/>
      <c r="EE107" s="51"/>
      <c r="EF107" s="51"/>
      <c r="EG107" s="51"/>
      <c r="EH107" s="51"/>
      <c r="EI107" s="51"/>
      <c r="EJ107" s="51"/>
    </row>
    <row r="108" spans="1:140">
      <c r="A108" s="69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51"/>
      <c r="AG108" s="51"/>
      <c r="AH108" s="51"/>
      <c r="AI108" s="51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  <c r="AT108" s="51"/>
      <c r="AU108" s="51"/>
      <c r="AV108" s="51"/>
      <c r="AW108" s="51"/>
      <c r="AX108" s="51"/>
      <c r="AY108" s="51"/>
      <c r="AZ108" s="51"/>
      <c r="BA108" s="51"/>
      <c r="BB108" s="51"/>
      <c r="BC108" s="51"/>
      <c r="BD108" s="51"/>
      <c r="BE108" s="51"/>
      <c r="BF108" s="51"/>
      <c r="BG108" s="51"/>
      <c r="BH108" s="51"/>
      <c r="BI108" s="51"/>
      <c r="BJ108" s="51"/>
      <c r="BK108" s="51"/>
      <c r="BL108" s="51"/>
      <c r="BM108" s="51"/>
      <c r="BN108" s="51"/>
      <c r="BO108" s="51"/>
      <c r="BP108" s="51"/>
      <c r="BQ108" s="51"/>
      <c r="BR108" s="51"/>
      <c r="BS108" s="51"/>
      <c r="BT108" s="51"/>
      <c r="BU108" s="51"/>
      <c r="BV108" s="51"/>
      <c r="BW108" s="51"/>
      <c r="BX108" s="51"/>
      <c r="BY108" s="51"/>
      <c r="BZ108" s="51"/>
      <c r="CA108" s="51"/>
      <c r="CB108" s="51"/>
      <c r="CC108" s="51"/>
      <c r="CD108" s="51"/>
      <c r="CE108" s="51"/>
      <c r="CF108" s="51"/>
      <c r="CG108" s="51"/>
      <c r="CH108" s="51"/>
      <c r="CI108" s="51"/>
      <c r="CJ108" s="51"/>
      <c r="CK108" s="51"/>
      <c r="CL108" s="51"/>
      <c r="CM108" s="51"/>
      <c r="CN108" s="51"/>
      <c r="CO108" s="51"/>
      <c r="CP108" s="51"/>
      <c r="CQ108" s="51"/>
      <c r="CR108" s="51"/>
      <c r="CS108" s="51"/>
      <c r="CT108" s="51"/>
      <c r="CU108" s="51"/>
      <c r="CV108" s="51"/>
      <c r="CW108" s="51"/>
      <c r="CX108" s="51"/>
      <c r="CY108" s="51"/>
      <c r="CZ108" s="51"/>
      <c r="DA108" s="51"/>
      <c r="DB108" s="51"/>
      <c r="DC108" s="51"/>
      <c r="DD108" s="51"/>
      <c r="DE108" s="51"/>
      <c r="DF108" s="51"/>
      <c r="DG108" s="51"/>
      <c r="DH108" s="51"/>
      <c r="DI108" s="51"/>
      <c r="DJ108" s="51"/>
      <c r="DK108" s="51"/>
      <c r="DL108" s="51"/>
      <c r="DM108" s="51"/>
      <c r="DN108" s="51"/>
      <c r="DO108" s="51"/>
      <c r="DP108" s="51"/>
      <c r="DQ108" s="51"/>
      <c r="DR108" s="51"/>
      <c r="DS108" s="51"/>
      <c r="DT108" s="51"/>
      <c r="DU108" s="51"/>
      <c r="DV108" s="51"/>
      <c r="DW108" s="51"/>
      <c r="DX108" s="51"/>
      <c r="DY108" s="51"/>
      <c r="DZ108" s="51"/>
      <c r="EA108" s="51"/>
      <c r="EB108" s="51"/>
      <c r="EC108" s="51"/>
      <c r="ED108" s="51"/>
      <c r="EE108" s="51"/>
      <c r="EF108" s="51"/>
      <c r="EG108" s="51"/>
      <c r="EH108" s="51"/>
      <c r="EI108" s="51"/>
      <c r="EJ108" s="51"/>
    </row>
    <row r="109" spans="1:140">
      <c r="A109" s="69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70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51"/>
      <c r="AG109" s="51"/>
      <c r="AH109" s="51"/>
      <c r="AI109" s="51"/>
      <c r="AJ109" s="51"/>
      <c r="AK109" s="51"/>
      <c r="AL109" s="51"/>
      <c r="AM109" s="51"/>
      <c r="AN109" s="51"/>
      <c r="AO109" s="51"/>
      <c r="AP109" s="51"/>
      <c r="AQ109" s="51"/>
      <c r="AR109" s="51"/>
      <c r="AS109" s="51"/>
      <c r="AT109" s="51"/>
      <c r="AU109" s="51"/>
      <c r="AV109" s="51"/>
      <c r="AW109" s="51"/>
      <c r="AX109" s="51"/>
      <c r="AY109" s="51"/>
      <c r="AZ109" s="51"/>
      <c r="BA109" s="51"/>
      <c r="BB109" s="51"/>
      <c r="BC109" s="51"/>
      <c r="BD109" s="51"/>
      <c r="BE109" s="51"/>
      <c r="BF109" s="51"/>
      <c r="BG109" s="51"/>
      <c r="BH109" s="51"/>
      <c r="BI109" s="51"/>
      <c r="BJ109" s="51"/>
      <c r="BK109" s="51"/>
      <c r="BL109" s="51"/>
      <c r="BM109" s="51"/>
      <c r="BN109" s="51"/>
      <c r="BO109" s="51"/>
      <c r="BP109" s="51"/>
      <c r="BQ109" s="51"/>
      <c r="BR109" s="51"/>
      <c r="BS109" s="51"/>
      <c r="BT109" s="51"/>
      <c r="BU109" s="51"/>
      <c r="BV109" s="51"/>
      <c r="BW109" s="51"/>
      <c r="BX109" s="51"/>
      <c r="BY109" s="51"/>
      <c r="BZ109" s="51"/>
      <c r="CA109" s="51"/>
      <c r="CB109" s="51"/>
      <c r="CC109" s="51"/>
      <c r="CD109" s="51"/>
      <c r="CE109" s="51"/>
      <c r="CF109" s="51"/>
      <c r="CG109" s="51"/>
      <c r="CH109" s="51"/>
      <c r="CI109" s="51"/>
      <c r="CJ109" s="51"/>
      <c r="CK109" s="51"/>
      <c r="CL109" s="51"/>
      <c r="CM109" s="51"/>
      <c r="CN109" s="51"/>
      <c r="CO109" s="51"/>
      <c r="CP109" s="51"/>
      <c r="CQ109" s="51"/>
      <c r="CR109" s="51"/>
      <c r="CS109" s="51"/>
      <c r="CT109" s="51"/>
      <c r="CU109" s="51"/>
      <c r="CV109" s="51"/>
      <c r="CW109" s="51"/>
      <c r="CX109" s="51"/>
      <c r="CY109" s="51"/>
      <c r="CZ109" s="51"/>
      <c r="DA109" s="51"/>
      <c r="DB109" s="51"/>
      <c r="DC109" s="51"/>
      <c r="DD109" s="51"/>
      <c r="DE109" s="51"/>
      <c r="DF109" s="51"/>
      <c r="DG109" s="51"/>
      <c r="DH109" s="51"/>
      <c r="DI109" s="51"/>
      <c r="DJ109" s="51"/>
      <c r="DK109" s="51"/>
      <c r="DL109" s="51"/>
      <c r="DM109" s="51"/>
      <c r="DN109" s="51"/>
      <c r="DO109" s="51"/>
      <c r="DP109" s="51"/>
      <c r="DQ109" s="51"/>
      <c r="DR109" s="51"/>
      <c r="DS109" s="51"/>
      <c r="DT109" s="51"/>
      <c r="DU109" s="51"/>
      <c r="DV109" s="51"/>
      <c r="DW109" s="51"/>
      <c r="DX109" s="51"/>
      <c r="DY109" s="51"/>
      <c r="DZ109" s="51"/>
      <c r="EA109" s="51"/>
      <c r="EB109" s="51"/>
      <c r="EC109" s="51"/>
      <c r="ED109" s="51"/>
      <c r="EE109" s="51"/>
      <c r="EF109" s="51"/>
      <c r="EG109" s="51"/>
      <c r="EH109" s="51"/>
      <c r="EI109" s="51"/>
      <c r="EJ109" s="51"/>
    </row>
    <row r="110" spans="1:140">
      <c r="A110" s="69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51"/>
      <c r="AG110" s="51"/>
      <c r="AH110" s="51"/>
      <c r="AI110" s="51"/>
      <c r="AJ110" s="51"/>
      <c r="AK110" s="51"/>
      <c r="AL110" s="51"/>
      <c r="AM110" s="51"/>
      <c r="AN110" s="51"/>
      <c r="AO110" s="51"/>
      <c r="AP110" s="51"/>
      <c r="AQ110" s="51"/>
      <c r="AR110" s="51"/>
      <c r="AS110" s="51"/>
      <c r="AT110" s="51"/>
      <c r="AU110" s="51"/>
      <c r="AV110" s="51"/>
      <c r="AW110" s="51"/>
      <c r="AX110" s="51"/>
      <c r="AY110" s="51"/>
      <c r="AZ110" s="51"/>
      <c r="BA110" s="51"/>
      <c r="BB110" s="51"/>
      <c r="BC110" s="51"/>
      <c r="BD110" s="51"/>
      <c r="BE110" s="51"/>
      <c r="BF110" s="51"/>
      <c r="BG110" s="51"/>
      <c r="BH110" s="51"/>
      <c r="BI110" s="51"/>
      <c r="BJ110" s="51"/>
      <c r="BK110" s="51"/>
      <c r="BL110" s="51"/>
      <c r="BM110" s="51"/>
      <c r="BN110" s="51"/>
      <c r="BO110" s="51"/>
      <c r="BP110" s="51"/>
      <c r="BQ110" s="51"/>
      <c r="BR110" s="51"/>
      <c r="BS110" s="51"/>
      <c r="BT110" s="51"/>
      <c r="BU110" s="51"/>
      <c r="BV110" s="51"/>
      <c r="BW110" s="51"/>
      <c r="BX110" s="51"/>
      <c r="BY110" s="51"/>
      <c r="BZ110" s="51"/>
      <c r="CA110" s="51"/>
      <c r="CB110" s="51"/>
      <c r="CC110" s="51"/>
      <c r="CD110" s="51"/>
      <c r="CE110" s="51"/>
      <c r="CF110" s="51"/>
      <c r="CG110" s="51"/>
      <c r="CH110" s="51"/>
      <c r="CI110" s="51"/>
      <c r="CJ110" s="51"/>
      <c r="CK110" s="51"/>
      <c r="CL110" s="51"/>
      <c r="CM110" s="51"/>
      <c r="CN110" s="51"/>
      <c r="CO110" s="51"/>
      <c r="CP110" s="51"/>
      <c r="CQ110" s="51"/>
      <c r="CR110" s="51"/>
      <c r="CS110" s="51"/>
      <c r="CT110" s="51"/>
      <c r="CU110" s="51"/>
      <c r="CV110" s="51"/>
      <c r="CW110" s="51"/>
      <c r="CX110" s="51"/>
      <c r="CY110" s="51"/>
      <c r="CZ110" s="51"/>
      <c r="DA110" s="51"/>
      <c r="DB110" s="51"/>
      <c r="DC110" s="51"/>
      <c r="DD110" s="51"/>
      <c r="DE110" s="51"/>
      <c r="DF110" s="51"/>
      <c r="DG110" s="51"/>
      <c r="DH110" s="51"/>
      <c r="DI110" s="51"/>
      <c r="DJ110" s="51"/>
      <c r="DK110" s="51"/>
      <c r="DL110" s="51"/>
      <c r="DM110" s="51"/>
      <c r="DN110" s="51"/>
      <c r="DO110" s="51"/>
      <c r="DP110" s="51"/>
      <c r="DQ110" s="51"/>
      <c r="DR110" s="51"/>
      <c r="DS110" s="51"/>
      <c r="DT110" s="51"/>
      <c r="DU110" s="51"/>
      <c r="DV110" s="51"/>
      <c r="DW110" s="51"/>
      <c r="DX110" s="51"/>
      <c r="DY110" s="51"/>
      <c r="DZ110" s="51"/>
      <c r="EA110" s="51"/>
      <c r="EB110" s="51"/>
      <c r="EC110" s="51"/>
      <c r="ED110" s="51"/>
      <c r="EE110" s="51"/>
      <c r="EF110" s="51"/>
      <c r="EG110" s="51"/>
      <c r="EH110" s="51"/>
      <c r="EI110" s="51"/>
      <c r="EJ110" s="51"/>
    </row>
    <row r="111" spans="1:140">
      <c r="A111" s="69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51"/>
      <c r="AG111" s="51"/>
      <c r="AH111" s="51"/>
      <c r="AI111" s="51"/>
      <c r="AJ111" s="51"/>
      <c r="AK111" s="51"/>
      <c r="AL111" s="51"/>
      <c r="AM111" s="51"/>
      <c r="AN111" s="51"/>
      <c r="AO111" s="51"/>
      <c r="AP111" s="51"/>
      <c r="AQ111" s="51"/>
      <c r="AR111" s="51"/>
      <c r="AS111" s="51"/>
      <c r="AT111" s="51"/>
      <c r="AU111" s="51"/>
      <c r="AV111" s="51"/>
      <c r="AW111" s="51"/>
      <c r="AX111" s="51"/>
      <c r="AY111" s="51"/>
      <c r="AZ111" s="51"/>
      <c r="BA111" s="51"/>
      <c r="BB111" s="51"/>
      <c r="BC111" s="51"/>
      <c r="BD111" s="51"/>
      <c r="BE111" s="51"/>
      <c r="BF111" s="51"/>
      <c r="BG111" s="51"/>
      <c r="BH111" s="51"/>
      <c r="BI111" s="51"/>
      <c r="BJ111" s="51"/>
      <c r="BK111" s="51"/>
      <c r="BL111" s="51"/>
      <c r="BM111" s="51"/>
      <c r="BN111" s="51"/>
      <c r="BO111" s="51"/>
      <c r="BP111" s="51"/>
      <c r="BQ111" s="51"/>
      <c r="BR111" s="51"/>
      <c r="BS111" s="51"/>
      <c r="BT111" s="51"/>
      <c r="BU111" s="51"/>
      <c r="BV111" s="51"/>
      <c r="BW111" s="51"/>
      <c r="BX111" s="51"/>
      <c r="BY111" s="51"/>
      <c r="BZ111" s="51"/>
      <c r="CA111" s="51"/>
      <c r="CB111" s="51"/>
      <c r="CC111" s="51"/>
      <c r="CD111" s="51"/>
      <c r="CE111" s="51"/>
      <c r="CF111" s="51"/>
      <c r="CG111" s="51"/>
      <c r="CH111" s="51"/>
      <c r="CI111" s="51"/>
      <c r="CJ111" s="51"/>
      <c r="CK111" s="51"/>
      <c r="CL111" s="51"/>
      <c r="CM111" s="51"/>
      <c r="CN111" s="51"/>
      <c r="CO111" s="51"/>
      <c r="CP111" s="51"/>
      <c r="CQ111" s="51"/>
      <c r="CR111" s="51"/>
      <c r="CS111" s="51"/>
      <c r="CT111" s="51"/>
      <c r="CU111" s="51"/>
      <c r="CV111" s="51"/>
      <c r="CW111" s="51"/>
      <c r="CX111" s="51"/>
      <c r="CY111" s="51"/>
      <c r="CZ111" s="51"/>
      <c r="DA111" s="51"/>
      <c r="DB111" s="51"/>
      <c r="DC111" s="51"/>
      <c r="DD111" s="51"/>
      <c r="DE111" s="51"/>
      <c r="DF111" s="51"/>
      <c r="DG111" s="51"/>
      <c r="DH111" s="51"/>
      <c r="DI111" s="51"/>
      <c r="DJ111" s="51"/>
      <c r="DK111" s="51"/>
      <c r="DL111" s="51"/>
      <c r="DM111" s="51"/>
      <c r="DN111" s="51"/>
      <c r="DO111" s="51"/>
      <c r="DP111" s="51"/>
      <c r="DQ111" s="51"/>
      <c r="DR111" s="51"/>
      <c r="DS111" s="51"/>
      <c r="DT111" s="51"/>
      <c r="DU111" s="51"/>
      <c r="DV111" s="51"/>
      <c r="DW111" s="51"/>
      <c r="DX111" s="51"/>
      <c r="DY111" s="51"/>
      <c r="DZ111" s="51"/>
      <c r="EA111" s="51"/>
      <c r="EB111" s="51"/>
      <c r="EC111" s="51"/>
      <c r="ED111" s="51"/>
      <c r="EE111" s="51"/>
      <c r="EF111" s="51"/>
      <c r="EG111" s="51"/>
      <c r="EH111" s="51"/>
      <c r="EI111" s="51"/>
      <c r="EJ111" s="51"/>
    </row>
    <row r="112" spans="1:140">
      <c r="A112" s="69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51"/>
      <c r="AG112" s="51"/>
      <c r="AH112" s="51"/>
      <c r="AI112" s="51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  <c r="AT112" s="51"/>
      <c r="AU112" s="51"/>
      <c r="AV112" s="51"/>
      <c r="AW112" s="51"/>
      <c r="AX112" s="51"/>
      <c r="AY112" s="51"/>
      <c r="AZ112" s="51"/>
      <c r="BA112" s="51"/>
      <c r="BB112" s="51"/>
      <c r="BC112" s="51"/>
      <c r="BD112" s="51"/>
      <c r="BE112" s="51"/>
      <c r="BF112" s="51"/>
      <c r="BG112" s="51"/>
      <c r="BH112" s="51"/>
      <c r="BI112" s="51"/>
      <c r="BJ112" s="51"/>
      <c r="BK112" s="51"/>
      <c r="BL112" s="51"/>
      <c r="BM112" s="51"/>
      <c r="BN112" s="51"/>
      <c r="BO112" s="51"/>
      <c r="BP112" s="51"/>
      <c r="BQ112" s="51"/>
      <c r="BR112" s="51"/>
      <c r="BS112" s="51"/>
      <c r="BT112" s="51"/>
      <c r="BU112" s="51"/>
      <c r="BV112" s="51"/>
      <c r="BW112" s="51"/>
      <c r="BX112" s="51"/>
      <c r="BY112" s="51"/>
      <c r="BZ112" s="51"/>
      <c r="CA112" s="51"/>
      <c r="CB112" s="51"/>
      <c r="CC112" s="51"/>
      <c r="CD112" s="51"/>
      <c r="CE112" s="51"/>
      <c r="CF112" s="51"/>
      <c r="CG112" s="51"/>
      <c r="CH112" s="51"/>
      <c r="CI112" s="51"/>
      <c r="CJ112" s="51"/>
      <c r="CK112" s="51"/>
      <c r="CL112" s="51"/>
      <c r="CM112" s="51"/>
      <c r="CN112" s="51"/>
      <c r="CO112" s="51"/>
      <c r="CP112" s="51"/>
      <c r="CQ112" s="51"/>
      <c r="CR112" s="51"/>
      <c r="CS112" s="51"/>
      <c r="CT112" s="51"/>
      <c r="CU112" s="51"/>
      <c r="CV112" s="51"/>
      <c r="CW112" s="51"/>
      <c r="CX112" s="51"/>
      <c r="CY112" s="51"/>
      <c r="CZ112" s="51"/>
      <c r="DA112" s="51"/>
      <c r="DB112" s="51"/>
      <c r="DC112" s="51"/>
      <c r="DD112" s="51"/>
      <c r="DE112" s="51"/>
      <c r="DF112" s="51"/>
      <c r="DG112" s="51"/>
      <c r="DH112" s="51"/>
      <c r="DI112" s="51"/>
      <c r="DJ112" s="51"/>
      <c r="DK112" s="51"/>
      <c r="DL112" s="51"/>
      <c r="DM112" s="51"/>
      <c r="DN112" s="51"/>
      <c r="DO112" s="51"/>
      <c r="DP112" s="51"/>
      <c r="DQ112" s="51"/>
      <c r="DR112" s="51"/>
      <c r="DS112" s="51"/>
      <c r="DT112" s="51"/>
      <c r="DU112" s="51"/>
      <c r="DV112" s="51"/>
      <c r="DW112" s="51"/>
      <c r="DX112" s="51"/>
      <c r="DY112" s="51"/>
      <c r="DZ112" s="51"/>
      <c r="EA112" s="51"/>
      <c r="EB112" s="51"/>
      <c r="EC112" s="51"/>
      <c r="ED112" s="51"/>
      <c r="EE112" s="51"/>
      <c r="EF112" s="51"/>
      <c r="EG112" s="51"/>
      <c r="EH112" s="51"/>
      <c r="EI112" s="51"/>
      <c r="EJ112" s="51"/>
    </row>
    <row r="113" spans="1:140">
      <c r="A113" s="69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51"/>
      <c r="AG113" s="51"/>
      <c r="AH113" s="51"/>
      <c r="AI113" s="51"/>
      <c r="AJ113" s="51"/>
      <c r="AK113" s="51"/>
      <c r="AL113" s="51"/>
      <c r="AM113" s="51"/>
      <c r="AN113" s="51"/>
      <c r="AO113" s="51"/>
      <c r="AP113" s="51"/>
      <c r="AQ113" s="51"/>
      <c r="AR113" s="51"/>
      <c r="AS113" s="51"/>
      <c r="AT113" s="51"/>
      <c r="AU113" s="51"/>
      <c r="AV113" s="51"/>
      <c r="AW113" s="51"/>
      <c r="AX113" s="51"/>
      <c r="AY113" s="51"/>
      <c r="AZ113" s="51"/>
      <c r="BA113" s="51"/>
      <c r="BB113" s="51"/>
      <c r="BC113" s="51"/>
      <c r="BD113" s="51"/>
      <c r="BE113" s="51"/>
      <c r="BF113" s="51"/>
      <c r="BG113" s="51"/>
      <c r="BH113" s="51"/>
      <c r="BI113" s="51"/>
      <c r="BJ113" s="51"/>
      <c r="BK113" s="51"/>
      <c r="BL113" s="51"/>
      <c r="BM113" s="51"/>
      <c r="BN113" s="51"/>
      <c r="BO113" s="51"/>
      <c r="BP113" s="51"/>
      <c r="BQ113" s="51"/>
      <c r="BR113" s="51"/>
      <c r="BS113" s="51"/>
      <c r="BT113" s="51"/>
      <c r="BU113" s="51"/>
      <c r="BV113" s="51"/>
      <c r="BW113" s="51"/>
      <c r="BX113" s="51"/>
      <c r="BY113" s="51"/>
      <c r="BZ113" s="51"/>
      <c r="CA113" s="51"/>
      <c r="CB113" s="51"/>
      <c r="CC113" s="51"/>
      <c r="CD113" s="51"/>
      <c r="CE113" s="51"/>
      <c r="CF113" s="51"/>
      <c r="CG113" s="51"/>
      <c r="CH113" s="51"/>
      <c r="CI113" s="51"/>
      <c r="CJ113" s="51"/>
      <c r="CK113" s="51"/>
      <c r="CL113" s="51"/>
      <c r="CM113" s="51"/>
      <c r="CN113" s="51"/>
      <c r="CO113" s="51"/>
      <c r="CP113" s="51"/>
      <c r="CQ113" s="51"/>
      <c r="CR113" s="51"/>
      <c r="CS113" s="51"/>
      <c r="CT113" s="51"/>
      <c r="CU113" s="51"/>
      <c r="CV113" s="51"/>
      <c r="CW113" s="51"/>
      <c r="CX113" s="51"/>
      <c r="CY113" s="51"/>
      <c r="CZ113" s="51"/>
      <c r="DA113" s="51"/>
      <c r="DB113" s="51"/>
      <c r="DC113" s="51"/>
      <c r="DD113" s="51"/>
      <c r="DE113" s="51"/>
      <c r="DF113" s="51"/>
      <c r="DG113" s="51"/>
      <c r="DH113" s="51"/>
      <c r="DI113" s="51"/>
      <c r="DJ113" s="51"/>
      <c r="DK113" s="51"/>
      <c r="DL113" s="51"/>
      <c r="DM113" s="51"/>
      <c r="DN113" s="51"/>
      <c r="DO113" s="51"/>
      <c r="DP113" s="51"/>
      <c r="DQ113" s="51"/>
      <c r="DR113" s="51"/>
      <c r="DS113" s="51"/>
      <c r="DT113" s="51"/>
      <c r="DU113" s="51"/>
      <c r="DV113" s="51"/>
      <c r="DW113" s="51"/>
      <c r="DX113" s="51"/>
      <c r="DY113" s="51"/>
      <c r="DZ113" s="51"/>
      <c r="EA113" s="51"/>
      <c r="EB113" s="51"/>
      <c r="EC113" s="51"/>
      <c r="ED113" s="51"/>
      <c r="EE113" s="51"/>
      <c r="EF113" s="51"/>
      <c r="EG113" s="51"/>
      <c r="EH113" s="51"/>
      <c r="EI113" s="51"/>
      <c r="EJ113" s="51"/>
    </row>
    <row r="114" spans="1:140">
      <c r="A114" s="69"/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51"/>
      <c r="AG114" s="51"/>
      <c r="AH114" s="51"/>
      <c r="AI114" s="51"/>
      <c r="AJ114" s="51"/>
      <c r="AK114" s="51"/>
      <c r="AL114" s="51"/>
      <c r="AM114" s="51"/>
      <c r="AN114" s="51"/>
      <c r="AO114" s="51"/>
      <c r="AP114" s="51"/>
      <c r="AQ114" s="51"/>
      <c r="AR114" s="51"/>
      <c r="AS114" s="51"/>
      <c r="AT114" s="51"/>
      <c r="AU114" s="51"/>
      <c r="AV114" s="51"/>
      <c r="AW114" s="51"/>
      <c r="AX114" s="51"/>
      <c r="AY114" s="51"/>
      <c r="AZ114" s="51"/>
      <c r="BA114" s="51"/>
      <c r="BB114" s="51"/>
      <c r="BC114" s="51"/>
      <c r="BD114" s="51"/>
      <c r="BE114" s="51"/>
      <c r="BF114" s="51"/>
      <c r="BG114" s="51"/>
      <c r="BH114" s="51"/>
      <c r="BI114" s="51"/>
      <c r="BJ114" s="51"/>
      <c r="BK114" s="51"/>
      <c r="BL114" s="51"/>
      <c r="BM114" s="51"/>
      <c r="BN114" s="51"/>
      <c r="BO114" s="51"/>
      <c r="BP114" s="51"/>
      <c r="BQ114" s="51"/>
      <c r="BR114" s="51"/>
      <c r="BS114" s="51"/>
      <c r="BT114" s="51"/>
      <c r="BU114" s="51"/>
      <c r="BV114" s="51"/>
      <c r="BW114" s="51"/>
      <c r="BX114" s="51"/>
      <c r="BY114" s="51"/>
      <c r="BZ114" s="51"/>
      <c r="CA114" s="51"/>
      <c r="CB114" s="51"/>
      <c r="CC114" s="51"/>
      <c r="CD114" s="51"/>
      <c r="CE114" s="51"/>
      <c r="CF114" s="51"/>
      <c r="CG114" s="51"/>
      <c r="CH114" s="51"/>
      <c r="CI114" s="51"/>
      <c r="CJ114" s="51"/>
      <c r="CK114" s="51"/>
      <c r="CL114" s="51"/>
      <c r="CM114" s="51"/>
      <c r="CN114" s="51"/>
      <c r="CO114" s="51"/>
      <c r="CP114" s="51"/>
      <c r="CQ114" s="51"/>
      <c r="CR114" s="51"/>
      <c r="CS114" s="51"/>
      <c r="CT114" s="51"/>
      <c r="CU114" s="51"/>
      <c r="CV114" s="51"/>
      <c r="CW114" s="51"/>
      <c r="CX114" s="51"/>
      <c r="CY114" s="51"/>
      <c r="CZ114" s="51"/>
      <c r="DA114" s="51"/>
      <c r="DB114" s="51"/>
      <c r="DC114" s="51"/>
      <c r="DD114" s="51"/>
      <c r="DE114" s="51"/>
      <c r="DF114" s="51"/>
      <c r="DG114" s="51"/>
      <c r="DH114" s="51"/>
      <c r="DI114" s="51"/>
      <c r="DJ114" s="51"/>
      <c r="DK114" s="51"/>
      <c r="DL114" s="51"/>
      <c r="DM114" s="51"/>
      <c r="DN114" s="51"/>
      <c r="DO114" s="51"/>
      <c r="DP114" s="51"/>
      <c r="DQ114" s="51"/>
      <c r="DR114" s="51"/>
      <c r="DS114" s="51"/>
      <c r="DT114" s="51"/>
      <c r="DU114" s="51"/>
      <c r="DV114" s="51"/>
      <c r="DW114" s="51"/>
      <c r="DX114" s="51"/>
      <c r="DY114" s="51"/>
      <c r="DZ114" s="51"/>
      <c r="EA114" s="51"/>
      <c r="EB114" s="51"/>
      <c r="EC114" s="51"/>
      <c r="ED114" s="51"/>
      <c r="EE114" s="51"/>
      <c r="EF114" s="51"/>
      <c r="EG114" s="51"/>
      <c r="EH114" s="51"/>
      <c r="EI114" s="51"/>
      <c r="EJ114" s="51"/>
    </row>
    <row r="115" spans="1:140">
      <c r="A115" s="69"/>
      <c r="B115" s="69"/>
      <c r="C115" s="86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51"/>
      <c r="AG115" s="51"/>
      <c r="AH115" s="51"/>
      <c r="AI115" s="51"/>
      <c r="AJ115" s="51"/>
      <c r="AK115" s="51"/>
      <c r="AL115" s="51"/>
      <c r="AM115" s="51"/>
      <c r="AN115" s="51"/>
      <c r="AO115" s="51"/>
      <c r="AP115" s="51"/>
      <c r="AQ115" s="51"/>
      <c r="AR115" s="51"/>
      <c r="AS115" s="51"/>
      <c r="AT115" s="51"/>
      <c r="AU115" s="51"/>
      <c r="AV115" s="51"/>
      <c r="AW115" s="51"/>
      <c r="AX115" s="51"/>
      <c r="AY115" s="51"/>
      <c r="AZ115" s="51"/>
      <c r="BA115" s="51"/>
      <c r="BB115" s="51"/>
      <c r="BC115" s="51"/>
      <c r="BD115" s="51"/>
      <c r="BE115" s="51"/>
      <c r="BF115" s="51"/>
      <c r="BG115" s="51"/>
      <c r="BH115" s="51"/>
      <c r="BI115" s="51"/>
      <c r="BJ115" s="51"/>
      <c r="BK115" s="51"/>
      <c r="BL115" s="51"/>
      <c r="BM115" s="51"/>
      <c r="BN115" s="51"/>
      <c r="BO115" s="51"/>
      <c r="BP115" s="51"/>
      <c r="BQ115" s="51"/>
      <c r="BR115" s="51"/>
      <c r="BS115" s="51"/>
      <c r="BT115" s="51"/>
      <c r="BU115" s="51"/>
      <c r="BV115" s="51"/>
      <c r="BW115" s="51"/>
      <c r="BX115" s="51"/>
      <c r="BY115" s="51"/>
      <c r="BZ115" s="51"/>
      <c r="CA115" s="51"/>
      <c r="CB115" s="51"/>
      <c r="CC115" s="51"/>
      <c r="CD115" s="51"/>
      <c r="CE115" s="51"/>
      <c r="CF115" s="51"/>
      <c r="CG115" s="51"/>
      <c r="CH115" s="51"/>
      <c r="CI115" s="51"/>
      <c r="CJ115" s="51"/>
      <c r="CK115" s="51"/>
      <c r="CL115" s="51"/>
      <c r="CM115" s="51"/>
      <c r="CN115" s="51"/>
      <c r="CO115" s="51"/>
      <c r="CP115" s="51"/>
      <c r="CQ115" s="51"/>
      <c r="CR115" s="51"/>
      <c r="CS115" s="51"/>
      <c r="CT115" s="51"/>
      <c r="CU115" s="51"/>
      <c r="CV115" s="51"/>
      <c r="CW115" s="51"/>
      <c r="CX115" s="51"/>
      <c r="CY115" s="51"/>
      <c r="CZ115" s="51"/>
      <c r="DA115" s="51"/>
      <c r="DB115" s="51"/>
      <c r="DC115" s="51"/>
      <c r="DD115" s="51"/>
      <c r="DE115" s="51"/>
      <c r="DF115" s="51"/>
      <c r="DG115" s="51"/>
      <c r="DH115" s="51"/>
      <c r="DI115" s="51"/>
      <c r="DJ115" s="51"/>
      <c r="DK115" s="51"/>
      <c r="DL115" s="51"/>
      <c r="DM115" s="51"/>
      <c r="DN115" s="51"/>
      <c r="DO115" s="51"/>
      <c r="DP115" s="51"/>
      <c r="DQ115" s="51"/>
      <c r="DR115" s="51"/>
      <c r="DS115" s="51"/>
      <c r="DT115" s="51"/>
      <c r="DU115" s="51"/>
      <c r="DV115" s="51"/>
      <c r="DW115" s="51"/>
      <c r="DX115" s="51"/>
      <c r="DY115" s="51"/>
      <c r="DZ115" s="51"/>
      <c r="EA115" s="51"/>
      <c r="EB115" s="51"/>
      <c r="EC115" s="51"/>
      <c r="ED115" s="51"/>
      <c r="EE115" s="51"/>
      <c r="EF115" s="51"/>
      <c r="EG115" s="51"/>
      <c r="EH115" s="51"/>
      <c r="EI115" s="51"/>
      <c r="EJ115" s="51"/>
    </row>
    <row r="116" spans="1:140">
      <c r="A116" s="69"/>
      <c r="B116" s="69"/>
      <c r="C116" s="86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51"/>
      <c r="AG116" s="51"/>
      <c r="AH116" s="51"/>
      <c r="AI116" s="51"/>
      <c r="AJ116" s="51"/>
      <c r="AK116" s="51"/>
      <c r="AL116" s="51"/>
      <c r="AM116" s="51"/>
      <c r="AN116" s="51"/>
      <c r="AO116" s="51"/>
      <c r="AP116" s="51"/>
      <c r="AQ116" s="51"/>
      <c r="AR116" s="51"/>
      <c r="AS116" s="51"/>
      <c r="AT116" s="51"/>
      <c r="AU116" s="51"/>
      <c r="AV116" s="51"/>
      <c r="AW116" s="51"/>
      <c r="AX116" s="51"/>
      <c r="AY116" s="51"/>
      <c r="AZ116" s="51"/>
      <c r="BA116" s="51"/>
      <c r="BB116" s="51"/>
      <c r="BC116" s="51"/>
      <c r="BD116" s="51"/>
      <c r="BE116" s="51"/>
      <c r="BF116" s="51"/>
      <c r="BG116" s="51"/>
      <c r="BH116" s="51"/>
      <c r="BI116" s="51"/>
      <c r="BJ116" s="51"/>
      <c r="BK116" s="51"/>
      <c r="BL116" s="51"/>
      <c r="BM116" s="51"/>
      <c r="BN116" s="51"/>
      <c r="BO116" s="51"/>
      <c r="BP116" s="51"/>
      <c r="BQ116" s="51"/>
      <c r="BR116" s="51"/>
      <c r="BS116" s="51"/>
      <c r="BT116" s="51"/>
      <c r="BU116" s="51"/>
      <c r="BV116" s="51"/>
      <c r="BW116" s="51"/>
      <c r="BX116" s="51"/>
      <c r="BY116" s="51"/>
      <c r="BZ116" s="51"/>
      <c r="CA116" s="51"/>
      <c r="CB116" s="51"/>
      <c r="CC116" s="51"/>
      <c r="CD116" s="51"/>
      <c r="CE116" s="51"/>
      <c r="CF116" s="51"/>
      <c r="CG116" s="51"/>
      <c r="CH116" s="51"/>
      <c r="CI116" s="51"/>
      <c r="CJ116" s="51"/>
      <c r="CK116" s="51"/>
      <c r="CL116" s="51"/>
      <c r="CM116" s="51"/>
      <c r="CN116" s="51"/>
      <c r="CO116" s="51"/>
      <c r="CP116" s="51"/>
      <c r="CQ116" s="51"/>
      <c r="CR116" s="51"/>
      <c r="CS116" s="51"/>
      <c r="CT116" s="51"/>
      <c r="CU116" s="51"/>
      <c r="CV116" s="51"/>
      <c r="CW116" s="51"/>
      <c r="CX116" s="51"/>
      <c r="CY116" s="51"/>
      <c r="CZ116" s="51"/>
      <c r="DA116" s="51"/>
      <c r="DB116" s="51"/>
      <c r="DC116" s="51"/>
      <c r="DD116" s="51"/>
      <c r="DE116" s="51"/>
      <c r="DF116" s="51"/>
      <c r="DG116" s="51"/>
      <c r="DH116" s="51"/>
      <c r="DI116" s="51"/>
      <c r="DJ116" s="51"/>
      <c r="DK116" s="51"/>
      <c r="DL116" s="51"/>
      <c r="DM116" s="51"/>
      <c r="DN116" s="51"/>
      <c r="DO116" s="51"/>
      <c r="DP116" s="51"/>
      <c r="DQ116" s="51"/>
      <c r="DR116" s="51"/>
      <c r="DS116" s="51"/>
      <c r="DT116" s="51"/>
      <c r="DU116" s="51"/>
      <c r="DV116" s="51"/>
      <c r="DW116" s="51"/>
      <c r="DX116" s="51"/>
      <c r="DY116" s="51"/>
      <c r="DZ116" s="51"/>
      <c r="EA116" s="51"/>
      <c r="EB116" s="51"/>
      <c r="EC116" s="51"/>
      <c r="ED116" s="51"/>
      <c r="EE116" s="51"/>
      <c r="EF116" s="51"/>
      <c r="EG116" s="51"/>
      <c r="EH116" s="51"/>
      <c r="EI116" s="51"/>
      <c r="EJ116" s="51"/>
    </row>
    <row r="117" spans="1:140">
      <c r="A117" s="69"/>
      <c r="B117" s="69"/>
      <c r="C117" s="86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51"/>
      <c r="AG117" s="51"/>
      <c r="AH117" s="51"/>
      <c r="AI117" s="51"/>
      <c r="AJ117" s="51"/>
      <c r="AK117" s="51"/>
      <c r="AL117" s="51"/>
      <c r="AM117" s="51"/>
      <c r="AN117" s="51"/>
      <c r="AO117" s="51"/>
      <c r="AP117" s="51"/>
      <c r="AQ117" s="51"/>
      <c r="AR117" s="51"/>
      <c r="AS117" s="51"/>
      <c r="AT117" s="51"/>
      <c r="AU117" s="51"/>
      <c r="AV117" s="51"/>
      <c r="AW117" s="51"/>
      <c r="AX117" s="51"/>
      <c r="AY117" s="51"/>
      <c r="AZ117" s="51"/>
      <c r="BA117" s="51"/>
      <c r="BB117" s="51"/>
      <c r="BC117" s="51"/>
      <c r="BD117" s="51"/>
      <c r="BE117" s="51"/>
      <c r="BF117" s="51"/>
      <c r="BG117" s="51"/>
      <c r="BH117" s="51"/>
      <c r="BI117" s="51"/>
      <c r="BJ117" s="51"/>
      <c r="BK117" s="51"/>
      <c r="BL117" s="51"/>
      <c r="BM117" s="51"/>
      <c r="BN117" s="51"/>
      <c r="BO117" s="51"/>
      <c r="BP117" s="51"/>
      <c r="BQ117" s="51"/>
      <c r="BR117" s="51"/>
      <c r="BS117" s="51"/>
      <c r="BT117" s="51"/>
      <c r="BU117" s="51"/>
      <c r="BV117" s="51"/>
      <c r="BW117" s="51"/>
      <c r="BX117" s="51"/>
      <c r="BY117" s="51"/>
      <c r="BZ117" s="51"/>
      <c r="CA117" s="51"/>
      <c r="CB117" s="51"/>
      <c r="CC117" s="51"/>
      <c r="CD117" s="51"/>
      <c r="CE117" s="51"/>
      <c r="CF117" s="51"/>
      <c r="CG117" s="51"/>
      <c r="CH117" s="51"/>
      <c r="CI117" s="51"/>
      <c r="CJ117" s="51"/>
      <c r="CK117" s="51"/>
      <c r="CL117" s="51"/>
      <c r="CM117" s="51"/>
      <c r="CN117" s="51"/>
      <c r="CO117" s="51"/>
      <c r="CP117" s="51"/>
      <c r="CQ117" s="51"/>
      <c r="CR117" s="51"/>
      <c r="CS117" s="51"/>
      <c r="CT117" s="51"/>
      <c r="CU117" s="51"/>
      <c r="CV117" s="51"/>
      <c r="CW117" s="51"/>
      <c r="CX117" s="51"/>
      <c r="CY117" s="51"/>
      <c r="CZ117" s="51"/>
      <c r="DA117" s="51"/>
      <c r="DB117" s="51"/>
      <c r="DC117" s="51"/>
      <c r="DD117" s="51"/>
      <c r="DE117" s="51"/>
      <c r="DF117" s="51"/>
      <c r="DG117" s="51"/>
      <c r="DH117" s="51"/>
      <c r="DI117" s="51"/>
      <c r="DJ117" s="51"/>
      <c r="DK117" s="51"/>
      <c r="DL117" s="51"/>
      <c r="DM117" s="51"/>
      <c r="DN117" s="51"/>
      <c r="DO117" s="51"/>
      <c r="DP117" s="51"/>
      <c r="DQ117" s="51"/>
      <c r="DR117" s="51"/>
      <c r="DS117" s="51"/>
      <c r="DT117" s="51"/>
      <c r="DU117" s="51"/>
      <c r="DV117" s="51"/>
      <c r="DW117" s="51"/>
      <c r="DX117" s="51"/>
      <c r="DY117" s="51"/>
      <c r="DZ117" s="51"/>
      <c r="EA117" s="51"/>
      <c r="EB117" s="51"/>
      <c r="EC117" s="51"/>
      <c r="ED117" s="51"/>
      <c r="EE117" s="51"/>
      <c r="EF117" s="51"/>
      <c r="EG117" s="51"/>
      <c r="EH117" s="51"/>
      <c r="EI117" s="51"/>
      <c r="EJ117" s="51"/>
    </row>
    <row r="118" spans="1:140">
      <c r="A118" s="69"/>
      <c r="B118" s="69"/>
      <c r="C118" s="88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51"/>
      <c r="AG118" s="51"/>
      <c r="AH118" s="51"/>
      <c r="AI118" s="51"/>
      <c r="AJ118" s="51"/>
      <c r="AK118" s="51"/>
      <c r="AL118" s="51"/>
      <c r="AM118" s="51"/>
      <c r="AN118" s="51"/>
      <c r="AO118" s="51"/>
      <c r="AP118" s="51"/>
      <c r="AQ118" s="51"/>
      <c r="AR118" s="51"/>
      <c r="AS118" s="51"/>
      <c r="AT118" s="51"/>
      <c r="AU118" s="51"/>
      <c r="AV118" s="51"/>
      <c r="AW118" s="51"/>
      <c r="AX118" s="51"/>
      <c r="AY118" s="51"/>
      <c r="AZ118" s="51"/>
      <c r="BA118" s="51"/>
      <c r="BB118" s="51"/>
      <c r="BC118" s="51"/>
      <c r="BD118" s="51"/>
      <c r="BE118" s="51"/>
      <c r="BF118" s="51"/>
      <c r="BG118" s="51"/>
      <c r="BH118" s="51"/>
      <c r="BI118" s="51"/>
      <c r="BJ118" s="51"/>
      <c r="BK118" s="51"/>
      <c r="BL118" s="51"/>
      <c r="BM118" s="51"/>
      <c r="BN118" s="51"/>
      <c r="BO118" s="51"/>
      <c r="BP118" s="51"/>
      <c r="BQ118" s="51"/>
      <c r="BR118" s="51"/>
      <c r="BS118" s="51"/>
      <c r="BT118" s="51"/>
      <c r="BU118" s="51"/>
      <c r="BV118" s="51"/>
      <c r="BW118" s="51"/>
      <c r="BX118" s="51"/>
      <c r="BY118" s="51"/>
      <c r="BZ118" s="51"/>
      <c r="CA118" s="51"/>
      <c r="CB118" s="51"/>
      <c r="CC118" s="51"/>
      <c r="CD118" s="51"/>
      <c r="CE118" s="51"/>
      <c r="CF118" s="51"/>
      <c r="CG118" s="51"/>
      <c r="CH118" s="51"/>
      <c r="CI118" s="51"/>
      <c r="CJ118" s="51"/>
      <c r="CK118" s="51"/>
      <c r="CL118" s="51"/>
      <c r="CM118" s="51"/>
      <c r="CN118" s="51"/>
      <c r="CO118" s="51"/>
      <c r="CP118" s="51"/>
      <c r="CQ118" s="51"/>
      <c r="CR118" s="51"/>
      <c r="CS118" s="51"/>
      <c r="CT118" s="51"/>
      <c r="CU118" s="51"/>
      <c r="CV118" s="51"/>
      <c r="CW118" s="51"/>
      <c r="CX118" s="51"/>
      <c r="CY118" s="51"/>
      <c r="CZ118" s="51"/>
      <c r="DA118" s="51"/>
      <c r="DB118" s="51"/>
      <c r="DC118" s="51"/>
      <c r="DD118" s="51"/>
      <c r="DE118" s="51"/>
      <c r="DF118" s="51"/>
      <c r="DG118" s="51"/>
      <c r="DH118" s="51"/>
      <c r="DI118" s="51"/>
      <c r="DJ118" s="51"/>
      <c r="DK118" s="51"/>
      <c r="DL118" s="51"/>
      <c r="DM118" s="51"/>
      <c r="DN118" s="51"/>
      <c r="DO118" s="51"/>
      <c r="DP118" s="51"/>
      <c r="DQ118" s="51"/>
      <c r="DR118" s="51"/>
      <c r="DS118" s="51"/>
      <c r="DT118" s="51"/>
      <c r="DU118" s="51"/>
      <c r="DV118" s="51"/>
      <c r="DW118" s="51"/>
      <c r="DX118" s="51"/>
      <c r="DY118" s="51"/>
      <c r="DZ118" s="51"/>
      <c r="EA118" s="51"/>
      <c r="EB118" s="51"/>
      <c r="EC118" s="51"/>
      <c r="ED118" s="51"/>
      <c r="EE118" s="51"/>
      <c r="EF118" s="51"/>
      <c r="EG118" s="51"/>
      <c r="EH118" s="51"/>
      <c r="EI118" s="51"/>
      <c r="EJ118" s="51"/>
    </row>
    <row r="119" spans="1:140">
      <c r="A119" s="69"/>
      <c r="B119" s="69"/>
      <c r="C119" s="88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51"/>
      <c r="AG119" s="51"/>
      <c r="AH119" s="51"/>
      <c r="AI119" s="51"/>
      <c r="AJ119" s="51"/>
      <c r="AK119" s="51"/>
      <c r="AL119" s="51"/>
      <c r="AM119" s="51"/>
      <c r="AN119" s="51"/>
      <c r="AO119" s="51"/>
      <c r="AP119" s="51"/>
      <c r="AQ119" s="51"/>
      <c r="AR119" s="51"/>
      <c r="AS119" s="51"/>
      <c r="AT119" s="51"/>
      <c r="AU119" s="51"/>
      <c r="AV119" s="51"/>
      <c r="AW119" s="51"/>
      <c r="AX119" s="51"/>
      <c r="AY119" s="51"/>
      <c r="AZ119" s="51"/>
      <c r="BA119" s="51"/>
      <c r="BB119" s="51"/>
      <c r="BC119" s="51"/>
      <c r="BD119" s="51"/>
      <c r="BE119" s="51"/>
      <c r="BF119" s="51"/>
      <c r="BG119" s="51"/>
      <c r="BH119" s="51"/>
      <c r="BI119" s="51"/>
      <c r="BJ119" s="51"/>
      <c r="BK119" s="51"/>
      <c r="BL119" s="51"/>
      <c r="BM119" s="51"/>
      <c r="BN119" s="51"/>
      <c r="BO119" s="51"/>
      <c r="BP119" s="51"/>
      <c r="BQ119" s="51"/>
      <c r="BR119" s="51"/>
      <c r="BS119" s="51"/>
      <c r="BT119" s="51"/>
      <c r="BU119" s="51"/>
      <c r="BV119" s="51"/>
      <c r="BW119" s="51"/>
      <c r="BX119" s="51"/>
      <c r="BY119" s="51"/>
      <c r="BZ119" s="51"/>
      <c r="CA119" s="51"/>
      <c r="CB119" s="51"/>
      <c r="CC119" s="51"/>
      <c r="CD119" s="51"/>
      <c r="CE119" s="51"/>
      <c r="CF119" s="51"/>
      <c r="CG119" s="51"/>
      <c r="CH119" s="51"/>
      <c r="CI119" s="51"/>
      <c r="CJ119" s="51"/>
      <c r="CK119" s="51"/>
      <c r="CL119" s="51"/>
      <c r="CM119" s="51"/>
      <c r="CN119" s="51"/>
      <c r="CO119" s="51"/>
      <c r="CP119" s="51"/>
      <c r="CQ119" s="51"/>
      <c r="CR119" s="51"/>
      <c r="CS119" s="51"/>
      <c r="CT119" s="51"/>
      <c r="CU119" s="51"/>
      <c r="CV119" s="51"/>
      <c r="CW119" s="51"/>
      <c r="CX119" s="51"/>
      <c r="CY119" s="51"/>
      <c r="CZ119" s="51"/>
      <c r="DA119" s="51"/>
      <c r="DB119" s="51"/>
      <c r="DC119" s="51"/>
      <c r="DD119" s="51"/>
      <c r="DE119" s="51"/>
      <c r="DF119" s="51"/>
      <c r="DG119" s="51"/>
      <c r="DH119" s="51"/>
      <c r="DI119" s="51"/>
      <c r="DJ119" s="51"/>
      <c r="DK119" s="51"/>
      <c r="DL119" s="51"/>
      <c r="DM119" s="51"/>
      <c r="DN119" s="51"/>
      <c r="DO119" s="51"/>
      <c r="DP119" s="51"/>
      <c r="DQ119" s="51"/>
      <c r="DR119" s="51"/>
      <c r="DS119" s="51"/>
      <c r="DT119" s="51"/>
      <c r="DU119" s="51"/>
      <c r="DV119" s="51"/>
      <c r="DW119" s="51"/>
      <c r="DX119" s="51"/>
      <c r="DY119" s="51"/>
      <c r="DZ119" s="51"/>
      <c r="EA119" s="51"/>
      <c r="EB119" s="51"/>
      <c r="EC119" s="51"/>
      <c r="ED119" s="51"/>
      <c r="EE119" s="51"/>
      <c r="EF119" s="51"/>
      <c r="EG119" s="51"/>
      <c r="EH119" s="51"/>
      <c r="EI119" s="51"/>
      <c r="EJ119" s="51"/>
    </row>
    <row r="120" spans="1:140">
      <c r="A120" s="69"/>
      <c r="B120" s="69"/>
      <c r="C120" s="88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51"/>
      <c r="AG120" s="51"/>
      <c r="AH120" s="51"/>
      <c r="AI120" s="51"/>
      <c r="AJ120" s="51"/>
      <c r="AK120" s="51"/>
      <c r="AL120" s="51"/>
      <c r="AM120" s="51"/>
      <c r="AN120" s="51"/>
      <c r="AO120" s="51"/>
      <c r="AP120" s="51"/>
      <c r="AQ120" s="51"/>
      <c r="AR120" s="51"/>
      <c r="AS120" s="51"/>
      <c r="AT120" s="51"/>
      <c r="AU120" s="51"/>
      <c r="AV120" s="51"/>
      <c r="AW120" s="51"/>
      <c r="AX120" s="51"/>
      <c r="AY120" s="51"/>
      <c r="AZ120" s="51"/>
      <c r="BA120" s="51"/>
      <c r="BB120" s="51"/>
      <c r="BC120" s="51"/>
      <c r="BD120" s="51"/>
      <c r="BE120" s="51"/>
      <c r="BF120" s="51"/>
      <c r="BG120" s="51"/>
      <c r="BH120" s="51"/>
      <c r="BI120" s="51"/>
      <c r="BJ120" s="51"/>
      <c r="BK120" s="51"/>
      <c r="BL120" s="51"/>
      <c r="BM120" s="51"/>
      <c r="BN120" s="51"/>
      <c r="BO120" s="51"/>
      <c r="BP120" s="51"/>
      <c r="BQ120" s="51"/>
      <c r="BR120" s="51"/>
      <c r="BS120" s="51"/>
      <c r="BT120" s="51"/>
      <c r="BU120" s="51"/>
      <c r="BV120" s="51"/>
      <c r="BW120" s="51"/>
      <c r="BX120" s="51"/>
      <c r="BY120" s="51"/>
      <c r="BZ120" s="51"/>
      <c r="CA120" s="51"/>
      <c r="CB120" s="51"/>
      <c r="CC120" s="51"/>
      <c r="CD120" s="51"/>
      <c r="CE120" s="51"/>
      <c r="CF120" s="51"/>
      <c r="CG120" s="51"/>
      <c r="CH120" s="51"/>
      <c r="CI120" s="51"/>
      <c r="CJ120" s="51"/>
      <c r="CK120" s="51"/>
      <c r="CL120" s="51"/>
      <c r="CM120" s="51"/>
      <c r="CN120" s="51"/>
      <c r="CO120" s="51"/>
      <c r="CP120" s="51"/>
      <c r="CQ120" s="51"/>
      <c r="CR120" s="51"/>
      <c r="CS120" s="51"/>
      <c r="CT120" s="51"/>
      <c r="CU120" s="51"/>
      <c r="CV120" s="51"/>
      <c r="CW120" s="51"/>
      <c r="CX120" s="51"/>
      <c r="CY120" s="51"/>
      <c r="CZ120" s="51"/>
      <c r="DA120" s="51"/>
      <c r="DB120" s="51"/>
      <c r="DC120" s="51"/>
      <c r="DD120" s="51"/>
      <c r="DE120" s="51"/>
      <c r="DF120" s="51"/>
      <c r="DG120" s="51"/>
      <c r="DH120" s="51"/>
      <c r="DI120" s="51"/>
      <c r="DJ120" s="51"/>
      <c r="DK120" s="51"/>
      <c r="DL120" s="51"/>
      <c r="DM120" s="51"/>
      <c r="DN120" s="51"/>
      <c r="DO120" s="51"/>
      <c r="DP120" s="51"/>
      <c r="DQ120" s="51"/>
      <c r="DR120" s="51"/>
      <c r="DS120" s="51"/>
      <c r="DT120" s="51"/>
      <c r="DU120" s="51"/>
      <c r="DV120" s="51"/>
      <c r="DW120" s="51"/>
      <c r="DX120" s="51"/>
      <c r="DY120" s="51"/>
      <c r="DZ120" s="51"/>
      <c r="EA120" s="51"/>
      <c r="EB120" s="51"/>
      <c r="EC120" s="51"/>
      <c r="ED120" s="51"/>
      <c r="EE120" s="51"/>
      <c r="EF120" s="51"/>
      <c r="EG120" s="51"/>
      <c r="EH120" s="51"/>
      <c r="EI120" s="51"/>
      <c r="EJ120" s="51"/>
    </row>
    <row r="121" spans="1:140">
      <c r="A121" s="69"/>
      <c r="B121" s="69"/>
      <c r="C121" s="88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51"/>
      <c r="AG121" s="51"/>
      <c r="AH121" s="51"/>
      <c r="AI121" s="51"/>
      <c r="AJ121" s="51"/>
      <c r="AK121" s="51"/>
      <c r="AL121" s="51"/>
      <c r="AM121" s="51"/>
      <c r="AN121" s="51"/>
      <c r="AO121" s="51"/>
      <c r="AP121" s="51"/>
      <c r="AQ121" s="51"/>
      <c r="AR121" s="51"/>
      <c r="AS121" s="51"/>
      <c r="AT121" s="51"/>
      <c r="AU121" s="51"/>
      <c r="AV121" s="51"/>
      <c r="AW121" s="51"/>
      <c r="AX121" s="51"/>
      <c r="AY121" s="51"/>
      <c r="AZ121" s="51"/>
      <c r="BA121" s="51"/>
      <c r="BB121" s="51"/>
      <c r="BC121" s="51"/>
      <c r="BD121" s="51"/>
      <c r="BE121" s="51"/>
      <c r="BF121" s="51"/>
      <c r="BG121" s="51"/>
      <c r="BH121" s="51"/>
      <c r="BI121" s="51"/>
      <c r="BJ121" s="51"/>
      <c r="BK121" s="51"/>
      <c r="BL121" s="51"/>
      <c r="BM121" s="51"/>
      <c r="BN121" s="51"/>
      <c r="BO121" s="51"/>
      <c r="BP121" s="51"/>
      <c r="BQ121" s="51"/>
      <c r="BR121" s="51"/>
      <c r="BS121" s="51"/>
      <c r="BT121" s="51"/>
      <c r="BU121" s="51"/>
      <c r="BV121" s="51"/>
      <c r="BW121" s="51"/>
      <c r="BX121" s="51"/>
      <c r="BY121" s="51"/>
      <c r="BZ121" s="51"/>
      <c r="CA121" s="51"/>
      <c r="CB121" s="51"/>
      <c r="CC121" s="51"/>
      <c r="CD121" s="51"/>
      <c r="CE121" s="51"/>
      <c r="CF121" s="51"/>
      <c r="CG121" s="51"/>
      <c r="CH121" s="51"/>
      <c r="CI121" s="51"/>
      <c r="CJ121" s="51"/>
      <c r="CK121" s="51"/>
      <c r="CL121" s="51"/>
      <c r="CM121" s="51"/>
      <c r="CN121" s="51"/>
      <c r="CO121" s="51"/>
      <c r="CP121" s="51"/>
      <c r="CQ121" s="51"/>
      <c r="CR121" s="51"/>
      <c r="CS121" s="51"/>
      <c r="CT121" s="51"/>
      <c r="CU121" s="51"/>
      <c r="CV121" s="51"/>
      <c r="CW121" s="51"/>
      <c r="CX121" s="51"/>
      <c r="CY121" s="51"/>
      <c r="CZ121" s="51"/>
      <c r="DA121" s="51"/>
      <c r="DB121" s="51"/>
      <c r="DC121" s="51"/>
      <c r="DD121" s="51"/>
      <c r="DE121" s="51"/>
      <c r="DF121" s="51"/>
      <c r="DG121" s="51"/>
      <c r="DH121" s="51"/>
      <c r="DI121" s="51"/>
      <c r="DJ121" s="51"/>
      <c r="DK121" s="51"/>
      <c r="DL121" s="51"/>
      <c r="DM121" s="51"/>
      <c r="DN121" s="51"/>
      <c r="DO121" s="51"/>
      <c r="DP121" s="51"/>
      <c r="DQ121" s="51"/>
      <c r="DR121" s="51"/>
      <c r="DS121" s="51"/>
      <c r="DT121" s="51"/>
      <c r="DU121" s="51"/>
      <c r="DV121" s="51"/>
      <c r="DW121" s="51"/>
      <c r="DX121" s="51"/>
      <c r="DY121" s="51"/>
      <c r="DZ121" s="51"/>
      <c r="EA121" s="51"/>
      <c r="EB121" s="51"/>
      <c r="EC121" s="51"/>
      <c r="ED121" s="51"/>
      <c r="EE121" s="51"/>
      <c r="EF121" s="51"/>
      <c r="EG121" s="51"/>
      <c r="EH121" s="51"/>
      <c r="EI121" s="51"/>
      <c r="EJ121" s="51"/>
    </row>
    <row r="122" spans="1:140">
      <c r="A122" s="69"/>
      <c r="B122" s="69"/>
      <c r="C122" s="89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51"/>
      <c r="AG122" s="51"/>
      <c r="AH122" s="51"/>
      <c r="AI122" s="51"/>
      <c r="AJ122" s="51"/>
      <c r="AK122" s="51"/>
      <c r="AL122" s="51"/>
      <c r="AM122" s="51"/>
      <c r="AN122" s="51"/>
      <c r="AO122" s="51"/>
      <c r="AP122" s="51"/>
      <c r="AQ122" s="51"/>
      <c r="AR122" s="51"/>
      <c r="AS122" s="51"/>
      <c r="AT122" s="51"/>
      <c r="AU122" s="51"/>
      <c r="AV122" s="51"/>
      <c r="AW122" s="51"/>
      <c r="AX122" s="51"/>
      <c r="AY122" s="51"/>
      <c r="AZ122" s="51"/>
      <c r="BA122" s="51"/>
      <c r="BB122" s="51"/>
      <c r="BC122" s="51"/>
      <c r="BD122" s="51"/>
      <c r="BE122" s="51"/>
      <c r="BF122" s="51"/>
      <c r="BG122" s="51"/>
      <c r="BH122" s="51"/>
      <c r="BI122" s="51"/>
      <c r="BJ122" s="51"/>
      <c r="BK122" s="51"/>
      <c r="BL122" s="51"/>
      <c r="BM122" s="51"/>
      <c r="BN122" s="51"/>
      <c r="BO122" s="51"/>
      <c r="BP122" s="51"/>
      <c r="BQ122" s="51"/>
      <c r="BR122" s="51"/>
      <c r="BS122" s="51"/>
      <c r="BT122" s="51"/>
      <c r="BU122" s="51"/>
      <c r="BV122" s="51"/>
      <c r="BW122" s="51"/>
      <c r="BX122" s="51"/>
      <c r="BY122" s="51"/>
      <c r="BZ122" s="51"/>
      <c r="CA122" s="51"/>
      <c r="CB122" s="51"/>
      <c r="CC122" s="51"/>
      <c r="CD122" s="51"/>
      <c r="CE122" s="51"/>
      <c r="CF122" s="51"/>
      <c r="CG122" s="51"/>
      <c r="CH122" s="51"/>
      <c r="CI122" s="51"/>
      <c r="CJ122" s="51"/>
      <c r="CK122" s="51"/>
      <c r="CL122" s="51"/>
      <c r="CM122" s="51"/>
      <c r="CN122" s="51"/>
      <c r="CO122" s="51"/>
      <c r="CP122" s="51"/>
      <c r="CQ122" s="51"/>
      <c r="CR122" s="51"/>
      <c r="CS122" s="51"/>
      <c r="CT122" s="51"/>
      <c r="CU122" s="51"/>
      <c r="CV122" s="51"/>
      <c r="CW122" s="51"/>
      <c r="CX122" s="51"/>
      <c r="CY122" s="51"/>
      <c r="CZ122" s="51"/>
      <c r="DA122" s="51"/>
      <c r="DB122" s="51"/>
      <c r="DC122" s="51"/>
      <c r="DD122" s="51"/>
      <c r="DE122" s="51"/>
      <c r="DF122" s="51"/>
      <c r="DG122" s="51"/>
      <c r="DH122" s="51"/>
      <c r="DI122" s="51"/>
      <c r="DJ122" s="51"/>
      <c r="DK122" s="51"/>
      <c r="DL122" s="51"/>
      <c r="DM122" s="51"/>
      <c r="DN122" s="51"/>
      <c r="DO122" s="51"/>
      <c r="DP122" s="51"/>
      <c r="DQ122" s="51"/>
      <c r="DR122" s="51"/>
      <c r="DS122" s="51"/>
      <c r="DT122" s="51"/>
      <c r="DU122" s="51"/>
      <c r="DV122" s="51"/>
      <c r="DW122" s="51"/>
      <c r="DX122" s="51"/>
      <c r="DY122" s="51"/>
      <c r="DZ122" s="51"/>
      <c r="EA122" s="51"/>
      <c r="EB122" s="51"/>
      <c r="EC122" s="51"/>
      <c r="ED122" s="51"/>
      <c r="EE122" s="51"/>
      <c r="EF122" s="51"/>
      <c r="EG122" s="51"/>
      <c r="EH122" s="51"/>
      <c r="EI122" s="51"/>
      <c r="EJ122" s="51"/>
    </row>
    <row r="123" spans="1:140">
      <c r="A123" s="69"/>
      <c r="B123" s="69"/>
      <c r="C123" s="89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51"/>
      <c r="AG123" s="51"/>
      <c r="AH123" s="51"/>
      <c r="AI123" s="51"/>
      <c r="AJ123" s="51"/>
      <c r="AK123" s="51"/>
      <c r="AL123" s="51"/>
      <c r="AM123" s="51"/>
      <c r="AN123" s="51"/>
      <c r="AO123" s="51"/>
      <c r="AP123" s="51"/>
      <c r="AQ123" s="51"/>
      <c r="AR123" s="51"/>
      <c r="AS123" s="51"/>
      <c r="AT123" s="51"/>
      <c r="AU123" s="51"/>
      <c r="AV123" s="51"/>
      <c r="AW123" s="51"/>
      <c r="AX123" s="51"/>
      <c r="AY123" s="51"/>
      <c r="AZ123" s="51"/>
      <c r="BA123" s="51"/>
      <c r="BB123" s="51"/>
      <c r="BC123" s="51"/>
      <c r="BD123" s="51"/>
      <c r="BE123" s="51"/>
      <c r="BF123" s="51"/>
      <c r="BG123" s="51"/>
      <c r="BH123" s="51"/>
      <c r="BI123" s="51"/>
      <c r="BJ123" s="51"/>
      <c r="BK123" s="51"/>
      <c r="BL123" s="51"/>
      <c r="BM123" s="51"/>
      <c r="BN123" s="51"/>
      <c r="BO123" s="51"/>
      <c r="BP123" s="51"/>
      <c r="BQ123" s="51"/>
      <c r="BR123" s="51"/>
      <c r="BS123" s="51"/>
      <c r="BT123" s="51"/>
      <c r="BU123" s="51"/>
      <c r="BV123" s="51"/>
      <c r="BW123" s="51"/>
      <c r="BX123" s="51"/>
      <c r="BY123" s="51"/>
      <c r="BZ123" s="51"/>
      <c r="CA123" s="51"/>
      <c r="CB123" s="51"/>
      <c r="CC123" s="51"/>
      <c r="CD123" s="51"/>
      <c r="CE123" s="51"/>
      <c r="CF123" s="51"/>
      <c r="CG123" s="51"/>
      <c r="CH123" s="51"/>
      <c r="CI123" s="51"/>
      <c r="CJ123" s="51"/>
      <c r="CK123" s="51"/>
      <c r="CL123" s="51"/>
      <c r="CM123" s="51"/>
      <c r="CN123" s="51"/>
      <c r="CO123" s="51"/>
      <c r="CP123" s="51"/>
      <c r="CQ123" s="51"/>
      <c r="CR123" s="51"/>
      <c r="CS123" s="51"/>
      <c r="CT123" s="51"/>
      <c r="CU123" s="51"/>
      <c r="CV123" s="51"/>
      <c r="CW123" s="51"/>
      <c r="CX123" s="51"/>
      <c r="CY123" s="51"/>
      <c r="CZ123" s="51"/>
      <c r="DA123" s="51"/>
      <c r="DB123" s="51"/>
      <c r="DC123" s="51"/>
      <c r="DD123" s="51"/>
      <c r="DE123" s="51"/>
      <c r="DF123" s="51"/>
      <c r="DG123" s="51"/>
      <c r="DH123" s="51"/>
      <c r="DI123" s="51"/>
      <c r="DJ123" s="51"/>
      <c r="DK123" s="51"/>
      <c r="DL123" s="51"/>
      <c r="DM123" s="51"/>
      <c r="DN123" s="51"/>
      <c r="DO123" s="51"/>
      <c r="DP123" s="51"/>
      <c r="DQ123" s="51"/>
      <c r="DR123" s="51"/>
      <c r="DS123" s="51"/>
      <c r="DT123" s="51"/>
      <c r="DU123" s="51"/>
      <c r="DV123" s="51"/>
      <c r="DW123" s="51"/>
      <c r="DX123" s="51"/>
      <c r="DY123" s="51"/>
      <c r="DZ123" s="51"/>
      <c r="EA123" s="51"/>
      <c r="EB123" s="51"/>
      <c r="EC123" s="51"/>
      <c r="ED123" s="51"/>
      <c r="EE123" s="51"/>
      <c r="EF123" s="51"/>
      <c r="EG123" s="51"/>
      <c r="EH123" s="51"/>
      <c r="EI123" s="51"/>
      <c r="EJ123" s="51"/>
    </row>
    <row r="124" spans="1:140">
      <c r="A124" s="69"/>
      <c r="B124" s="69"/>
      <c r="C124" s="89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51"/>
      <c r="AG124" s="51"/>
      <c r="AH124" s="51"/>
      <c r="AI124" s="51"/>
      <c r="AJ124" s="51"/>
      <c r="AK124" s="51"/>
      <c r="AL124" s="51"/>
      <c r="AM124" s="51"/>
      <c r="AN124" s="51"/>
      <c r="AO124" s="51"/>
      <c r="AP124" s="51"/>
      <c r="AQ124" s="51"/>
      <c r="AR124" s="51"/>
      <c r="AS124" s="51"/>
      <c r="AT124" s="51"/>
      <c r="AU124" s="51"/>
      <c r="AV124" s="51"/>
      <c r="AW124" s="51"/>
      <c r="AX124" s="51"/>
      <c r="AY124" s="51"/>
      <c r="AZ124" s="51"/>
      <c r="BA124" s="51"/>
      <c r="BB124" s="51"/>
      <c r="BC124" s="51"/>
      <c r="BD124" s="51"/>
      <c r="BE124" s="51"/>
      <c r="BF124" s="51"/>
      <c r="BG124" s="51"/>
      <c r="BH124" s="51"/>
      <c r="BI124" s="51"/>
      <c r="BJ124" s="51"/>
      <c r="BK124" s="51"/>
      <c r="BL124" s="51"/>
      <c r="BM124" s="51"/>
      <c r="BN124" s="51"/>
      <c r="BO124" s="51"/>
      <c r="BP124" s="51"/>
      <c r="BQ124" s="51"/>
      <c r="BR124" s="51"/>
      <c r="BS124" s="51"/>
      <c r="BT124" s="51"/>
      <c r="BU124" s="51"/>
      <c r="BV124" s="51"/>
      <c r="BW124" s="51"/>
      <c r="BX124" s="51"/>
      <c r="BY124" s="51"/>
      <c r="BZ124" s="51"/>
      <c r="CA124" s="51"/>
      <c r="CB124" s="51"/>
      <c r="CC124" s="51"/>
      <c r="CD124" s="51"/>
      <c r="CE124" s="51"/>
      <c r="CF124" s="51"/>
      <c r="CG124" s="51"/>
      <c r="CH124" s="51"/>
      <c r="CI124" s="51"/>
      <c r="CJ124" s="51"/>
      <c r="CK124" s="51"/>
      <c r="CL124" s="51"/>
      <c r="CM124" s="51"/>
      <c r="CN124" s="51"/>
      <c r="CO124" s="51"/>
      <c r="CP124" s="51"/>
      <c r="CQ124" s="51"/>
      <c r="CR124" s="51"/>
      <c r="CS124" s="51"/>
      <c r="CT124" s="51"/>
      <c r="CU124" s="51"/>
      <c r="CV124" s="51"/>
      <c r="CW124" s="51"/>
      <c r="CX124" s="51"/>
      <c r="CY124" s="51"/>
      <c r="CZ124" s="51"/>
      <c r="DA124" s="51"/>
      <c r="DB124" s="51"/>
      <c r="DC124" s="51"/>
      <c r="DD124" s="51"/>
      <c r="DE124" s="51"/>
      <c r="DF124" s="51"/>
      <c r="DG124" s="51"/>
      <c r="DH124" s="51"/>
      <c r="DI124" s="51"/>
      <c r="DJ124" s="51"/>
      <c r="DK124" s="51"/>
      <c r="DL124" s="51"/>
      <c r="DM124" s="51"/>
      <c r="DN124" s="51"/>
      <c r="DO124" s="51"/>
      <c r="DP124" s="51"/>
      <c r="DQ124" s="51"/>
      <c r="DR124" s="51"/>
      <c r="DS124" s="51"/>
      <c r="DT124" s="51"/>
      <c r="DU124" s="51"/>
      <c r="DV124" s="51"/>
      <c r="DW124" s="51"/>
      <c r="DX124" s="51"/>
      <c r="DY124" s="51"/>
      <c r="DZ124" s="51"/>
      <c r="EA124" s="51"/>
      <c r="EB124" s="51"/>
      <c r="EC124" s="51"/>
      <c r="ED124" s="51"/>
      <c r="EE124" s="51"/>
      <c r="EF124" s="51"/>
      <c r="EG124" s="51"/>
      <c r="EH124" s="51"/>
      <c r="EI124" s="51"/>
      <c r="EJ124" s="51"/>
    </row>
    <row r="125" spans="1:140">
      <c r="A125" s="69"/>
      <c r="B125" s="69"/>
      <c r="C125" s="89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51"/>
      <c r="AG125" s="51"/>
      <c r="AH125" s="51"/>
      <c r="AI125" s="51"/>
      <c r="AJ125" s="51"/>
      <c r="AK125" s="51"/>
      <c r="AL125" s="51"/>
      <c r="AM125" s="51"/>
      <c r="AN125" s="51"/>
      <c r="AO125" s="51"/>
      <c r="AP125" s="51"/>
      <c r="AQ125" s="51"/>
      <c r="AR125" s="51"/>
      <c r="AS125" s="51"/>
      <c r="AT125" s="51"/>
      <c r="AU125" s="51"/>
      <c r="AV125" s="51"/>
      <c r="AW125" s="51"/>
      <c r="AX125" s="51"/>
      <c r="AY125" s="51"/>
      <c r="AZ125" s="51"/>
      <c r="BA125" s="51"/>
      <c r="BB125" s="51"/>
      <c r="BC125" s="51"/>
      <c r="BD125" s="51"/>
      <c r="BE125" s="51"/>
      <c r="BF125" s="51"/>
      <c r="BG125" s="51"/>
      <c r="BH125" s="51"/>
      <c r="BI125" s="51"/>
      <c r="BJ125" s="51"/>
      <c r="BK125" s="51"/>
      <c r="BL125" s="51"/>
      <c r="BM125" s="51"/>
      <c r="BN125" s="51"/>
      <c r="BO125" s="51"/>
      <c r="BP125" s="51"/>
      <c r="BQ125" s="51"/>
      <c r="BR125" s="51"/>
      <c r="BS125" s="51"/>
      <c r="BT125" s="51"/>
      <c r="BU125" s="51"/>
      <c r="BV125" s="51"/>
      <c r="BW125" s="51"/>
      <c r="BX125" s="51"/>
      <c r="BY125" s="51"/>
      <c r="BZ125" s="51"/>
      <c r="CA125" s="51"/>
      <c r="CB125" s="51"/>
      <c r="CC125" s="51"/>
      <c r="CD125" s="51"/>
      <c r="CE125" s="51"/>
      <c r="CF125" s="51"/>
      <c r="CG125" s="51"/>
      <c r="CH125" s="51"/>
      <c r="CI125" s="51"/>
      <c r="CJ125" s="51"/>
      <c r="CK125" s="51"/>
      <c r="CL125" s="51"/>
      <c r="CM125" s="51"/>
      <c r="CN125" s="51"/>
      <c r="CO125" s="51"/>
      <c r="CP125" s="51"/>
      <c r="CQ125" s="51"/>
      <c r="CR125" s="51"/>
      <c r="CS125" s="51"/>
      <c r="CT125" s="51"/>
      <c r="CU125" s="51"/>
      <c r="CV125" s="51"/>
      <c r="CW125" s="51"/>
      <c r="CX125" s="51"/>
      <c r="CY125" s="51"/>
      <c r="CZ125" s="51"/>
      <c r="DA125" s="51"/>
      <c r="DB125" s="51"/>
      <c r="DC125" s="51"/>
      <c r="DD125" s="51"/>
      <c r="DE125" s="51"/>
      <c r="DF125" s="51"/>
      <c r="DG125" s="51"/>
      <c r="DH125" s="51"/>
      <c r="DI125" s="51"/>
      <c r="DJ125" s="51"/>
      <c r="DK125" s="51"/>
      <c r="DL125" s="51"/>
      <c r="DM125" s="51"/>
      <c r="DN125" s="51"/>
      <c r="DO125" s="51"/>
      <c r="DP125" s="51"/>
      <c r="DQ125" s="51"/>
      <c r="DR125" s="51"/>
      <c r="DS125" s="51"/>
      <c r="DT125" s="51"/>
      <c r="DU125" s="51"/>
      <c r="DV125" s="51"/>
      <c r="DW125" s="51"/>
      <c r="DX125" s="51"/>
      <c r="DY125" s="51"/>
      <c r="DZ125" s="51"/>
      <c r="EA125" s="51"/>
      <c r="EB125" s="51"/>
      <c r="EC125" s="51"/>
      <c r="ED125" s="51"/>
      <c r="EE125" s="51"/>
      <c r="EF125" s="51"/>
      <c r="EG125" s="51"/>
      <c r="EH125" s="51"/>
      <c r="EI125" s="51"/>
      <c r="EJ125" s="51"/>
    </row>
    <row r="126" spans="1:140">
      <c r="A126" s="69"/>
      <c r="B126" s="69"/>
      <c r="C126" s="90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51"/>
      <c r="AG126" s="51"/>
      <c r="AH126" s="51"/>
      <c r="AI126" s="51"/>
      <c r="AJ126" s="51"/>
      <c r="AK126" s="51"/>
      <c r="AL126" s="51"/>
      <c r="AM126" s="51"/>
      <c r="AN126" s="51"/>
      <c r="AO126" s="51"/>
      <c r="AP126" s="51"/>
      <c r="AQ126" s="51"/>
      <c r="AR126" s="51"/>
      <c r="AS126" s="51"/>
      <c r="AT126" s="51"/>
      <c r="AU126" s="51"/>
      <c r="AV126" s="51"/>
      <c r="AW126" s="51"/>
      <c r="AX126" s="51"/>
      <c r="AY126" s="51"/>
      <c r="AZ126" s="51"/>
      <c r="BA126" s="51"/>
      <c r="BB126" s="51"/>
      <c r="BC126" s="51"/>
      <c r="BD126" s="51"/>
      <c r="BE126" s="51"/>
      <c r="BF126" s="51"/>
      <c r="BG126" s="51"/>
      <c r="BH126" s="51"/>
      <c r="BI126" s="51"/>
      <c r="BJ126" s="51"/>
      <c r="BK126" s="51"/>
      <c r="BL126" s="51"/>
      <c r="BM126" s="51"/>
      <c r="BN126" s="51"/>
      <c r="BO126" s="51"/>
      <c r="BP126" s="51"/>
      <c r="BQ126" s="51"/>
      <c r="BR126" s="51"/>
      <c r="BS126" s="51"/>
      <c r="BT126" s="51"/>
      <c r="BU126" s="51"/>
      <c r="BV126" s="51"/>
      <c r="BW126" s="51"/>
      <c r="BX126" s="51"/>
      <c r="BY126" s="51"/>
      <c r="BZ126" s="51"/>
      <c r="CA126" s="51"/>
      <c r="CB126" s="51"/>
      <c r="CC126" s="51"/>
      <c r="CD126" s="51"/>
      <c r="CE126" s="51"/>
      <c r="CF126" s="51"/>
      <c r="CG126" s="51"/>
      <c r="CH126" s="51"/>
      <c r="CI126" s="51"/>
      <c r="CJ126" s="51"/>
      <c r="CK126" s="51"/>
      <c r="CL126" s="51"/>
      <c r="CM126" s="51"/>
      <c r="CN126" s="51"/>
      <c r="CO126" s="51"/>
      <c r="CP126" s="51"/>
      <c r="CQ126" s="51"/>
      <c r="CR126" s="51"/>
      <c r="CS126" s="51"/>
      <c r="CT126" s="51"/>
      <c r="CU126" s="51"/>
      <c r="CV126" s="51"/>
      <c r="CW126" s="51"/>
      <c r="CX126" s="51"/>
      <c r="CY126" s="51"/>
      <c r="CZ126" s="51"/>
      <c r="DA126" s="51"/>
      <c r="DB126" s="51"/>
      <c r="DC126" s="51"/>
      <c r="DD126" s="51"/>
      <c r="DE126" s="51"/>
      <c r="DF126" s="51"/>
      <c r="DG126" s="51"/>
      <c r="DH126" s="51"/>
      <c r="DI126" s="51"/>
      <c r="DJ126" s="51"/>
      <c r="DK126" s="51"/>
      <c r="DL126" s="51"/>
      <c r="DM126" s="51"/>
      <c r="DN126" s="51"/>
      <c r="DO126" s="51"/>
      <c r="DP126" s="51"/>
      <c r="DQ126" s="51"/>
      <c r="DR126" s="51"/>
      <c r="DS126" s="51"/>
      <c r="DT126" s="51"/>
      <c r="DU126" s="51"/>
      <c r="DV126" s="51"/>
      <c r="DW126" s="51"/>
      <c r="DX126" s="51"/>
      <c r="DY126" s="51"/>
      <c r="DZ126" s="51"/>
      <c r="EA126" s="51"/>
      <c r="EB126" s="51"/>
      <c r="EC126" s="51"/>
      <c r="ED126" s="51"/>
      <c r="EE126" s="51"/>
      <c r="EF126" s="51"/>
      <c r="EG126" s="51"/>
      <c r="EH126" s="51"/>
      <c r="EI126" s="51"/>
      <c r="EJ126" s="51"/>
    </row>
    <row r="127" spans="1:140">
      <c r="A127" s="69"/>
      <c r="B127" s="69"/>
      <c r="C127" s="88"/>
      <c r="D127" s="87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51"/>
      <c r="AG127" s="51"/>
      <c r="AH127" s="51"/>
      <c r="AI127" s="51"/>
      <c r="AJ127" s="51"/>
      <c r="AK127" s="51"/>
      <c r="AL127" s="51"/>
      <c r="AM127" s="51"/>
      <c r="AN127" s="51"/>
      <c r="AO127" s="51"/>
      <c r="AP127" s="51"/>
      <c r="AQ127" s="51"/>
      <c r="AR127" s="51"/>
      <c r="AS127" s="51"/>
      <c r="AT127" s="51"/>
      <c r="AU127" s="51"/>
      <c r="AV127" s="51"/>
      <c r="AW127" s="51"/>
      <c r="AX127" s="51"/>
      <c r="AY127" s="51"/>
      <c r="AZ127" s="51"/>
      <c r="BA127" s="51"/>
      <c r="BB127" s="51"/>
      <c r="BC127" s="51"/>
      <c r="BD127" s="51"/>
      <c r="BE127" s="51"/>
      <c r="BF127" s="51"/>
      <c r="BG127" s="51"/>
      <c r="BH127" s="51"/>
      <c r="BI127" s="51"/>
      <c r="BJ127" s="51"/>
      <c r="BK127" s="51"/>
      <c r="BL127" s="51"/>
      <c r="BM127" s="51"/>
      <c r="BN127" s="51"/>
      <c r="BO127" s="51"/>
      <c r="BP127" s="51"/>
      <c r="BQ127" s="51"/>
      <c r="BR127" s="51"/>
      <c r="BS127" s="51"/>
      <c r="BT127" s="51"/>
      <c r="BU127" s="51"/>
      <c r="BV127" s="51"/>
      <c r="BW127" s="51"/>
      <c r="BX127" s="51"/>
      <c r="BY127" s="51"/>
      <c r="BZ127" s="51"/>
      <c r="CA127" s="51"/>
      <c r="CB127" s="51"/>
      <c r="CC127" s="51"/>
      <c r="CD127" s="51"/>
      <c r="CE127" s="51"/>
      <c r="CF127" s="51"/>
      <c r="CG127" s="51"/>
      <c r="CH127" s="51"/>
      <c r="CI127" s="51"/>
      <c r="CJ127" s="51"/>
      <c r="CK127" s="51"/>
      <c r="CL127" s="51"/>
      <c r="CM127" s="51"/>
      <c r="CN127" s="51"/>
      <c r="CO127" s="51"/>
      <c r="CP127" s="51"/>
      <c r="CQ127" s="51"/>
      <c r="CR127" s="51"/>
      <c r="CS127" s="51"/>
      <c r="CT127" s="51"/>
      <c r="CU127" s="51"/>
      <c r="CV127" s="51"/>
      <c r="CW127" s="51"/>
      <c r="CX127" s="51"/>
      <c r="CY127" s="51"/>
      <c r="CZ127" s="51"/>
      <c r="DA127" s="51"/>
      <c r="DB127" s="51"/>
      <c r="DC127" s="51"/>
      <c r="DD127" s="51"/>
      <c r="DE127" s="51"/>
      <c r="DF127" s="51"/>
      <c r="DG127" s="51"/>
      <c r="DH127" s="51"/>
      <c r="DI127" s="51"/>
      <c r="DJ127" s="51"/>
      <c r="DK127" s="51"/>
      <c r="DL127" s="51"/>
      <c r="DM127" s="51"/>
      <c r="DN127" s="51"/>
      <c r="DO127" s="51"/>
      <c r="DP127" s="51"/>
      <c r="DQ127" s="51"/>
      <c r="DR127" s="51"/>
      <c r="DS127" s="51"/>
      <c r="DT127" s="51"/>
      <c r="DU127" s="51"/>
      <c r="DV127" s="51"/>
      <c r="DW127" s="51"/>
      <c r="DX127" s="51"/>
      <c r="DY127" s="51"/>
      <c r="DZ127" s="51"/>
      <c r="EA127" s="51"/>
      <c r="EB127" s="51"/>
      <c r="EC127" s="51"/>
      <c r="ED127" s="51"/>
      <c r="EE127" s="51"/>
      <c r="EF127" s="51"/>
      <c r="EG127" s="51"/>
      <c r="EH127" s="51"/>
      <c r="EI127" s="51"/>
      <c r="EJ127" s="51"/>
    </row>
    <row r="128" spans="1:140">
      <c r="A128" s="69"/>
      <c r="B128" s="69"/>
      <c r="C128" s="88"/>
      <c r="D128" s="87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51"/>
      <c r="AG128" s="51"/>
      <c r="AH128" s="51"/>
      <c r="AI128" s="51"/>
      <c r="AJ128" s="51"/>
      <c r="AK128" s="51"/>
      <c r="AL128" s="51"/>
      <c r="AM128" s="51"/>
      <c r="AN128" s="51"/>
      <c r="AO128" s="51"/>
      <c r="AP128" s="51"/>
      <c r="AQ128" s="51"/>
      <c r="AR128" s="51"/>
      <c r="AS128" s="51"/>
      <c r="AT128" s="51"/>
      <c r="AU128" s="51"/>
      <c r="AV128" s="51"/>
      <c r="AW128" s="51"/>
      <c r="AX128" s="51"/>
      <c r="AY128" s="51"/>
      <c r="AZ128" s="51"/>
      <c r="BA128" s="51"/>
      <c r="BB128" s="51"/>
      <c r="BC128" s="51"/>
      <c r="BD128" s="51"/>
      <c r="BE128" s="51"/>
      <c r="BF128" s="51"/>
      <c r="BG128" s="51"/>
      <c r="BH128" s="51"/>
      <c r="BI128" s="51"/>
      <c r="BJ128" s="51"/>
      <c r="BK128" s="51"/>
      <c r="BL128" s="51"/>
      <c r="BM128" s="51"/>
      <c r="BN128" s="51"/>
      <c r="BO128" s="51"/>
      <c r="BP128" s="51"/>
      <c r="BQ128" s="51"/>
      <c r="BR128" s="51"/>
      <c r="BS128" s="51"/>
      <c r="BT128" s="51"/>
      <c r="BU128" s="51"/>
      <c r="BV128" s="51"/>
      <c r="BW128" s="51"/>
      <c r="BX128" s="51"/>
      <c r="BY128" s="51"/>
      <c r="BZ128" s="51"/>
      <c r="CA128" s="51"/>
      <c r="CB128" s="51"/>
      <c r="CC128" s="51"/>
      <c r="CD128" s="51"/>
      <c r="CE128" s="51"/>
      <c r="CF128" s="51"/>
      <c r="CG128" s="51"/>
      <c r="CH128" s="51"/>
      <c r="CI128" s="51"/>
      <c r="CJ128" s="51"/>
      <c r="CK128" s="51"/>
      <c r="CL128" s="51"/>
      <c r="CM128" s="51"/>
      <c r="CN128" s="51"/>
      <c r="CO128" s="51"/>
      <c r="CP128" s="51"/>
      <c r="CQ128" s="51"/>
      <c r="CR128" s="51"/>
      <c r="CS128" s="51"/>
      <c r="CT128" s="51"/>
      <c r="CU128" s="51"/>
      <c r="CV128" s="51"/>
      <c r="CW128" s="51"/>
      <c r="CX128" s="51"/>
      <c r="CY128" s="51"/>
      <c r="CZ128" s="51"/>
      <c r="DA128" s="51"/>
      <c r="DB128" s="51"/>
      <c r="DC128" s="51"/>
      <c r="DD128" s="51"/>
      <c r="DE128" s="51"/>
      <c r="DF128" s="51"/>
      <c r="DG128" s="51"/>
      <c r="DH128" s="51"/>
      <c r="DI128" s="51"/>
      <c r="DJ128" s="51"/>
      <c r="DK128" s="51"/>
      <c r="DL128" s="51"/>
      <c r="DM128" s="51"/>
      <c r="DN128" s="51"/>
      <c r="DO128" s="51"/>
      <c r="DP128" s="51"/>
      <c r="DQ128" s="51"/>
      <c r="DR128" s="51"/>
      <c r="DS128" s="51"/>
      <c r="DT128" s="51"/>
      <c r="DU128" s="51"/>
      <c r="DV128" s="51"/>
      <c r="DW128" s="51"/>
      <c r="DX128" s="51"/>
      <c r="DY128" s="51"/>
      <c r="DZ128" s="51"/>
      <c r="EA128" s="51"/>
      <c r="EB128" s="51"/>
      <c r="EC128" s="51"/>
      <c r="ED128" s="51"/>
      <c r="EE128" s="51"/>
      <c r="EF128" s="51"/>
      <c r="EG128" s="51"/>
      <c r="EH128" s="51"/>
      <c r="EI128" s="51"/>
      <c r="EJ128" s="51"/>
    </row>
    <row r="129" spans="1:140">
      <c r="A129" s="69"/>
      <c r="B129" s="69"/>
      <c r="C129" s="88"/>
      <c r="D129" s="87"/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51"/>
      <c r="AG129" s="51"/>
      <c r="AH129" s="51"/>
      <c r="AI129" s="51"/>
      <c r="AJ129" s="51"/>
      <c r="AK129" s="51"/>
      <c r="AL129" s="51"/>
      <c r="AM129" s="51"/>
      <c r="AN129" s="51"/>
      <c r="AO129" s="51"/>
      <c r="AP129" s="51"/>
      <c r="AQ129" s="51"/>
      <c r="AR129" s="51"/>
      <c r="AS129" s="51"/>
      <c r="AT129" s="51"/>
      <c r="AU129" s="51"/>
      <c r="AV129" s="51"/>
      <c r="AW129" s="51"/>
      <c r="AX129" s="51"/>
      <c r="AY129" s="51"/>
      <c r="AZ129" s="51"/>
      <c r="BA129" s="51"/>
      <c r="BB129" s="51"/>
      <c r="BC129" s="51"/>
      <c r="BD129" s="51"/>
      <c r="BE129" s="51"/>
      <c r="BF129" s="51"/>
      <c r="BG129" s="51"/>
      <c r="BH129" s="51"/>
      <c r="BI129" s="51"/>
      <c r="BJ129" s="51"/>
      <c r="BK129" s="51"/>
      <c r="BL129" s="51"/>
      <c r="BM129" s="51"/>
      <c r="BN129" s="51"/>
      <c r="BO129" s="51"/>
      <c r="BP129" s="51"/>
      <c r="BQ129" s="51"/>
      <c r="BR129" s="51"/>
      <c r="BS129" s="51"/>
      <c r="BT129" s="51"/>
      <c r="BU129" s="51"/>
      <c r="BV129" s="51"/>
      <c r="BW129" s="51"/>
      <c r="BX129" s="51"/>
      <c r="BY129" s="51"/>
      <c r="BZ129" s="51"/>
      <c r="CA129" s="51"/>
      <c r="CB129" s="51"/>
      <c r="CC129" s="51"/>
      <c r="CD129" s="51"/>
      <c r="CE129" s="51"/>
      <c r="CF129" s="51"/>
      <c r="CG129" s="51"/>
      <c r="CH129" s="51"/>
      <c r="CI129" s="51"/>
      <c r="CJ129" s="51"/>
      <c r="CK129" s="51"/>
      <c r="CL129" s="51"/>
      <c r="CM129" s="51"/>
      <c r="CN129" s="51"/>
      <c r="CO129" s="51"/>
      <c r="CP129" s="51"/>
      <c r="CQ129" s="51"/>
      <c r="CR129" s="51"/>
      <c r="CS129" s="51"/>
      <c r="CT129" s="51"/>
      <c r="CU129" s="51"/>
      <c r="CV129" s="51"/>
      <c r="CW129" s="51"/>
      <c r="CX129" s="51"/>
      <c r="CY129" s="51"/>
      <c r="CZ129" s="51"/>
      <c r="DA129" s="51"/>
      <c r="DB129" s="51"/>
      <c r="DC129" s="51"/>
      <c r="DD129" s="51"/>
      <c r="DE129" s="51"/>
      <c r="DF129" s="51"/>
      <c r="DG129" s="51"/>
      <c r="DH129" s="51"/>
      <c r="DI129" s="51"/>
      <c r="DJ129" s="51"/>
      <c r="DK129" s="51"/>
      <c r="DL129" s="51"/>
      <c r="DM129" s="51"/>
      <c r="DN129" s="51"/>
      <c r="DO129" s="51"/>
      <c r="DP129" s="51"/>
      <c r="DQ129" s="51"/>
      <c r="DR129" s="51"/>
      <c r="DS129" s="51"/>
      <c r="DT129" s="51"/>
      <c r="DU129" s="51"/>
      <c r="DV129" s="51"/>
      <c r="DW129" s="51"/>
      <c r="DX129" s="51"/>
      <c r="DY129" s="51"/>
      <c r="DZ129" s="51"/>
      <c r="EA129" s="51"/>
      <c r="EB129" s="51"/>
      <c r="EC129" s="51"/>
      <c r="ED129" s="51"/>
      <c r="EE129" s="51"/>
      <c r="EF129" s="51"/>
      <c r="EG129" s="51"/>
      <c r="EH129" s="51"/>
      <c r="EI129" s="51"/>
      <c r="EJ129" s="51"/>
    </row>
    <row r="130" spans="1:140">
      <c r="A130" s="69"/>
      <c r="B130" s="69"/>
      <c r="C130" s="88"/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51"/>
      <c r="AG130" s="51"/>
      <c r="AH130" s="51"/>
      <c r="AI130" s="51"/>
      <c r="AJ130" s="51"/>
      <c r="AK130" s="51"/>
      <c r="AL130" s="51"/>
      <c r="AM130" s="51"/>
      <c r="AN130" s="51"/>
      <c r="AO130" s="51"/>
      <c r="AP130" s="51"/>
      <c r="AQ130" s="51"/>
      <c r="AR130" s="51"/>
      <c r="AS130" s="51"/>
      <c r="AT130" s="51"/>
      <c r="AU130" s="51"/>
      <c r="AV130" s="51"/>
      <c r="AW130" s="51"/>
      <c r="AX130" s="51"/>
      <c r="AY130" s="51"/>
      <c r="AZ130" s="51"/>
      <c r="BA130" s="51"/>
      <c r="BB130" s="51"/>
      <c r="BC130" s="51"/>
      <c r="BD130" s="51"/>
      <c r="BE130" s="51"/>
      <c r="BF130" s="51"/>
      <c r="BG130" s="51"/>
      <c r="BH130" s="51"/>
      <c r="BI130" s="51"/>
      <c r="BJ130" s="51"/>
      <c r="BK130" s="51"/>
      <c r="BL130" s="51"/>
      <c r="BM130" s="51"/>
      <c r="BN130" s="51"/>
      <c r="BO130" s="51"/>
      <c r="BP130" s="51"/>
      <c r="BQ130" s="51"/>
      <c r="BR130" s="51"/>
      <c r="BS130" s="51"/>
      <c r="BT130" s="51"/>
      <c r="BU130" s="51"/>
      <c r="BV130" s="51"/>
      <c r="BW130" s="51"/>
      <c r="BX130" s="51"/>
      <c r="BY130" s="51"/>
      <c r="BZ130" s="51"/>
      <c r="CA130" s="51"/>
      <c r="CB130" s="51"/>
      <c r="CC130" s="51"/>
      <c r="CD130" s="51"/>
      <c r="CE130" s="51"/>
      <c r="CF130" s="51"/>
      <c r="CG130" s="51"/>
      <c r="CH130" s="51"/>
      <c r="CI130" s="51"/>
      <c r="CJ130" s="51"/>
      <c r="CK130" s="51"/>
      <c r="CL130" s="51"/>
      <c r="CM130" s="51"/>
      <c r="CN130" s="51"/>
      <c r="CO130" s="51"/>
      <c r="CP130" s="51"/>
      <c r="CQ130" s="51"/>
      <c r="CR130" s="51"/>
      <c r="CS130" s="51"/>
      <c r="CT130" s="51"/>
      <c r="CU130" s="51"/>
      <c r="CV130" s="51"/>
      <c r="CW130" s="51"/>
      <c r="CX130" s="51"/>
      <c r="CY130" s="51"/>
      <c r="CZ130" s="51"/>
      <c r="DA130" s="51"/>
      <c r="DB130" s="51"/>
      <c r="DC130" s="51"/>
      <c r="DD130" s="51"/>
      <c r="DE130" s="51"/>
      <c r="DF130" s="51"/>
      <c r="DG130" s="51"/>
      <c r="DH130" s="51"/>
      <c r="DI130" s="51"/>
      <c r="DJ130" s="51"/>
      <c r="DK130" s="51"/>
      <c r="DL130" s="51"/>
      <c r="DM130" s="51"/>
      <c r="DN130" s="51"/>
      <c r="DO130" s="51"/>
      <c r="DP130" s="51"/>
      <c r="DQ130" s="51"/>
      <c r="DR130" s="51"/>
      <c r="DS130" s="51"/>
      <c r="DT130" s="51"/>
      <c r="DU130" s="51"/>
      <c r="DV130" s="51"/>
      <c r="DW130" s="51"/>
      <c r="DX130" s="51"/>
      <c r="DY130" s="51"/>
      <c r="DZ130" s="51"/>
      <c r="EA130" s="51"/>
      <c r="EB130" s="51"/>
      <c r="EC130" s="51"/>
      <c r="ED130" s="51"/>
      <c r="EE130" s="51"/>
      <c r="EF130" s="51"/>
      <c r="EG130" s="51"/>
      <c r="EH130" s="51"/>
      <c r="EI130" s="51"/>
      <c r="EJ130" s="51"/>
    </row>
    <row r="131" spans="1:140">
      <c r="A131" s="69"/>
      <c r="B131" s="69"/>
      <c r="C131" s="88"/>
      <c r="D131" s="87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51"/>
      <c r="AG131" s="51"/>
      <c r="AH131" s="51"/>
      <c r="AI131" s="51"/>
      <c r="AJ131" s="51"/>
      <c r="AK131" s="51"/>
      <c r="AL131" s="51"/>
      <c r="AM131" s="51"/>
      <c r="AN131" s="51"/>
      <c r="AO131" s="51"/>
      <c r="AP131" s="51"/>
      <c r="AQ131" s="51"/>
      <c r="AR131" s="51"/>
      <c r="AS131" s="51"/>
      <c r="AT131" s="51"/>
      <c r="AU131" s="51"/>
      <c r="AV131" s="51"/>
      <c r="AW131" s="51"/>
      <c r="AX131" s="51"/>
      <c r="AY131" s="51"/>
      <c r="AZ131" s="51"/>
      <c r="BA131" s="51"/>
      <c r="BB131" s="51"/>
      <c r="BC131" s="51"/>
      <c r="BD131" s="51"/>
      <c r="BE131" s="51"/>
      <c r="BF131" s="51"/>
      <c r="BG131" s="51"/>
      <c r="BH131" s="51"/>
      <c r="BI131" s="51"/>
      <c r="BJ131" s="51"/>
      <c r="BK131" s="51"/>
      <c r="BL131" s="51"/>
      <c r="BM131" s="51"/>
      <c r="BN131" s="51"/>
      <c r="BO131" s="51"/>
      <c r="BP131" s="51"/>
      <c r="BQ131" s="51"/>
      <c r="BR131" s="51"/>
      <c r="BS131" s="51"/>
      <c r="BT131" s="51"/>
      <c r="BU131" s="51"/>
      <c r="BV131" s="51"/>
      <c r="BW131" s="51"/>
      <c r="BX131" s="51"/>
      <c r="BY131" s="51"/>
      <c r="BZ131" s="51"/>
      <c r="CA131" s="51"/>
      <c r="CB131" s="51"/>
      <c r="CC131" s="51"/>
      <c r="CD131" s="51"/>
      <c r="CE131" s="51"/>
      <c r="CF131" s="51"/>
      <c r="CG131" s="51"/>
      <c r="CH131" s="51"/>
      <c r="CI131" s="51"/>
      <c r="CJ131" s="51"/>
      <c r="CK131" s="51"/>
      <c r="CL131" s="51"/>
      <c r="CM131" s="51"/>
      <c r="CN131" s="51"/>
      <c r="CO131" s="51"/>
      <c r="CP131" s="51"/>
      <c r="CQ131" s="51"/>
      <c r="CR131" s="51"/>
      <c r="CS131" s="51"/>
      <c r="CT131" s="51"/>
      <c r="CU131" s="51"/>
      <c r="CV131" s="51"/>
      <c r="CW131" s="51"/>
      <c r="CX131" s="51"/>
      <c r="CY131" s="51"/>
      <c r="CZ131" s="51"/>
      <c r="DA131" s="51"/>
      <c r="DB131" s="51"/>
      <c r="DC131" s="51"/>
      <c r="DD131" s="51"/>
      <c r="DE131" s="51"/>
      <c r="DF131" s="51"/>
      <c r="DG131" s="51"/>
      <c r="DH131" s="51"/>
      <c r="DI131" s="51"/>
      <c r="DJ131" s="51"/>
      <c r="DK131" s="51"/>
      <c r="DL131" s="51"/>
      <c r="DM131" s="51"/>
      <c r="DN131" s="51"/>
      <c r="DO131" s="51"/>
      <c r="DP131" s="51"/>
      <c r="DQ131" s="51"/>
      <c r="DR131" s="51"/>
      <c r="DS131" s="51"/>
      <c r="DT131" s="51"/>
      <c r="DU131" s="51"/>
      <c r="DV131" s="51"/>
      <c r="DW131" s="51"/>
      <c r="DX131" s="51"/>
      <c r="DY131" s="51"/>
      <c r="DZ131" s="51"/>
      <c r="EA131" s="51"/>
      <c r="EB131" s="51"/>
      <c r="EC131" s="51"/>
      <c r="ED131" s="51"/>
      <c r="EE131" s="51"/>
      <c r="EF131" s="51"/>
      <c r="EG131" s="51"/>
      <c r="EH131" s="51"/>
      <c r="EI131" s="51"/>
      <c r="EJ131" s="51"/>
    </row>
    <row r="132" spans="1:140">
      <c r="A132" s="69"/>
      <c r="B132" s="69"/>
      <c r="C132" s="88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51"/>
      <c r="AG132" s="51"/>
      <c r="AH132" s="51"/>
      <c r="AI132" s="51"/>
      <c r="AJ132" s="51"/>
      <c r="AK132" s="51"/>
      <c r="AL132" s="51"/>
      <c r="AM132" s="51"/>
      <c r="AN132" s="51"/>
      <c r="AO132" s="51"/>
      <c r="AP132" s="51"/>
      <c r="AQ132" s="51"/>
      <c r="AR132" s="51"/>
      <c r="AS132" s="51"/>
      <c r="AT132" s="51"/>
      <c r="AU132" s="51"/>
      <c r="AV132" s="51"/>
      <c r="AW132" s="51"/>
      <c r="AX132" s="51"/>
      <c r="AY132" s="51"/>
      <c r="AZ132" s="51"/>
      <c r="BA132" s="51"/>
      <c r="BB132" s="51"/>
      <c r="BC132" s="51"/>
      <c r="BD132" s="51"/>
      <c r="BE132" s="51"/>
      <c r="BF132" s="51"/>
      <c r="BG132" s="51"/>
      <c r="BH132" s="51"/>
      <c r="BI132" s="51"/>
      <c r="BJ132" s="51"/>
      <c r="BK132" s="51"/>
      <c r="BL132" s="51"/>
      <c r="BM132" s="51"/>
      <c r="BN132" s="51"/>
      <c r="BO132" s="51"/>
      <c r="BP132" s="51"/>
      <c r="BQ132" s="51"/>
      <c r="BR132" s="51"/>
      <c r="BS132" s="51"/>
      <c r="BT132" s="51"/>
      <c r="BU132" s="51"/>
      <c r="BV132" s="51"/>
      <c r="BW132" s="51"/>
      <c r="BX132" s="51"/>
      <c r="BY132" s="51"/>
      <c r="BZ132" s="51"/>
      <c r="CA132" s="51"/>
      <c r="CB132" s="51"/>
      <c r="CC132" s="51"/>
      <c r="CD132" s="51"/>
      <c r="CE132" s="51"/>
      <c r="CF132" s="51"/>
      <c r="CG132" s="51"/>
      <c r="CH132" s="51"/>
      <c r="CI132" s="51"/>
      <c r="CJ132" s="51"/>
      <c r="CK132" s="51"/>
      <c r="CL132" s="51"/>
      <c r="CM132" s="51"/>
      <c r="CN132" s="51"/>
      <c r="CO132" s="51"/>
      <c r="CP132" s="51"/>
      <c r="CQ132" s="51"/>
      <c r="CR132" s="51"/>
      <c r="CS132" s="51"/>
      <c r="CT132" s="51"/>
      <c r="CU132" s="51"/>
      <c r="CV132" s="51"/>
      <c r="CW132" s="51"/>
      <c r="CX132" s="51"/>
      <c r="CY132" s="51"/>
      <c r="CZ132" s="51"/>
      <c r="DA132" s="51"/>
      <c r="DB132" s="51"/>
      <c r="DC132" s="51"/>
      <c r="DD132" s="51"/>
      <c r="DE132" s="51"/>
      <c r="DF132" s="51"/>
      <c r="DG132" s="51"/>
      <c r="DH132" s="51"/>
      <c r="DI132" s="51"/>
      <c r="DJ132" s="51"/>
      <c r="DK132" s="51"/>
      <c r="DL132" s="51"/>
      <c r="DM132" s="51"/>
      <c r="DN132" s="51"/>
      <c r="DO132" s="51"/>
      <c r="DP132" s="51"/>
      <c r="DQ132" s="51"/>
      <c r="DR132" s="51"/>
      <c r="DS132" s="51"/>
      <c r="DT132" s="51"/>
      <c r="DU132" s="51"/>
      <c r="DV132" s="51"/>
      <c r="DW132" s="51"/>
      <c r="DX132" s="51"/>
      <c r="DY132" s="51"/>
      <c r="DZ132" s="51"/>
      <c r="EA132" s="51"/>
      <c r="EB132" s="51"/>
      <c r="EC132" s="51"/>
      <c r="ED132" s="51"/>
      <c r="EE132" s="51"/>
      <c r="EF132" s="51"/>
      <c r="EG132" s="51"/>
      <c r="EH132" s="51"/>
      <c r="EI132" s="51"/>
      <c r="EJ132" s="51"/>
    </row>
    <row r="133" spans="1:140">
      <c r="A133" s="69"/>
      <c r="B133" s="69"/>
      <c r="C133" s="88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51"/>
      <c r="AG133" s="51"/>
      <c r="AH133" s="51"/>
      <c r="AI133" s="51"/>
      <c r="AJ133" s="51"/>
      <c r="AK133" s="51"/>
      <c r="AL133" s="51"/>
      <c r="AM133" s="51"/>
      <c r="AN133" s="51"/>
      <c r="AO133" s="51"/>
      <c r="AP133" s="51"/>
      <c r="AQ133" s="51"/>
      <c r="AR133" s="51"/>
      <c r="AS133" s="51"/>
      <c r="AT133" s="51"/>
      <c r="AU133" s="51"/>
      <c r="AV133" s="51"/>
      <c r="AW133" s="51"/>
      <c r="AX133" s="51"/>
      <c r="AY133" s="51"/>
      <c r="AZ133" s="51"/>
      <c r="BA133" s="51"/>
      <c r="BB133" s="51"/>
      <c r="BC133" s="51"/>
      <c r="BD133" s="51"/>
      <c r="BE133" s="51"/>
      <c r="BF133" s="51"/>
      <c r="BG133" s="51"/>
      <c r="BH133" s="51"/>
      <c r="BI133" s="51"/>
      <c r="BJ133" s="51"/>
      <c r="BK133" s="51"/>
      <c r="BL133" s="51"/>
      <c r="BM133" s="51"/>
      <c r="BN133" s="51"/>
      <c r="BO133" s="51"/>
      <c r="BP133" s="51"/>
      <c r="BQ133" s="51"/>
      <c r="BR133" s="51"/>
      <c r="BS133" s="51"/>
      <c r="BT133" s="51"/>
      <c r="BU133" s="51"/>
      <c r="BV133" s="51"/>
      <c r="BW133" s="51"/>
      <c r="BX133" s="51"/>
      <c r="BY133" s="51"/>
      <c r="BZ133" s="51"/>
      <c r="CA133" s="51"/>
      <c r="CB133" s="51"/>
      <c r="CC133" s="51"/>
      <c r="CD133" s="51"/>
      <c r="CE133" s="51"/>
      <c r="CF133" s="51"/>
      <c r="CG133" s="51"/>
      <c r="CH133" s="51"/>
      <c r="CI133" s="51"/>
      <c r="CJ133" s="51"/>
      <c r="CK133" s="51"/>
      <c r="CL133" s="51"/>
      <c r="CM133" s="51"/>
      <c r="CN133" s="51"/>
      <c r="CO133" s="51"/>
      <c r="CP133" s="51"/>
      <c r="CQ133" s="51"/>
      <c r="CR133" s="51"/>
      <c r="CS133" s="51"/>
      <c r="CT133" s="51"/>
      <c r="CU133" s="51"/>
      <c r="CV133" s="51"/>
      <c r="CW133" s="51"/>
      <c r="CX133" s="51"/>
      <c r="CY133" s="51"/>
      <c r="CZ133" s="51"/>
      <c r="DA133" s="51"/>
      <c r="DB133" s="51"/>
      <c r="DC133" s="51"/>
      <c r="DD133" s="51"/>
      <c r="DE133" s="51"/>
      <c r="DF133" s="51"/>
      <c r="DG133" s="51"/>
      <c r="DH133" s="51"/>
      <c r="DI133" s="51"/>
      <c r="DJ133" s="51"/>
      <c r="DK133" s="51"/>
      <c r="DL133" s="51"/>
      <c r="DM133" s="51"/>
      <c r="DN133" s="51"/>
      <c r="DO133" s="51"/>
      <c r="DP133" s="51"/>
      <c r="DQ133" s="51"/>
      <c r="DR133" s="51"/>
      <c r="DS133" s="51"/>
      <c r="DT133" s="51"/>
      <c r="DU133" s="51"/>
      <c r="DV133" s="51"/>
      <c r="DW133" s="51"/>
      <c r="DX133" s="51"/>
      <c r="DY133" s="51"/>
      <c r="DZ133" s="51"/>
      <c r="EA133" s="51"/>
      <c r="EB133" s="51"/>
      <c r="EC133" s="51"/>
      <c r="ED133" s="51"/>
      <c r="EE133" s="51"/>
      <c r="EF133" s="51"/>
      <c r="EG133" s="51"/>
      <c r="EH133" s="51"/>
      <c r="EI133" s="51"/>
      <c r="EJ133" s="51"/>
    </row>
    <row r="134" spans="1:140">
      <c r="A134" s="69"/>
      <c r="B134" s="69"/>
      <c r="C134" s="88"/>
      <c r="D134" s="87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51"/>
      <c r="AG134" s="51"/>
      <c r="AH134" s="51"/>
      <c r="AI134" s="51"/>
      <c r="AJ134" s="51"/>
      <c r="AK134" s="51"/>
      <c r="AL134" s="51"/>
      <c r="AM134" s="51"/>
      <c r="AN134" s="51"/>
      <c r="AO134" s="51"/>
      <c r="AP134" s="51"/>
      <c r="AQ134" s="51"/>
      <c r="AR134" s="51"/>
      <c r="AS134" s="51"/>
      <c r="AT134" s="51"/>
      <c r="AU134" s="51"/>
      <c r="AV134" s="51"/>
      <c r="AW134" s="51"/>
      <c r="AX134" s="51"/>
      <c r="AY134" s="51"/>
      <c r="AZ134" s="51"/>
      <c r="BA134" s="51"/>
      <c r="BB134" s="51"/>
      <c r="BC134" s="51"/>
      <c r="BD134" s="51"/>
      <c r="BE134" s="51"/>
      <c r="BF134" s="51"/>
      <c r="BG134" s="51"/>
      <c r="BH134" s="51"/>
      <c r="BI134" s="51"/>
      <c r="BJ134" s="51"/>
      <c r="BK134" s="51"/>
      <c r="BL134" s="51"/>
      <c r="BM134" s="51"/>
      <c r="BN134" s="51"/>
      <c r="BO134" s="51"/>
      <c r="BP134" s="51"/>
      <c r="BQ134" s="51"/>
      <c r="BR134" s="51"/>
      <c r="BS134" s="51"/>
      <c r="BT134" s="51"/>
      <c r="BU134" s="51"/>
      <c r="BV134" s="51"/>
      <c r="BW134" s="51"/>
      <c r="BX134" s="51"/>
      <c r="BY134" s="51"/>
      <c r="BZ134" s="51"/>
      <c r="CA134" s="51"/>
      <c r="CB134" s="51"/>
      <c r="CC134" s="51"/>
      <c r="CD134" s="51"/>
      <c r="CE134" s="51"/>
      <c r="CF134" s="51"/>
      <c r="CG134" s="51"/>
      <c r="CH134" s="51"/>
      <c r="CI134" s="51"/>
      <c r="CJ134" s="51"/>
      <c r="CK134" s="51"/>
      <c r="CL134" s="51"/>
      <c r="CM134" s="51"/>
      <c r="CN134" s="51"/>
      <c r="CO134" s="51"/>
      <c r="CP134" s="51"/>
      <c r="CQ134" s="51"/>
      <c r="CR134" s="51"/>
      <c r="CS134" s="51"/>
      <c r="CT134" s="51"/>
      <c r="CU134" s="51"/>
      <c r="CV134" s="51"/>
      <c r="CW134" s="51"/>
      <c r="CX134" s="51"/>
      <c r="CY134" s="51"/>
      <c r="CZ134" s="51"/>
      <c r="DA134" s="51"/>
      <c r="DB134" s="51"/>
      <c r="DC134" s="51"/>
      <c r="DD134" s="51"/>
      <c r="DE134" s="51"/>
      <c r="DF134" s="51"/>
      <c r="DG134" s="51"/>
      <c r="DH134" s="51"/>
      <c r="DI134" s="51"/>
      <c r="DJ134" s="51"/>
      <c r="DK134" s="51"/>
      <c r="DL134" s="51"/>
      <c r="DM134" s="51"/>
      <c r="DN134" s="51"/>
      <c r="DO134" s="51"/>
      <c r="DP134" s="51"/>
      <c r="DQ134" s="51"/>
      <c r="DR134" s="51"/>
      <c r="DS134" s="51"/>
      <c r="DT134" s="51"/>
      <c r="DU134" s="51"/>
      <c r="DV134" s="51"/>
      <c r="DW134" s="51"/>
      <c r="DX134" s="51"/>
      <c r="DY134" s="51"/>
      <c r="DZ134" s="51"/>
      <c r="EA134" s="51"/>
      <c r="EB134" s="51"/>
      <c r="EC134" s="51"/>
      <c r="ED134" s="51"/>
      <c r="EE134" s="51"/>
      <c r="EF134" s="51"/>
      <c r="EG134" s="51"/>
      <c r="EH134" s="51"/>
      <c r="EI134" s="51"/>
      <c r="EJ134" s="51"/>
    </row>
    <row r="135" spans="1:140">
      <c r="A135" s="69"/>
      <c r="B135" s="69"/>
      <c r="C135" s="88"/>
      <c r="D135" s="87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51"/>
      <c r="AG135" s="51"/>
      <c r="AH135" s="51"/>
      <c r="AI135" s="51"/>
      <c r="AJ135" s="51"/>
      <c r="AK135" s="51"/>
      <c r="AL135" s="51"/>
      <c r="AM135" s="51"/>
      <c r="AN135" s="51"/>
      <c r="AO135" s="51"/>
      <c r="AP135" s="51"/>
      <c r="AQ135" s="51"/>
      <c r="AR135" s="51"/>
      <c r="AS135" s="51"/>
      <c r="AT135" s="51"/>
      <c r="AU135" s="51"/>
      <c r="AV135" s="51"/>
      <c r="AW135" s="51"/>
      <c r="AX135" s="51"/>
      <c r="AY135" s="51"/>
      <c r="AZ135" s="51"/>
      <c r="BA135" s="51"/>
      <c r="BB135" s="51"/>
      <c r="BC135" s="51"/>
      <c r="BD135" s="51"/>
      <c r="BE135" s="51"/>
      <c r="BF135" s="51"/>
      <c r="BG135" s="51"/>
      <c r="BH135" s="51"/>
      <c r="BI135" s="51"/>
      <c r="BJ135" s="51"/>
      <c r="BK135" s="51"/>
      <c r="BL135" s="51"/>
      <c r="BM135" s="51"/>
      <c r="BN135" s="51"/>
      <c r="BO135" s="51"/>
      <c r="BP135" s="51"/>
      <c r="BQ135" s="51"/>
      <c r="BR135" s="51"/>
      <c r="BS135" s="51"/>
      <c r="BT135" s="51"/>
      <c r="BU135" s="51"/>
      <c r="BV135" s="51"/>
      <c r="BW135" s="51"/>
      <c r="BX135" s="51"/>
      <c r="BY135" s="51"/>
      <c r="BZ135" s="51"/>
      <c r="CA135" s="51"/>
      <c r="CB135" s="51"/>
      <c r="CC135" s="51"/>
      <c r="CD135" s="51"/>
      <c r="CE135" s="51"/>
      <c r="CF135" s="51"/>
      <c r="CG135" s="51"/>
      <c r="CH135" s="51"/>
      <c r="CI135" s="51"/>
      <c r="CJ135" s="51"/>
      <c r="CK135" s="51"/>
      <c r="CL135" s="51"/>
      <c r="CM135" s="51"/>
      <c r="CN135" s="51"/>
      <c r="CO135" s="51"/>
      <c r="CP135" s="51"/>
      <c r="CQ135" s="51"/>
      <c r="CR135" s="51"/>
      <c r="CS135" s="51"/>
      <c r="CT135" s="51"/>
      <c r="CU135" s="51"/>
      <c r="CV135" s="51"/>
      <c r="CW135" s="51"/>
      <c r="CX135" s="51"/>
      <c r="CY135" s="51"/>
      <c r="CZ135" s="51"/>
      <c r="DA135" s="51"/>
      <c r="DB135" s="51"/>
      <c r="DC135" s="51"/>
      <c r="DD135" s="51"/>
      <c r="DE135" s="51"/>
      <c r="DF135" s="51"/>
      <c r="DG135" s="51"/>
      <c r="DH135" s="51"/>
      <c r="DI135" s="51"/>
      <c r="DJ135" s="51"/>
      <c r="DK135" s="51"/>
      <c r="DL135" s="51"/>
      <c r="DM135" s="51"/>
      <c r="DN135" s="51"/>
      <c r="DO135" s="51"/>
      <c r="DP135" s="51"/>
      <c r="DQ135" s="51"/>
      <c r="DR135" s="51"/>
      <c r="DS135" s="51"/>
      <c r="DT135" s="51"/>
      <c r="DU135" s="51"/>
      <c r="DV135" s="51"/>
      <c r="DW135" s="51"/>
      <c r="DX135" s="51"/>
      <c r="DY135" s="51"/>
      <c r="DZ135" s="51"/>
      <c r="EA135" s="51"/>
      <c r="EB135" s="51"/>
      <c r="EC135" s="51"/>
      <c r="ED135" s="51"/>
      <c r="EE135" s="51"/>
      <c r="EF135" s="51"/>
      <c r="EG135" s="51"/>
      <c r="EH135" s="51"/>
      <c r="EI135" s="51"/>
      <c r="EJ135" s="51"/>
    </row>
    <row r="136" spans="1:140">
      <c r="A136" s="69"/>
      <c r="B136" s="69"/>
      <c r="C136" s="88"/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51"/>
      <c r="AG136" s="51"/>
      <c r="AH136" s="51"/>
      <c r="AI136" s="51"/>
      <c r="AJ136" s="51"/>
      <c r="AK136" s="51"/>
      <c r="AL136" s="51"/>
      <c r="AM136" s="51"/>
      <c r="AN136" s="51"/>
      <c r="AO136" s="51"/>
      <c r="AP136" s="51"/>
      <c r="AQ136" s="51"/>
      <c r="AR136" s="51"/>
      <c r="AS136" s="51"/>
      <c r="AT136" s="51"/>
      <c r="AU136" s="51"/>
      <c r="AV136" s="51"/>
      <c r="AW136" s="51"/>
      <c r="AX136" s="51"/>
      <c r="AY136" s="51"/>
      <c r="AZ136" s="51"/>
      <c r="BA136" s="51"/>
      <c r="BB136" s="51"/>
      <c r="BC136" s="51"/>
      <c r="BD136" s="51"/>
      <c r="BE136" s="51"/>
      <c r="BF136" s="51"/>
      <c r="BG136" s="51"/>
      <c r="BH136" s="51"/>
      <c r="BI136" s="51"/>
      <c r="BJ136" s="51"/>
      <c r="BK136" s="51"/>
      <c r="BL136" s="51"/>
      <c r="BM136" s="51"/>
      <c r="BN136" s="51"/>
      <c r="BO136" s="51"/>
      <c r="BP136" s="51"/>
      <c r="BQ136" s="51"/>
      <c r="BR136" s="51"/>
      <c r="BS136" s="51"/>
      <c r="BT136" s="51"/>
      <c r="BU136" s="51"/>
      <c r="BV136" s="51"/>
      <c r="BW136" s="51"/>
      <c r="BX136" s="51"/>
      <c r="BY136" s="51"/>
      <c r="BZ136" s="51"/>
      <c r="CA136" s="51"/>
      <c r="CB136" s="51"/>
      <c r="CC136" s="51"/>
      <c r="CD136" s="51"/>
      <c r="CE136" s="51"/>
      <c r="CF136" s="51"/>
      <c r="CG136" s="51"/>
      <c r="CH136" s="51"/>
      <c r="CI136" s="51"/>
      <c r="CJ136" s="51"/>
      <c r="CK136" s="51"/>
      <c r="CL136" s="51"/>
      <c r="CM136" s="51"/>
      <c r="CN136" s="51"/>
      <c r="CO136" s="51"/>
      <c r="CP136" s="51"/>
      <c r="CQ136" s="51"/>
      <c r="CR136" s="51"/>
      <c r="CS136" s="51"/>
      <c r="CT136" s="51"/>
      <c r="CU136" s="51"/>
      <c r="CV136" s="51"/>
      <c r="CW136" s="51"/>
      <c r="CX136" s="51"/>
      <c r="CY136" s="51"/>
      <c r="CZ136" s="51"/>
      <c r="DA136" s="51"/>
      <c r="DB136" s="51"/>
      <c r="DC136" s="51"/>
      <c r="DD136" s="51"/>
      <c r="DE136" s="51"/>
      <c r="DF136" s="51"/>
      <c r="DG136" s="51"/>
      <c r="DH136" s="51"/>
      <c r="DI136" s="51"/>
      <c r="DJ136" s="51"/>
      <c r="DK136" s="51"/>
      <c r="DL136" s="51"/>
      <c r="DM136" s="51"/>
      <c r="DN136" s="51"/>
      <c r="DO136" s="51"/>
      <c r="DP136" s="51"/>
      <c r="DQ136" s="51"/>
      <c r="DR136" s="51"/>
      <c r="DS136" s="51"/>
      <c r="DT136" s="51"/>
      <c r="DU136" s="51"/>
      <c r="DV136" s="51"/>
      <c r="DW136" s="51"/>
      <c r="DX136" s="51"/>
      <c r="DY136" s="51"/>
      <c r="DZ136" s="51"/>
      <c r="EA136" s="51"/>
      <c r="EB136" s="51"/>
      <c r="EC136" s="51"/>
      <c r="ED136" s="51"/>
      <c r="EE136" s="51"/>
      <c r="EF136" s="51"/>
      <c r="EG136" s="51"/>
      <c r="EH136" s="51"/>
      <c r="EI136" s="51"/>
      <c r="EJ136" s="51"/>
    </row>
    <row r="137" spans="1:140">
      <c r="A137" s="69"/>
      <c r="B137" s="69"/>
      <c r="C137" s="88"/>
      <c r="D137" s="87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51"/>
      <c r="AG137" s="51"/>
      <c r="AH137" s="51"/>
      <c r="AI137" s="51"/>
      <c r="AJ137" s="51"/>
      <c r="AK137" s="51"/>
      <c r="AL137" s="51"/>
      <c r="AM137" s="51"/>
      <c r="AN137" s="51"/>
      <c r="AO137" s="51"/>
      <c r="AP137" s="51"/>
      <c r="AQ137" s="51"/>
      <c r="AR137" s="51"/>
      <c r="AS137" s="51"/>
      <c r="AT137" s="51"/>
      <c r="AU137" s="51"/>
      <c r="AV137" s="51"/>
      <c r="AW137" s="51"/>
      <c r="AX137" s="51"/>
      <c r="AY137" s="51"/>
      <c r="AZ137" s="51"/>
      <c r="BA137" s="51"/>
      <c r="BB137" s="51"/>
      <c r="BC137" s="51"/>
      <c r="BD137" s="51"/>
      <c r="BE137" s="51"/>
      <c r="BF137" s="51"/>
      <c r="BG137" s="51"/>
      <c r="BH137" s="51"/>
      <c r="BI137" s="51"/>
      <c r="BJ137" s="51"/>
      <c r="BK137" s="51"/>
      <c r="BL137" s="51"/>
      <c r="BM137" s="51"/>
      <c r="BN137" s="51"/>
      <c r="BO137" s="51"/>
      <c r="BP137" s="51"/>
      <c r="BQ137" s="51"/>
      <c r="BR137" s="51"/>
      <c r="BS137" s="51"/>
      <c r="BT137" s="51"/>
      <c r="BU137" s="51"/>
      <c r="BV137" s="51"/>
      <c r="BW137" s="51"/>
      <c r="BX137" s="51"/>
      <c r="BY137" s="51"/>
      <c r="BZ137" s="51"/>
      <c r="CA137" s="51"/>
      <c r="CB137" s="51"/>
      <c r="CC137" s="51"/>
      <c r="CD137" s="51"/>
      <c r="CE137" s="51"/>
      <c r="CF137" s="51"/>
      <c r="CG137" s="51"/>
      <c r="CH137" s="51"/>
      <c r="CI137" s="51"/>
      <c r="CJ137" s="51"/>
      <c r="CK137" s="51"/>
      <c r="CL137" s="51"/>
      <c r="CM137" s="51"/>
      <c r="CN137" s="51"/>
      <c r="CO137" s="51"/>
      <c r="CP137" s="51"/>
      <c r="CQ137" s="51"/>
      <c r="CR137" s="51"/>
      <c r="CS137" s="51"/>
      <c r="CT137" s="51"/>
      <c r="CU137" s="51"/>
      <c r="CV137" s="51"/>
      <c r="CW137" s="51"/>
      <c r="CX137" s="51"/>
      <c r="CY137" s="51"/>
      <c r="CZ137" s="51"/>
      <c r="DA137" s="51"/>
      <c r="DB137" s="51"/>
      <c r="DC137" s="51"/>
      <c r="DD137" s="51"/>
      <c r="DE137" s="51"/>
      <c r="DF137" s="51"/>
      <c r="DG137" s="51"/>
      <c r="DH137" s="51"/>
      <c r="DI137" s="51"/>
      <c r="DJ137" s="51"/>
      <c r="DK137" s="51"/>
      <c r="DL137" s="51"/>
      <c r="DM137" s="51"/>
      <c r="DN137" s="51"/>
      <c r="DO137" s="51"/>
      <c r="DP137" s="51"/>
      <c r="DQ137" s="51"/>
      <c r="DR137" s="51"/>
      <c r="DS137" s="51"/>
      <c r="DT137" s="51"/>
      <c r="DU137" s="51"/>
      <c r="DV137" s="51"/>
      <c r="DW137" s="51"/>
      <c r="DX137" s="51"/>
      <c r="DY137" s="51"/>
      <c r="DZ137" s="51"/>
      <c r="EA137" s="51"/>
      <c r="EB137" s="51"/>
      <c r="EC137" s="51"/>
      <c r="ED137" s="51"/>
      <c r="EE137" s="51"/>
      <c r="EF137" s="51"/>
      <c r="EG137" s="51"/>
      <c r="EH137" s="51"/>
      <c r="EI137" s="51"/>
      <c r="EJ137" s="51"/>
    </row>
    <row r="138" spans="1:140">
      <c r="A138" s="69"/>
      <c r="B138" s="69"/>
      <c r="C138" s="88"/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51"/>
      <c r="AG138" s="51"/>
      <c r="AH138" s="51"/>
      <c r="AI138" s="51"/>
      <c r="AJ138" s="51"/>
      <c r="AK138" s="51"/>
      <c r="AL138" s="51"/>
      <c r="AM138" s="51"/>
      <c r="AN138" s="51"/>
      <c r="AO138" s="51"/>
      <c r="AP138" s="51"/>
      <c r="AQ138" s="51"/>
      <c r="AR138" s="51"/>
      <c r="AS138" s="51"/>
      <c r="AT138" s="51"/>
      <c r="AU138" s="51"/>
      <c r="AV138" s="51"/>
      <c r="AW138" s="51"/>
      <c r="AX138" s="51"/>
      <c r="AY138" s="51"/>
      <c r="AZ138" s="51"/>
      <c r="BA138" s="51"/>
      <c r="BB138" s="51"/>
      <c r="BC138" s="51"/>
      <c r="BD138" s="51"/>
      <c r="BE138" s="51"/>
      <c r="BF138" s="51"/>
      <c r="BG138" s="51"/>
      <c r="BH138" s="51"/>
      <c r="BI138" s="51"/>
      <c r="BJ138" s="51"/>
      <c r="BK138" s="51"/>
      <c r="BL138" s="51"/>
      <c r="BM138" s="51"/>
      <c r="BN138" s="51"/>
      <c r="BO138" s="51"/>
      <c r="BP138" s="51"/>
      <c r="BQ138" s="51"/>
      <c r="BR138" s="51"/>
      <c r="BS138" s="51"/>
      <c r="BT138" s="51"/>
      <c r="BU138" s="51"/>
      <c r="BV138" s="51"/>
      <c r="BW138" s="51"/>
      <c r="BX138" s="51"/>
      <c r="BY138" s="51"/>
      <c r="BZ138" s="51"/>
      <c r="CA138" s="51"/>
      <c r="CB138" s="51"/>
      <c r="CC138" s="51"/>
      <c r="CD138" s="51"/>
      <c r="CE138" s="51"/>
      <c r="CF138" s="51"/>
      <c r="CG138" s="51"/>
      <c r="CH138" s="51"/>
      <c r="CI138" s="51"/>
      <c r="CJ138" s="51"/>
      <c r="CK138" s="51"/>
      <c r="CL138" s="51"/>
      <c r="CM138" s="51"/>
      <c r="CN138" s="51"/>
      <c r="CO138" s="51"/>
      <c r="CP138" s="51"/>
      <c r="CQ138" s="51"/>
      <c r="CR138" s="51"/>
      <c r="CS138" s="51"/>
      <c r="CT138" s="51"/>
      <c r="CU138" s="51"/>
      <c r="CV138" s="51"/>
      <c r="CW138" s="51"/>
      <c r="CX138" s="51"/>
      <c r="CY138" s="51"/>
      <c r="CZ138" s="51"/>
      <c r="DA138" s="51"/>
      <c r="DB138" s="51"/>
      <c r="DC138" s="51"/>
      <c r="DD138" s="51"/>
      <c r="DE138" s="51"/>
      <c r="DF138" s="51"/>
      <c r="DG138" s="51"/>
      <c r="DH138" s="51"/>
      <c r="DI138" s="51"/>
      <c r="DJ138" s="51"/>
      <c r="DK138" s="51"/>
      <c r="DL138" s="51"/>
      <c r="DM138" s="51"/>
      <c r="DN138" s="51"/>
      <c r="DO138" s="51"/>
      <c r="DP138" s="51"/>
      <c r="DQ138" s="51"/>
      <c r="DR138" s="51"/>
      <c r="DS138" s="51"/>
      <c r="DT138" s="51"/>
      <c r="DU138" s="51"/>
      <c r="DV138" s="51"/>
      <c r="DW138" s="51"/>
      <c r="DX138" s="51"/>
      <c r="DY138" s="51"/>
      <c r="DZ138" s="51"/>
      <c r="EA138" s="51"/>
      <c r="EB138" s="51"/>
      <c r="EC138" s="51"/>
      <c r="ED138" s="51"/>
      <c r="EE138" s="51"/>
      <c r="EF138" s="51"/>
      <c r="EG138" s="51"/>
      <c r="EH138" s="51"/>
      <c r="EI138" s="51"/>
      <c r="EJ138" s="51"/>
    </row>
    <row r="139" spans="1:140">
      <c r="A139" s="69"/>
      <c r="B139" s="69"/>
      <c r="C139" s="88"/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51"/>
      <c r="AG139" s="51"/>
      <c r="AH139" s="51"/>
      <c r="AI139" s="51"/>
      <c r="AJ139" s="51"/>
      <c r="AK139" s="51"/>
      <c r="AL139" s="51"/>
      <c r="AM139" s="51"/>
      <c r="AN139" s="51"/>
      <c r="AO139" s="51"/>
      <c r="AP139" s="51"/>
      <c r="AQ139" s="51"/>
      <c r="AR139" s="51"/>
      <c r="AS139" s="51"/>
      <c r="AT139" s="51"/>
      <c r="AU139" s="51"/>
      <c r="AV139" s="51"/>
      <c r="AW139" s="51"/>
      <c r="AX139" s="51"/>
      <c r="AY139" s="51"/>
      <c r="AZ139" s="51"/>
      <c r="BA139" s="51"/>
      <c r="BB139" s="51"/>
      <c r="BC139" s="51"/>
      <c r="BD139" s="51"/>
      <c r="BE139" s="51"/>
      <c r="BF139" s="51"/>
      <c r="BG139" s="51"/>
      <c r="BH139" s="51"/>
      <c r="BI139" s="51"/>
      <c r="BJ139" s="51"/>
      <c r="BK139" s="51"/>
      <c r="BL139" s="51"/>
      <c r="BM139" s="51"/>
      <c r="BN139" s="51"/>
      <c r="BO139" s="51"/>
      <c r="BP139" s="51"/>
      <c r="BQ139" s="51"/>
      <c r="BR139" s="51"/>
      <c r="BS139" s="51"/>
      <c r="BT139" s="51"/>
      <c r="BU139" s="51"/>
      <c r="BV139" s="51"/>
      <c r="BW139" s="51"/>
      <c r="BX139" s="51"/>
      <c r="BY139" s="51"/>
      <c r="BZ139" s="51"/>
      <c r="CA139" s="51"/>
      <c r="CB139" s="51"/>
      <c r="CC139" s="51"/>
      <c r="CD139" s="51"/>
      <c r="CE139" s="51"/>
      <c r="CF139" s="51"/>
      <c r="CG139" s="51"/>
      <c r="CH139" s="51"/>
      <c r="CI139" s="51"/>
      <c r="CJ139" s="51"/>
      <c r="CK139" s="51"/>
      <c r="CL139" s="51"/>
      <c r="CM139" s="51"/>
      <c r="CN139" s="51"/>
      <c r="CO139" s="51"/>
      <c r="CP139" s="51"/>
      <c r="CQ139" s="51"/>
      <c r="CR139" s="51"/>
      <c r="CS139" s="51"/>
      <c r="CT139" s="51"/>
      <c r="CU139" s="51"/>
      <c r="CV139" s="51"/>
      <c r="CW139" s="51"/>
      <c r="CX139" s="51"/>
      <c r="CY139" s="51"/>
      <c r="CZ139" s="51"/>
      <c r="DA139" s="51"/>
      <c r="DB139" s="51"/>
      <c r="DC139" s="51"/>
      <c r="DD139" s="51"/>
      <c r="DE139" s="51"/>
      <c r="DF139" s="51"/>
      <c r="DG139" s="51"/>
      <c r="DH139" s="51"/>
      <c r="DI139" s="51"/>
      <c r="DJ139" s="51"/>
      <c r="DK139" s="51"/>
      <c r="DL139" s="51"/>
      <c r="DM139" s="51"/>
      <c r="DN139" s="51"/>
      <c r="DO139" s="51"/>
      <c r="DP139" s="51"/>
      <c r="DQ139" s="51"/>
      <c r="DR139" s="51"/>
      <c r="DS139" s="51"/>
      <c r="DT139" s="51"/>
      <c r="DU139" s="51"/>
      <c r="DV139" s="51"/>
      <c r="DW139" s="51"/>
      <c r="DX139" s="51"/>
      <c r="DY139" s="51"/>
      <c r="DZ139" s="51"/>
      <c r="EA139" s="51"/>
      <c r="EB139" s="51"/>
      <c r="EC139" s="51"/>
      <c r="ED139" s="51"/>
      <c r="EE139" s="51"/>
      <c r="EF139" s="51"/>
      <c r="EG139" s="51"/>
      <c r="EH139" s="51"/>
      <c r="EI139" s="51"/>
      <c r="EJ139" s="51"/>
    </row>
    <row r="140" spans="1:140">
      <c r="A140" s="69"/>
      <c r="B140" s="69"/>
      <c r="C140" s="88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51"/>
      <c r="AG140" s="51"/>
      <c r="AH140" s="51"/>
      <c r="AI140" s="51"/>
      <c r="AJ140" s="51"/>
      <c r="AK140" s="51"/>
      <c r="AL140" s="51"/>
      <c r="AM140" s="51"/>
      <c r="AN140" s="51"/>
      <c r="AO140" s="51"/>
      <c r="AP140" s="51"/>
      <c r="AQ140" s="51"/>
      <c r="AR140" s="51"/>
      <c r="AS140" s="51"/>
      <c r="AT140" s="51"/>
      <c r="AU140" s="51"/>
      <c r="AV140" s="51"/>
      <c r="AW140" s="51"/>
      <c r="AX140" s="51"/>
      <c r="AY140" s="51"/>
      <c r="AZ140" s="51"/>
      <c r="BA140" s="51"/>
      <c r="BB140" s="51"/>
      <c r="BC140" s="51"/>
      <c r="BD140" s="51"/>
      <c r="BE140" s="51"/>
      <c r="BF140" s="51"/>
      <c r="BG140" s="51"/>
      <c r="BH140" s="51"/>
      <c r="BI140" s="51"/>
      <c r="BJ140" s="51"/>
      <c r="BK140" s="51"/>
      <c r="BL140" s="51"/>
      <c r="BM140" s="51"/>
      <c r="BN140" s="51"/>
      <c r="BO140" s="51"/>
      <c r="BP140" s="51"/>
      <c r="BQ140" s="51"/>
      <c r="BR140" s="51"/>
      <c r="BS140" s="51"/>
      <c r="BT140" s="51"/>
      <c r="BU140" s="51"/>
      <c r="BV140" s="51"/>
      <c r="BW140" s="51"/>
      <c r="BX140" s="51"/>
      <c r="BY140" s="51"/>
      <c r="BZ140" s="51"/>
      <c r="CA140" s="51"/>
      <c r="CB140" s="51"/>
      <c r="CC140" s="51"/>
      <c r="CD140" s="51"/>
      <c r="CE140" s="51"/>
      <c r="CF140" s="51"/>
      <c r="CG140" s="51"/>
      <c r="CH140" s="51"/>
      <c r="CI140" s="51"/>
      <c r="CJ140" s="51"/>
      <c r="CK140" s="51"/>
      <c r="CL140" s="51"/>
      <c r="CM140" s="51"/>
      <c r="CN140" s="51"/>
      <c r="CO140" s="51"/>
      <c r="CP140" s="51"/>
      <c r="CQ140" s="51"/>
      <c r="CR140" s="51"/>
      <c r="CS140" s="51"/>
      <c r="CT140" s="51"/>
      <c r="CU140" s="51"/>
      <c r="CV140" s="51"/>
      <c r="CW140" s="51"/>
      <c r="CX140" s="51"/>
      <c r="CY140" s="51"/>
      <c r="CZ140" s="51"/>
      <c r="DA140" s="51"/>
      <c r="DB140" s="51"/>
      <c r="DC140" s="51"/>
      <c r="DD140" s="51"/>
      <c r="DE140" s="51"/>
      <c r="DF140" s="51"/>
      <c r="DG140" s="51"/>
      <c r="DH140" s="51"/>
      <c r="DI140" s="51"/>
      <c r="DJ140" s="51"/>
      <c r="DK140" s="51"/>
      <c r="DL140" s="51"/>
      <c r="DM140" s="51"/>
      <c r="DN140" s="51"/>
      <c r="DO140" s="51"/>
      <c r="DP140" s="51"/>
      <c r="DQ140" s="51"/>
      <c r="DR140" s="51"/>
      <c r="DS140" s="51"/>
      <c r="DT140" s="51"/>
      <c r="DU140" s="51"/>
      <c r="DV140" s="51"/>
      <c r="DW140" s="51"/>
      <c r="DX140" s="51"/>
      <c r="DY140" s="51"/>
      <c r="DZ140" s="51"/>
      <c r="EA140" s="51"/>
      <c r="EB140" s="51"/>
      <c r="EC140" s="51"/>
      <c r="ED140" s="51"/>
      <c r="EE140" s="51"/>
      <c r="EF140" s="51"/>
      <c r="EG140" s="51"/>
      <c r="EH140" s="51"/>
      <c r="EI140" s="51"/>
      <c r="EJ140" s="51"/>
    </row>
    <row r="141" spans="1:140">
      <c r="A141" s="69"/>
      <c r="B141" s="69"/>
      <c r="C141" s="88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51"/>
      <c r="AG141" s="51"/>
      <c r="AH141" s="51"/>
      <c r="AI141" s="51"/>
      <c r="AJ141" s="51"/>
      <c r="AK141" s="51"/>
      <c r="AL141" s="51"/>
      <c r="AM141" s="51"/>
      <c r="AN141" s="51"/>
      <c r="AO141" s="51"/>
      <c r="AP141" s="51"/>
      <c r="AQ141" s="51"/>
      <c r="AR141" s="51"/>
      <c r="AS141" s="51"/>
      <c r="AT141" s="51"/>
      <c r="AU141" s="51"/>
      <c r="AV141" s="51"/>
      <c r="AW141" s="51"/>
      <c r="AX141" s="51"/>
      <c r="AY141" s="51"/>
      <c r="AZ141" s="51"/>
      <c r="BA141" s="51"/>
      <c r="BB141" s="51"/>
      <c r="BC141" s="51"/>
      <c r="BD141" s="51"/>
      <c r="BE141" s="51"/>
      <c r="BF141" s="51"/>
      <c r="BG141" s="51"/>
      <c r="BH141" s="51"/>
      <c r="BI141" s="51"/>
      <c r="BJ141" s="51"/>
      <c r="BK141" s="51"/>
      <c r="BL141" s="51"/>
      <c r="BM141" s="51"/>
      <c r="BN141" s="51"/>
      <c r="BO141" s="51"/>
      <c r="BP141" s="51"/>
      <c r="BQ141" s="51"/>
      <c r="BR141" s="51"/>
      <c r="BS141" s="51"/>
      <c r="BT141" s="51"/>
      <c r="BU141" s="51"/>
      <c r="BV141" s="51"/>
      <c r="BW141" s="51"/>
      <c r="BX141" s="51"/>
      <c r="BY141" s="51"/>
      <c r="BZ141" s="51"/>
      <c r="CA141" s="51"/>
      <c r="CB141" s="51"/>
      <c r="CC141" s="51"/>
      <c r="CD141" s="51"/>
      <c r="CE141" s="51"/>
      <c r="CF141" s="51"/>
      <c r="CG141" s="51"/>
      <c r="CH141" s="51"/>
      <c r="CI141" s="51"/>
      <c r="CJ141" s="51"/>
      <c r="CK141" s="51"/>
      <c r="CL141" s="51"/>
      <c r="CM141" s="51"/>
      <c r="CN141" s="51"/>
      <c r="CO141" s="51"/>
      <c r="CP141" s="51"/>
      <c r="CQ141" s="51"/>
      <c r="CR141" s="51"/>
      <c r="CS141" s="51"/>
      <c r="CT141" s="51"/>
      <c r="CU141" s="51"/>
      <c r="CV141" s="51"/>
      <c r="CW141" s="51"/>
      <c r="CX141" s="51"/>
      <c r="CY141" s="51"/>
      <c r="CZ141" s="51"/>
      <c r="DA141" s="51"/>
      <c r="DB141" s="51"/>
      <c r="DC141" s="51"/>
      <c r="DD141" s="51"/>
      <c r="DE141" s="51"/>
      <c r="DF141" s="51"/>
      <c r="DG141" s="51"/>
      <c r="DH141" s="51"/>
      <c r="DI141" s="51"/>
      <c r="DJ141" s="51"/>
      <c r="DK141" s="51"/>
      <c r="DL141" s="51"/>
      <c r="DM141" s="51"/>
      <c r="DN141" s="51"/>
      <c r="DO141" s="51"/>
      <c r="DP141" s="51"/>
      <c r="DQ141" s="51"/>
      <c r="DR141" s="51"/>
      <c r="DS141" s="51"/>
      <c r="DT141" s="51"/>
      <c r="DU141" s="51"/>
      <c r="DV141" s="51"/>
      <c r="DW141" s="51"/>
      <c r="DX141" s="51"/>
      <c r="DY141" s="51"/>
      <c r="DZ141" s="51"/>
      <c r="EA141" s="51"/>
      <c r="EB141" s="51"/>
      <c r="EC141" s="51"/>
      <c r="ED141" s="51"/>
      <c r="EE141" s="51"/>
      <c r="EF141" s="51"/>
      <c r="EG141" s="51"/>
      <c r="EH141" s="51"/>
      <c r="EI141" s="51"/>
      <c r="EJ141" s="51"/>
    </row>
    <row r="142" spans="1:140">
      <c r="A142" s="69"/>
      <c r="B142" s="69"/>
      <c r="C142" s="88"/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51"/>
      <c r="AG142" s="51"/>
      <c r="AH142" s="51"/>
      <c r="AI142" s="51"/>
      <c r="AJ142" s="51"/>
      <c r="AK142" s="51"/>
      <c r="AL142" s="51"/>
      <c r="AM142" s="51"/>
      <c r="AN142" s="51"/>
      <c r="AO142" s="51"/>
      <c r="AP142" s="51"/>
      <c r="AQ142" s="51"/>
      <c r="AR142" s="51"/>
      <c r="AS142" s="51"/>
      <c r="AT142" s="51"/>
      <c r="AU142" s="51"/>
      <c r="AV142" s="51"/>
      <c r="AW142" s="51"/>
      <c r="AX142" s="51"/>
      <c r="AY142" s="51"/>
      <c r="AZ142" s="51"/>
      <c r="BA142" s="51"/>
      <c r="BB142" s="51"/>
      <c r="BC142" s="51"/>
      <c r="BD142" s="51"/>
      <c r="BE142" s="51"/>
      <c r="BF142" s="51"/>
      <c r="BG142" s="51"/>
      <c r="BH142" s="51"/>
      <c r="BI142" s="51"/>
      <c r="BJ142" s="51"/>
      <c r="BK142" s="51"/>
      <c r="BL142" s="51"/>
      <c r="BM142" s="51"/>
      <c r="BN142" s="51"/>
      <c r="BO142" s="51"/>
      <c r="BP142" s="51"/>
      <c r="BQ142" s="51"/>
      <c r="BR142" s="51"/>
      <c r="BS142" s="51"/>
      <c r="BT142" s="51"/>
      <c r="BU142" s="51"/>
      <c r="BV142" s="51"/>
      <c r="BW142" s="51"/>
      <c r="BX142" s="51"/>
      <c r="BY142" s="51"/>
      <c r="BZ142" s="51"/>
      <c r="CA142" s="51"/>
      <c r="CB142" s="51"/>
      <c r="CC142" s="51"/>
      <c r="CD142" s="51"/>
      <c r="CE142" s="51"/>
      <c r="CF142" s="51"/>
      <c r="CG142" s="51"/>
      <c r="CH142" s="51"/>
      <c r="CI142" s="51"/>
      <c r="CJ142" s="51"/>
      <c r="CK142" s="51"/>
      <c r="CL142" s="51"/>
      <c r="CM142" s="51"/>
      <c r="CN142" s="51"/>
      <c r="CO142" s="51"/>
      <c r="CP142" s="51"/>
      <c r="CQ142" s="51"/>
      <c r="CR142" s="51"/>
      <c r="CS142" s="51"/>
      <c r="CT142" s="51"/>
      <c r="CU142" s="51"/>
      <c r="CV142" s="51"/>
      <c r="CW142" s="51"/>
      <c r="CX142" s="51"/>
      <c r="CY142" s="51"/>
      <c r="CZ142" s="51"/>
      <c r="DA142" s="51"/>
      <c r="DB142" s="51"/>
      <c r="DC142" s="51"/>
      <c r="DD142" s="51"/>
      <c r="DE142" s="51"/>
      <c r="DF142" s="51"/>
      <c r="DG142" s="51"/>
      <c r="DH142" s="51"/>
      <c r="DI142" s="51"/>
      <c r="DJ142" s="51"/>
      <c r="DK142" s="51"/>
      <c r="DL142" s="51"/>
      <c r="DM142" s="51"/>
      <c r="DN142" s="51"/>
      <c r="DO142" s="51"/>
      <c r="DP142" s="51"/>
      <c r="DQ142" s="51"/>
      <c r="DR142" s="51"/>
      <c r="DS142" s="51"/>
      <c r="DT142" s="51"/>
      <c r="DU142" s="51"/>
      <c r="DV142" s="51"/>
      <c r="DW142" s="51"/>
      <c r="DX142" s="51"/>
      <c r="DY142" s="51"/>
      <c r="DZ142" s="51"/>
      <c r="EA142" s="51"/>
      <c r="EB142" s="51"/>
      <c r="EC142" s="51"/>
      <c r="ED142" s="51"/>
      <c r="EE142" s="51"/>
      <c r="EF142" s="51"/>
      <c r="EG142" s="51"/>
      <c r="EH142" s="51"/>
      <c r="EI142" s="51"/>
      <c r="EJ142" s="51"/>
    </row>
    <row r="143" spans="1:140">
      <c r="A143" s="69"/>
      <c r="B143" s="69"/>
      <c r="C143" s="88"/>
      <c r="D143" s="87"/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51"/>
      <c r="AG143" s="51"/>
      <c r="AH143" s="51"/>
      <c r="AI143" s="51"/>
      <c r="AJ143" s="51"/>
      <c r="AK143" s="51"/>
      <c r="AL143" s="51"/>
      <c r="AM143" s="51"/>
      <c r="AN143" s="51"/>
      <c r="AO143" s="51"/>
      <c r="AP143" s="51"/>
      <c r="AQ143" s="51"/>
      <c r="AR143" s="51"/>
      <c r="AS143" s="51"/>
      <c r="AT143" s="51"/>
      <c r="AU143" s="51"/>
      <c r="AV143" s="51"/>
      <c r="AW143" s="51"/>
      <c r="AX143" s="51"/>
      <c r="AY143" s="51"/>
      <c r="AZ143" s="51"/>
      <c r="BA143" s="51"/>
      <c r="BB143" s="51"/>
      <c r="BC143" s="51"/>
      <c r="BD143" s="51"/>
      <c r="BE143" s="51"/>
      <c r="BF143" s="51"/>
      <c r="BG143" s="51"/>
      <c r="BH143" s="51"/>
      <c r="BI143" s="51"/>
      <c r="BJ143" s="51"/>
      <c r="BK143" s="51"/>
      <c r="BL143" s="51"/>
      <c r="BM143" s="51"/>
      <c r="BN143" s="51"/>
      <c r="BO143" s="51"/>
      <c r="BP143" s="51"/>
      <c r="BQ143" s="51"/>
      <c r="BR143" s="51"/>
      <c r="BS143" s="51"/>
      <c r="BT143" s="51"/>
      <c r="BU143" s="51"/>
      <c r="BV143" s="51"/>
      <c r="BW143" s="51"/>
      <c r="BX143" s="51"/>
      <c r="BY143" s="51"/>
      <c r="BZ143" s="51"/>
      <c r="CA143" s="51"/>
      <c r="CB143" s="51"/>
      <c r="CC143" s="51"/>
      <c r="CD143" s="51"/>
      <c r="CE143" s="51"/>
      <c r="CF143" s="51"/>
      <c r="CG143" s="51"/>
      <c r="CH143" s="51"/>
      <c r="CI143" s="51"/>
      <c r="CJ143" s="51"/>
      <c r="CK143" s="51"/>
      <c r="CL143" s="51"/>
      <c r="CM143" s="51"/>
      <c r="CN143" s="51"/>
      <c r="CO143" s="51"/>
      <c r="CP143" s="51"/>
      <c r="CQ143" s="51"/>
      <c r="CR143" s="51"/>
      <c r="CS143" s="51"/>
      <c r="CT143" s="51"/>
      <c r="CU143" s="51"/>
      <c r="CV143" s="51"/>
      <c r="CW143" s="51"/>
      <c r="CX143" s="51"/>
      <c r="CY143" s="51"/>
      <c r="CZ143" s="51"/>
      <c r="DA143" s="51"/>
      <c r="DB143" s="51"/>
      <c r="DC143" s="51"/>
      <c r="DD143" s="51"/>
      <c r="DE143" s="51"/>
      <c r="DF143" s="51"/>
      <c r="DG143" s="51"/>
      <c r="DH143" s="51"/>
      <c r="DI143" s="51"/>
      <c r="DJ143" s="51"/>
      <c r="DK143" s="51"/>
      <c r="DL143" s="51"/>
      <c r="DM143" s="51"/>
      <c r="DN143" s="51"/>
      <c r="DO143" s="51"/>
      <c r="DP143" s="51"/>
      <c r="DQ143" s="51"/>
      <c r="DR143" s="51"/>
      <c r="DS143" s="51"/>
      <c r="DT143" s="51"/>
      <c r="DU143" s="51"/>
      <c r="DV143" s="51"/>
      <c r="DW143" s="51"/>
      <c r="DX143" s="51"/>
      <c r="DY143" s="51"/>
      <c r="DZ143" s="51"/>
      <c r="EA143" s="51"/>
      <c r="EB143" s="51"/>
      <c r="EC143" s="51"/>
      <c r="ED143" s="51"/>
      <c r="EE143" s="51"/>
      <c r="EF143" s="51"/>
      <c r="EG143" s="51"/>
      <c r="EH143" s="51"/>
      <c r="EI143" s="51"/>
      <c r="EJ143" s="51"/>
    </row>
    <row r="144" spans="1:140">
      <c r="A144" s="69"/>
      <c r="B144" s="69"/>
      <c r="C144" s="88"/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51"/>
      <c r="AG144" s="51"/>
      <c r="AH144" s="51"/>
      <c r="AI144" s="51"/>
      <c r="AJ144" s="51"/>
      <c r="AK144" s="51"/>
      <c r="AL144" s="51"/>
      <c r="AM144" s="51"/>
      <c r="AN144" s="51"/>
      <c r="AO144" s="51"/>
      <c r="AP144" s="51"/>
      <c r="AQ144" s="51"/>
      <c r="AR144" s="51"/>
      <c r="AS144" s="51"/>
      <c r="AT144" s="51"/>
      <c r="AU144" s="51"/>
      <c r="AV144" s="51"/>
      <c r="AW144" s="51"/>
      <c r="AX144" s="51"/>
      <c r="AY144" s="51"/>
      <c r="AZ144" s="51"/>
      <c r="BA144" s="51"/>
      <c r="BB144" s="51"/>
      <c r="BC144" s="51"/>
      <c r="BD144" s="51"/>
      <c r="BE144" s="51"/>
      <c r="BF144" s="51"/>
      <c r="BG144" s="51"/>
      <c r="BH144" s="51"/>
      <c r="BI144" s="51"/>
      <c r="BJ144" s="51"/>
      <c r="BK144" s="51"/>
      <c r="BL144" s="51"/>
      <c r="BM144" s="51"/>
      <c r="BN144" s="51"/>
      <c r="BO144" s="51"/>
      <c r="BP144" s="51"/>
      <c r="BQ144" s="51"/>
      <c r="BR144" s="51"/>
      <c r="BS144" s="51"/>
      <c r="BT144" s="51"/>
      <c r="BU144" s="51"/>
      <c r="BV144" s="51"/>
      <c r="BW144" s="51"/>
      <c r="BX144" s="51"/>
      <c r="BY144" s="51"/>
      <c r="BZ144" s="51"/>
      <c r="CA144" s="51"/>
      <c r="CB144" s="51"/>
      <c r="CC144" s="51"/>
      <c r="CD144" s="51"/>
      <c r="CE144" s="51"/>
      <c r="CF144" s="51"/>
      <c r="CG144" s="51"/>
      <c r="CH144" s="51"/>
      <c r="CI144" s="51"/>
      <c r="CJ144" s="51"/>
      <c r="CK144" s="51"/>
      <c r="CL144" s="51"/>
      <c r="CM144" s="51"/>
      <c r="CN144" s="51"/>
      <c r="CO144" s="51"/>
      <c r="CP144" s="51"/>
      <c r="CQ144" s="51"/>
      <c r="CR144" s="51"/>
      <c r="CS144" s="51"/>
      <c r="CT144" s="51"/>
      <c r="CU144" s="51"/>
      <c r="CV144" s="51"/>
      <c r="CW144" s="51"/>
      <c r="CX144" s="51"/>
      <c r="CY144" s="51"/>
      <c r="CZ144" s="51"/>
      <c r="DA144" s="51"/>
      <c r="DB144" s="51"/>
      <c r="DC144" s="51"/>
      <c r="DD144" s="51"/>
      <c r="DE144" s="51"/>
      <c r="DF144" s="51"/>
      <c r="DG144" s="51"/>
      <c r="DH144" s="51"/>
      <c r="DI144" s="51"/>
      <c r="DJ144" s="51"/>
      <c r="DK144" s="51"/>
      <c r="DL144" s="51"/>
      <c r="DM144" s="51"/>
      <c r="DN144" s="51"/>
      <c r="DO144" s="51"/>
      <c r="DP144" s="51"/>
      <c r="DQ144" s="51"/>
      <c r="DR144" s="51"/>
      <c r="DS144" s="51"/>
      <c r="DT144" s="51"/>
      <c r="DU144" s="51"/>
      <c r="DV144" s="51"/>
      <c r="DW144" s="51"/>
      <c r="DX144" s="51"/>
      <c r="DY144" s="51"/>
      <c r="DZ144" s="51"/>
      <c r="EA144" s="51"/>
      <c r="EB144" s="51"/>
      <c r="EC144" s="51"/>
      <c r="ED144" s="51"/>
      <c r="EE144" s="51"/>
      <c r="EF144" s="51"/>
      <c r="EG144" s="51"/>
      <c r="EH144" s="51"/>
      <c r="EI144" s="51"/>
      <c r="EJ144" s="51"/>
    </row>
    <row r="145" spans="1:140">
      <c r="A145" s="69"/>
      <c r="B145" s="69"/>
      <c r="C145" s="88"/>
      <c r="D145" s="87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51"/>
      <c r="AG145" s="51"/>
      <c r="AH145" s="51"/>
      <c r="AI145" s="51"/>
      <c r="AJ145" s="51"/>
      <c r="AK145" s="51"/>
      <c r="AL145" s="51"/>
      <c r="AM145" s="51"/>
      <c r="AN145" s="51"/>
      <c r="AO145" s="51"/>
      <c r="AP145" s="51"/>
      <c r="AQ145" s="51"/>
      <c r="AR145" s="51"/>
      <c r="AS145" s="51"/>
      <c r="AT145" s="51"/>
      <c r="AU145" s="51"/>
      <c r="AV145" s="51"/>
      <c r="AW145" s="51"/>
      <c r="AX145" s="51"/>
      <c r="AY145" s="51"/>
      <c r="AZ145" s="51"/>
      <c r="BA145" s="51"/>
      <c r="BB145" s="51"/>
      <c r="BC145" s="51"/>
      <c r="BD145" s="51"/>
      <c r="BE145" s="51"/>
      <c r="BF145" s="51"/>
      <c r="BG145" s="51"/>
      <c r="BH145" s="51"/>
      <c r="BI145" s="51"/>
      <c r="BJ145" s="51"/>
      <c r="BK145" s="51"/>
      <c r="BL145" s="51"/>
      <c r="BM145" s="51"/>
      <c r="BN145" s="51"/>
      <c r="BO145" s="51"/>
      <c r="BP145" s="51"/>
      <c r="BQ145" s="51"/>
      <c r="BR145" s="51"/>
      <c r="BS145" s="51"/>
      <c r="BT145" s="51"/>
      <c r="BU145" s="51"/>
      <c r="BV145" s="51"/>
      <c r="BW145" s="51"/>
      <c r="BX145" s="51"/>
      <c r="BY145" s="51"/>
      <c r="BZ145" s="51"/>
      <c r="CA145" s="51"/>
      <c r="CB145" s="51"/>
      <c r="CC145" s="51"/>
      <c r="CD145" s="51"/>
      <c r="CE145" s="51"/>
      <c r="CF145" s="51"/>
      <c r="CG145" s="51"/>
      <c r="CH145" s="51"/>
      <c r="CI145" s="51"/>
      <c r="CJ145" s="51"/>
      <c r="CK145" s="51"/>
      <c r="CL145" s="51"/>
      <c r="CM145" s="51"/>
      <c r="CN145" s="51"/>
      <c r="CO145" s="51"/>
      <c r="CP145" s="51"/>
      <c r="CQ145" s="51"/>
      <c r="CR145" s="51"/>
      <c r="CS145" s="51"/>
      <c r="CT145" s="51"/>
      <c r="CU145" s="51"/>
      <c r="CV145" s="51"/>
      <c r="CW145" s="51"/>
      <c r="CX145" s="51"/>
      <c r="CY145" s="51"/>
      <c r="CZ145" s="51"/>
      <c r="DA145" s="51"/>
      <c r="DB145" s="51"/>
      <c r="DC145" s="51"/>
      <c r="DD145" s="51"/>
      <c r="DE145" s="51"/>
      <c r="DF145" s="51"/>
      <c r="DG145" s="51"/>
      <c r="DH145" s="51"/>
      <c r="DI145" s="51"/>
      <c r="DJ145" s="51"/>
      <c r="DK145" s="51"/>
      <c r="DL145" s="51"/>
      <c r="DM145" s="51"/>
      <c r="DN145" s="51"/>
      <c r="DO145" s="51"/>
      <c r="DP145" s="51"/>
      <c r="DQ145" s="51"/>
      <c r="DR145" s="51"/>
      <c r="DS145" s="51"/>
      <c r="DT145" s="51"/>
      <c r="DU145" s="51"/>
      <c r="DV145" s="51"/>
      <c r="DW145" s="51"/>
      <c r="DX145" s="51"/>
      <c r="DY145" s="51"/>
      <c r="DZ145" s="51"/>
      <c r="EA145" s="51"/>
      <c r="EB145" s="51"/>
      <c r="EC145" s="51"/>
      <c r="ED145" s="51"/>
      <c r="EE145" s="51"/>
      <c r="EF145" s="51"/>
      <c r="EG145" s="51"/>
      <c r="EH145" s="51"/>
      <c r="EI145" s="51"/>
      <c r="EJ145" s="51"/>
    </row>
    <row r="146" spans="1:140">
      <c r="A146" s="69"/>
      <c r="B146" s="69"/>
      <c r="C146" s="88"/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51"/>
      <c r="AG146" s="51"/>
      <c r="AH146" s="51"/>
      <c r="AI146" s="51"/>
      <c r="AJ146" s="51"/>
      <c r="AK146" s="51"/>
      <c r="AL146" s="51"/>
      <c r="AM146" s="51"/>
      <c r="AN146" s="51"/>
      <c r="AO146" s="51"/>
      <c r="AP146" s="51"/>
      <c r="AQ146" s="51"/>
      <c r="AR146" s="51"/>
      <c r="AS146" s="51"/>
      <c r="AT146" s="51"/>
      <c r="AU146" s="51"/>
      <c r="AV146" s="51"/>
      <c r="AW146" s="51"/>
      <c r="AX146" s="51"/>
      <c r="AY146" s="51"/>
      <c r="AZ146" s="51"/>
      <c r="BA146" s="51"/>
      <c r="BB146" s="51"/>
      <c r="BC146" s="51"/>
      <c r="BD146" s="51"/>
      <c r="BE146" s="51"/>
      <c r="BF146" s="51"/>
      <c r="BG146" s="51"/>
      <c r="BH146" s="51"/>
      <c r="BI146" s="51"/>
      <c r="BJ146" s="51"/>
      <c r="BK146" s="51"/>
      <c r="BL146" s="51"/>
      <c r="BM146" s="51"/>
      <c r="BN146" s="51"/>
      <c r="BO146" s="51"/>
      <c r="BP146" s="51"/>
      <c r="BQ146" s="51"/>
      <c r="BR146" s="51"/>
      <c r="BS146" s="51"/>
      <c r="BT146" s="51"/>
      <c r="BU146" s="51"/>
      <c r="BV146" s="51"/>
      <c r="BW146" s="51"/>
      <c r="BX146" s="51"/>
      <c r="BY146" s="51"/>
      <c r="BZ146" s="51"/>
      <c r="CA146" s="51"/>
      <c r="CB146" s="51"/>
      <c r="CC146" s="51"/>
      <c r="CD146" s="51"/>
      <c r="CE146" s="51"/>
      <c r="CF146" s="51"/>
      <c r="CG146" s="51"/>
      <c r="CH146" s="51"/>
      <c r="CI146" s="51"/>
      <c r="CJ146" s="51"/>
      <c r="CK146" s="51"/>
      <c r="CL146" s="51"/>
      <c r="CM146" s="51"/>
      <c r="CN146" s="51"/>
      <c r="CO146" s="51"/>
      <c r="CP146" s="51"/>
      <c r="CQ146" s="51"/>
      <c r="CR146" s="51"/>
      <c r="CS146" s="51"/>
      <c r="CT146" s="51"/>
      <c r="CU146" s="51"/>
      <c r="CV146" s="51"/>
      <c r="CW146" s="51"/>
      <c r="CX146" s="51"/>
      <c r="CY146" s="51"/>
      <c r="CZ146" s="51"/>
      <c r="DA146" s="51"/>
      <c r="DB146" s="51"/>
      <c r="DC146" s="51"/>
      <c r="DD146" s="51"/>
      <c r="DE146" s="51"/>
      <c r="DF146" s="51"/>
      <c r="DG146" s="51"/>
      <c r="DH146" s="51"/>
      <c r="DI146" s="51"/>
      <c r="DJ146" s="51"/>
      <c r="DK146" s="51"/>
      <c r="DL146" s="51"/>
      <c r="DM146" s="51"/>
      <c r="DN146" s="51"/>
      <c r="DO146" s="51"/>
      <c r="DP146" s="51"/>
      <c r="DQ146" s="51"/>
      <c r="DR146" s="51"/>
      <c r="DS146" s="51"/>
      <c r="DT146" s="51"/>
      <c r="DU146" s="51"/>
      <c r="DV146" s="51"/>
      <c r="DW146" s="51"/>
      <c r="DX146" s="51"/>
      <c r="DY146" s="51"/>
      <c r="DZ146" s="51"/>
      <c r="EA146" s="51"/>
      <c r="EB146" s="51"/>
      <c r="EC146" s="51"/>
      <c r="ED146" s="51"/>
      <c r="EE146" s="51"/>
      <c r="EF146" s="51"/>
      <c r="EG146" s="51"/>
      <c r="EH146" s="51"/>
      <c r="EI146" s="51"/>
      <c r="EJ146" s="51"/>
    </row>
    <row r="147" spans="1:140">
      <c r="A147" s="69"/>
      <c r="B147" s="69"/>
      <c r="C147" s="88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51"/>
      <c r="AG147" s="51"/>
      <c r="AH147" s="51"/>
      <c r="AI147" s="51"/>
      <c r="AJ147" s="51"/>
      <c r="AK147" s="51"/>
      <c r="AL147" s="51"/>
      <c r="AM147" s="51"/>
      <c r="AN147" s="51"/>
      <c r="AO147" s="51"/>
      <c r="AP147" s="51"/>
      <c r="AQ147" s="51"/>
      <c r="AR147" s="51"/>
      <c r="AS147" s="51"/>
      <c r="AT147" s="51"/>
      <c r="AU147" s="51"/>
      <c r="AV147" s="51"/>
      <c r="AW147" s="51"/>
      <c r="AX147" s="51"/>
      <c r="AY147" s="51"/>
      <c r="AZ147" s="51"/>
      <c r="BA147" s="51"/>
      <c r="BB147" s="51"/>
      <c r="BC147" s="51"/>
      <c r="BD147" s="51"/>
      <c r="BE147" s="51"/>
      <c r="BF147" s="51"/>
      <c r="BG147" s="51"/>
      <c r="BH147" s="51"/>
      <c r="BI147" s="51"/>
      <c r="BJ147" s="51"/>
      <c r="BK147" s="51"/>
      <c r="BL147" s="51"/>
      <c r="BM147" s="51"/>
      <c r="BN147" s="51"/>
      <c r="BO147" s="51"/>
      <c r="BP147" s="51"/>
      <c r="BQ147" s="51"/>
      <c r="BR147" s="51"/>
      <c r="BS147" s="51"/>
      <c r="BT147" s="51"/>
      <c r="BU147" s="51"/>
      <c r="BV147" s="51"/>
      <c r="BW147" s="51"/>
      <c r="BX147" s="51"/>
      <c r="BY147" s="51"/>
      <c r="BZ147" s="51"/>
      <c r="CA147" s="51"/>
      <c r="CB147" s="51"/>
      <c r="CC147" s="51"/>
      <c r="CD147" s="51"/>
      <c r="CE147" s="51"/>
      <c r="CF147" s="51"/>
      <c r="CG147" s="51"/>
      <c r="CH147" s="51"/>
      <c r="CI147" s="51"/>
      <c r="CJ147" s="51"/>
      <c r="CK147" s="51"/>
      <c r="CL147" s="51"/>
      <c r="CM147" s="51"/>
      <c r="CN147" s="51"/>
      <c r="CO147" s="51"/>
      <c r="CP147" s="51"/>
      <c r="CQ147" s="51"/>
      <c r="CR147" s="51"/>
      <c r="CS147" s="51"/>
      <c r="CT147" s="51"/>
      <c r="CU147" s="51"/>
      <c r="CV147" s="51"/>
      <c r="CW147" s="51"/>
      <c r="CX147" s="51"/>
      <c r="CY147" s="51"/>
      <c r="CZ147" s="51"/>
      <c r="DA147" s="51"/>
      <c r="DB147" s="51"/>
      <c r="DC147" s="51"/>
      <c r="DD147" s="51"/>
      <c r="DE147" s="51"/>
      <c r="DF147" s="51"/>
      <c r="DG147" s="51"/>
      <c r="DH147" s="51"/>
      <c r="DI147" s="51"/>
      <c r="DJ147" s="51"/>
      <c r="DK147" s="51"/>
      <c r="DL147" s="51"/>
      <c r="DM147" s="51"/>
      <c r="DN147" s="51"/>
      <c r="DO147" s="51"/>
      <c r="DP147" s="51"/>
      <c r="DQ147" s="51"/>
      <c r="DR147" s="51"/>
      <c r="DS147" s="51"/>
      <c r="DT147" s="51"/>
      <c r="DU147" s="51"/>
      <c r="DV147" s="51"/>
      <c r="DW147" s="51"/>
      <c r="DX147" s="51"/>
      <c r="DY147" s="51"/>
      <c r="DZ147" s="51"/>
      <c r="EA147" s="51"/>
      <c r="EB147" s="51"/>
      <c r="EC147" s="51"/>
      <c r="ED147" s="51"/>
      <c r="EE147" s="51"/>
      <c r="EF147" s="51"/>
      <c r="EG147" s="51"/>
      <c r="EH147" s="51"/>
      <c r="EI147" s="51"/>
      <c r="EJ147" s="51"/>
    </row>
    <row r="148" spans="1:140">
      <c r="A148" s="69"/>
      <c r="B148" s="69"/>
      <c r="C148" s="88"/>
      <c r="D148" s="87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51"/>
      <c r="AG148" s="51"/>
      <c r="AH148" s="51"/>
      <c r="AI148" s="51"/>
      <c r="AJ148" s="51"/>
      <c r="AK148" s="51"/>
      <c r="AL148" s="51"/>
      <c r="AM148" s="51"/>
      <c r="AN148" s="51"/>
      <c r="AO148" s="51"/>
      <c r="AP148" s="51"/>
      <c r="AQ148" s="51"/>
      <c r="AR148" s="51"/>
      <c r="AS148" s="51"/>
      <c r="AT148" s="51"/>
      <c r="AU148" s="51"/>
      <c r="AV148" s="51"/>
      <c r="AW148" s="51"/>
      <c r="AX148" s="51"/>
      <c r="AY148" s="51"/>
      <c r="AZ148" s="51"/>
      <c r="BA148" s="51"/>
      <c r="BB148" s="51"/>
      <c r="BC148" s="51"/>
      <c r="BD148" s="51"/>
      <c r="BE148" s="51"/>
      <c r="BF148" s="51"/>
      <c r="BG148" s="51"/>
      <c r="BH148" s="51"/>
      <c r="BI148" s="51"/>
      <c r="BJ148" s="51"/>
      <c r="BK148" s="51"/>
      <c r="BL148" s="51"/>
      <c r="BM148" s="51"/>
      <c r="BN148" s="51"/>
      <c r="BO148" s="51"/>
      <c r="BP148" s="51"/>
      <c r="BQ148" s="51"/>
      <c r="BR148" s="51"/>
      <c r="BS148" s="51"/>
      <c r="BT148" s="51"/>
      <c r="BU148" s="51"/>
      <c r="BV148" s="51"/>
      <c r="BW148" s="51"/>
      <c r="BX148" s="51"/>
      <c r="BY148" s="51"/>
      <c r="BZ148" s="51"/>
      <c r="CA148" s="51"/>
      <c r="CB148" s="51"/>
      <c r="CC148" s="51"/>
      <c r="CD148" s="51"/>
      <c r="CE148" s="51"/>
      <c r="CF148" s="51"/>
      <c r="CG148" s="51"/>
      <c r="CH148" s="51"/>
      <c r="CI148" s="51"/>
      <c r="CJ148" s="51"/>
      <c r="CK148" s="51"/>
      <c r="CL148" s="51"/>
      <c r="CM148" s="51"/>
      <c r="CN148" s="51"/>
      <c r="CO148" s="51"/>
      <c r="CP148" s="51"/>
      <c r="CQ148" s="51"/>
      <c r="CR148" s="51"/>
      <c r="CS148" s="51"/>
      <c r="CT148" s="51"/>
      <c r="CU148" s="51"/>
      <c r="CV148" s="51"/>
      <c r="CW148" s="51"/>
      <c r="CX148" s="51"/>
      <c r="CY148" s="51"/>
      <c r="CZ148" s="51"/>
      <c r="DA148" s="51"/>
      <c r="DB148" s="51"/>
      <c r="DC148" s="51"/>
      <c r="DD148" s="51"/>
      <c r="DE148" s="51"/>
      <c r="DF148" s="51"/>
      <c r="DG148" s="51"/>
      <c r="DH148" s="51"/>
      <c r="DI148" s="51"/>
      <c r="DJ148" s="51"/>
      <c r="DK148" s="51"/>
      <c r="DL148" s="51"/>
      <c r="DM148" s="51"/>
      <c r="DN148" s="51"/>
      <c r="DO148" s="51"/>
      <c r="DP148" s="51"/>
      <c r="DQ148" s="51"/>
      <c r="DR148" s="51"/>
      <c r="DS148" s="51"/>
      <c r="DT148" s="51"/>
      <c r="DU148" s="51"/>
      <c r="DV148" s="51"/>
      <c r="DW148" s="51"/>
      <c r="DX148" s="51"/>
      <c r="DY148" s="51"/>
      <c r="DZ148" s="51"/>
      <c r="EA148" s="51"/>
      <c r="EB148" s="51"/>
      <c r="EC148" s="51"/>
      <c r="ED148" s="51"/>
      <c r="EE148" s="51"/>
      <c r="EF148" s="51"/>
      <c r="EG148" s="51"/>
      <c r="EH148" s="51"/>
      <c r="EI148" s="51"/>
      <c r="EJ148" s="51"/>
    </row>
    <row r="149" spans="1:140">
      <c r="A149" s="69"/>
      <c r="B149" s="69"/>
      <c r="C149" s="88"/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51"/>
      <c r="AG149" s="51"/>
      <c r="AH149" s="51"/>
      <c r="AI149" s="51"/>
      <c r="AJ149" s="51"/>
      <c r="AK149" s="51"/>
      <c r="AL149" s="51"/>
      <c r="AM149" s="51"/>
      <c r="AN149" s="51"/>
      <c r="AO149" s="51"/>
      <c r="AP149" s="51"/>
      <c r="AQ149" s="51"/>
      <c r="AR149" s="51"/>
      <c r="AS149" s="51"/>
      <c r="AT149" s="51"/>
      <c r="AU149" s="51"/>
      <c r="AV149" s="51"/>
      <c r="AW149" s="51"/>
      <c r="AX149" s="51"/>
      <c r="AY149" s="51"/>
      <c r="AZ149" s="51"/>
      <c r="BA149" s="51"/>
      <c r="BB149" s="51"/>
      <c r="BC149" s="51"/>
      <c r="BD149" s="51"/>
      <c r="BE149" s="51"/>
      <c r="BF149" s="51"/>
      <c r="BG149" s="51"/>
      <c r="BH149" s="51"/>
      <c r="BI149" s="51"/>
      <c r="BJ149" s="51"/>
      <c r="BK149" s="51"/>
      <c r="BL149" s="51"/>
      <c r="BM149" s="51"/>
      <c r="BN149" s="51"/>
      <c r="BO149" s="51"/>
      <c r="BP149" s="51"/>
      <c r="BQ149" s="51"/>
      <c r="BR149" s="51"/>
      <c r="BS149" s="51"/>
      <c r="BT149" s="51"/>
      <c r="BU149" s="51"/>
      <c r="BV149" s="51"/>
      <c r="BW149" s="51"/>
      <c r="BX149" s="51"/>
      <c r="BY149" s="51"/>
      <c r="BZ149" s="51"/>
      <c r="CA149" s="51"/>
      <c r="CB149" s="51"/>
      <c r="CC149" s="51"/>
      <c r="CD149" s="51"/>
      <c r="CE149" s="51"/>
      <c r="CF149" s="51"/>
      <c r="CG149" s="51"/>
      <c r="CH149" s="51"/>
      <c r="CI149" s="51"/>
      <c r="CJ149" s="51"/>
      <c r="CK149" s="51"/>
      <c r="CL149" s="51"/>
      <c r="CM149" s="51"/>
      <c r="CN149" s="51"/>
      <c r="CO149" s="51"/>
      <c r="CP149" s="51"/>
      <c r="CQ149" s="51"/>
      <c r="CR149" s="51"/>
      <c r="CS149" s="51"/>
      <c r="CT149" s="51"/>
      <c r="CU149" s="51"/>
      <c r="CV149" s="51"/>
      <c r="CW149" s="51"/>
      <c r="CX149" s="51"/>
      <c r="CY149" s="51"/>
      <c r="CZ149" s="51"/>
      <c r="DA149" s="51"/>
      <c r="DB149" s="51"/>
      <c r="DC149" s="51"/>
      <c r="DD149" s="51"/>
      <c r="DE149" s="51"/>
      <c r="DF149" s="51"/>
      <c r="DG149" s="51"/>
      <c r="DH149" s="51"/>
      <c r="DI149" s="51"/>
      <c r="DJ149" s="51"/>
      <c r="DK149" s="51"/>
      <c r="DL149" s="51"/>
      <c r="DM149" s="51"/>
      <c r="DN149" s="51"/>
      <c r="DO149" s="51"/>
      <c r="DP149" s="51"/>
      <c r="DQ149" s="51"/>
      <c r="DR149" s="51"/>
      <c r="DS149" s="51"/>
      <c r="DT149" s="51"/>
      <c r="DU149" s="51"/>
      <c r="DV149" s="51"/>
      <c r="DW149" s="51"/>
      <c r="DX149" s="51"/>
      <c r="DY149" s="51"/>
      <c r="DZ149" s="51"/>
      <c r="EA149" s="51"/>
      <c r="EB149" s="51"/>
      <c r="EC149" s="51"/>
      <c r="ED149" s="51"/>
      <c r="EE149" s="51"/>
      <c r="EF149" s="51"/>
      <c r="EG149" s="51"/>
      <c r="EH149" s="51"/>
      <c r="EI149" s="51"/>
      <c r="EJ149" s="51"/>
    </row>
    <row r="150" spans="1:140">
      <c r="A150" s="69"/>
      <c r="B150" s="69"/>
      <c r="C150" s="88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/>
      <c r="AE150" s="69"/>
      <c r="AF150" s="51"/>
      <c r="AG150" s="51"/>
      <c r="AH150" s="51"/>
      <c r="AI150" s="51"/>
      <c r="AJ150" s="51"/>
      <c r="AK150" s="51"/>
      <c r="AL150" s="51"/>
      <c r="AM150" s="51"/>
      <c r="AN150" s="51"/>
      <c r="AO150" s="51"/>
      <c r="AP150" s="51"/>
      <c r="AQ150" s="51"/>
      <c r="AR150" s="51"/>
      <c r="AS150" s="51"/>
      <c r="AT150" s="51"/>
      <c r="AU150" s="51"/>
      <c r="AV150" s="51"/>
      <c r="AW150" s="51"/>
      <c r="AX150" s="51"/>
      <c r="AY150" s="51"/>
      <c r="AZ150" s="51"/>
      <c r="BA150" s="51"/>
      <c r="BB150" s="51"/>
      <c r="BC150" s="51"/>
      <c r="BD150" s="51"/>
      <c r="BE150" s="51"/>
      <c r="BF150" s="51"/>
      <c r="BG150" s="51"/>
      <c r="BH150" s="51"/>
      <c r="BI150" s="51"/>
      <c r="BJ150" s="51"/>
      <c r="BK150" s="51"/>
      <c r="BL150" s="51"/>
      <c r="BM150" s="51"/>
      <c r="BN150" s="51"/>
      <c r="BO150" s="51"/>
      <c r="BP150" s="51"/>
      <c r="BQ150" s="51"/>
      <c r="BR150" s="51"/>
      <c r="BS150" s="51"/>
      <c r="BT150" s="51"/>
      <c r="BU150" s="51"/>
      <c r="BV150" s="51"/>
      <c r="BW150" s="51"/>
      <c r="BX150" s="51"/>
      <c r="BY150" s="51"/>
      <c r="BZ150" s="51"/>
      <c r="CA150" s="51"/>
      <c r="CB150" s="51"/>
      <c r="CC150" s="51"/>
      <c r="CD150" s="51"/>
      <c r="CE150" s="51"/>
      <c r="CF150" s="51"/>
      <c r="CG150" s="51"/>
      <c r="CH150" s="51"/>
      <c r="CI150" s="51"/>
      <c r="CJ150" s="51"/>
      <c r="CK150" s="51"/>
      <c r="CL150" s="51"/>
      <c r="CM150" s="51"/>
      <c r="CN150" s="51"/>
      <c r="CO150" s="51"/>
      <c r="CP150" s="51"/>
      <c r="CQ150" s="51"/>
      <c r="CR150" s="51"/>
      <c r="CS150" s="51"/>
      <c r="CT150" s="51"/>
      <c r="CU150" s="51"/>
      <c r="CV150" s="51"/>
      <c r="CW150" s="51"/>
      <c r="CX150" s="51"/>
      <c r="CY150" s="51"/>
      <c r="CZ150" s="51"/>
      <c r="DA150" s="51"/>
      <c r="DB150" s="51"/>
      <c r="DC150" s="51"/>
      <c r="DD150" s="51"/>
      <c r="DE150" s="51"/>
      <c r="DF150" s="51"/>
      <c r="DG150" s="51"/>
      <c r="DH150" s="51"/>
      <c r="DI150" s="51"/>
      <c r="DJ150" s="51"/>
      <c r="DK150" s="51"/>
      <c r="DL150" s="51"/>
      <c r="DM150" s="51"/>
      <c r="DN150" s="51"/>
      <c r="DO150" s="51"/>
      <c r="DP150" s="51"/>
      <c r="DQ150" s="51"/>
      <c r="DR150" s="51"/>
      <c r="DS150" s="51"/>
      <c r="DT150" s="51"/>
      <c r="DU150" s="51"/>
      <c r="DV150" s="51"/>
      <c r="DW150" s="51"/>
      <c r="DX150" s="51"/>
      <c r="DY150" s="51"/>
      <c r="DZ150" s="51"/>
      <c r="EA150" s="51"/>
      <c r="EB150" s="51"/>
      <c r="EC150" s="51"/>
      <c r="ED150" s="51"/>
      <c r="EE150" s="51"/>
      <c r="EF150" s="51"/>
      <c r="EG150" s="51"/>
      <c r="EH150" s="51"/>
      <c r="EI150" s="51"/>
      <c r="EJ150" s="51"/>
    </row>
    <row r="151" spans="1:140">
      <c r="A151" s="69"/>
      <c r="B151" s="69"/>
      <c r="C151" s="88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51"/>
      <c r="AG151" s="51"/>
      <c r="AH151" s="51"/>
      <c r="AI151" s="51"/>
      <c r="AJ151" s="51"/>
      <c r="AK151" s="51"/>
      <c r="AL151" s="51"/>
      <c r="AM151" s="51"/>
      <c r="AN151" s="51"/>
      <c r="AO151" s="51"/>
      <c r="AP151" s="51"/>
      <c r="AQ151" s="51"/>
      <c r="AR151" s="51"/>
      <c r="AS151" s="51"/>
      <c r="AT151" s="51"/>
      <c r="AU151" s="51"/>
      <c r="AV151" s="51"/>
      <c r="AW151" s="51"/>
      <c r="AX151" s="51"/>
      <c r="AY151" s="51"/>
      <c r="AZ151" s="51"/>
      <c r="BA151" s="51"/>
      <c r="BB151" s="51"/>
      <c r="BC151" s="51"/>
      <c r="BD151" s="51"/>
      <c r="BE151" s="51"/>
      <c r="BF151" s="51"/>
      <c r="BG151" s="51"/>
      <c r="BH151" s="51"/>
      <c r="BI151" s="51"/>
      <c r="BJ151" s="51"/>
      <c r="BK151" s="51"/>
      <c r="BL151" s="51"/>
      <c r="BM151" s="51"/>
      <c r="BN151" s="51"/>
      <c r="BO151" s="51"/>
      <c r="BP151" s="51"/>
      <c r="BQ151" s="51"/>
      <c r="BR151" s="51"/>
      <c r="BS151" s="51"/>
      <c r="BT151" s="51"/>
      <c r="BU151" s="51"/>
      <c r="BV151" s="51"/>
      <c r="BW151" s="51"/>
      <c r="BX151" s="51"/>
      <c r="BY151" s="51"/>
      <c r="BZ151" s="51"/>
      <c r="CA151" s="51"/>
      <c r="CB151" s="51"/>
      <c r="CC151" s="51"/>
      <c r="CD151" s="51"/>
      <c r="CE151" s="51"/>
      <c r="CF151" s="51"/>
      <c r="CG151" s="51"/>
      <c r="CH151" s="51"/>
      <c r="CI151" s="51"/>
      <c r="CJ151" s="51"/>
      <c r="CK151" s="51"/>
      <c r="CL151" s="51"/>
      <c r="CM151" s="51"/>
      <c r="CN151" s="51"/>
      <c r="CO151" s="51"/>
      <c r="CP151" s="51"/>
      <c r="CQ151" s="51"/>
      <c r="CR151" s="51"/>
      <c r="CS151" s="51"/>
      <c r="CT151" s="51"/>
      <c r="CU151" s="51"/>
      <c r="CV151" s="51"/>
      <c r="CW151" s="51"/>
      <c r="CX151" s="51"/>
      <c r="CY151" s="51"/>
      <c r="CZ151" s="51"/>
      <c r="DA151" s="51"/>
      <c r="DB151" s="51"/>
      <c r="DC151" s="51"/>
      <c r="DD151" s="51"/>
      <c r="DE151" s="51"/>
      <c r="DF151" s="51"/>
      <c r="DG151" s="51"/>
      <c r="DH151" s="51"/>
      <c r="DI151" s="51"/>
      <c r="DJ151" s="51"/>
      <c r="DK151" s="51"/>
      <c r="DL151" s="51"/>
      <c r="DM151" s="51"/>
      <c r="DN151" s="51"/>
      <c r="DO151" s="51"/>
      <c r="DP151" s="51"/>
      <c r="DQ151" s="51"/>
      <c r="DR151" s="51"/>
      <c r="DS151" s="51"/>
      <c r="DT151" s="51"/>
      <c r="DU151" s="51"/>
      <c r="DV151" s="51"/>
      <c r="DW151" s="51"/>
      <c r="DX151" s="51"/>
      <c r="DY151" s="51"/>
      <c r="DZ151" s="51"/>
      <c r="EA151" s="51"/>
      <c r="EB151" s="51"/>
      <c r="EC151" s="51"/>
      <c r="ED151" s="51"/>
      <c r="EE151" s="51"/>
      <c r="EF151" s="51"/>
      <c r="EG151" s="51"/>
      <c r="EH151" s="51"/>
      <c r="EI151" s="51"/>
      <c r="EJ151" s="51"/>
    </row>
    <row r="152" spans="1:140">
      <c r="A152" s="69"/>
      <c r="B152" s="69"/>
      <c r="C152" s="88"/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51"/>
      <c r="AG152" s="51"/>
      <c r="AH152" s="51"/>
      <c r="AI152" s="51"/>
      <c r="AJ152" s="51"/>
      <c r="AK152" s="51"/>
      <c r="AL152" s="51"/>
      <c r="AM152" s="51"/>
      <c r="AN152" s="51"/>
      <c r="AO152" s="51"/>
      <c r="AP152" s="51"/>
      <c r="AQ152" s="51"/>
      <c r="AR152" s="51"/>
      <c r="AS152" s="51"/>
      <c r="AT152" s="51"/>
      <c r="AU152" s="51"/>
      <c r="AV152" s="51"/>
      <c r="AW152" s="51"/>
      <c r="AX152" s="51"/>
      <c r="AY152" s="51"/>
      <c r="AZ152" s="51"/>
      <c r="BA152" s="51"/>
      <c r="BB152" s="51"/>
      <c r="BC152" s="51"/>
      <c r="BD152" s="51"/>
      <c r="BE152" s="51"/>
      <c r="BF152" s="51"/>
      <c r="BG152" s="51"/>
      <c r="BH152" s="51"/>
      <c r="BI152" s="51"/>
      <c r="BJ152" s="51"/>
      <c r="BK152" s="51"/>
      <c r="BL152" s="51"/>
      <c r="BM152" s="51"/>
      <c r="BN152" s="51"/>
      <c r="BO152" s="51"/>
      <c r="BP152" s="51"/>
      <c r="BQ152" s="51"/>
      <c r="BR152" s="51"/>
      <c r="BS152" s="51"/>
      <c r="BT152" s="51"/>
      <c r="BU152" s="51"/>
      <c r="BV152" s="51"/>
      <c r="BW152" s="51"/>
      <c r="BX152" s="51"/>
      <c r="BY152" s="51"/>
      <c r="BZ152" s="51"/>
      <c r="CA152" s="51"/>
      <c r="CB152" s="51"/>
      <c r="CC152" s="51"/>
      <c r="CD152" s="51"/>
      <c r="CE152" s="51"/>
      <c r="CF152" s="51"/>
      <c r="CG152" s="51"/>
      <c r="CH152" s="51"/>
      <c r="CI152" s="51"/>
      <c r="CJ152" s="51"/>
      <c r="CK152" s="51"/>
      <c r="CL152" s="51"/>
      <c r="CM152" s="51"/>
      <c r="CN152" s="51"/>
      <c r="CO152" s="51"/>
      <c r="CP152" s="51"/>
      <c r="CQ152" s="51"/>
      <c r="CR152" s="51"/>
      <c r="CS152" s="51"/>
      <c r="CT152" s="51"/>
      <c r="CU152" s="51"/>
      <c r="CV152" s="51"/>
      <c r="CW152" s="51"/>
      <c r="CX152" s="51"/>
      <c r="CY152" s="51"/>
      <c r="CZ152" s="51"/>
      <c r="DA152" s="51"/>
      <c r="DB152" s="51"/>
      <c r="DC152" s="51"/>
      <c r="DD152" s="51"/>
      <c r="DE152" s="51"/>
      <c r="DF152" s="51"/>
      <c r="DG152" s="51"/>
      <c r="DH152" s="51"/>
      <c r="DI152" s="51"/>
      <c r="DJ152" s="51"/>
      <c r="DK152" s="51"/>
      <c r="DL152" s="51"/>
      <c r="DM152" s="51"/>
      <c r="DN152" s="51"/>
      <c r="DO152" s="51"/>
      <c r="DP152" s="51"/>
      <c r="DQ152" s="51"/>
      <c r="DR152" s="51"/>
      <c r="DS152" s="51"/>
      <c r="DT152" s="51"/>
      <c r="DU152" s="51"/>
      <c r="DV152" s="51"/>
      <c r="DW152" s="51"/>
      <c r="DX152" s="51"/>
      <c r="DY152" s="51"/>
      <c r="DZ152" s="51"/>
      <c r="EA152" s="51"/>
      <c r="EB152" s="51"/>
      <c r="EC152" s="51"/>
      <c r="ED152" s="51"/>
      <c r="EE152" s="51"/>
      <c r="EF152" s="51"/>
      <c r="EG152" s="51"/>
      <c r="EH152" s="51"/>
      <c r="EI152" s="51"/>
      <c r="EJ152" s="51"/>
    </row>
    <row r="153" spans="1:140">
      <c r="A153" s="69"/>
      <c r="B153" s="69"/>
      <c r="C153" s="88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51"/>
      <c r="AG153" s="51"/>
      <c r="AH153" s="51"/>
      <c r="AI153" s="51"/>
      <c r="AJ153" s="51"/>
      <c r="AK153" s="51"/>
      <c r="AL153" s="51"/>
      <c r="AM153" s="51"/>
      <c r="AN153" s="51"/>
      <c r="AO153" s="51"/>
      <c r="AP153" s="51"/>
      <c r="AQ153" s="51"/>
      <c r="AR153" s="51"/>
      <c r="AS153" s="51"/>
      <c r="AT153" s="51"/>
      <c r="AU153" s="51"/>
      <c r="AV153" s="51"/>
      <c r="AW153" s="51"/>
      <c r="AX153" s="51"/>
      <c r="AY153" s="51"/>
      <c r="AZ153" s="51"/>
      <c r="BA153" s="51"/>
      <c r="BB153" s="51"/>
      <c r="BC153" s="51"/>
      <c r="BD153" s="51"/>
      <c r="BE153" s="51"/>
      <c r="BF153" s="51"/>
      <c r="BG153" s="51"/>
      <c r="BH153" s="51"/>
      <c r="BI153" s="51"/>
      <c r="BJ153" s="51"/>
      <c r="BK153" s="51"/>
      <c r="BL153" s="51"/>
      <c r="BM153" s="51"/>
      <c r="BN153" s="51"/>
      <c r="BO153" s="51"/>
      <c r="BP153" s="51"/>
      <c r="BQ153" s="51"/>
      <c r="BR153" s="51"/>
      <c r="BS153" s="51"/>
      <c r="BT153" s="51"/>
      <c r="BU153" s="51"/>
      <c r="BV153" s="51"/>
      <c r="BW153" s="51"/>
      <c r="BX153" s="51"/>
      <c r="BY153" s="51"/>
      <c r="BZ153" s="51"/>
      <c r="CA153" s="51"/>
      <c r="CB153" s="51"/>
      <c r="CC153" s="51"/>
      <c r="CD153" s="51"/>
      <c r="CE153" s="51"/>
      <c r="CF153" s="51"/>
      <c r="CG153" s="51"/>
      <c r="CH153" s="51"/>
      <c r="CI153" s="51"/>
      <c r="CJ153" s="51"/>
      <c r="CK153" s="51"/>
      <c r="CL153" s="51"/>
      <c r="CM153" s="51"/>
      <c r="CN153" s="51"/>
      <c r="CO153" s="51"/>
      <c r="CP153" s="51"/>
      <c r="CQ153" s="51"/>
      <c r="CR153" s="51"/>
      <c r="CS153" s="51"/>
      <c r="CT153" s="51"/>
      <c r="CU153" s="51"/>
      <c r="CV153" s="51"/>
      <c r="CW153" s="51"/>
      <c r="CX153" s="51"/>
      <c r="CY153" s="51"/>
      <c r="CZ153" s="51"/>
      <c r="DA153" s="51"/>
      <c r="DB153" s="51"/>
      <c r="DC153" s="51"/>
      <c r="DD153" s="51"/>
      <c r="DE153" s="51"/>
      <c r="DF153" s="51"/>
      <c r="DG153" s="51"/>
      <c r="DH153" s="51"/>
      <c r="DI153" s="51"/>
      <c r="DJ153" s="51"/>
      <c r="DK153" s="51"/>
      <c r="DL153" s="51"/>
      <c r="DM153" s="51"/>
      <c r="DN153" s="51"/>
      <c r="DO153" s="51"/>
      <c r="DP153" s="51"/>
      <c r="DQ153" s="51"/>
      <c r="DR153" s="51"/>
      <c r="DS153" s="51"/>
      <c r="DT153" s="51"/>
      <c r="DU153" s="51"/>
      <c r="DV153" s="51"/>
      <c r="DW153" s="51"/>
      <c r="DX153" s="51"/>
      <c r="DY153" s="51"/>
      <c r="DZ153" s="51"/>
      <c r="EA153" s="51"/>
      <c r="EB153" s="51"/>
      <c r="EC153" s="51"/>
      <c r="ED153" s="51"/>
      <c r="EE153" s="51"/>
      <c r="EF153" s="51"/>
      <c r="EG153" s="51"/>
      <c r="EH153" s="51"/>
      <c r="EI153" s="51"/>
      <c r="EJ153" s="51"/>
    </row>
    <row r="154" spans="1:140">
      <c r="A154" s="69"/>
      <c r="B154" s="69"/>
      <c r="C154" s="88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69"/>
      <c r="Q154" s="69"/>
      <c r="R154" s="69"/>
      <c r="S154" s="69"/>
      <c r="T154" s="69"/>
      <c r="U154" s="69"/>
      <c r="V154" s="69"/>
      <c r="W154" s="69"/>
      <c r="X154" s="69"/>
      <c r="Y154" s="69"/>
      <c r="Z154" s="69"/>
      <c r="AA154" s="69"/>
      <c r="AB154" s="69"/>
      <c r="AC154" s="69"/>
      <c r="AD154" s="69"/>
      <c r="AE154" s="69"/>
      <c r="AF154" s="51"/>
      <c r="AG154" s="51"/>
      <c r="AH154" s="51"/>
      <c r="AI154" s="51"/>
      <c r="AJ154" s="51"/>
      <c r="AK154" s="51"/>
      <c r="AL154" s="51"/>
      <c r="AM154" s="51"/>
      <c r="AN154" s="51"/>
      <c r="AO154" s="51"/>
      <c r="AP154" s="51"/>
      <c r="AQ154" s="51"/>
      <c r="AR154" s="51"/>
      <c r="AS154" s="51"/>
      <c r="AT154" s="51"/>
      <c r="AU154" s="51"/>
      <c r="AV154" s="51"/>
      <c r="AW154" s="51"/>
      <c r="AX154" s="51"/>
      <c r="AY154" s="51"/>
      <c r="AZ154" s="51"/>
      <c r="BA154" s="51"/>
      <c r="BB154" s="51"/>
      <c r="BC154" s="51"/>
      <c r="BD154" s="51"/>
      <c r="BE154" s="51"/>
      <c r="BF154" s="51"/>
      <c r="BG154" s="51"/>
      <c r="BH154" s="51"/>
      <c r="BI154" s="51"/>
      <c r="BJ154" s="51"/>
      <c r="BK154" s="51"/>
      <c r="BL154" s="51"/>
      <c r="BM154" s="51"/>
      <c r="BN154" s="51"/>
      <c r="BO154" s="51"/>
      <c r="BP154" s="51"/>
      <c r="BQ154" s="51"/>
      <c r="BR154" s="51"/>
      <c r="BS154" s="51"/>
      <c r="BT154" s="51"/>
      <c r="BU154" s="51"/>
      <c r="BV154" s="51"/>
      <c r="BW154" s="51"/>
      <c r="BX154" s="51"/>
      <c r="BY154" s="51"/>
      <c r="BZ154" s="51"/>
      <c r="CA154" s="51"/>
      <c r="CB154" s="51"/>
      <c r="CC154" s="51"/>
      <c r="CD154" s="51"/>
      <c r="CE154" s="51"/>
      <c r="CF154" s="51"/>
      <c r="CG154" s="51"/>
      <c r="CH154" s="51"/>
      <c r="CI154" s="51"/>
      <c r="CJ154" s="51"/>
      <c r="CK154" s="51"/>
      <c r="CL154" s="51"/>
      <c r="CM154" s="51"/>
      <c r="CN154" s="51"/>
      <c r="CO154" s="51"/>
      <c r="CP154" s="51"/>
      <c r="CQ154" s="51"/>
      <c r="CR154" s="51"/>
      <c r="CS154" s="51"/>
      <c r="CT154" s="51"/>
      <c r="CU154" s="51"/>
      <c r="CV154" s="51"/>
      <c r="CW154" s="51"/>
      <c r="CX154" s="51"/>
      <c r="CY154" s="51"/>
      <c r="CZ154" s="51"/>
      <c r="DA154" s="51"/>
      <c r="DB154" s="51"/>
      <c r="DC154" s="51"/>
      <c r="DD154" s="51"/>
      <c r="DE154" s="51"/>
      <c r="DF154" s="51"/>
      <c r="DG154" s="51"/>
      <c r="DH154" s="51"/>
      <c r="DI154" s="51"/>
      <c r="DJ154" s="51"/>
      <c r="DK154" s="51"/>
      <c r="DL154" s="51"/>
      <c r="DM154" s="51"/>
      <c r="DN154" s="51"/>
      <c r="DO154" s="51"/>
      <c r="DP154" s="51"/>
      <c r="DQ154" s="51"/>
      <c r="DR154" s="51"/>
      <c r="DS154" s="51"/>
      <c r="DT154" s="51"/>
      <c r="DU154" s="51"/>
      <c r="DV154" s="51"/>
      <c r="DW154" s="51"/>
      <c r="DX154" s="51"/>
      <c r="DY154" s="51"/>
      <c r="DZ154" s="51"/>
      <c r="EA154" s="51"/>
      <c r="EB154" s="51"/>
      <c r="EC154" s="51"/>
      <c r="ED154" s="51"/>
      <c r="EE154" s="51"/>
      <c r="EF154" s="51"/>
      <c r="EG154" s="51"/>
      <c r="EH154" s="51"/>
      <c r="EI154" s="51"/>
      <c r="EJ154" s="51"/>
    </row>
    <row r="155" spans="1:140">
      <c r="A155" s="69"/>
      <c r="B155" s="69"/>
      <c r="C155" s="88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  <c r="AA155" s="69"/>
      <c r="AB155" s="69"/>
      <c r="AC155" s="69"/>
      <c r="AD155" s="69"/>
      <c r="AE155" s="69"/>
      <c r="AF155" s="51"/>
      <c r="AG155" s="51"/>
      <c r="AH155" s="51"/>
      <c r="AI155" s="51"/>
      <c r="AJ155" s="51"/>
      <c r="AK155" s="51"/>
      <c r="AL155" s="51"/>
      <c r="AM155" s="51"/>
      <c r="AN155" s="51"/>
      <c r="AO155" s="51"/>
      <c r="AP155" s="51"/>
      <c r="AQ155" s="51"/>
      <c r="AR155" s="51"/>
      <c r="AS155" s="51"/>
      <c r="AT155" s="51"/>
      <c r="AU155" s="51"/>
      <c r="AV155" s="51"/>
      <c r="AW155" s="51"/>
      <c r="AX155" s="51"/>
      <c r="AY155" s="51"/>
      <c r="AZ155" s="51"/>
      <c r="BA155" s="51"/>
      <c r="BB155" s="51"/>
      <c r="BC155" s="51"/>
      <c r="BD155" s="51"/>
      <c r="BE155" s="51"/>
      <c r="BF155" s="51"/>
      <c r="BG155" s="51"/>
      <c r="BH155" s="51"/>
      <c r="BI155" s="51"/>
      <c r="BJ155" s="51"/>
      <c r="BK155" s="51"/>
      <c r="BL155" s="51"/>
      <c r="BM155" s="51"/>
      <c r="BN155" s="51"/>
      <c r="BO155" s="51"/>
      <c r="BP155" s="51"/>
      <c r="BQ155" s="51"/>
      <c r="BR155" s="51"/>
      <c r="BS155" s="51"/>
      <c r="BT155" s="51"/>
      <c r="BU155" s="51"/>
      <c r="BV155" s="51"/>
      <c r="BW155" s="51"/>
      <c r="BX155" s="51"/>
      <c r="BY155" s="51"/>
      <c r="BZ155" s="51"/>
      <c r="CA155" s="51"/>
      <c r="CB155" s="51"/>
      <c r="CC155" s="51"/>
      <c r="CD155" s="51"/>
      <c r="CE155" s="51"/>
      <c r="CF155" s="51"/>
      <c r="CG155" s="51"/>
      <c r="CH155" s="51"/>
      <c r="CI155" s="51"/>
      <c r="CJ155" s="51"/>
      <c r="CK155" s="51"/>
      <c r="CL155" s="51"/>
      <c r="CM155" s="51"/>
      <c r="CN155" s="51"/>
      <c r="CO155" s="51"/>
      <c r="CP155" s="51"/>
      <c r="CQ155" s="51"/>
      <c r="CR155" s="51"/>
      <c r="CS155" s="51"/>
      <c r="CT155" s="51"/>
      <c r="CU155" s="51"/>
      <c r="CV155" s="51"/>
      <c r="CW155" s="51"/>
      <c r="CX155" s="51"/>
      <c r="CY155" s="51"/>
      <c r="CZ155" s="51"/>
      <c r="DA155" s="51"/>
      <c r="DB155" s="51"/>
      <c r="DC155" s="51"/>
      <c r="DD155" s="51"/>
      <c r="DE155" s="51"/>
      <c r="DF155" s="51"/>
      <c r="DG155" s="51"/>
      <c r="DH155" s="51"/>
      <c r="DI155" s="51"/>
      <c r="DJ155" s="51"/>
      <c r="DK155" s="51"/>
      <c r="DL155" s="51"/>
      <c r="DM155" s="51"/>
      <c r="DN155" s="51"/>
      <c r="DO155" s="51"/>
      <c r="DP155" s="51"/>
      <c r="DQ155" s="51"/>
      <c r="DR155" s="51"/>
      <c r="DS155" s="51"/>
      <c r="DT155" s="51"/>
      <c r="DU155" s="51"/>
      <c r="DV155" s="51"/>
      <c r="DW155" s="51"/>
      <c r="DX155" s="51"/>
      <c r="DY155" s="51"/>
      <c r="DZ155" s="51"/>
      <c r="EA155" s="51"/>
      <c r="EB155" s="51"/>
      <c r="EC155" s="51"/>
      <c r="ED155" s="51"/>
      <c r="EE155" s="51"/>
      <c r="EF155" s="51"/>
      <c r="EG155" s="51"/>
      <c r="EH155" s="51"/>
      <c r="EI155" s="51"/>
      <c r="EJ155" s="51"/>
    </row>
    <row r="156" spans="1:140">
      <c r="A156" s="69"/>
      <c r="B156" s="69"/>
      <c r="C156" s="88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69"/>
      <c r="AE156" s="69"/>
      <c r="AF156" s="51"/>
      <c r="AG156" s="51"/>
      <c r="AH156" s="51"/>
      <c r="AI156" s="51"/>
      <c r="AJ156" s="51"/>
      <c r="AK156" s="51"/>
      <c r="AL156" s="51"/>
      <c r="AM156" s="51"/>
      <c r="AN156" s="51"/>
      <c r="AO156" s="51"/>
      <c r="AP156" s="51"/>
      <c r="AQ156" s="51"/>
      <c r="AR156" s="51"/>
      <c r="AS156" s="51"/>
      <c r="AT156" s="51"/>
      <c r="AU156" s="51"/>
      <c r="AV156" s="51"/>
      <c r="AW156" s="51"/>
      <c r="AX156" s="51"/>
      <c r="AY156" s="51"/>
      <c r="AZ156" s="51"/>
      <c r="BA156" s="51"/>
      <c r="BB156" s="51"/>
      <c r="BC156" s="51"/>
      <c r="BD156" s="51"/>
      <c r="BE156" s="51"/>
      <c r="BF156" s="51"/>
      <c r="BG156" s="51"/>
      <c r="BH156" s="51"/>
      <c r="BI156" s="51"/>
      <c r="BJ156" s="51"/>
      <c r="BK156" s="51"/>
      <c r="BL156" s="51"/>
      <c r="BM156" s="51"/>
      <c r="BN156" s="51"/>
      <c r="BO156" s="51"/>
      <c r="BP156" s="51"/>
      <c r="BQ156" s="51"/>
      <c r="BR156" s="51"/>
      <c r="BS156" s="51"/>
      <c r="BT156" s="51"/>
      <c r="BU156" s="51"/>
      <c r="BV156" s="51"/>
      <c r="BW156" s="51"/>
      <c r="BX156" s="51"/>
      <c r="BY156" s="51"/>
      <c r="BZ156" s="51"/>
      <c r="CA156" s="51"/>
      <c r="CB156" s="51"/>
      <c r="CC156" s="51"/>
      <c r="CD156" s="51"/>
      <c r="CE156" s="51"/>
      <c r="CF156" s="51"/>
      <c r="CG156" s="51"/>
      <c r="CH156" s="51"/>
      <c r="CI156" s="51"/>
      <c r="CJ156" s="51"/>
      <c r="CK156" s="51"/>
      <c r="CL156" s="51"/>
      <c r="CM156" s="51"/>
      <c r="CN156" s="51"/>
      <c r="CO156" s="51"/>
      <c r="CP156" s="51"/>
      <c r="CQ156" s="51"/>
      <c r="CR156" s="51"/>
      <c r="CS156" s="51"/>
      <c r="CT156" s="51"/>
      <c r="CU156" s="51"/>
      <c r="CV156" s="51"/>
      <c r="CW156" s="51"/>
      <c r="CX156" s="51"/>
      <c r="CY156" s="51"/>
      <c r="CZ156" s="51"/>
      <c r="DA156" s="51"/>
      <c r="DB156" s="51"/>
      <c r="DC156" s="51"/>
      <c r="DD156" s="51"/>
      <c r="DE156" s="51"/>
      <c r="DF156" s="51"/>
      <c r="DG156" s="51"/>
      <c r="DH156" s="51"/>
      <c r="DI156" s="51"/>
      <c r="DJ156" s="51"/>
      <c r="DK156" s="51"/>
      <c r="DL156" s="51"/>
      <c r="DM156" s="51"/>
      <c r="DN156" s="51"/>
      <c r="DO156" s="51"/>
      <c r="DP156" s="51"/>
      <c r="DQ156" s="51"/>
      <c r="DR156" s="51"/>
      <c r="DS156" s="51"/>
      <c r="DT156" s="51"/>
      <c r="DU156" s="51"/>
      <c r="DV156" s="51"/>
      <c r="DW156" s="51"/>
      <c r="DX156" s="51"/>
      <c r="DY156" s="51"/>
      <c r="DZ156" s="51"/>
      <c r="EA156" s="51"/>
      <c r="EB156" s="51"/>
      <c r="EC156" s="51"/>
      <c r="ED156" s="51"/>
      <c r="EE156" s="51"/>
      <c r="EF156" s="51"/>
      <c r="EG156" s="51"/>
      <c r="EH156" s="51"/>
      <c r="EI156" s="51"/>
      <c r="EJ156" s="51"/>
    </row>
    <row r="157" spans="1:140">
      <c r="A157" s="69"/>
      <c r="B157" s="69"/>
      <c r="C157" s="88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51"/>
      <c r="AG157" s="51"/>
      <c r="AH157" s="51"/>
      <c r="AI157" s="51"/>
      <c r="AJ157" s="51"/>
      <c r="AK157" s="51"/>
      <c r="AL157" s="51"/>
      <c r="AM157" s="51"/>
      <c r="AN157" s="51"/>
      <c r="AO157" s="51"/>
      <c r="AP157" s="51"/>
      <c r="AQ157" s="51"/>
      <c r="AR157" s="51"/>
      <c r="AS157" s="51"/>
      <c r="AT157" s="51"/>
      <c r="AU157" s="51"/>
      <c r="AV157" s="51"/>
      <c r="AW157" s="51"/>
      <c r="AX157" s="51"/>
      <c r="AY157" s="51"/>
      <c r="AZ157" s="51"/>
      <c r="BA157" s="51"/>
      <c r="BB157" s="51"/>
      <c r="BC157" s="51"/>
      <c r="BD157" s="51"/>
      <c r="BE157" s="51"/>
      <c r="BF157" s="51"/>
      <c r="BG157" s="51"/>
      <c r="BH157" s="51"/>
      <c r="BI157" s="51"/>
      <c r="BJ157" s="51"/>
      <c r="BK157" s="51"/>
      <c r="BL157" s="51"/>
      <c r="BM157" s="51"/>
      <c r="BN157" s="51"/>
      <c r="BO157" s="51"/>
      <c r="BP157" s="51"/>
      <c r="BQ157" s="51"/>
      <c r="BR157" s="51"/>
      <c r="BS157" s="51"/>
      <c r="BT157" s="51"/>
      <c r="BU157" s="51"/>
      <c r="BV157" s="51"/>
      <c r="BW157" s="51"/>
      <c r="BX157" s="51"/>
      <c r="BY157" s="51"/>
      <c r="BZ157" s="51"/>
      <c r="CA157" s="51"/>
      <c r="CB157" s="51"/>
      <c r="CC157" s="51"/>
      <c r="CD157" s="51"/>
      <c r="CE157" s="51"/>
      <c r="CF157" s="51"/>
      <c r="CG157" s="51"/>
      <c r="CH157" s="51"/>
      <c r="CI157" s="51"/>
      <c r="CJ157" s="51"/>
      <c r="CK157" s="51"/>
      <c r="CL157" s="51"/>
      <c r="CM157" s="51"/>
      <c r="CN157" s="51"/>
      <c r="CO157" s="51"/>
      <c r="CP157" s="51"/>
      <c r="CQ157" s="51"/>
      <c r="CR157" s="51"/>
      <c r="CS157" s="51"/>
      <c r="CT157" s="51"/>
      <c r="CU157" s="51"/>
      <c r="CV157" s="51"/>
      <c r="CW157" s="51"/>
      <c r="CX157" s="51"/>
      <c r="CY157" s="51"/>
      <c r="CZ157" s="51"/>
      <c r="DA157" s="51"/>
      <c r="DB157" s="51"/>
      <c r="DC157" s="51"/>
      <c r="DD157" s="51"/>
      <c r="DE157" s="51"/>
      <c r="DF157" s="51"/>
      <c r="DG157" s="51"/>
      <c r="DH157" s="51"/>
      <c r="DI157" s="51"/>
      <c r="DJ157" s="51"/>
      <c r="DK157" s="51"/>
      <c r="DL157" s="51"/>
      <c r="DM157" s="51"/>
      <c r="DN157" s="51"/>
      <c r="DO157" s="51"/>
      <c r="DP157" s="51"/>
      <c r="DQ157" s="51"/>
      <c r="DR157" s="51"/>
      <c r="DS157" s="51"/>
      <c r="DT157" s="51"/>
      <c r="DU157" s="51"/>
      <c r="DV157" s="51"/>
      <c r="DW157" s="51"/>
      <c r="DX157" s="51"/>
      <c r="DY157" s="51"/>
      <c r="DZ157" s="51"/>
      <c r="EA157" s="51"/>
      <c r="EB157" s="51"/>
      <c r="EC157" s="51"/>
      <c r="ED157" s="51"/>
      <c r="EE157" s="51"/>
      <c r="EF157" s="51"/>
      <c r="EG157" s="51"/>
      <c r="EH157" s="51"/>
      <c r="EI157" s="51"/>
      <c r="EJ157" s="51"/>
    </row>
    <row r="158" spans="1:140">
      <c r="A158" s="69"/>
      <c r="B158" s="69"/>
      <c r="C158" s="88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69"/>
      <c r="Q158" s="69"/>
      <c r="R158" s="69"/>
      <c r="S158" s="69"/>
      <c r="T158" s="69"/>
      <c r="U158" s="69"/>
      <c r="V158" s="69"/>
      <c r="W158" s="69"/>
      <c r="X158" s="69"/>
      <c r="Y158" s="69"/>
      <c r="Z158" s="69"/>
      <c r="AA158" s="69"/>
      <c r="AB158" s="69"/>
      <c r="AC158" s="69"/>
      <c r="AD158" s="69"/>
      <c r="AE158" s="69"/>
      <c r="AF158" s="51"/>
      <c r="AG158" s="51"/>
      <c r="AH158" s="51"/>
      <c r="AI158" s="51"/>
      <c r="AJ158" s="51"/>
      <c r="AK158" s="51"/>
      <c r="AL158" s="51"/>
      <c r="AM158" s="51"/>
      <c r="AN158" s="51"/>
      <c r="AO158" s="51"/>
      <c r="AP158" s="51"/>
      <c r="AQ158" s="51"/>
      <c r="AR158" s="51"/>
      <c r="AS158" s="51"/>
      <c r="AT158" s="51"/>
      <c r="AU158" s="51"/>
      <c r="AV158" s="51"/>
      <c r="AW158" s="51"/>
      <c r="AX158" s="51"/>
      <c r="AY158" s="51"/>
      <c r="AZ158" s="51"/>
      <c r="BA158" s="51"/>
      <c r="BB158" s="51"/>
      <c r="BC158" s="51"/>
      <c r="BD158" s="51"/>
      <c r="BE158" s="51"/>
      <c r="BF158" s="51"/>
      <c r="BG158" s="51"/>
      <c r="BH158" s="51"/>
      <c r="BI158" s="51"/>
      <c r="BJ158" s="51"/>
      <c r="BK158" s="51"/>
      <c r="BL158" s="51"/>
      <c r="BM158" s="51"/>
      <c r="BN158" s="51"/>
      <c r="BO158" s="51"/>
      <c r="BP158" s="51"/>
      <c r="BQ158" s="51"/>
      <c r="BR158" s="51"/>
      <c r="BS158" s="51"/>
      <c r="BT158" s="51"/>
      <c r="BU158" s="51"/>
      <c r="BV158" s="51"/>
      <c r="BW158" s="51"/>
      <c r="BX158" s="51"/>
      <c r="BY158" s="51"/>
      <c r="BZ158" s="51"/>
      <c r="CA158" s="51"/>
      <c r="CB158" s="51"/>
      <c r="CC158" s="51"/>
      <c r="CD158" s="51"/>
      <c r="CE158" s="51"/>
      <c r="CF158" s="51"/>
      <c r="CG158" s="51"/>
      <c r="CH158" s="51"/>
      <c r="CI158" s="51"/>
      <c r="CJ158" s="51"/>
      <c r="CK158" s="51"/>
      <c r="CL158" s="51"/>
      <c r="CM158" s="51"/>
      <c r="CN158" s="51"/>
      <c r="CO158" s="51"/>
      <c r="CP158" s="51"/>
      <c r="CQ158" s="51"/>
      <c r="CR158" s="51"/>
      <c r="CS158" s="51"/>
      <c r="CT158" s="51"/>
      <c r="CU158" s="51"/>
      <c r="CV158" s="51"/>
      <c r="CW158" s="51"/>
      <c r="CX158" s="51"/>
      <c r="CY158" s="51"/>
      <c r="CZ158" s="51"/>
      <c r="DA158" s="51"/>
      <c r="DB158" s="51"/>
      <c r="DC158" s="51"/>
      <c r="DD158" s="51"/>
      <c r="DE158" s="51"/>
      <c r="DF158" s="51"/>
      <c r="DG158" s="51"/>
      <c r="DH158" s="51"/>
      <c r="DI158" s="51"/>
      <c r="DJ158" s="51"/>
      <c r="DK158" s="51"/>
      <c r="DL158" s="51"/>
      <c r="DM158" s="51"/>
      <c r="DN158" s="51"/>
      <c r="DO158" s="51"/>
      <c r="DP158" s="51"/>
      <c r="DQ158" s="51"/>
      <c r="DR158" s="51"/>
      <c r="DS158" s="51"/>
      <c r="DT158" s="51"/>
      <c r="DU158" s="51"/>
      <c r="DV158" s="51"/>
      <c r="DW158" s="51"/>
      <c r="DX158" s="51"/>
      <c r="DY158" s="51"/>
      <c r="DZ158" s="51"/>
      <c r="EA158" s="51"/>
      <c r="EB158" s="51"/>
      <c r="EC158" s="51"/>
      <c r="ED158" s="51"/>
      <c r="EE158" s="51"/>
      <c r="EF158" s="51"/>
      <c r="EG158" s="51"/>
      <c r="EH158" s="51"/>
      <c r="EI158" s="51"/>
      <c r="EJ158" s="51"/>
    </row>
    <row r="159" spans="1:140">
      <c r="A159" s="69"/>
      <c r="B159" s="69"/>
      <c r="C159" s="88"/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69"/>
      <c r="Q159" s="69"/>
      <c r="R159" s="69"/>
      <c r="S159" s="69"/>
      <c r="T159" s="69"/>
      <c r="U159" s="69"/>
      <c r="V159" s="69"/>
      <c r="W159" s="69"/>
      <c r="X159" s="69"/>
      <c r="Y159" s="69"/>
      <c r="Z159" s="69"/>
      <c r="AA159" s="69"/>
      <c r="AB159" s="69"/>
      <c r="AC159" s="69"/>
      <c r="AD159" s="69"/>
      <c r="AE159" s="69"/>
      <c r="AF159" s="51"/>
      <c r="AG159" s="51"/>
      <c r="AH159" s="51"/>
      <c r="AI159" s="51"/>
      <c r="AJ159" s="51"/>
      <c r="AK159" s="51"/>
      <c r="AL159" s="51"/>
      <c r="AM159" s="51"/>
      <c r="AN159" s="51"/>
      <c r="AO159" s="51"/>
      <c r="AP159" s="51"/>
      <c r="AQ159" s="51"/>
      <c r="AR159" s="51"/>
      <c r="AS159" s="51"/>
      <c r="AT159" s="51"/>
      <c r="AU159" s="51"/>
      <c r="AV159" s="51"/>
      <c r="AW159" s="51"/>
      <c r="AX159" s="51"/>
      <c r="AY159" s="51"/>
      <c r="AZ159" s="51"/>
      <c r="BA159" s="51"/>
      <c r="BB159" s="51"/>
      <c r="BC159" s="51"/>
      <c r="BD159" s="51"/>
      <c r="BE159" s="51"/>
      <c r="BF159" s="51"/>
      <c r="BG159" s="51"/>
      <c r="BH159" s="51"/>
      <c r="BI159" s="51"/>
      <c r="BJ159" s="51"/>
      <c r="BK159" s="51"/>
      <c r="BL159" s="51"/>
      <c r="BM159" s="51"/>
      <c r="BN159" s="51"/>
      <c r="BO159" s="51"/>
      <c r="BP159" s="51"/>
      <c r="BQ159" s="51"/>
      <c r="BR159" s="51"/>
      <c r="BS159" s="51"/>
      <c r="BT159" s="51"/>
      <c r="BU159" s="51"/>
      <c r="BV159" s="51"/>
      <c r="BW159" s="51"/>
      <c r="BX159" s="51"/>
      <c r="BY159" s="51"/>
      <c r="BZ159" s="51"/>
      <c r="CA159" s="51"/>
      <c r="CB159" s="51"/>
      <c r="CC159" s="51"/>
      <c r="CD159" s="51"/>
      <c r="CE159" s="51"/>
      <c r="CF159" s="51"/>
      <c r="CG159" s="51"/>
      <c r="CH159" s="51"/>
      <c r="CI159" s="51"/>
      <c r="CJ159" s="51"/>
      <c r="CK159" s="51"/>
      <c r="CL159" s="51"/>
      <c r="CM159" s="51"/>
      <c r="CN159" s="51"/>
      <c r="CO159" s="51"/>
      <c r="CP159" s="51"/>
      <c r="CQ159" s="51"/>
      <c r="CR159" s="51"/>
      <c r="CS159" s="51"/>
      <c r="CT159" s="51"/>
      <c r="CU159" s="51"/>
      <c r="CV159" s="51"/>
      <c r="CW159" s="51"/>
      <c r="CX159" s="51"/>
      <c r="CY159" s="51"/>
      <c r="CZ159" s="51"/>
      <c r="DA159" s="51"/>
      <c r="DB159" s="51"/>
      <c r="DC159" s="51"/>
      <c r="DD159" s="51"/>
      <c r="DE159" s="51"/>
      <c r="DF159" s="51"/>
      <c r="DG159" s="51"/>
      <c r="DH159" s="51"/>
      <c r="DI159" s="51"/>
      <c r="DJ159" s="51"/>
      <c r="DK159" s="51"/>
      <c r="DL159" s="51"/>
      <c r="DM159" s="51"/>
      <c r="DN159" s="51"/>
      <c r="DO159" s="51"/>
      <c r="DP159" s="51"/>
      <c r="DQ159" s="51"/>
      <c r="DR159" s="51"/>
      <c r="DS159" s="51"/>
      <c r="DT159" s="51"/>
      <c r="DU159" s="51"/>
      <c r="DV159" s="51"/>
      <c r="DW159" s="51"/>
      <c r="DX159" s="51"/>
      <c r="DY159" s="51"/>
      <c r="DZ159" s="51"/>
      <c r="EA159" s="51"/>
      <c r="EB159" s="51"/>
      <c r="EC159" s="51"/>
      <c r="ED159" s="51"/>
      <c r="EE159" s="51"/>
      <c r="EF159" s="51"/>
      <c r="EG159" s="51"/>
      <c r="EH159" s="51"/>
      <c r="EI159" s="51"/>
      <c r="EJ159" s="51"/>
    </row>
    <row r="160" spans="1:140">
      <c r="A160" s="69"/>
      <c r="B160" s="69"/>
      <c r="C160" s="88"/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51"/>
      <c r="AG160" s="51"/>
      <c r="AH160" s="51"/>
      <c r="AI160" s="51"/>
      <c r="AJ160" s="51"/>
      <c r="AK160" s="51"/>
      <c r="AL160" s="51"/>
      <c r="AM160" s="51"/>
      <c r="AN160" s="51"/>
      <c r="AO160" s="51"/>
      <c r="AP160" s="51"/>
      <c r="AQ160" s="51"/>
      <c r="AR160" s="51"/>
      <c r="AS160" s="51"/>
      <c r="AT160" s="51"/>
      <c r="AU160" s="51"/>
      <c r="AV160" s="51"/>
      <c r="AW160" s="51"/>
      <c r="AX160" s="51"/>
      <c r="AY160" s="51"/>
      <c r="AZ160" s="51"/>
      <c r="BA160" s="51"/>
      <c r="BB160" s="51"/>
      <c r="BC160" s="51"/>
      <c r="BD160" s="51"/>
      <c r="BE160" s="51"/>
      <c r="BF160" s="51"/>
      <c r="BG160" s="51"/>
      <c r="BH160" s="51"/>
      <c r="BI160" s="51"/>
      <c r="BJ160" s="51"/>
      <c r="BK160" s="51"/>
      <c r="BL160" s="51"/>
      <c r="BM160" s="51"/>
      <c r="BN160" s="51"/>
      <c r="BO160" s="51"/>
      <c r="BP160" s="51"/>
      <c r="BQ160" s="51"/>
      <c r="BR160" s="51"/>
      <c r="BS160" s="51"/>
      <c r="BT160" s="51"/>
      <c r="BU160" s="51"/>
      <c r="BV160" s="51"/>
      <c r="BW160" s="51"/>
      <c r="BX160" s="51"/>
      <c r="BY160" s="51"/>
      <c r="BZ160" s="51"/>
      <c r="CA160" s="51"/>
      <c r="CB160" s="51"/>
      <c r="CC160" s="51"/>
      <c r="CD160" s="51"/>
      <c r="CE160" s="51"/>
      <c r="CF160" s="51"/>
      <c r="CG160" s="51"/>
      <c r="CH160" s="51"/>
      <c r="CI160" s="51"/>
      <c r="CJ160" s="51"/>
      <c r="CK160" s="51"/>
      <c r="CL160" s="51"/>
      <c r="CM160" s="51"/>
      <c r="CN160" s="51"/>
      <c r="CO160" s="51"/>
      <c r="CP160" s="51"/>
      <c r="CQ160" s="51"/>
      <c r="CR160" s="51"/>
      <c r="CS160" s="51"/>
      <c r="CT160" s="51"/>
      <c r="CU160" s="51"/>
      <c r="CV160" s="51"/>
      <c r="CW160" s="51"/>
      <c r="CX160" s="51"/>
      <c r="CY160" s="51"/>
      <c r="CZ160" s="51"/>
      <c r="DA160" s="51"/>
      <c r="DB160" s="51"/>
      <c r="DC160" s="51"/>
      <c r="DD160" s="51"/>
      <c r="DE160" s="51"/>
      <c r="DF160" s="51"/>
      <c r="DG160" s="51"/>
      <c r="DH160" s="51"/>
      <c r="DI160" s="51"/>
      <c r="DJ160" s="51"/>
      <c r="DK160" s="51"/>
      <c r="DL160" s="51"/>
      <c r="DM160" s="51"/>
      <c r="DN160" s="51"/>
      <c r="DO160" s="51"/>
      <c r="DP160" s="51"/>
      <c r="DQ160" s="51"/>
      <c r="DR160" s="51"/>
      <c r="DS160" s="51"/>
      <c r="DT160" s="51"/>
      <c r="DU160" s="51"/>
      <c r="DV160" s="51"/>
      <c r="DW160" s="51"/>
      <c r="DX160" s="51"/>
      <c r="DY160" s="51"/>
      <c r="DZ160" s="51"/>
      <c r="EA160" s="51"/>
      <c r="EB160" s="51"/>
      <c r="EC160" s="51"/>
      <c r="ED160" s="51"/>
      <c r="EE160" s="51"/>
      <c r="EF160" s="51"/>
      <c r="EG160" s="51"/>
      <c r="EH160" s="51"/>
      <c r="EI160" s="51"/>
      <c r="EJ160" s="51"/>
    </row>
    <row r="161" spans="1:140">
      <c r="A161" s="69"/>
      <c r="B161" s="69"/>
      <c r="C161" s="88"/>
      <c r="D161" s="87"/>
      <c r="E161" s="87"/>
      <c r="F161" s="87"/>
      <c r="G161" s="87"/>
      <c r="H161" s="87"/>
      <c r="I161" s="87"/>
      <c r="J161" s="87"/>
      <c r="K161" s="87"/>
      <c r="L161" s="87"/>
      <c r="M161" s="87"/>
      <c r="N161" s="87"/>
      <c r="O161" s="87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51"/>
      <c r="AG161" s="51"/>
      <c r="AH161" s="51"/>
      <c r="AI161" s="51"/>
      <c r="AJ161" s="51"/>
      <c r="AK161" s="51"/>
      <c r="AL161" s="51"/>
      <c r="AM161" s="51"/>
      <c r="AN161" s="51"/>
      <c r="AO161" s="51"/>
      <c r="AP161" s="51"/>
      <c r="AQ161" s="51"/>
      <c r="AR161" s="51"/>
      <c r="AS161" s="51"/>
      <c r="AT161" s="51"/>
      <c r="AU161" s="51"/>
      <c r="AV161" s="51"/>
      <c r="AW161" s="51"/>
      <c r="AX161" s="51"/>
      <c r="AY161" s="51"/>
      <c r="AZ161" s="51"/>
      <c r="BA161" s="51"/>
      <c r="BB161" s="51"/>
      <c r="BC161" s="51"/>
      <c r="BD161" s="51"/>
      <c r="BE161" s="51"/>
      <c r="BF161" s="51"/>
      <c r="BG161" s="51"/>
      <c r="BH161" s="51"/>
      <c r="BI161" s="51"/>
      <c r="BJ161" s="51"/>
      <c r="BK161" s="51"/>
      <c r="BL161" s="51"/>
      <c r="BM161" s="51"/>
      <c r="BN161" s="51"/>
      <c r="BO161" s="51"/>
      <c r="BP161" s="51"/>
      <c r="BQ161" s="51"/>
      <c r="BR161" s="51"/>
      <c r="BS161" s="51"/>
      <c r="BT161" s="51"/>
      <c r="BU161" s="51"/>
      <c r="BV161" s="51"/>
      <c r="BW161" s="51"/>
      <c r="BX161" s="51"/>
      <c r="BY161" s="51"/>
      <c r="BZ161" s="51"/>
      <c r="CA161" s="51"/>
      <c r="CB161" s="51"/>
      <c r="CC161" s="51"/>
      <c r="CD161" s="51"/>
      <c r="CE161" s="51"/>
      <c r="CF161" s="51"/>
      <c r="CG161" s="51"/>
      <c r="CH161" s="51"/>
      <c r="CI161" s="51"/>
      <c r="CJ161" s="51"/>
      <c r="CK161" s="51"/>
      <c r="CL161" s="51"/>
      <c r="CM161" s="51"/>
      <c r="CN161" s="51"/>
      <c r="CO161" s="51"/>
      <c r="CP161" s="51"/>
      <c r="CQ161" s="51"/>
      <c r="CR161" s="51"/>
      <c r="CS161" s="51"/>
      <c r="CT161" s="51"/>
      <c r="CU161" s="51"/>
      <c r="CV161" s="51"/>
      <c r="CW161" s="51"/>
      <c r="CX161" s="51"/>
      <c r="CY161" s="51"/>
      <c r="CZ161" s="51"/>
      <c r="DA161" s="51"/>
      <c r="DB161" s="51"/>
      <c r="DC161" s="51"/>
      <c r="DD161" s="51"/>
      <c r="DE161" s="51"/>
      <c r="DF161" s="51"/>
      <c r="DG161" s="51"/>
      <c r="DH161" s="51"/>
      <c r="DI161" s="51"/>
      <c r="DJ161" s="51"/>
      <c r="DK161" s="51"/>
      <c r="DL161" s="51"/>
      <c r="DM161" s="51"/>
      <c r="DN161" s="51"/>
      <c r="DO161" s="51"/>
      <c r="DP161" s="51"/>
      <c r="DQ161" s="51"/>
      <c r="DR161" s="51"/>
      <c r="DS161" s="51"/>
      <c r="DT161" s="51"/>
      <c r="DU161" s="51"/>
      <c r="DV161" s="51"/>
      <c r="DW161" s="51"/>
      <c r="DX161" s="51"/>
      <c r="DY161" s="51"/>
      <c r="DZ161" s="51"/>
      <c r="EA161" s="51"/>
      <c r="EB161" s="51"/>
      <c r="EC161" s="51"/>
      <c r="ED161" s="51"/>
      <c r="EE161" s="51"/>
      <c r="EF161" s="51"/>
      <c r="EG161" s="51"/>
      <c r="EH161" s="51"/>
      <c r="EI161" s="51"/>
      <c r="EJ161" s="51"/>
    </row>
    <row r="162" spans="1:140">
      <c r="A162" s="69"/>
      <c r="B162" s="69"/>
      <c r="C162" s="88"/>
      <c r="D162" s="87"/>
      <c r="E162" s="87"/>
      <c r="F162" s="87"/>
      <c r="G162" s="87"/>
      <c r="H162" s="87"/>
      <c r="I162" s="87"/>
      <c r="J162" s="87"/>
      <c r="K162" s="87"/>
      <c r="L162" s="87"/>
      <c r="M162" s="87"/>
      <c r="N162" s="87"/>
      <c r="O162" s="87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51"/>
      <c r="AG162" s="51"/>
      <c r="AH162" s="51"/>
      <c r="AI162" s="51"/>
      <c r="AJ162" s="51"/>
      <c r="AK162" s="51"/>
      <c r="AL162" s="51"/>
      <c r="AM162" s="51"/>
      <c r="AN162" s="51"/>
      <c r="AO162" s="51"/>
      <c r="AP162" s="51"/>
      <c r="AQ162" s="51"/>
      <c r="AR162" s="51"/>
      <c r="AS162" s="51"/>
      <c r="AT162" s="51"/>
      <c r="AU162" s="51"/>
      <c r="AV162" s="51"/>
      <c r="AW162" s="51"/>
      <c r="AX162" s="51"/>
      <c r="AY162" s="51"/>
      <c r="AZ162" s="51"/>
      <c r="BA162" s="51"/>
      <c r="BB162" s="51"/>
      <c r="BC162" s="51"/>
      <c r="BD162" s="51"/>
      <c r="BE162" s="51"/>
      <c r="BF162" s="51"/>
      <c r="BG162" s="51"/>
      <c r="BH162" s="51"/>
      <c r="BI162" s="51"/>
      <c r="BJ162" s="51"/>
      <c r="BK162" s="51"/>
      <c r="BL162" s="51"/>
      <c r="BM162" s="51"/>
      <c r="BN162" s="51"/>
      <c r="BO162" s="51"/>
      <c r="BP162" s="51"/>
      <c r="BQ162" s="51"/>
      <c r="BR162" s="51"/>
      <c r="BS162" s="51"/>
      <c r="BT162" s="51"/>
      <c r="BU162" s="51"/>
      <c r="BV162" s="51"/>
      <c r="BW162" s="51"/>
      <c r="BX162" s="51"/>
      <c r="BY162" s="51"/>
      <c r="BZ162" s="51"/>
      <c r="CA162" s="51"/>
      <c r="CB162" s="51"/>
      <c r="CC162" s="51"/>
      <c r="CD162" s="51"/>
      <c r="CE162" s="51"/>
      <c r="CF162" s="51"/>
      <c r="CG162" s="51"/>
      <c r="CH162" s="51"/>
      <c r="CI162" s="51"/>
      <c r="CJ162" s="51"/>
      <c r="CK162" s="51"/>
      <c r="CL162" s="51"/>
      <c r="CM162" s="51"/>
      <c r="CN162" s="51"/>
      <c r="CO162" s="51"/>
      <c r="CP162" s="51"/>
      <c r="CQ162" s="51"/>
      <c r="CR162" s="51"/>
      <c r="CS162" s="51"/>
      <c r="CT162" s="51"/>
      <c r="CU162" s="51"/>
      <c r="CV162" s="51"/>
      <c r="CW162" s="51"/>
      <c r="CX162" s="51"/>
      <c r="CY162" s="51"/>
      <c r="CZ162" s="51"/>
      <c r="DA162" s="51"/>
      <c r="DB162" s="51"/>
      <c r="DC162" s="51"/>
      <c r="DD162" s="51"/>
      <c r="DE162" s="51"/>
      <c r="DF162" s="51"/>
      <c r="DG162" s="51"/>
      <c r="DH162" s="51"/>
      <c r="DI162" s="51"/>
      <c r="DJ162" s="51"/>
      <c r="DK162" s="51"/>
      <c r="DL162" s="51"/>
      <c r="DM162" s="51"/>
      <c r="DN162" s="51"/>
      <c r="DO162" s="51"/>
      <c r="DP162" s="51"/>
      <c r="DQ162" s="51"/>
      <c r="DR162" s="51"/>
      <c r="DS162" s="51"/>
      <c r="DT162" s="51"/>
      <c r="DU162" s="51"/>
      <c r="DV162" s="51"/>
      <c r="DW162" s="51"/>
      <c r="DX162" s="51"/>
      <c r="DY162" s="51"/>
      <c r="DZ162" s="51"/>
      <c r="EA162" s="51"/>
      <c r="EB162" s="51"/>
      <c r="EC162" s="51"/>
      <c r="ED162" s="51"/>
      <c r="EE162" s="51"/>
      <c r="EF162" s="51"/>
      <c r="EG162" s="51"/>
      <c r="EH162" s="51"/>
      <c r="EI162" s="51"/>
      <c r="EJ162" s="51"/>
    </row>
    <row r="163" spans="1:140">
      <c r="A163" s="69"/>
      <c r="B163" s="69"/>
      <c r="C163" s="88"/>
      <c r="D163" s="87"/>
      <c r="E163" s="87"/>
      <c r="F163" s="87"/>
      <c r="G163" s="87"/>
      <c r="H163" s="87"/>
      <c r="I163" s="87"/>
      <c r="J163" s="87"/>
      <c r="K163" s="87"/>
      <c r="L163" s="87"/>
      <c r="M163" s="87"/>
      <c r="N163" s="87"/>
      <c r="O163" s="87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51"/>
      <c r="AG163" s="51"/>
      <c r="AH163" s="51"/>
      <c r="AI163" s="51"/>
      <c r="AJ163" s="51"/>
      <c r="AK163" s="51"/>
      <c r="AL163" s="51"/>
      <c r="AM163" s="51"/>
      <c r="AN163" s="51"/>
      <c r="AO163" s="51"/>
      <c r="AP163" s="51"/>
      <c r="AQ163" s="51"/>
      <c r="AR163" s="51"/>
      <c r="AS163" s="51"/>
      <c r="AT163" s="51"/>
      <c r="AU163" s="51"/>
      <c r="AV163" s="51"/>
      <c r="AW163" s="51"/>
      <c r="AX163" s="51"/>
      <c r="AY163" s="51"/>
      <c r="AZ163" s="51"/>
      <c r="BA163" s="51"/>
      <c r="BB163" s="51"/>
      <c r="BC163" s="51"/>
      <c r="BD163" s="51"/>
      <c r="BE163" s="51"/>
      <c r="BF163" s="51"/>
      <c r="BG163" s="51"/>
      <c r="BH163" s="51"/>
      <c r="BI163" s="51"/>
      <c r="BJ163" s="51"/>
      <c r="BK163" s="51"/>
      <c r="BL163" s="51"/>
      <c r="BM163" s="51"/>
      <c r="BN163" s="51"/>
      <c r="BO163" s="51"/>
      <c r="BP163" s="51"/>
      <c r="BQ163" s="51"/>
      <c r="BR163" s="51"/>
      <c r="BS163" s="51"/>
      <c r="BT163" s="51"/>
      <c r="BU163" s="51"/>
      <c r="BV163" s="51"/>
      <c r="BW163" s="51"/>
      <c r="BX163" s="51"/>
      <c r="BY163" s="51"/>
      <c r="BZ163" s="51"/>
      <c r="CA163" s="51"/>
      <c r="CB163" s="51"/>
      <c r="CC163" s="51"/>
      <c r="CD163" s="51"/>
      <c r="CE163" s="51"/>
      <c r="CF163" s="51"/>
      <c r="CG163" s="51"/>
      <c r="CH163" s="51"/>
      <c r="CI163" s="51"/>
      <c r="CJ163" s="51"/>
      <c r="CK163" s="51"/>
      <c r="CL163" s="51"/>
      <c r="CM163" s="51"/>
      <c r="CN163" s="51"/>
      <c r="CO163" s="51"/>
      <c r="CP163" s="51"/>
      <c r="CQ163" s="51"/>
      <c r="CR163" s="51"/>
      <c r="CS163" s="51"/>
      <c r="CT163" s="51"/>
      <c r="CU163" s="51"/>
      <c r="CV163" s="51"/>
      <c r="CW163" s="51"/>
      <c r="CX163" s="51"/>
      <c r="CY163" s="51"/>
      <c r="CZ163" s="51"/>
      <c r="DA163" s="51"/>
      <c r="DB163" s="51"/>
      <c r="DC163" s="51"/>
      <c r="DD163" s="51"/>
      <c r="DE163" s="51"/>
      <c r="DF163" s="51"/>
      <c r="DG163" s="51"/>
      <c r="DH163" s="51"/>
      <c r="DI163" s="51"/>
      <c r="DJ163" s="51"/>
      <c r="DK163" s="51"/>
      <c r="DL163" s="51"/>
      <c r="DM163" s="51"/>
      <c r="DN163" s="51"/>
      <c r="DO163" s="51"/>
      <c r="DP163" s="51"/>
      <c r="DQ163" s="51"/>
      <c r="DR163" s="51"/>
      <c r="DS163" s="51"/>
      <c r="DT163" s="51"/>
      <c r="DU163" s="51"/>
      <c r="DV163" s="51"/>
      <c r="DW163" s="51"/>
      <c r="DX163" s="51"/>
      <c r="DY163" s="51"/>
      <c r="DZ163" s="51"/>
      <c r="EA163" s="51"/>
      <c r="EB163" s="51"/>
      <c r="EC163" s="51"/>
      <c r="ED163" s="51"/>
      <c r="EE163" s="51"/>
      <c r="EF163" s="51"/>
      <c r="EG163" s="51"/>
      <c r="EH163" s="51"/>
      <c r="EI163" s="51"/>
      <c r="EJ163" s="51"/>
    </row>
    <row r="164" spans="1:140">
      <c r="A164" s="69"/>
      <c r="B164" s="69"/>
      <c r="C164" s="88"/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51"/>
      <c r="AG164" s="51"/>
      <c r="AH164" s="51"/>
      <c r="AI164" s="51"/>
      <c r="AJ164" s="51"/>
      <c r="AK164" s="51"/>
      <c r="AL164" s="51"/>
      <c r="AM164" s="51"/>
      <c r="AN164" s="51"/>
      <c r="AO164" s="51"/>
      <c r="AP164" s="51"/>
      <c r="AQ164" s="51"/>
      <c r="AR164" s="51"/>
      <c r="AS164" s="51"/>
      <c r="AT164" s="51"/>
      <c r="AU164" s="51"/>
      <c r="AV164" s="51"/>
      <c r="AW164" s="51"/>
      <c r="AX164" s="51"/>
      <c r="AY164" s="51"/>
      <c r="AZ164" s="51"/>
      <c r="BA164" s="51"/>
      <c r="BB164" s="51"/>
      <c r="BC164" s="51"/>
      <c r="BD164" s="51"/>
      <c r="BE164" s="51"/>
      <c r="BF164" s="51"/>
      <c r="BG164" s="51"/>
      <c r="BH164" s="51"/>
      <c r="BI164" s="51"/>
      <c r="BJ164" s="51"/>
      <c r="BK164" s="51"/>
      <c r="BL164" s="51"/>
      <c r="BM164" s="51"/>
      <c r="BN164" s="51"/>
      <c r="BO164" s="51"/>
      <c r="BP164" s="51"/>
      <c r="BQ164" s="51"/>
      <c r="BR164" s="51"/>
      <c r="BS164" s="51"/>
      <c r="BT164" s="51"/>
      <c r="BU164" s="51"/>
      <c r="BV164" s="51"/>
      <c r="BW164" s="51"/>
      <c r="BX164" s="51"/>
      <c r="BY164" s="51"/>
      <c r="BZ164" s="51"/>
      <c r="CA164" s="51"/>
      <c r="CB164" s="51"/>
      <c r="CC164" s="51"/>
      <c r="CD164" s="51"/>
      <c r="CE164" s="51"/>
      <c r="CF164" s="51"/>
      <c r="CG164" s="51"/>
      <c r="CH164" s="51"/>
      <c r="CI164" s="51"/>
      <c r="CJ164" s="51"/>
      <c r="CK164" s="51"/>
      <c r="CL164" s="51"/>
      <c r="CM164" s="51"/>
      <c r="CN164" s="51"/>
      <c r="CO164" s="51"/>
      <c r="CP164" s="51"/>
      <c r="CQ164" s="51"/>
      <c r="CR164" s="51"/>
      <c r="CS164" s="51"/>
      <c r="CT164" s="51"/>
      <c r="CU164" s="51"/>
      <c r="CV164" s="51"/>
      <c r="CW164" s="51"/>
      <c r="CX164" s="51"/>
      <c r="CY164" s="51"/>
      <c r="CZ164" s="51"/>
      <c r="DA164" s="51"/>
      <c r="DB164" s="51"/>
      <c r="DC164" s="51"/>
      <c r="DD164" s="51"/>
      <c r="DE164" s="51"/>
      <c r="DF164" s="51"/>
      <c r="DG164" s="51"/>
      <c r="DH164" s="51"/>
      <c r="DI164" s="51"/>
      <c r="DJ164" s="51"/>
      <c r="DK164" s="51"/>
      <c r="DL164" s="51"/>
      <c r="DM164" s="51"/>
      <c r="DN164" s="51"/>
      <c r="DO164" s="51"/>
      <c r="DP164" s="51"/>
      <c r="DQ164" s="51"/>
      <c r="DR164" s="51"/>
      <c r="DS164" s="51"/>
      <c r="DT164" s="51"/>
      <c r="DU164" s="51"/>
      <c r="DV164" s="51"/>
      <c r="DW164" s="51"/>
      <c r="DX164" s="51"/>
      <c r="DY164" s="51"/>
      <c r="DZ164" s="51"/>
      <c r="EA164" s="51"/>
      <c r="EB164" s="51"/>
      <c r="EC164" s="51"/>
      <c r="ED164" s="51"/>
      <c r="EE164" s="51"/>
      <c r="EF164" s="51"/>
      <c r="EG164" s="51"/>
      <c r="EH164" s="51"/>
      <c r="EI164" s="51"/>
      <c r="EJ164" s="51"/>
    </row>
    <row r="165" spans="1:140">
      <c r="A165" s="69"/>
      <c r="B165" s="69"/>
      <c r="C165" s="88"/>
      <c r="D165" s="87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51"/>
      <c r="AG165" s="51"/>
      <c r="AH165" s="51"/>
      <c r="AI165" s="51"/>
      <c r="AJ165" s="51"/>
      <c r="AK165" s="51"/>
      <c r="AL165" s="51"/>
      <c r="AM165" s="51"/>
      <c r="AN165" s="51"/>
      <c r="AO165" s="51"/>
      <c r="AP165" s="51"/>
      <c r="AQ165" s="51"/>
      <c r="AR165" s="51"/>
      <c r="AS165" s="51"/>
      <c r="AT165" s="51"/>
      <c r="AU165" s="51"/>
      <c r="AV165" s="51"/>
      <c r="AW165" s="51"/>
      <c r="AX165" s="51"/>
      <c r="AY165" s="51"/>
      <c r="AZ165" s="51"/>
      <c r="BA165" s="51"/>
      <c r="BB165" s="51"/>
      <c r="BC165" s="51"/>
      <c r="BD165" s="51"/>
      <c r="BE165" s="51"/>
      <c r="BF165" s="51"/>
      <c r="BG165" s="51"/>
      <c r="BH165" s="51"/>
      <c r="BI165" s="51"/>
      <c r="BJ165" s="51"/>
      <c r="BK165" s="51"/>
      <c r="BL165" s="51"/>
      <c r="BM165" s="51"/>
      <c r="BN165" s="51"/>
      <c r="BO165" s="51"/>
      <c r="BP165" s="51"/>
      <c r="BQ165" s="51"/>
      <c r="BR165" s="51"/>
      <c r="BS165" s="51"/>
      <c r="BT165" s="51"/>
      <c r="BU165" s="51"/>
      <c r="BV165" s="51"/>
      <c r="BW165" s="51"/>
      <c r="BX165" s="51"/>
      <c r="BY165" s="51"/>
      <c r="BZ165" s="51"/>
      <c r="CA165" s="51"/>
      <c r="CB165" s="51"/>
      <c r="CC165" s="51"/>
      <c r="CD165" s="51"/>
      <c r="CE165" s="51"/>
      <c r="CF165" s="51"/>
      <c r="CG165" s="51"/>
      <c r="CH165" s="51"/>
      <c r="CI165" s="51"/>
      <c r="CJ165" s="51"/>
      <c r="CK165" s="51"/>
      <c r="CL165" s="51"/>
      <c r="CM165" s="51"/>
      <c r="CN165" s="51"/>
      <c r="CO165" s="51"/>
      <c r="CP165" s="51"/>
      <c r="CQ165" s="51"/>
      <c r="CR165" s="51"/>
      <c r="CS165" s="51"/>
      <c r="CT165" s="51"/>
      <c r="CU165" s="51"/>
      <c r="CV165" s="51"/>
      <c r="CW165" s="51"/>
      <c r="CX165" s="51"/>
      <c r="CY165" s="51"/>
      <c r="CZ165" s="51"/>
      <c r="DA165" s="51"/>
      <c r="DB165" s="51"/>
      <c r="DC165" s="51"/>
      <c r="DD165" s="51"/>
      <c r="DE165" s="51"/>
      <c r="DF165" s="51"/>
      <c r="DG165" s="51"/>
      <c r="DH165" s="51"/>
      <c r="DI165" s="51"/>
      <c r="DJ165" s="51"/>
      <c r="DK165" s="51"/>
      <c r="DL165" s="51"/>
      <c r="DM165" s="51"/>
      <c r="DN165" s="51"/>
      <c r="DO165" s="51"/>
      <c r="DP165" s="51"/>
      <c r="DQ165" s="51"/>
      <c r="DR165" s="51"/>
      <c r="DS165" s="51"/>
      <c r="DT165" s="51"/>
      <c r="DU165" s="51"/>
      <c r="DV165" s="51"/>
      <c r="DW165" s="51"/>
      <c r="DX165" s="51"/>
      <c r="DY165" s="51"/>
      <c r="DZ165" s="51"/>
      <c r="EA165" s="51"/>
      <c r="EB165" s="51"/>
      <c r="EC165" s="51"/>
      <c r="ED165" s="51"/>
      <c r="EE165" s="51"/>
      <c r="EF165" s="51"/>
      <c r="EG165" s="51"/>
      <c r="EH165" s="51"/>
      <c r="EI165" s="51"/>
      <c r="EJ165" s="51"/>
    </row>
    <row r="166" spans="1:140">
      <c r="A166" s="69"/>
      <c r="B166" s="69"/>
      <c r="C166" s="88"/>
      <c r="D166" s="87"/>
      <c r="E166" s="87"/>
      <c r="F166" s="87"/>
      <c r="G166" s="87"/>
      <c r="H166" s="87"/>
      <c r="I166" s="87"/>
      <c r="J166" s="87"/>
      <c r="K166" s="87"/>
      <c r="L166" s="87"/>
      <c r="M166" s="87"/>
      <c r="N166" s="87"/>
      <c r="O166" s="87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51"/>
      <c r="AG166" s="51"/>
      <c r="AH166" s="51"/>
      <c r="AI166" s="51"/>
      <c r="AJ166" s="51"/>
      <c r="AK166" s="51"/>
      <c r="AL166" s="51"/>
      <c r="AM166" s="51"/>
      <c r="AN166" s="51"/>
      <c r="AO166" s="51"/>
      <c r="AP166" s="51"/>
      <c r="AQ166" s="51"/>
      <c r="AR166" s="51"/>
      <c r="AS166" s="51"/>
      <c r="AT166" s="51"/>
      <c r="AU166" s="51"/>
      <c r="AV166" s="51"/>
      <c r="AW166" s="51"/>
      <c r="AX166" s="51"/>
      <c r="AY166" s="51"/>
      <c r="AZ166" s="51"/>
      <c r="BA166" s="51"/>
      <c r="BB166" s="51"/>
      <c r="BC166" s="51"/>
      <c r="BD166" s="51"/>
      <c r="BE166" s="51"/>
      <c r="BF166" s="51"/>
      <c r="BG166" s="51"/>
      <c r="BH166" s="51"/>
      <c r="BI166" s="51"/>
      <c r="BJ166" s="51"/>
      <c r="BK166" s="51"/>
      <c r="BL166" s="51"/>
      <c r="BM166" s="51"/>
      <c r="BN166" s="51"/>
      <c r="BO166" s="51"/>
      <c r="BP166" s="51"/>
      <c r="BQ166" s="51"/>
      <c r="BR166" s="51"/>
      <c r="BS166" s="51"/>
      <c r="BT166" s="51"/>
      <c r="BU166" s="51"/>
      <c r="BV166" s="51"/>
      <c r="BW166" s="51"/>
      <c r="BX166" s="51"/>
      <c r="BY166" s="51"/>
      <c r="BZ166" s="51"/>
      <c r="CA166" s="51"/>
      <c r="CB166" s="51"/>
      <c r="CC166" s="51"/>
      <c r="CD166" s="51"/>
      <c r="CE166" s="51"/>
      <c r="CF166" s="51"/>
      <c r="CG166" s="51"/>
      <c r="CH166" s="51"/>
      <c r="CI166" s="51"/>
      <c r="CJ166" s="51"/>
      <c r="CK166" s="51"/>
      <c r="CL166" s="51"/>
      <c r="CM166" s="51"/>
      <c r="CN166" s="51"/>
      <c r="CO166" s="51"/>
      <c r="CP166" s="51"/>
      <c r="CQ166" s="51"/>
      <c r="CR166" s="51"/>
      <c r="CS166" s="51"/>
      <c r="CT166" s="51"/>
      <c r="CU166" s="51"/>
      <c r="CV166" s="51"/>
      <c r="CW166" s="51"/>
      <c r="CX166" s="51"/>
      <c r="CY166" s="51"/>
      <c r="CZ166" s="51"/>
      <c r="DA166" s="51"/>
      <c r="DB166" s="51"/>
      <c r="DC166" s="51"/>
      <c r="DD166" s="51"/>
      <c r="DE166" s="51"/>
      <c r="DF166" s="51"/>
      <c r="DG166" s="51"/>
      <c r="DH166" s="51"/>
      <c r="DI166" s="51"/>
      <c r="DJ166" s="51"/>
      <c r="DK166" s="51"/>
      <c r="DL166" s="51"/>
      <c r="DM166" s="51"/>
      <c r="DN166" s="51"/>
      <c r="DO166" s="51"/>
      <c r="DP166" s="51"/>
      <c r="DQ166" s="51"/>
      <c r="DR166" s="51"/>
      <c r="DS166" s="51"/>
      <c r="DT166" s="51"/>
      <c r="DU166" s="51"/>
      <c r="DV166" s="51"/>
      <c r="DW166" s="51"/>
      <c r="DX166" s="51"/>
      <c r="DY166" s="51"/>
      <c r="DZ166" s="51"/>
      <c r="EA166" s="51"/>
      <c r="EB166" s="51"/>
      <c r="EC166" s="51"/>
      <c r="ED166" s="51"/>
      <c r="EE166" s="51"/>
      <c r="EF166" s="51"/>
      <c r="EG166" s="51"/>
      <c r="EH166" s="51"/>
      <c r="EI166" s="51"/>
      <c r="EJ166" s="51"/>
    </row>
    <row r="167" spans="1:140">
      <c r="C167" s="19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V167" s="51"/>
      <c r="W167" s="51"/>
      <c r="X167" s="51"/>
      <c r="Y167" s="51"/>
      <c r="Z167" s="51"/>
      <c r="AA167" s="51"/>
      <c r="AB167" s="51"/>
      <c r="AC167" s="51"/>
      <c r="AD167" s="51"/>
      <c r="AE167" s="51"/>
      <c r="AF167" s="51"/>
      <c r="AG167" s="51"/>
      <c r="AH167" s="51"/>
      <c r="AI167" s="51"/>
      <c r="AJ167" s="51"/>
      <c r="AK167" s="51"/>
      <c r="AL167" s="51"/>
      <c r="AM167" s="51"/>
      <c r="AN167" s="51"/>
      <c r="AO167" s="51"/>
      <c r="AP167" s="51"/>
      <c r="AQ167" s="51"/>
      <c r="AR167" s="51"/>
      <c r="AS167" s="51"/>
      <c r="AT167" s="51"/>
      <c r="AU167" s="51"/>
      <c r="AV167" s="51"/>
      <c r="AW167" s="51"/>
      <c r="AX167" s="51"/>
      <c r="AY167" s="51"/>
      <c r="AZ167" s="51"/>
      <c r="BA167" s="51"/>
      <c r="BB167" s="51"/>
      <c r="BC167" s="51"/>
      <c r="BD167" s="51"/>
      <c r="BE167" s="51"/>
      <c r="BF167" s="51"/>
      <c r="BG167" s="51"/>
      <c r="BH167" s="51"/>
      <c r="BI167" s="51"/>
      <c r="BJ167" s="51"/>
      <c r="BK167" s="51"/>
      <c r="BL167" s="51"/>
      <c r="BM167" s="51"/>
      <c r="BN167" s="51"/>
      <c r="BO167" s="51"/>
      <c r="BP167" s="51"/>
      <c r="BQ167" s="51"/>
      <c r="BR167" s="51"/>
      <c r="BS167" s="51"/>
      <c r="BT167" s="51"/>
      <c r="BU167" s="51"/>
      <c r="BV167" s="51"/>
      <c r="BW167" s="51"/>
      <c r="BX167" s="51"/>
      <c r="BY167" s="51"/>
      <c r="BZ167" s="51"/>
      <c r="CA167" s="51"/>
      <c r="CB167" s="51"/>
      <c r="CC167" s="51"/>
      <c r="CD167" s="51"/>
      <c r="CE167" s="51"/>
      <c r="CF167" s="51"/>
      <c r="CG167" s="51"/>
      <c r="CH167" s="51"/>
      <c r="CI167" s="51"/>
      <c r="CJ167" s="51"/>
      <c r="CK167" s="51"/>
      <c r="CL167" s="51"/>
      <c r="CM167" s="51"/>
      <c r="CN167" s="51"/>
      <c r="CO167" s="51"/>
      <c r="CP167" s="51"/>
      <c r="CQ167" s="51"/>
      <c r="CR167" s="51"/>
      <c r="CS167" s="51"/>
      <c r="CT167" s="51"/>
      <c r="CU167" s="51"/>
      <c r="CV167" s="51"/>
      <c r="CW167" s="51"/>
      <c r="CX167" s="51"/>
      <c r="CY167" s="51"/>
      <c r="CZ167" s="51"/>
      <c r="DA167" s="51"/>
      <c r="DB167" s="51"/>
      <c r="DC167" s="51"/>
      <c r="DD167" s="51"/>
      <c r="DE167" s="51"/>
      <c r="DF167" s="51"/>
      <c r="DG167" s="51"/>
      <c r="DH167" s="51"/>
      <c r="DI167" s="51"/>
      <c r="DJ167" s="51"/>
      <c r="DK167" s="51"/>
      <c r="DL167" s="51"/>
      <c r="DM167" s="51"/>
      <c r="DN167" s="51"/>
      <c r="DO167" s="51"/>
      <c r="DP167" s="51"/>
      <c r="DQ167" s="51"/>
      <c r="DR167" s="51"/>
      <c r="DS167" s="51"/>
      <c r="DT167" s="51"/>
      <c r="DU167" s="51"/>
      <c r="DV167" s="51"/>
      <c r="DW167" s="51"/>
      <c r="DX167" s="51"/>
      <c r="DY167" s="51"/>
      <c r="DZ167" s="51"/>
      <c r="EA167" s="51"/>
      <c r="EB167" s="51"/>
      <c r="EC167" s="51"/>
      <c r="ED167" s="51"/>
      <c r="EE167" s="51"/>
      <c r="EF167" s="51"/>
      <c r="EG167" s="51"/>
      <c r="EH167" s="51"/>
      <c r="EI167" s="51"/>
      <c r="EJ167" s="51"/>
    </row>
    <row r="168" spans="1:140">
      <c r="C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  <c r="AG168" s="51"/>
      <c r="AH168" s="51"/>
      <c r="AI168" s="51"/>
      <c r="AJ168" s="51"/>
      <c r="AK168" s="51"/>
      <c r="AL168" s="51"/>
      <c r="AM168" s="51"/>
      <c r="AN168" s="51"/>
      <c r="AO168" s="51"/>
      <c r="AP168" s="51"/>
      <c r="AQ168" s="51"/>
      <c r="AR168" s="51"/>
      <c r="AS168" s="51"/>
      <c r="AT168" s="51"/>
      <c r="AU168" s="51"/>
      <c r="AV168" s="51"/>
      <c r="AW168" s="51"/>
      <c r="AX168" s="51"/>
      <c r="AY168" s="51"/>
      <c r="AZ168" s="51"/>
      <c r="BA168" s="51"/>
      <c r="BB168" s="51"/>
      <c r="BC168" s="51"/>
      <c r="BD168" s="51"/>
      <c r="BE168" s="51"/>
      <c r="BF168" s="51"/>
      <c r="BG168" s="51"/>
      <c r="BH168" s="51"/>
      <c r="BI168" s="51"/>
      <c r="BJ168" s="51"/>
      <c r="BK168" s="51"/>
      <c r="BL168" s="51"/>
      <c r="BM168" s="51"/>
      <c r="BN168" s="51"/>
      <c r="BO168" s="51"/>
      <c r="BP168" s="51"/>
      <c r="BQ168" s="51"/>
      <c r="BR168" s="51"/>
      <c r="BS168" s="51"/>
      <c r="BT168" s="51"/>
      <c r="BU168" s="51"/>
      <c r="BV168" s="51"/>
      <c r="BW168" s="51"/>
      <c r="BX168" s="51"/>
      <c r="BY168" s="51"/>
      <c r="BZ168" s="51"/>
      <c r="CA168" s="51"/>
      <c r="CB168" s="51"/>
      <c r="CC168" s="51"/>
      <c r="CD168" s="51"/>
      <c r="CE168" s="51"/>
      <c r="CF168" s="51"/>
      <c r="CG168" s="51"/>
      <c r="CH168" s="51"/>
      <c r="CI168" s="51"/>
      <c r="CJ168" s="51"/>
      <c r="CK168" s="51"/>
      <c r="CL168" s="51"/>
      <c r="CM168" s="51"/>
      <c r="CN168" s="51"/>
      <c r="CO168" s="51"/>
      <c r="CP168" s="51"/>
      <c r="CQ168" s="51"/>
      <c r="CR168" s="51"/>
      <c r="CS168" s="51"/>
      <c r="CT168" s="51"/>
      <c r="CU168" s="51"/>
      <c r="CV168" s="51"/>
      <c r="CW168" s="51"/>
      <c r="CX168" s="51"/>
      <c r="CY168" s="51"/>
      <c r="CZ168" s="51"/>
      <c r="DA168" s="51"/>
      <c r="DB168" s="51"/>
      <c r="DC168" s="51"/>
      <c r="DD168" s="51"/>
      <c r="DE168" s="51"/>
      <c r="DF168" s="51"/>
      <c r="DG168" s="51"/>
      <c r="DH168" s="51"/>
      <c r="DI168" s="51"/>
      <c r="DJ168" s="51"/>
      <c r="DK168" s="51"/>
      <c r="DL168" s="51"/>
      <c r="DM168" s="51"/>
      <c r="DN168" s="51"/>
      <c r="DO168" s="51"/>
      <c r="DP168" s="51"/>
      <c r="DQ168" s="51"/>
      <c r="DR168" s="51"/>
      <c r="DS168" s="51"/>
      <c r="DT168" s="51"/>
      <c r="DU168" s="51"/>
      <c r="DV168" s="51"/>
      <c r="DW168" s="51"/>
      <c r="DX168" s="51"/>
      <c r="DY168" s="51"/>
      <c r="DZ168" s="51"/>
      <c r="EA168" s="51"/>
      <c r="EB168" s="51"/>
      <c r="EC168" s="51"/>
      <c r="ED168" s="51"/>
      <c r="EE168" s="51"/>
      <c r="EF168" s="51"/>
      <c r="EG168" s="51"/>
      <c r="EH168" s="51"/>
      <c r="EI168" s="51"/>
      <c r="EJ168" s="51"/>
    </row>
    <row r="169" spans="1:140">
      <c r="C169" s="19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1"/>
      <c r="AI169" s="51"/>
      <c r="AJ169" s="51"/>
      <c r="AK169" s="51"/>
      <c r="AL169" s="51"/>
      <c r="AM169" s="51"/>
      <c r="AN169" s="51"/>
      <c r="AO169" s="51"/>
      <c r="AP169" s="51"/>
      <c r="AQ169" s="51"/>
      <c r="AR169" s="51"/>
      <c r="AS169" s="51"/>
      <c r="AT169" s="51"/>
      <c r="AU169" s="51"/>
      <c r="AV169" s="51"/>
      <c r="AW169" s="51"/>
      <c r="AX169" s="51"/>
      <c r="AY169" s="51"/>
      <c r="AZ169" s="51"/>
      <c r="BA169" s="51"/>
      <c r="BB169" s="51"/>
      <c r="BC169" s="51"/>
      <c r="BD169" s="51"/>
      <c r="BE169" s="51"/>
      <c r="BF169" s="51"/>
      <c r="BG169" s="51"/>
      <c r="BH169" s="51"/>
      <c r="BI169" s="51"/>
      <c r="BJ169" s="51"/>
      <c r="BK169" s="51"/>
      <c r="BL169" s="51"/>
      <c r="BM169" s="51"/>
      <c r="BN169" s="51"/>
      <c r="BO169" s="51"/>
      <c r="BP169" s="51"/>
      <c r="BQ169" s="51"/>
      <c r="BR169" s="51"/>
      <c r="BS169" s="51"/>
      <c r="BT169" s="51"/>
      <c r="BU169" s="51"/>
      <c r="BV169" s="51"/>
      <c r="BW169" s="51"/>
      <c r="BX169" s="51"/>
      <c r="BY169" s="51"/>
      <c r="BZ169" s="51"/>
      <c r="CA169" s="51"/>
      <c r="CB169" s="51"/>
      <c r="CC169" s="51"/>
      <c r="CD169" s="51"/>
      <c r="CE169" s="51"/>
      <c r="CF169" s="51"/>
      <c r="CG169" s="51"/>
      <c r="CH169" s="51"/>
      <c r="CI169" s="51"/>
      <c r="CJ169" s="51"/>
      <c r="CK169" s="51"/>
      <c r="CL169" s="51"/>
      <c r="CM169" s="51"/>
      <c r="CN169" s="51"/>
      <c r="CO169" s="51"/>
      <c r="CP169" s="51"/>
      <c r="CQ169" s="51"/>
      <c r="CR169" s="51"/>
      <c r="CS169" s="51"/>
      <c r="CT169" s="51"/>
      <c r="CU169" s="51"/>
      <c r="CV169" s="51"/>
      <c r="CW169" s="51"/>
      <c r="CX169" s="51"/>
      <c r="CY169" s="51"/>
      <c r="CZ169" s="51"/>
      <c r="DA169" s="51"/>
      <c r="DB169" s="51"/>
      <c r="DC169" s="51"/>
      <c r="DD169" s="51"/>
      <c r="DE169" s="51"/>
      <c r="DF169" s="51"/>
      <c r="DG169" s="51"/>
      <c r="DH169" s="51"/>
      <c r="DI169" s="51"/>
      <c r="DJ169" s="51"/>
      <c r="DK169" s="51"/>
      <c r="DL169" s="51"/>
      <c r="DM169" s="51"/>
      <c r="DN169" s="51"/>
      <c r="DO169" s="51"/>
      <c r="DP169" s="51"/>
      <c r="DQ169" s="51"/>
      <c r="DR169" s="51"/>
      <c r="DS169" s="51"/>
      <c r="DT169" s="51"/>
      <c r="DU169" s="51"/>
      <c r="DV169" s="51"/>
      <c r="DW169" s="51"/>
      <c r="DX169" s="51"/>
      <c r="DY169" s="51"/>
      <c r="DZ169" s="51"/>
      <c r="EA169" s="51"/>
      <c r="EB169" s="51"/>
      <c r="EC169" s="51"/>
      <c r="ED169" s="51"/>
      <c r="EE169" s="51"/>
      <c r="EF169" s="51"/>
      <c r="EG169" s="51"/>
      <c r="EH169" s="51"/>
      <c r="EI169" s="51"/>
      <c r="EJ169" s="51"/>
    </row>
    <row r="170" spans="1:140">
      <c r="C170" s="19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1"/>
      <c r="AI170" s="51"/>
      <c r="AJ170" s="51"/>
      <c r="AK170" s="51"/>
      <c r="AL170" s="51"/>
      <c r="AM170" s="51"/>
      <c r="AN170" s="51"/>
      <c r="AO170" s="51"/>
      <c r="AP170" s="51"/>
      <c r="AQ170" s="51"/>
      <c r="AR170" s="51"/>
      <c r="AS170" s="51"/>
      <c r="AT170" s="51"/>
      <c r="AU170" s="51"/>
      <c r="AV170" s="51"/>
      <c r="AW170" s="51"/>
      <c r="AX170" s="51"/>
      <c r="AY170" s="51"/>
      <c r="AZ170" s="51"/>
      <c r="BA170" s="51"/>
      <c r="BB170" s="51"/>
      <c r="BC170" s="51"/>
      <c r="BD170" s="51"/>
      <c r="BE170" s="51"/>
      <c r="BF170" s="51"/>
      <c r="BG170" s="51"/>
      <c r="BH170" s="51"/>
      <c r="BI170" s="51"/>
      <c r="BJ170" s="51"/>
      <c r="BK170" s="51"/>
      <c r="BL170" s="51"/>
      <c r="BM170" s="51"/>
      <c r="BN170" s="51"/>
      <c r="BO170" s="51"/>
      <c r="BP170" s="51"/>
      <c r="BQ170" s="51"/>
      <c r="BR170" s="51"/>
      <c r="BS170" s="51"/>
      <c r="BT170" s="51"/>
      <c r="BU170" s="51"/>
      <c r="BV170" s="51"/>
      <c r="BW170" s="51"/>
      <c r="BX170" s="51"/>
      <c r="BY170" s="51"/>
      <c r="BZ170" s="51"/>
      <c r="CA170" s="51"/>
      <c r="CB170" s="51"/>
      <c r="CC170" s="51"/>
      <c r="CD170" s="51"/>
      <c r="CE170" s="51"/>
      <c r="CF170" s="51"/>
      <c r="CG170" s="51"/>
      <c r="CH170" s="51"/>
      <c r="CI170" s="51"/>
      <c r="CJ170" s="51"/>
      <c r="CK170" s="51"/>
      <c r="CL170" s="51"/>
      <c r="CM170" s="51"/>
      <c r="CN170" s="51"/>
      <c r="CO170" s="51"/>
      <c r="CP170" s="51"/>
      <c r="CQ170" s="51"/>
      <c r="CR170" s="51"/>
      <c r="CS170" s="51"/>
      <c r="CT170" s="51"/>
      <c r="CU170" s="51"/>
      <c r="CV170" s="51"/>
      <c r="CW170" s="51"/>
      <c r="CX170" s="51"/>
      <c r="CY170" s="51"/>
      <c r="CZ170" s="51"/>
      <c r="DA170" s="51"/>
      <c r="DB170" s="51"/>
      <c r="DC170" s="51"/>
      <c r="DD170" s="51"/>
      <c r="DE170" s="51"/>
      <c r="DF170" s="51"/>
      <c r="DG170" s="51"/>
      <c r="DH170" s="51"/>
      <c r="DI170" s="51"/>
      <c r="DJ170" s="51"/>
      <c r="DK170" s="51"/>
      <c r="DL170" s="51"/>
      <c r="DM170" s="51"/>
      <c r="DN170" s="51"/>
      <c r="DO170" s="51"/>
      <c r="DP170" s="51"/>
      <c r="DQ170" s="51"/>
      <c r="DR170" s="51"/>
      <c r="DS170" s="51"/>
      <c r="DT170" s="51"/>
      <c r="DU170" s="51"/>
      <c r="DV170" s="51"/>
      <c r="DW170" s="51"/>
      <c r="DX170" s="51"/>
      <c r="DY170" s="51"/>
      <c r="DZ170" s="51"/>
      <c r="EA170" s="51"/>
      <c r="EB170" s="51"/>
      <c r="EC170" s="51"/>
      <c r="ED170" s="51"/>
      <c r="EE170" s="51"/>
      <c r="EF170" s="51"/>
      <c r="EG170" s="51"/>
      <c r="EH170" s="51"/>
      <c r="EI170" s="51"/>
      <c r="EJ170" s="51"/>
    </row>
    <row r="171" spans="1:140">
      <c r="C171" s="19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V171" s="51"/>
      <c r="W171" s="51"/>
      <c r="X171" s="51"/>
      <c r="Y171" s="51"/>
      <c r="Z171" s="51"/>
      <c r="AA171" s="51"/>
      <c r="AB171" s="51"/>
      <c r="AC171" s="51"/>
      <c r="AD171" s="51"/>
      <c r="AE171" s="51"/>
      <c r="AF171" s="51"/>
      <c r="AG171" s="51"/>
      <c r="AH171" s="51"/>
      <c r="AI171" s="51"/>
      <c r="AJ171" s="51"/>
      <c r="AK171" s="51"/>
      <c r="AL171" s="51"/>
      <c r="AM171" s="51"/>
      <c r="AN171" s="51"/>
      <c r="AO171" s="51"/>
      <c r="AP171" s="51"/>
      <c r="AQ171" s="51"/>
      <c r="AR171" s="51"/>
      <c r="AS171" s="51"/>
      <c r="AT171" s="51"/>
      <c r="AU171" s="51"/>
      <c r="AV171" s="51"/>
      <c r="AW171" s="51"/>
      <c r="AX171" s="51"/>
      <c r="AY171" s="51"/>
      <c r="AZ171" s="51"/>
      <c r="BA171" s="51"/>
      <c r="BB171" s="51"/>
      <c r="BC171" s="51"/>
      <c r="BD171" s="51"/>
      <c r="BE171" s="51"/>
      <c r="BF171" s="51"/>
      <c r="BG171" s="51"/>
      <c r="BH171" s="51"/>
      <c r="BI171" s="51"/>
      <c r="BJ171" s="51"/>
      <c r="BK171" s="51"/>
      <c r="BL171" s="51"/>
      <c r="BM171" s="51"/>
      <c r="BN171" s="51"/>
      <c r="BO171" s="51"/>
      <c r="BP171" s="51"/>
      <c r="BQ171" s="51"/>
      <c r="BR171" s="51"/>
      <c r="BS171" s="51"/>
      <c r="BT171" s="51"/>
      <c r="BU171" s="51"/>
      <c r="BV171" s="51"/>
      <c r="BW171" s="51"/>
      <c r="BX171" s="51"/>
      <c r="BY171" s="51"/>
      <c r="BZ171" s="51"/>
      <c r="CA171" s="51"/>
      <c r="CB171" s="51"/>
      <c r="CC171" s="51"/>
      <c r="CD171" s="51"/>
      <c r="CE171" s="51"/>
      <c r="CF171" s="51"/>
      <c r="CG171" s="51"/>
      <c r="CH171" s="51"/>
      <c r="CI171" s="51"/>
      <c r="CJ171" s="51"/>
      <c r="CK171" s="51"/>
      <c r="CL171" s="51"/>
      <c r="CM171" s="51"/>
      <c r="CN171" s="51"/>
      <c r="CO171" s="51"/>
      <c r="CP171" s="51"/>
      <c r="CQ171" s="51"/>
      <c r="CR171" s="51"/>
      <c r="CS171" s="51"/>
      <c r="CT171" s="51"/>
      <c r="CU171" s="51"/>
      <c r="CV171" s="51"/>
      <c r="CW171" s="51"/>
      <c r="CX171" s="51"/>
      <c r="CY171" s="51"/>
      <c r="CZ171" s="51"/>
      <c r="DA171" s="51"/>
      <c r="DB171" s="51"/>
      <c r="DC171" s="51"/>
      <c r="DD171" s="51"/>
      <c r="DE171" s="51"/>
      <c r="DF171" s="51"/>
      <c r="DG171" s="51"/>
      <c r="DH171" s="51"/>
      <c r="DI171" s="51"/>
      <c r="DJ171" s="51"/>
      <c r="DK171" s="51"/>
      <c r="DL171" s="51"/>
      <c r="DM171" s="51"/>
      <c r="DN171" s="51"/>
      <c r="DO171" s="51"/>
      <c r="DP171" s="51"/>
      <c r="DQ171" s="51"/>
      <c r="DR171" s="51"/>
      <c r="DS171" s="51"/>
      <c r="DT171" s="51"/>
      <c r="DU171" s="51"/>
      <c r="DV171" s="51"/>
      <c r="DW171" s="51"/>
      <c r="DX171" s="51"/>
      <c r="DY171" s="51"/>
      <c r="DZ171" s="51"/>
      <c r="EA171" s="51"/>
      <c r="EB171" s="51"/>
      <c r="EC171" s="51"/>
      <c r="ED171" s="51"/>
      <c r="EE171" s="51"/>
      <c r="EF171" s="51"/>
      <c r="EG171" s="51"/>
      <c r="EH171" s="51"/>
      <c r="EI171" s="51"/>
      <c r="EJ171" s="51"/>
    </row>
    <row r="172" spans="1:140">
      <c r="C172" s="19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  <c r="AF172" s="51"/>
      <c r="AG172" s="51"/>
      <c r="AH172" s="51"/>
      <c r="AI172" s="51"/>
      <c r="AJ172" s="51"/>
      <c r="AK172" s="51"/>
      <c r="AL172" s="51"/>
      <c r="AM172" s="51"/>
      <c r="AN172" s="51"/>
      <c r="AO172" s="51"/>
      <c r="AP172" s="51"/>
      <c r="AQ172" s="51"/>
      <c r="AR172" s="51"/>
      <c r="AS172" s="51"/>
      <c r="AT172" s="51"/>
      <c r="AU172" s="51"/>
      <c r="AV172" s="51"/>
      <c r="AW172" s="51"/>
      <c r="AX172" s="51"/>
      <c r="AY172" s="51"/>
      <c r="AZ172" s="51"/>
      <c r="BA172" s="51"/>
      <c r="BB172" s="51"/>
      <c r="BC172" s="51"/>
      <c r="BD172" s="51"/>
      <c r="BE172" s="51"/>
      <c r="BF172" s="51"/>
      <c r="BG172" s="51"/>
      <c r="BH172" s="51"/>
      <c r="BI172" s="51"/>
      <c r="BJ172" s="51"/>
      <c r="BK172" s="51"/>
      <c r="BL172" s="51"/>
      <c r="BM172" s="51"/>
      <c r="BN172" s="51"/>
      <c r="BO172" s="51"/>
      <c r="BP172" s="51"/>
      <c r="BQ172" s="51"/>
      <c r="BR172" s="51"/>
      <c r="BS172" s="51"/>
      <c r="BT172" s="51"/>
      <c r="BU172" s="51"/>
      <c r="BV172" s="51"/>
      <c r="BW172" s="51"/>
      <c r="BX172" s="51"/>
      <c r="BY172" s="51"/>
      <c r="BZ172" s="51"/>
      <c r="CA172" s="51"/>
      <c r="CB172" s="51"/>
      <c r="CC172" s="51"/>
      <c r="CD172" s="51"/>
      <c r="CE172" s="51"/>
      <c r="CF172" s="51"/>
      <c r="CG172" s="51"/>
      <c r="CH172" s="51"/>
      <c r="CI172" s="51"/>
      <c r="CJ172" s="51"/>
      <c r="CK172" s="51"/>
      <c r="CL172" s="51"/>
      <c r="CM172" s="51"/>
      <c r="CN172" s="51"/>
      <c r="CO172" s="51"/>
      <c r="CP172" s="51"/>
      <c r="CQ172" s="51"/>
      <c r="CR172" s="51"/>
      <c r="CS172" s="51"/>
      <c r="CT172" s="51"/>
      <c r="CU172" s="51"/>
      <c r="CV172" s="51"/>
      <c r="CW172" s="51"/>
      <c r="CX172" s="51"/>
      <c r="CY172" s="51"/>
      <c r="CZ172" s="51"/>
      <c r="DA172" s="51"/>
      <c r="DB172" s="51"/>
      <c r="DC172" s="51"/>
      <c r="DD172" s="51"/>
      <c r="DE172" s="51"/>
      <c r="DF172" s="51"/>
      <c r="DG172" s="51"/>
      <c r="DH172" s="51"/>
      <c r="DI172" s="51"/>
      <c r="DJ172" s="51"/>
      <c r="DK172" s="51"/>
      <c r="DL172" s="51"/>
      <c r="DM172" s="51"/>
      <c r="DN172" s="51"/>
      <c r="DO172" s="51"/>
      <c r="DP172" s="51"/>
      <c r="DQ172" s="51"/>
      <c r="DR172" s="51"/>
      <c r="DS172" s="51"/>
      <c r="DT172" s="51"/>
      <c r="DU172" s="51"/>
      <c r="DV172" s="51"/>
      <c r="DW172" s="51"/>
      <c r="DX172" s="51"/>
      <c r="DY172" s="51"/>
      <c r="DZ172" s="51"/>
      <c r="EA172" s="51"/>
      <c r="EB172" s="51"/>
      <c r="EC172" s="51"/>
      <c r="ED172" s="51"/>
      <c r="EE172" s="51"/>
      <c r="EF172" s="51"/>
      <c r="EG172" s="51"/>
      <c r="EH172" s="51"/>
      <c r="EI172" s="51"/>
      <c r="EJ172" s="51"/>
    </row>
    <row r="173" spans="1:140">
      <c r="C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V173" s="51"/>
      <c r="W173" s="51"/>
      <c r="X173" s="51"/>
      <c r="Y173" s="51"/>
      <c r="Z173" s="51"/>
      <c r="AA173" s="51"/>
      <c r="AB173" s="51"/>
      <c r="AC173" s="51"/>
      <c r="AD173" s="51"/>
      <c r="AE173" s="51"/>
      <c r="AF173" s="51"/>
      <c r="AG173" s="51"/>
      <c r="AH173" s="51"/>
      <c r="AI173" s="51"/>
      <c r="AJ173" s="51"/>
      <c r="AK173" s="51"/>
      <c r="AL173" s="51"/>
      <c r="AM173" s="51"/>
      <c r="AN173" s="51"/>
      <c r="AO173" s="51"/>
      <c r="AP173" s="51"/>
      <c r="AQ173" s="51"/>
      <c r="AR173" s="51"/>
      <c r="AS173" s="51"/>
      <c r="AT173" s="51"/>
      <c r="AU173" s="51"/>
      <c r="AV173" s="51"/>
      <c r="AW173" s="51"/>
      <c r="AX173" s="51"/>
      <c r="AY173" s="51"/>
      <c r="AZ173" s="51"/>
      <c r="BA173" s="51"/>
      <c r="BB173" s="51"/>
      <c r="BC173" s="51"/>
      <c r="BD173" s="51"/>
      <c r="BE173" s="51"/>
      <c r="BF173" s="51"/>
      <c r="BG173" s="51"/>
      <c r="BH173" s="51"/>
      <c r="BI173" s="51"/>
      <c r="BJ173" s="51"/>
      <c r="BK173" s="51"/>
      <c r="BL173" s="51"/>
      <c r="BM173" s="51"/>
      <c r="BN173" s="51"/>
      <c r="BO173" s="51"/>
      <c r="BP173" s="51"/>
      <c r="BQ173" s="51"/>
      <c r="BR173" s="51"/>
      <c r="BS173" s="51"/>
      <c r="BT173" s="51"/>
      <c r="BU173" s="51"/>
      <c r="BV173" s="51"/>
      <c r="BW173" s="51"/>
      <c r="BX173" s="51"/>
      <c r="BY173" s="51"/>
      <c r="BZ173" s="51"/>
      <c r="CA173" s="51"/>
      <c r="CB173" s="51"/>
      <c r="CC173" s="51"/>
      <c r="CD173" s="51"/>
      <c r="CE173" s="51"/>
      <c r="CF173" s="51"/>
      <c r="CG173" s="51"/>
      <c r="CH173" s="51"/>
      <c r="CI173" s="51"/>
      <c r="CJ173" s="51"/>
      <c r="CK173" s="51"/>
      <c r="CL173" s="51"/>
      <c r="CM173" s="51"/>
      <c r="CN173" s="51"/>
      <c r="CO173" s="51"/>
      <c r="CP173" s="51"/>
      <c r="CQ173" s="51"/>
      <c r="CR173" s="51"/>
      <c r="CS173" s="51"/>
      <c r="CT173" s="51"/>
      <c r="CU173" s="51"/>
      <c r="CV173" s="51"/>
      <c r="CW173" s="51"/>
      <c r="CX173" s="51"/>
      <c r="CY173" s="51"/>
      <c r="CZ173" s="51"/>
      <c r="DA173" s="51"/>
      <c r="DB173" s="51"/>
      <c r="DC173" s="51"/>
      <c r="DD173" s="51"/>
      <c r="DE173" s="51"/>
      <c r="DF173" s="51"/>
      <c r="DG173" s="51"/>
      <c r="DH173" s="51"/>
      <c r="DI173" s="51"/>
      <c r="DJ173" s="51"/>
      <c r="DK173" s="51"/>
      <c r="DL173" s="51"/>
      <c r="DM173" s="51"/>
      <c r="DN173" s="51"/>
      <c r="DO173" s="51"/>
      <c r="DP173" s="51"/>
      <c r="DQ173" s="51"/>
      <c r="DR173" s="51"/>
      <c r="DS173" s="51"/>
      <c r="DT173" s="51"/>
      <c r="DU173" s="51"/>
      <c r="DV173" s="51"/>
      <c r="DW173" s="51"/>
      <c r="DX173" s="51"/>
      <c r="DY173" s="51"/>
      <c r="DZ173" s="51"/>
      <c r="EA173" s="51"/>
      <c r="EB173" s="51"/>
      <c r="EC173" s="51"/>
      <c r="ED173" s="51"/>
      <c r="EE173" s="51"/>
      <c r="EF173" s="51"/>
      <c r="EG173" s="51"/>
      <c r="EH173" s="51"/>
      <c r="EI173" s="51"/>
      <c r="EJ173" s="51"/>
    </row>
    <row r="174" spans="1:140">
      <c r="C174" s="19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  <c r="AH174" s="51"/>
      <c r="AI174" s="51"/>
      <c r="AJ174" s="51"/>
      <c r="AK174" s="51"/>
      <c r="AL174" s="51"/>
      <c r="AM174" s="51"/>
      <c r="AN174" s="51"/>
      <c r="AO174" s="51"/>
      <c r="AP174" s="51"/>
      <c r="AQ174" s="51"/>
      <c r="AR174" s="51"/>
      <c r="AS174" s="51"/>
      <c r="AT174" s="51"/>
      <c r="AU174" s="51"/>
      <c r="AV174" s="51"/>
      <c r="AW174" s="51"/>
      <c r="AX174" s="51"/>
      <c r="AY174" s="51"/>
      <c r="AZ174" s="51"/>
      <c r="BA174" s="51"/>
      <c r="BB174" s="51"/>
      <c r="BC174" s="51"/>
      <c r="BD174" s="51"/>
      <c r="BE174" s="51"/>
      <c r="BF174" s="51"/>
      <c r="BG174" s="51"/>
      <c r="BH174" s="51"/>
      <c r="BI174" s="51"/>
      <c r="BJ174" s="51"/>
      <c r="BK174" s="51"/>
      <c r="BL174" s="51"/>
      <c r="BM174" s="51"/>
      <c r="BN174" s="51"/>
      <c r="BO174" s="51"/>
      <c r="BP174" s="51"/>
      <c r="BQ174" s="51"/>
      <c r="BR174" s="51"/>
      <c r="BS174" s="51"/>
      <c r="BT174" s="51"/>
      <c r="BU174" s="51"/>
      <c r="BV174" s="51"/>
      <c r="BW174" s="51"/>
      <c r="BX174" s="51"/>
      <c r="BY174" s="51"/>
      <c r="BZ174" s="51"/>
      <c r="CA174" s="51"/>
      <c r="CB174" s="51"/>
      <c r="CC174" s="51"/>
      <c r="CD174" s="51"/>
      <c r="CE174" s="51"/>
      <c r="CF174" s="51"/>
      <c r="CG174" s="51"/>
      <c r="CH174" s="51"/>
      <c r="CI174" s="51"/>
      <c r="CJ174" s="51"/>
      <c r="CK174" s="51"/>
      <c r="CL174" s="51"/>
      <c r="CM174" s="51"/>
      <c r="CN174" s="51"/>
      <c r="CO174" s="51"/>
      <c r="CP174" s="51"/>
      <c r="CQ174" s="51"/>
      <c r="CR174" s="51"/>
      <c r="CS174" s="51"/>
      <c r="CT174" s="51"/>
      <c r="CU174" s="51"/>
      <c r="CV174" s="51"/>
      <c r="CW174" s="51"/>
      <c r="CX174" s="51"/>
      <c r="CY174" s="51"/>
      <c r="CZ174" s="51"/>
      <c r="DA174" s="51"/>
      <c r="DB174" s="51"/>
      <c r="DC174" s="51"/>
      <c r="DD174" s="51"/>
      <c r="DE174" s="51"/>
      <c r="DF174" s="51"/>
      <c r="DG174" s="51"/>
      <c r="DH174" s="51"/>
      <c r="DI174" s="51"/>
      <c r="DJ174" s="51"/>
      <c r="DK174" s="51"/>
      <c r="DL174" s="51"/>
      <c r="DM174" s="51"/>
      <c r="DN174" s="51"/>
      <c r="DO174" s="51"/>
      <c r="DP174" s="51"/>
      <c r="DQ174" s="51"/>
      <c r="DR174" s="51"/>
      <c r="DS174" s="51"/>
      <c r="DT174" s="51"/>
      <c r="DU174" s="51"/>
      <c r="DV174" s="51"/>
      <c r="DW174" s="51"/>
      <c r="DX174" s="51"/>
      <c r="DY174" s="51"/>
      <c r="DZ174" s="51"/>
      <c r="EA174" s="51"/>
      <c r="EB174" s="51"/>
      <c r="EC174" s="51"/>
      <c r="ED174" s="51"/>
      <c r="EE174" s="51"/>
      <c r="EF174" s="51"/>
      <c r="EG174" s="51"/>
      <c r="EH174" s="51"/>
      <c r="EI174" s="51"/>
      <c r="EJ174" s="51"/>
    </row>
    <row r="175" spans="1:140">
      <c r="C175" s="19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V175" s="51"/>
      <c r="W175" s="51"/>
      <c r="X175" s="51"/>
      <c r="Y175" s="51"/>
      <c r="Z175" s="51"/>
      <c r="AA175" s="51"/>
      <c r="AB175" s="51"/>
      <c r="AC175" s="51"/>
      <c r="AD175" s="51"/>
      <c r="AE175" s="51"/>
      <c r="AF175" s="51"/>
      <c r="AG175" s="51"/>
      <c r="AH175" s="51"/>
      <c r="AI175" s="51"/>
      <c r="AJ175" s="51"/>
      <c r="AK175" s="51"/>
      <c r="AL175" s="51"/>
      <c r="AM175" s="51"/>
      <c r="AN175" s="51"/>
      <c r="AO175" s="51"/>
      <c r="AP175" s="51"/>
      <c r="AQ175" s="51"/>
      <c r="AR175" s="51"/>
      <c r="AS175" s="51"/>
      <c r="AT175" s="51"/>
      <c r="AU175" s="51"/>
      <c r="AV175" s="51"/>
      <c r="AW175" s="51"/>
      <c r="AX175" s="51"/>
      <c r="AY175" s="51"/>
      <c r="AZ175" s="51"/>
      <c r="BA175" s="51"/>
      <c r="BB175" s="51"/>
      <c r="BC175" s="51"/>
      <c r="BD175" s="51"/>
      <c r="BE175" s="51"/>
      <c r="BF175" s="51"/>
      <c r="BG175" s="51"/>
      <c r="BH175" s="51"/>
      <c r="BI175" s="51"/>
      <c r="BJ175" s="51"/>
      <c r="BK175" s="51"/>
      <c r="BL175" s="51"/>
      <c r="BM175" s="51"/>
      <c r="BN175" s="51"/>
      <c r="BO175" s="51"/>
      <c r="BP175" s="51"/>
      <c r="BQ175" s="51"/>
      <c r="BR175" s="51"/>
      <c r="BS175" s="51"/>
      <c r="BT175" s="51"/>
      <c r="BU175" s="51"/>
      <c r="BV175" s="51"/>
      <c r="BW175" s="51"/>
      <c r="BX175" s="51"/>
      <c r="BY175" s="51"/>
      <c r="BZ175" s="51"/>
      <c r="CA175" s="51"/>
      <c r="CB175" s="51"/>
      <c r="CC175" s="51"/>
      <c r="CD175" s="51"/>
      <c r="CE175" s="51"/>
      <c r="CF175" s="51"/>
      <c r="CG175" s="51"/>
      <c r="CH175" s="51"/>
      <c r="CI175" s="51"/>
      <c r="CJ175" s="51"/>
      <c r="CK175" s="51"/>
      <c r="CL175" s="51"/>
      <c r="CM175" s="51"/>
      <c r="CN175" s="51"/>
      <c r="CO175" s="51"/>
      <c r="CP175" s="51"/>
      <c r="CQ175" s="51"/>
      <c r="CR175" s="51"/>
      <c r="CS175" s="51"/>
      <c r="CT175" s="51"/>
      <c r="CU175" s="51"/>
      <c r="CV175" s="51"/>
      <c r="CW175" s="51"/>
      <c r="CX175" s="51"/>
      <c r="CY175" s="51"/>
      <c r="CZ175" s="51"/>
      <c r="DA175" s="51"/>
      <c r="DB175" s="51"/>
      <c r="DC175" s="51"/>
      <c r="DD175" s="51"/>
      <c r="DE175" s="51"/>
      <c r="DF175" s="51"/>
      <c r="DG175" s="51"/>
      <c r="DH175" s="51"/>
      <c r="DI175" s="51"/>
      <c r="DJ175" s="51"/>
      <c r="DK175" s="51"/>
      <c r="DL175" s="51"/>
      <c r="DM175" s="51"/>
      <c r="DN175" s="51"/>
      <c r="DO175" s="51"/>
      <c r="DP175" s="51"/>
      <c r="DQ175" s="51"/>
      <c r="DR175" s="51"/>
      <c r="DS175" s="51"/>
      <c r="DT175" s="51"/>
      <c r="DU175" s="51"/>
      <c r="DV175" s="51"/>
      <c r="DW175" s="51"/>
      <c r="DX175" s="51"/>
      <c r="DY175" s="51"/>
      <c r="DZ175" s="51"/>
      <c r="EA175" s="51"/>
      <c r="EB175" s="51"/>
      <c r="EC175" s="51"/>
      <c r="ED175" s="51"/>
      <c r="EE175" s="51"/>
      <c r="EF175" s="51"/>
      <c r="EG175" s="51"/>
      <c r="EH175" s="51"/>
      <c r="EI175" s="51"/>
      <c r="EJ175" s="51"/>
    </row>
    <row r="176" spans="1:140">
      <c r="C176" s="19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V176" s="51"/>
      <c r="W176" s="51"/>
      <c r="X176" s="51"/>
      <c r="Y176" s="51"/>
      <c r="Z176" s="51"/>
      <c r="AA176" s="51"/>
      <c r="AB176" s="51"/>
      <c r="AC176" s="51"/>
      <c r="AD176" s="51"/>
      <c r="AE176" s="51"/>
      <c r="AF176" s="51"/>
      <c r="AG176" s="51"/>
      <c r="AH176" s="51"/>
      <c r="AI176" s="51"/>
      <c r="AJ176" s="51"/>
      <c r="AK176" s="51"/>
      <c r="AL176" s="51"/>
      <c r="AM176" s="51"/>
      <c r="AN176" s="51"/>
      <c r="AO176" s="51"/>
      <c r="AP176" s="51"/>
      <c r="AQ176" s="51"/>
      <c r="AR176" s="51"/>
      <c r="AS176" s="51"/>
      <c r="AT176" s="51"/>
      <c r="AU176" s="51"/>
      <c r="AV176" s="51"/>
      <c r="AW176" s="51"/>
      <c r="AX176" s="51"/>
      <c r="AY176" s="51"/>
      <c r="AZ176" s="51"/>
      <c r="BA176" s="51"/>
      <c r="BB176" s="51"/>
      <c r="BC176" s="51"/>
      <c r="BD176" s="51"/>
      <c r="BE176" s="51"/>
      <c r="BF176" s="51"/>
      <c r="BG176" s="51"/>
      <c r="BH176" s="51"/>
      <c r="BI176" s="51"/>
      <c r="BJ176" s="51"/>
      <c r="BK176" s="51"/>
      <c r="BL176" s="51"/>
      <c r="BM176" s="51"/>
      <c r="BN176" s="51"/>
      <c r="BO176" s="51"/>
      <c r="BP176" s="51"/>
      <c r="BQ176" s="51"/>
      <c r="BR176" s="51"/>
      <c r="BS176" s="51"/>
      <c r="BT176" s="51"/>
      <c r="BU176" s="51"/>
      <c r="BV176" s="51"/>
      <c r="BW176" s="51"/>
      <c r="BX176" s="51"/>
      <c r="BY176" s="51"/>
      <c r="BZ176" s="51"/>
      <c r="CA176" s="51"/>
      <c r="CB176" s="51"/>
      <c r="CC176" s="51"/>
      <c r="CD176" s="51"/>
      <c r="CE176" s="51"/>
      <c r="CF176" s="51"/>
      <c r="CG176" s="51"/>
      <c r="CH176" s="51"/>
      <c r="CI176" s="51"/>
      <c r="CJ176" s="51"/>
      <c r="CK176" s="51"/>
      <c r="CL176" s="51"/>
      <c r="CM176" s="51"/>
      <c r="CN176" s="51"/>
      <c r="CO176" s="51"/>
      <c r="CP176" s="51"/>
      <c r="CQ176" s="51"/>
      <c r="CR176" s="51"/>
      <c r="CS176" s="51"/>
      <c r="CT176" s="51"/>
      <c r="CU176" s="51"/>
      <c r="CV176" s="51"/>
      <c r="CW176" s="51"/>
      <c r="CX176" s="51"/>
      <c r="CY176" s="51"/>
      <c r="CZ176" s="51"/>
      <c r="DA176" s="51"/>
      <c r="DB176" s="51"/>
      <c r="DC176" s="51"/>
      <c r="DD176" s="51"/>
      <c r="DE176" s="51"/>
      <c r="DF176" s="51"/>
      <c r="DG176" s="51"/>
      <c r="DH176" s="51"/>
      <c r="DI176" s="51"/>
      <c r="DJ176" s="51"/>
      <c r="DK176" s="51"/>
      <c r="DL176" s="51"/>
      <c r="DM176" s="51"/>
      <c r="DN176" s="51"/>
      <c r="DO176" s="51"/>
      <c r="DP176" s="51"/>
      <c r="DQ176" s="51"/>
      <c r="DR176" s="51"/>
      <c r="DS176" s="51"/>
      <c r="DT176" s="51"/>
      <c r="DU176" s="51"/>
      <c r="DV176" s="51"/>
      <c r="DW176" s="51"/>
      <c r="DX176" s="51"/>
      <c r="DY176" s="51"/>
      <c r="DZ176" s="51"/>
      <c r="EA176" s="51"/>
      <c r="EB176" s="51"/>
      <c r="EC176" s="51"/>
      <c r="ED176" s="51"/>
      <c r="EE176" s="51"/>
      <c r="EF176" s="51"/>
      <c r="EG176" s="51"/>
      <c r="EH176" s="51"/>
      <c r="EI176" s="51"/>
      <c r="EJ176" s="51"/>
    </row>
    <row r="177" spans="3:140">
      <c r="C177" s="19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V177" s="51"/>
      <c r="W177" s="51"/>
      <c r="X177" s="51"/>
      <c r="Y177" s="51"/>
      <c r="Z177" s="51"/>
      <c r="AA177" s="51"/>
      <c r="AB177" s="51"/>
      <c r="AC177" s="51"/>
      <c r="AD177" s="51"/>
      <c r="AE177" s="51"/>
      <c r="AF177" s="51"/>
      <c r="AG177" s="51"/>
      <c r="AH177" s="51"/>
      <c r="AI177" s="51"/>
      <c r="AJ177" s="51"/>
      <c r="AK177" s="51"/>
      <c r="AL177" s="51"/>
      <c r="AM177" s="51"/>
      <c r="AN177" s="51"/>
      <c r="AO177" s="51"/>
      <c r="AP177" s="51"/>
      <c r="AQ177" s="51"/>
      <c r="AR177" s="51"/>
      <c r="AS177" s="51"/>
      <c r="AT177" s="51"/>
      <c r="AU177" s="51"/>
      <c r="AV177" s="51"/>
      <c r="AW177" s="51"/>
      <c r="AX177" s="51"/>
      <c r="AY177" s="51"/>
      <c r="AZ177" s="51"/>
      <c r="BA177" s="51"/>
      <c r="BB177" s="51"/>
      <c r="BC177" s="51"/>
      <c r="BD177" s="51"/>
      <c r="BE177" s="51"/>
      <c r="BF177" s="51"/>
      <c r="BG177" s="51"/>
      <c r="BH177" s="51"/>
      <c r="BI177" s="51"/>
      <c r="BJ177" s="51"/>
      <c r="BK177" s="51"/>
      <c r="BL177" s="51"/>
      <c r="BM177" s="51"/>
      <c r="BN177" s="51"/>
      <c r="BO177" s="51"/>
      <c r="BP177" s="51"/>
      <c r="BQ177" s="51"/>
      <c r="BR177" s="51"/>
      <c r="BS177" s="51"/>
      <c r="BT177" s="51"/>
      <c r="BU177" s="51"/>
      <c r="BV177" s="51"/>
      <c r="BW177" s="51"/>
      <c r="BX177" s="51"/>
      <c r="BY177" s="51"/>
      <c r="BZ177" s="51"/>
      <c r="CA177" s="51"/>
      <c r="CB177" s="51"/>
      <c r="CC177" s="51"/>
      <c r="CD177" s="51"/>
      <c r="CE177" s="51"/>
      <c r="CF177" s="51"/>
      <c r="CG177" s="51"/>
      <c r="CH177" s="51"/>
      <c r="CI177" s="51"/>
      <c r="CJ177" s="51"/>
      <c r="CK177" s="51"/>
      <c r="CL177" s="51"/>
      <c r="CM177" s="51"/>
      <c r="CN177" s="51"/>
      <c r="CO177" s="51"/>
      <c r="CP177" s="51"/>
      <c r="CQ177" s="51"/>
      <c r="CR177" s="51"/>
      <c r="CS177" s="51"/>
      <c r="CT177" s="51"/>
      <c r="CU177" s="51"/>
      <c r="CV177" s="51"/>
      <c r="CW177" s="51"/>
      <c r="CX177" s="51"/>
      <c r="CY177" s="51"/>
      <c r="CZ177" s="51"/>
      <c r="DA177" s="51"/>
      <c r="DB177" s="51"/>
      <c r="DC177" s="51"/>
      <c r="DD177" s="51"/>
      <c r="DE177" s="51"/>
      <c r="DF177" s="51"/>
      <c r="DG177" s="51"/>
      <c r="DH177" s="51"/>
      <c r="DI177" s="51"/>
      <c r="DJ177" s="51"/>
      <c r="DK177" s="51"/>
      <c r="DL177" s="51"/>
      <c r="DM177" s="51"/>
      <c r="DN177" s="51"/>
      <c r="DO177" s="51"/>
      <c r="DP177" s="51"/>
      <c r="DQ177" s="51"/>
      <c r="DR177" s="51"/>
      <c r="DS177" s="51"/>
      <c r="DT177" s="51"/>
      <c r="DU177" s="51"/>
      <c r="DV177" s="51"/>
      <c r="DW177" s="51"/>
      <c r="DX177" s="51"/>
      <c r="DY177" s="51"/>
      <c r="DZ177" s="51"/>
      <c r="EA177" s="51"/>
      <c r="EB177" s="51"/>
      <c r="EC177" s="51"/>
      <c r="ED177" s="51"/>
      <c r="EE177" s="51"/>
      <c r="EF177" s="51"/>
      <c r="EG177" s="51"/>
      <c r="EH177" s="51"/>
      <c r="EI177" s="51"/>
      <c r="EJ177" s="51"/>
    </row>
    <row r="178" spans="3:140">
      <c r="C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  <c r="AG178" s="51"/>
      <c r="AH178" s="51"/>
      <c r="AI178" s="51"/>
      <c r="AJ178" s="51"/>
      <c r="AK178" s="51"/>
      <c r="AL178" s="51"/>
      <c r="AM178" s="51"/>
      <c r="AN178" s="51"/>
      <c r="AO178" s="51"/>
      <c r="AP178" s="51"/>
      <c r="AQ178" s="51"/>
      <c r="AR178" s="51"/>
      <c r="AS178" s="51"/>
      <c r="AT178" s="51"/>
      <c r="AU178" s="51"/>
      <c r="AV178" s="51"/>
      <c r="AW178" s="51"/>
      <c r="AX178" s="51"/>
      <c r="AY178" s="51"/>
      <c r="AZ178" s="51"/>
      <c r="BA178" s="51"/>
      <c r="BB178" s="51"/>
      <c r="BC178" s="51"/>
      <c r="BD178" s="51"/>
      <c r="BE178" s="51"/>
      <c r="BF178" s="51"/>
      <c r="BG178" s="51"/>
      <c r="BH178" s="51"/>
      <c r="BI178" s="51"/>
      <c r="BJ178" s="51"/>
      <c r="BK178" s="51"/>
      <c r="BL178" s="51"/>
      <c r="BM178" s="51"/>
      <c r="BN178" s="51"/>
      <c r="BO178" s="51"/>
      <c r="BP178" s="51"/>
      <c r="BQ178" s="51"/>
      <c r="BR178" s="51"/>
      <c r="BS178" s="51"/>
      <c r="BT178" s="51"/>
      <c r="BU178" s="51"/>
      <c r="BV178" s="51"/>
      <c r="BW178" s="51"/>
      <c r="BX178" s="51"/>
      <c r="BY178" s="51"/>
      <c r="BZ178" s="51"/>
      <c r="CA178" s="51"/>
      <c r="CB178" s="51"/>
      <c r="CC178" s="51"/>
      <c r="CD178" s="51"/>
      <c r="CE178" s="51"/>
      <c r="CF178" s="51"/>
      <c r="CG178" s="51"/>
      <c r="CH178" s="51"/>
      <c r="CI178" s="51"/>
      <c r="CJ178" s="51"/>
      <c r="CK178" s="51"/>
      <c r="CL178" s="51"/>
      <c r="CM178" s="51"/>
      <c r="CN178" s="51"/>
      <c r="CO178" s="51"/>
      <c r="CP178" s="51"/>
      <c r="CQ178" s="51"/>
      <c r="CR178" s="51"/>
      <c r="CS178" s="51"/>
      <c r="CT178" s="51"/>
      <c r="CU178" s="51"/>
      <c r="CV178" s="51"/>
      <c r="CW178" s="51"/>
      <c r="CX178" s="51"/>
      <c r="CY178" s="51"/>
      <c r="CZ178" s="51"/>
      <c r="DA178" s="51"/>
      <c r="DB178" s="51"/>
      <c r="DC178" s="51"/>
      <c r="DD178" s="51"/>
      <c r="DE178" s="51"/>
      <c r="DF178" s="51"/>
      <c r="DG178" s="51"/>
      <c r="DH178" s="51"/>
      <c r="DI178" s="51"/>
      <c r="DJ178" s="51"/>
      <c r="DK178" s="51"/>
      <c r="DL178" s="51"/>
      <c r="DM178" s="51"/>
      <c r="DN178" s="51"/>
      <c r="DO178" s="51"/>
      <c r="DP178" s="51"/>
      <c r="DQ178" s="51"/>
      <c r="DR178" s="51"/>
      <c r="DS178" s="51"/>
      <c r="DT178" s="51"/>
      <c r="DU178" s="51"/>
      <c r="DV178" s="51"/>
      <c r="DW178" s="51"/>
      <c r="DX178" s="51"/>
      <c r="DY178" s="51"/>
      <c r="DZ178" s="51"/>
      <c r="EA178" s="51"/>
      <c r="EB178" s="51"/>
      <c r="EC178" s="51"/>
      <c r="ED178" s="51"/>
      <c r="EE178" s="51"/>
      <c r="EF178" s="51"/>
      <c r="EG178" s="51"/>
      <c r="EH178" s="51"/>
      <c r="EI178" s="51"/>
      <c r="EJ178" s="51"/>
    </row>
    <row r="179" spans="3:140">
      <c r="C179" s="19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  <c r="AF179" s="51"/>
      <c r="AG179" s="51"/>
      <c r="AH179" s="51"/>
      <c r="AI179" s="51"/>
      <c r="AJ179" s="51"/>
      <c r="AK179" s="51"/>
      <c r="AL179" s="51"/>
      <c r="AM179" s="51"/>
      <c r="AN179" s="51"/>
      <c r="AO179" s="51"/>
      <c r="AP179" s="51"/>
      <c r="AQ179" s="51"/>
      <c r="AR179" s="51"/>
      <c r="AS179" s="51"/>
      <c r="AT179" s="51"/>
      <c r="AU179" s="51"/>
      <c r="AV179" s="51"/>
      <c r="AW179" s="51"/>
      <c r="AX179" s="51"/>
      <c r="AY179" s="51"/>
      <c r="AZ179" s="51"/>
      <c r="BA179" s="51"/>
      <c r="BB179" s="51"/>
      <c r="BC179" s="51"/>
      <c r="BD179" s="51"/>
      <c r="BE179" s="51"/>
      <c r="BF179" s="51"/>
      <c r="BG179" s="51"/>
      <c r="BH179" s="51"/>
      <c r="BI179" s="51"/>
      <c r="BJ179" s="51"/>
      <c r="BK179" s="51"/>
      <c r="BL179" s="51"/>
      <c r="BM179" s="51"/>
      <c r="BN179" s="51"/>
      <c r="BO179" s="51"/>
      <c r="BP179" s="51"/>
      <c r="BQ179" s="51"/>
      <c r="BR179" s="51"/>
      <c r="BS179" s="51"/>
      <c r="BT179" s="51"/>
      <c r="BU179" s="51"/>
      <c r="BV179" s="51"/>
      <c r="BW179" s="51"/>
      <c r="BX179" s="51"/>
      <c r="BY179" s="51"/>
      <c r="BZ179" s="51"/>
      <c r="CA179" s="51"/>
      <c r="CB179" s="51"/>
      <c r="CC179" s="51"/>
      <c r="CD179" s="51"/>
      <c r="CE179" s="51"/>
      <c r="CF179" s="51"/>
      <c r="CG179" s="51"/>
      <c r="CH179" s="51"/>
      <c r="CI179" s="51"/>
      <c r="CJ179" s="51"/>
      <c r="CK179" s="51"/>
      <c r="CL179" s="51"/>
      <c r="CM179" s="51"/>
      <c r="CN179" s="51"/>
      <c r="CO179" s="51"/>
      <c r="CP179" s="51"/>
      <c r="CQ179" s="51"/>
      <c r="CR179" s="51"/>
      <c r="CS179" s="51"/>
      <c r="CT179" s="51"/>
      <c r="CU179" s="51"/>
      <c r="CV179" s="51"/>
      <c r="CW179" s="51"/>
      <c r="CX179" s="51"/>
      <c r="CY179" s="51"/>
      <c r="CZ179" s="51"/>
      <c r="DA179" s="51"/>
      <c r="DB179" s="51"/>
      <c r="DC179" s="51"/>
      <c r="DD179" s="51"/>
      <c r="DE179" s="51"/>
      <c r="DF179" s="51"/>
      <c r="DG179" s="51"/>
      <c r="DH179" s="51"/>
      <c r="DI179" s="51"/>
      <c r="DJ179" s="51"/>
      <c r="DK179" s="51"/>
      <c r="DL179" s="51"/>
      <c r="DM179" s="51"/>
      <c r="DN179" s="51"/>
      <c r="DO179" s="51"/>
      <c r="DP179" s="51"/>
      <c r="DQ179" s="51"/>
      <c r="DR179" s="51"/>
      <c r="DS179" s="51"/>
      <c r="DT179" s="51"/>
      <c r="DU179" s="51"/>
      <c r="DV179" s="51"/>
      <c r="DW179" s="51"/>
      <c r="DX179" s="51"/>
      <c r="DY179" s="51"/>
      <c r="DZ179" s="51"/>
      <c r="EA179" s="51"/>
      <c r="EB179" s="51"/>
      <c r="EC179" s="51"/>
      <c r="ED179" s="51"/>
      <c r="EE179" s="51"/>
      <c r="EF179" s="51"/>
      <c r="EG179" s="51"/>
      <c r="EH179" s="51"/>
      <c r="EI179" s="51"/>
      <c r="EJ179" s="51"/>
    </row>
    <row r="180" spans="3:140">
      <c r="C180" s="19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1"/>
      <c r="AI180" s="51"/>
      <c r="AJ180" s="51"/>
      <c r="AK180" s="51"/>
      <c r="AL180" s="51"/>
      <c r="AM180" s="51"/>
      <c r="AN180" s="51"/>
      <c r="AO180" s="51"/>
      <c r="AP180" s="51"/>
      <c r="AQ180" s="51"/>
      <c r="AR180" s="51"/>
      <c r="AS180" s="51"/>
      <c r="AT180" s="51"/>
      <c r="AU180" s="51"/>
      <c r="AV180" s="51"/>
      <c r="AW180" s="51"/>
      <c r="AX180" s="51"/>
      <c r="AY180" s="51"/>
      <c r="AZ180" s="51"/>
      <c r="BA180" s="51"/>
      <c r="BB180" s="51"/>
      <c r="BC180" s="51"/>
      <c r="BD180" s="51"/>
      <c r="BE180" s="51"/>
      <c r="BF180" s="51"/>
      <c r="BG180" s="51"/>
      <c r="BH180" s="51"/>
      <c r="BI180" s="51"/>
      <c r="BJ180" s="51"/>
      <c r="BK180" s="51"/>
      <c r="BL180" s="51"/>
      <c r="BM180" s="51"/>
      <c r="BN180" s="51"/>
      <c r="BO180" s="51"/>
      <c r="BP180" s="51"/>
      <c r="BQ180" s="51"/>
      <c r="BR180" s="51"/>
      <c r="BS180" s="51"/>
      <c r="BT180" s="51"/>
      <c r="BU180" s="51"/>
      <c r="BV180" s="51"/>
      <c r="BW180" s="51"/>
      <c r="BX180" s="51"/>
      <c r="BY180" s="51"/>
      <c r="BZ180" s="51"/>
      <c r="CA180" s="51"/>
      <c r="CB180" s="51"/>
      <c r="CC180" s="51"/>
      <c r="CD180" s="51"/>
      <c r="CE180" s="51"/>
      <c r="CF180" s="51"/>
      <c r="CG180" s="51"/>
      <c r="CH180" s="51"/>
      <c r="CI180" s="51"/>
      <c r="CJ180" s="51"/>
      <c r="CK180" s="51"/>
      <c r="CL180" s="51"/>
      <c r="CM180" s="51"/>
      <c r="CN180" s="51"/>
      <c r="CO180" s="51"/>
      <c r="CP180" s="51"/>
      <c r="CQ180" s="51"/>
      <c r="CR180" s="51"/>
      <c r="CS180" s="51"/>
      <c r="CT180" s="51"/>
      <c r="CU180" s="51"/>
      <c r="CV180" s="51"/>
      <c r="CW180" s="51"/>
      <c r="CX180" s="51"/>
      <c r="CY180" s="51"/>
      <c r="CZ180" s="51"/>
      <c r="DA180" s="51"/>
      <c r="DB180" s="51"/>
      <c r="DC180" s="51"/>
      <c r="DD180" s="51"/>
      <c r="DE180" s="51"/>
      <c r="DF180" s="51"/>
      <c r="DG180" s="51"/>
      <c r="DH180" s="51"/>
      <c r="DI180" s="51"/>
      <c r="DJ180" s="51"/>
      <c r="DK180" s="51"/>
      <c r="DL180" s="51"/>
      <c r="DM180" s="51"/>
      <c r="DN180" s="51"/>
      <c r="DO180" s="51"/>
      <c r="DP180" s="51"/>
      <c r="DQ180" s="51"/>
      <c r="DR180" s="51"/>
      <c r="DS180" s="51"/>
      <c r="DT180" s="51"/>
      <c r="DU180" s="51"/>
      <c r="DV180" s="51"/>
      <c r="DW180" s="51"/>
      <c r="DX180" s="51"/>
      <c r="DY180" s="51"/>
      <c r="DZ180" s="51"/>
      <c r="EA180" s="51"/>
      <c r="EB180" s="51"/>
      <c r="EC180" s="51"/>
      <c r="ED180" s="51"/>
      <c r="EE180" s="51"/>
      <c r="EF180" s="51"/>
      <c r="EG180" s="51"/>
      <c r="EH180" s="51"/>
      <c r="EI180" s="51"/>
      <c r="EJ180" s="51"/>
    </row>
    <row r="181" spans="3:140">
      <c r="C181" s="19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  <c r="AF181" s="51"/>
      <c r="AG181" s="51"/>
      <c r="AH181" s="51"/>
      <c r="AI181" s="51"/>
      <c r="AJ181" s="51"/>
      <c r="AK181" s="51"/>
      <c r="AL181" s="51"/>
      <c r="AM181" s="51"/>
      <c r="AN181" s="51"/>
      <c r="AO181" s="51"/>
      <c r="AP181" s="51"/>
      <c r="AQ181" s="51"/>
      <c r="AR181" s="51"/>
      <c r="AS181" s="51"/>
      <c r="AT181" s="51"/>
      <c r="AU181" s="51"/>
      <c r="AV181" s="51"/>
      <c r="AW181" s="51"/>
      <c r="AX181" s="51"/>
      <c r="AY181" s="51"/>
      <c r="AZ181" s="51"/>
      <c r="BA181" s="51"/>
      <c r="BB181" s="51"/>
      <c r="BC181" s="51"/>
      <c r="BD181" s="51"/>
      <c r="BE181" s="51"/>
      <c r="BF181" s="51"/>
      <c r="BG181" s="51"/>
      <c r="BH181" s="51"/>
      <c r="BI181" s="51"/>
      <c r="BJ181" s="51"/>
      <c r="BK181" s="51"/>
      <c r="BL181" s="51"/>
      <c r="BM181" s="51"/>
      <c r="BN181" s="51"/>
      <c r="BO181" s="51"/>
      <c r="BP181" s="51"/>
      <c r="BQ181" s="51"/>
      <c r="BR181" s="51"/>
      <c r="BS181" s="51"/>
      <c r="BT181" s="51"/>
      <c r="BU181" s="51"/>
      <c r="BV181" s="51"/>
      <c r="BW181" s="51"/>
      <c r="BX181" s="51"/>
      <c r="BY181" s="51"/>
      <c r="BZ181" s="51"/>
      <c r="CA181" s="51"/>
      <c r="CB181" s="51"/>
      <c r="CC181" s="51"/>
      <c r="CD181" s="51"/>
      <c r="CE181" s="51"/>
      <c r="CF181" s="51"/>
      <c r="CG181" s="51"/>
      <c r="CH181" s="51"/>
      <c r="CI181" s="51"/>
      <c r="CJ181" s="51"/>
      <c r="CK181" s="51"/>
      <c r="CL181" s="51"/>
      <c r="CM181" s="51"/>
      <c r="CN181" s="51"/>
      <c r="CO181" s="51"/>
      <c r="CP181" s="51"/>
      <c r="CQ181" s="51"/>
      <c r="CR181" s="51"/>
      <c r="CS181" s="51"/>
      <c r="CT181" s="51"/>
      <c r="CU181" s="51"/>
      <c r="CV181" s="51"/>
      <c r="CW181" s="51"/>
      <c r="CX181" s="51"/>
      <c r="CY181" s="51"/>
      <c r="CZ181" s="51"/>
      <c r="DA181" s="51"/>
      <c r="DB181" s="51"/>
      <c r="DC181" s="51"/>
      <c r="DD181" s="51"/>
      <c r="DE181" s="51"/>
      <c r="DF181" s="51"/>
      <c r="DG181" s="51"/>
      <c r="DH181" s="51"/>
      <c r="DI181" s="51"/>
      <c r="DJ181" s="51"/>
      <c r="DK181" s="51"/>
      <c r="DL181" s="51"/>
      <c r="DM181" s="51"/>
      <c r="DN181" s="51"/>
      <c r="DO181" s="51"/>
      <c r="DP181" s="51"/>
      <c r="DQ181" s="51"/>
      <c r="DR181" s="51"/>
      <c r="DS181" s="51"/>
      <c r="DT181" s="51"/>
      <c r="DU181" s="51"/>
      <c r="DV181" s="51"/>
      <c r="DW181" s="51"/>
      <c r="DX181" s="51"/>
      <c r="DY181" s="51"/>
      <c r="DZ181" s="51"/>
      <c r="EA181" s="51"/>
      <c r="EB181" s="51"/>
      <c r="EC181" s="51"/>
      <c r="ED181" s="51"/>
      <c r="EE181" s="51"/>
      <c r="EF181" s="51"/>
      <c r="EG181" s="51"/>
      <c r="EH181" s="51"/>
      <c r="EI181" s="51"/>
      <c r="EJ181" s="51"/>
    </row>
    <row r="182" spans="3:140">
      <c r="C182" s="19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  <c r="AG182" s="51"/>
      <c r="AH182" s="51"/>
      <c r="AI182" s="51"/>
      <c r="AJ182" s="51"/>
      <c r="AK182" s="51"/>
      <c r="AL182" s="51"/>
      <c r="AM182" s="51"/>
      <c r="AN182" s="51"/>
      <c r="AO182" s="51"/>
      <c r="AP182" s="51"/>
      <c r="AQ182" s="51"/>
      <c r="AR182" s="51"/>
      <c r="AS182" s="51"/>
      <c r="AT182" s="51"/>
      <c r="AU182" s="51"/>
      <c r="AV182" s="51"/>
      <c r="AW182" s="51"/>
      <c r="AX182" s="51"/>
      <c r="AY182" s="51"/>
      <c r="AZ182" s="51"/>
      <c r="BA182" s="51"/>
      <c r="BB182" s="51"/>
      <c r="BC182" s="51"/>
      <c r="BD182" s="51"/>
      <c r="BE182" s="51"/>
      <c r="BF182" s="51"/>
      <c r="BG182" s="51"/>
      <c r="BH182" s="51"/>
      <c r="BI182" s="51"/>
      <c r="BJ182" s="51"/>
      <c r="BK182" s="51"/>
      <c r="BL182" s="51"/>
      <c r="BM182" s="51"/>
      <c r="BN182" s="51"/>
      <c r="BO182" s="51"/>
      <c r="BP182" s="51"/>
      <c r="BQ182" s="51"/>
      <c r="BR182" s="51"/>
      <c r="BS182" s="51"/>
      <c r="BT182" s="51"/>
      <c r="BU182" s="51"/>
      <c r="BV182" s="51"/>
      <c r="BW182" s="51"/>
      <c r="BX182" s="51"/>
      <c r="BY182" s="51"/>
      <c r="BZ182" s="51"/>
      <c r="CA182" s="51"/>
      <c r="CB182" s="51"/>
      <c r="CC182" s="51"/>
      <c r="CD182" s="51"/>
      <c r="CE182" s="51"/>
      <c r="CF182" s="51"/>
      <c r="CG182" s="51"/>
      <c r="CH182" s="51"/>
      <c r="CI182" s="51"/>
      <c r="CJ182" s="51"/>
      <c r="CK182" s="51"/>
      <c r="CL182" s="51"/>
      <c r="CM182" s="51"/>
      <c r="CN182" s="51"/>
      <c r="CO182" s="51"/>
      <c r="CP182" s="51"/>
      <c r="CQ182" s="51"/>
      <c r="CR182" s="51"/>
      <c r="CS182" s="51"/>
      <c r="CT182" s="51"/>
      <c r="CU182" s="51"/>
      <c r="CV182" s="51"/>
      <c r="CW182" s="51"/>
      <c r="CX182" s="51"/>
      <c r="CY182" s="51"/>
      <c r="CZ182" s="51"/>
      <c r="DA182" s="51"/>
      <c r="DB182" s="51"/>
      <c r="DC182" s="51"/>
      <c r="DD182" s="51"/>
      <c r="DE182" s="51"/>
      <c r="DF182" s="51"/>
      <c r="DG182" s="51"/>
      <c r="DH182" s="51"/>
      <c r="DI182" s="51"/>
      <c r="DJ182" s="51"/>
      <c r="DK182" s="51"/>
      <c r="DL182" s="51"/>
      <c r="DM182" s="51"/>
      <c r="DN182" s="51"/>
      <c r="DO182" s="51"/>
      <c r="DP182" s="51"/>
      <c r="DQ182" s="51"/>
      <c r="DR182" s="51"/>
      <c r="DS182" s="51"/>
      <c r="DT182" s="51"/>
      <c r="DU182" s="51"/>
      <c r="DV182" s="51"/>
      <c r="DW182" s="51"/>
      <c r="DX182" s="51"/>
      <c r="DY182" s="51"/>
      <c r="DZ182" s="51"/>
      <c r="EA182" s="51"/>
      <c r="EB182" s="51"/>
      <c r="EC182" s="51"/>
      <c r="ED182" s="51"/>
      <c r="EE182" s="51"/>
      <c r="EF182" s="51"/>
      <c r="EG182" s="51"/>
      <c r="EH182" s="51"/>
      <c r="EI182" s="51"/>
      <c r="EJ182" s="51"/>
    </row>
    <row r="183" spans="3:140">
      <c r="C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  <c r="AH183" s="51"/>
      <c r="AI183" s="51"/>
      <c r="AJ183" s="51"/>
      <c r="AK183" s="51"/>
      <c r="AL183" s="51"/>
      <c r="AM183" s="51"/>
      <c r="AN183" s="51"/>
      <c r="AO183" s="51"/>
      <c r="AP183" s="51"/>
      <c r="AQ183" s="51"/>
      <c r="AR183" s="51"/>
      <c r="AS183" s="51"/>
      <c r="AT183" s="51"/>
      <c r="AU183" s="51"/>
      <c r="AV183" s="51"/>
      <c r="AW183" s="51"/>
      <c r="AX183" s="51"/>
      <c r="AY183" s="51"/>
      <c r="AZ183" s="51"/>
      <c r="BA183" s="51"/>
      <c r="BB183" s="51"/>
      <c r="BC183" s="51"/>
      <c r="BD183" s="51"/>
      <c r="BE183" s="51"/>
      <c r="BF183" s="51"/>
      <c r="BG183" s="51"/>
      <c r="BH183" s="51"/>
      <c r="BI183" s="51"/>
      <c r="BJ183" s="51"/>
      <c r="BK183" s="51"/>
      <c r="BL183" s="51"/>
      <c r="BM183" s="51"/>
      <c r="BN183" s="51"/>
      <c r="BO183" s="51"/>
      <c r="BP183" s="51"/>
      <c r="BQ183" s="51"/>
      <c r="BR183" s="51"/>
      <c r="BS183" s="51"/>
      <c r="BT183" s="51"/>
      <c r="BU183" s="51"/>
      <c r="BV183" s="51"/>
      <c r="BW183" s="51"/>
      <c r="BX183" s="51"/>
      <c r="BY183" s="51"/>
      <c r="BZ183" s="51"/>
      <c r="CA183" s="51"/>
      <c r="CB183" s="51"/>
      <c r="CC183" s="51"/>
      <c r="CD183" s="51"/>
      <c r="CE183" s="51"/>
      <c r="CF183" s="51"/>
      <c r="CG183" s="51"/>
      <c r="CH183" s="51"/>
      <c r="CI183" s="51"/>
      <c r="CJ183" s="51"/>
      <c r="CK183" s="51"/>
      <c r="CL183" s="51"/>
      <c r="CM183" s="51"/>
      <c r="CN183" s="51"/>
      <c r="CO183" s="51"/>
      <c r="CP183" s="51"/>
      <c r="CQ183" s="51"/>
      <c r="CR183" s="51"/>
      <c r="CS183" s="51"/>
      <c r="CT183" s="51"/>
      <c r="CU183" s="51"/>
      <c r="CV183" s="51"/>
      <c r="CW183" s="51"/>
      <c r="CX183" s="51"/>
      <c r="CY183" s="51"/>
      <c r="CZ183" s="51"/>
      <c r="DA183" s="51"/>
      <c r="DB183" s="51"/>
      <c r="DC183" s="51"/>
      <c r="DD183" s="51"/>
      <c r="DE183" s="51"/>
      <c r="DF183" s="51"/>
      <c r="DG183" s="51"/>
      <c r="DH183" s="51"/>
      <c r="DI183" s="51"/>
      <c r="DJ183" s="51"/>
      <c r="DK183" s="51"/>
      <c r="DL183" s="51"/>
      <c r="DM183" s="51"/>
      <c r="DN183" s="51"/>
      <c r="DO183" s="51"/>
      <c r="DP183" s="51"/>
      <c r="DQ183" s="51"/>
      <c r="DR183" s="51"/>
      <c r="DS183" s="51"/>
      <c r="DT183" s="51"/>
      <c r="DU183" s="51"/>
      <c r="DV183" s="51"/>
      <c r="DW183" s="51"/>
      <c r="DX183" s="51"/>
      <c r="DY183" s="51"/>
      <c r="DZ183" s="51"/>
      <c r="EA183" s="51"/>
      <c r="EB183" s="51"/>
      <c r="EC183" s="51"/>
      <c r="ED183" s="51"/>
      <c r="EE183" s="51"/>
      <c r="EF183" s="51"/>
      <c r="EG183" s="51"/>
      <c r="EH183" s="51"/>
      <c r="EI183" s="51"/>
      <c r="EJ183" s="51"/>
    </row>
    <row r="184" spans="3:140">
      <c r="C184" s="19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1"/>
      <c r="AI184" s="51"/>
      <c r="AJ184" s="51"/>
      <c r="AK184" s="51"/>
      <c r="AL184" s="51"/>
      <c r="AM184" s="51"/>
      <c r="AN184" s="51"/>
      <c r="AO184" s="51"/>
      <c r="AP184" s="51"/>
      <c r="AQ184" s="51"/>
      <c r="AR184" s="51"/>
      <c r="AS184" s="51"/>
      <c r="AT184" s="51"/>
      <c r="AU184" s="51"/>
      <c r="AV184" s="51"/>
      <c r="AW184" s="51"/>
      <c r="AX184" s="51"/>
      <c r="AY184" s="51"/>
      <c r="AZ184" s="51"/>
      <c r="BA184" s="51"/>
      <c r="BB184" s="51"/>
      <c r="BC184" s="51"/>
      <c r="BD184" s="51"/>
      <c r="BE184" s="51"/>
      <c r="BF184" s="51"/>
      <c r="BG184" s="51"/>
      <c r="BH184" s="51"/>
      <c r="BI184" s="51"/>
      <c r="BJ184" s="51"/>
      <c r="BK184" s="51"/>
      <c r="BL184" s="51"/>
      <c r="BM184" s="51"/>
      <c r="BN184" s="51"/>
      <c r="BO184" s="51"/>
      <c r="BP184" s="51"/>
      <c r="BQ184" s="51"/>
      <c r="BR184" s="51"/>
      <c r="BS184" s="51"/>
      <c r="BT184" s="51"/>
      <c r="BU184" s="51"/>
      <c r="BV184" s="51"/>
      <c r="BW184" s="51"/>
      <c r="BX184" s="51"/>
      <c r="BY184" s="51"/>
      <c r="BZ184" s="51"/>
      <c r="CA184" s="51"/>
      <c r="CB184" s="51"/>
      <c r="CC184" s="51"/>
      <c r="CD184" s="51"/>
      <c r="CE184" s="51"/>
      <c r="CF184" s="51"/>
      <c r="CG184" s="51"/>
      <c r="CH184" s="51"/>
      <c r="CI184" s="51"/>
      <c r="CJ184" s="51"/>
      <c r="CK184" s="51"/>
      <c r="CL184" s="51"/>
      <c r="CM184" s="51"/>
      <c r="CN184" s="51"/>
      <c r="CO184" s="51"/>
      <c r="CP184" s="51"/>
      <c r="CQ184" s="51"/>
      <c r="CR184" s="51"/>
      <c r="CS184" s="51"/>
      <c r="CT184" s="51"/>
      <c r="CU184" s="51"/>
      <c r="CV184" s="51"/>
      <c r="CW184" s="51"/>
      <c r="CX184" s="51"/>
      <c r="CY184" s="51"/>
      <c r="CZ184" s="51"/>
      <c r="DA184" s="51"/>
      <c r="DB184" s="51"/>
      <c r="DC184" s="51"/>
      <c r="DD184" s="51"/>
      <c r="DE184" s="51"/>
      <c r="DF184" s="51"/>
      <c r="DG184" s="51"/>
      <c r="DH184" s="51"/>
      <c r="DI184" s="51"/>
      <c r="DJ184" s="51"/>
      <c r="DK184" s="51"/>
      <c r="DL184" s="51"/>
      <c r="DM184" s="51"/>
      <c r="DN184" s="51"/>
      <c r="DO184" s="51"/>
      <c r="DP184" s="51"/>
      <c r="DQ184" s="51"/>
      <c r="DR184" s="51"/>
      <c r="DS184" s="51"/>
      <c r="DT184" s="51"/>
      <c r="DU184" s="51"/>
      <c r="DV184" s="51"/>
      <c r="DW184" s="51"/>
      <c r="DX184" s="51"/>
      <c r="DY184" s="51"/>
      <c r="DZ184" s="51"/>
      <c r="EA184" s="51"/>
      <c r="EB184" s="51"/>
      <c r="EC184" s="51"/>
      <c r="ED184" s="51"/>
      <c r="EE184" s="51"/>
      <c r="EF184" s="51"/>
      <c r="EG184" s="51"/>
      <c r="EH184" s="51"/>
      <c r="EI184" s="51"/>
      <c r="EJ184" s="51"/>
    </row>
    <row r="185" spans="3:140">
      <c r="C185" s="19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1"/>
      <c r="AI185" s="51"/>
      <c r="AJ185" s="51"/>
      <c r="AK185" s="51"/>
      <c r="AL185" s="51"/>
      <c r="AM185" s="51"/>
      <c r="AN185" s="51"/>
      <c r="AO185" s="51"/>
      <c r="AP185" s="51"/>
      <c r="AQ185" s="51"/>
      <c r="AR185" s="51"/>
      <c r="AS185" s="51"/>
      <c r="AT185" s="51"/>
      <c r="AU185" s="51"/>
      <c r="AV185" s="51"/>
      <c r="AW185" s="51"/>
      <c r="AX185" s="51"/>
      <c r="AY185" s="51"/>
      <c r="AZ185" s="51"/>
      <c r="BA185" s="51"/>
      <c r="BB185" s="51"/>
      <c r="BC185" s="51"/>
      <c r="BD185" s="51"/>
      <c r="BE185" s="51"/>
      <c r="BF185" s="51"/>
      <c r="BG185" s="51"/>
      <c r="BH185" s="51"/>
      <c r="BI185" s="51"/>
      <c r="BJ185" s="51"/>
      <c r="BK185" s="51"/>
      <c r="BL185" s="51"/>
      <c r="BM185" s="51"/>
      <c r="BN185" s="51"/>
      <c r="BO185" s="51"/>
      <c r="BP185" s="51"/>
      <c r="BQ185" s="51"/>
      <c r="BR185" s="51"/>
      <c r="BS185" s="51"/>
      <c r="BT185" s="51"/>
      <c r="BU185" s="51"/>
      <c r="BV185" s="51"/>
      <c r="BW185" s="51"/>
      <c r="BX185" s="51"/>
      <c r="BY185" s="51"/>
      <c r="BZ185" s="51"/>
      <c r="CA185" s="51"/>
      <c r="CB185" s="51"/>
      <c r="CC185" s="51"/>
      <c r="CD185" s="51"/>
      <c r="CE185" s="51"/>
      <c r="CF185" s="51"/>
      <c r="CG185" s="51"/>
      <c r="CH185" s="51"/>
      <c r="CI185" s="51"/>
      <c r="CJ185" s="51"/>
      <c r="CK185" s="51"/>
      <c r="CL185" s="51"/>
      <c r="CM185" s="51"/>
      <c r="CN185" s="51"/>
      <c r="CO185" s="51"/>
      <c r="CP185" s="51"/>
      <c r="CQ185" s="51"/>
      <c r="CR185" s="51"/>
      <c r="CS185" s="51"/>
      <c r="CT185" s="51"/>
      <c r="CU185" s="51"/>
      <c r="CV185" s="51"/>
      <c r="CW185" s="51"/>
      <c r="CX185" s="51"/>
      <c r="CY185" s="51"/>
      <c r="CZ185" s="51"/>
      <c r="DA185" s="51"/>
      <c r="DB185" s="51"/>
      <c r="DC185" s="51"/>
      <c r="DD185" s="51"/>
      <c r="DE185" s="51"/>
      <c r="DF185" s="51"/>
      <c r="DG185" s="51"/>
      <c r="DH185" s="51"/>
      <c r="DI185" s="51"/>
      <c r="DJ185" s="51"/>
      <c r="DK185" s="51"/>
      <c r="DL185" s="51"/>
      <c r="DM185" s="51"/>
      <c r="DN185" s="51"/>
      <c r="DO185" s="51"/>
      <c r="DP185" s="51"/>
      <c r="DQ185" s="51"/>
      <c r="DR185" s="51"/>
      <c r="DS185" s="51"/>
      <c r="DT185" s="51"/>
      <c r="DU185" s="51"/>
      <c r="DV185" s="51"/>
      <c r="DW185" s="51"/>
      <c r="DX185" s="51"/>
      <c r="DY185" s="51"/>
      <c r="DZ185" s="51"/>
      <c r="EA185" s="51"/>
      <c r="EB185" s="51"/>
      <c r="EC185" s="51"/>
      <c r="ED185" s="51"/>
      <c r="EE185" s="51"/>
      <c r="EF185" s="51"/>
      <c r="EG185" s="51"/>
      <c r="EH185" s="51"/>
      <c r="EI185" s="51"/>
      <c r="EJ185" s="51"/>
    </row>
    <row r="186" spans="3:140">
      <c r="C186" s="19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1"/>
      <c r="AI186" s="51"/>
      <c r="AJ186" s="51"/>
      <c r="AK186" s="51"/>
      <c r="AL186" s="51"/>
      <c r="AM186" s="51"/>
      <c r="AN186" s="51"/>
      <c r="AO186" s="51"/>
      <c r="AP186" s="51"/>
      <c r="AQ186" s="51"/>
      <c r="AR186" s="51"/>
      <c r="AS186" s="51"/>
      <c r="AT186" s="51"/>
      <c r="AU186" s="51"/>
      <c r="AV186" s="51"/>
      <c r="AW186" s="51"/>
      <c r="AX186" s="51"/>
      <c r="AY186" s="51"/>
      <c r="AZ186" s="51"/>
      <c r="BA186" s="51"/>
      <c r="BB186" s="51"/>
      <c r="BC186" s="51"/>
      <c r="BD186" s="51"/>
      <c r="BE186" s="51"/>
      <c r="BF186" s="51"/>
      <c r="BG186" s="51"/>
      <c r="BH186" s="51"/>
      <c r="BI186" s="51"/>
      <c r="BJ186" s="51"/>
      <c r="BK186" s="51"/>
      <c r="BL186" s="51"/>
      <c r="BM186" s="51"/>
      <c r="BN186" s="51"/>
      <c r="BO186" s="51"/>
      <c r="BP186" s="51"/>
      <c r="BQ186" s="51"/>
      <c r="BR186" s="51"/>
      <c r="BS186" s="51"/>
      <c r="BT186" s="51"/>
      <c r="BU186" s="51"/>
      <c r="BV186" s="51"/>
      <c r="BW186" s="51"/>
      <c r="BX186" s="51"/>
      <c r="BY186" s="51"/>
      <c r="BZ186" s="51"/>
      <c r="CA186" s="51"/>
      <c r="CB186" s="51"/>
      <c r="CC186" s="51"/>
      <c r="CD186" s="51"/>
      <c r="CE186" s="51"/>
      <c r="CF186" s="51"/>
      <c r="CG186" s="51"/>
      <c r="CH186" s="51"/>
      <c r="CI186" s="51"/>
      <c r="CJ186" s="51"/>
      <c r="CK186" s="51"/>
      <c r="CL186" s="51"/>
      <c r="CM186" s="51"/>
      <c r="CN186" s="51"/>
      <c r="CO186" s="51"/>
      <c r="CP186" s="51"/>
      <c r="CQ186" s="51"/>
      <c r="CR186" s="51"/>
      <c r="CS186" s="51"/>
      <c r="CT186" s="51"/>
      <c r="CU186" s="51"/>
      <c r="CV186" s="51"/>
      <c r="CW186" s="51"/>
      <c r="CX186" s="51"/>
      <c r="CY186" s="51"/>
      <c r="CZ186" s="51"/>
      <c r="DA186" s="51"/>
      <c r="DB186" s="51"/>
      <c r="DC186" s="51"/>
      <c r="DD186" s="51"/>
      <c r="DE186" s="51"/>
      <c r="DF186" s="51"/>
      <c r="DG186" s="51"/>
      <c r="DH186" s="51"/>
      <c r="DI186" s="51"/>
      <c r="DJ186" s="51"/>
      <c r="DK186" s="51"/>
      <c r="DL186" s="51"/>
      <c r="DM186" s="51"/>
      <c r="DN186" s="51"/>
      <c r="DO186" s="51"/>
      <c r="DP186" s="51"/>
      <c r="DQ186" s="51"/>
      <c r="DR186" s="51"/>
      <c r="DS186" s="51"/>
      <c r="DT186" s="51"/>
      <c r="DU186" s="51"/>
      <c r="DV186" s="51"/>
      <c r="DW186" s="51"/>
      <c r="DX186" s="51"/>
      <c r="DY186" s="51"/>
      <c r="DZ186" s="51"/>
      <c r="EA186" s="51"/>
      <c r="EB186" s="51"/>
      <c r="EC186" s="51"/>
      <c r="ED186" s="51"/>
      <c r="EE186" s="51"/>
      <c r="EF186" s="51"/>
      <c r="EG186" s="51"/>
      <c r="EH186" s="51"/>
      <c r="EI186" s="51"/>
      <c r="EJ186" s="51"/>
    </row>
    <row r="187" spans="3:140">
      <c r="C187" s="19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  <c r="AH187" s="51"/>
      <c r="AI187" s="51"/>
      <c r="AJ187" s="51"/>
      <c r="AK187" s="51"/>
      <c r="AL187" s="51"/>
      <c r="AM187" s="51"/>
      <c r="AN187" s="51"/>
      <c r="AO187" s="51"/>
      <c r="AP187" s="51"/>
      <c r="AQ187" s="51"/>
      <c r="AR187" s="51"/>
      <c r="AS187" s="51"/>
      <c r="AT187" s="51"/>
      <c r="AU187" s="51"/>
      <c r="AV187" s="51"/>
      <c r="AW187" s="51"/>
      <c r="AX187" s="51"/>
      <c r="AY187" s="51"/>
      <c r="AZ187" s="51"/>
      <c r="BA187" s="51"/>
      <c r="BB187" s="51"/>
      <c r="BC187" s="51"/>
      <c r="BD187" s="51"/>
      <c r="BE187" s="51"/>
      <c r="BF187" s="51"/>
      <c r="BG187" s="51"/>
      <c r="BH187" s="51"/>
      <c r="BI187" s="51"/>
      <c r="BJ187" s="51"/>
      <c r="BK187" s="51"/>
      <c r="BL187" s="51"/>
      <c r="BM187" s="51"/>
      <c r="BN187" s="51"/>
      <c r="BO187" s="51"/>
      <c r="BP187" s="51"/>
      <c r="BQ187" s="51"/>
      <c r="BR187" s="51"/>
      <c r="BS187" s="51"/>
      <c r="BT187" s="51"/>
      <c r="BU187" s="51"/>
      <c r="BV187" s="51"/>
      <c r="BW187" s="51"/>
      <c r="BX187" s="51"/>
      <c r="BY187" s="51"/>
      <c r="BZ187" s="51"/>
      <c r="CA187" s="51"/>
      <c r="CB187" s="51"/>
      <c r="CC187" s="51"/>
      <c r="CD187" s="51"/>
      <c r="CE187" s="51"/>
      <c r="CF187" s="51"/>
      <c r="CG187" s="51"/>
      <c r="CH187" s="51"/>
      <c r="CI187" s="51"/>
      <c r="CJ187" s="51"/>
      <c r="CK187" s="51"/>
      <c r="CL187" s="51"/>
      <c r="CM187" s="51"/>
      <c r="CN187" s="51"/>
      <c r="CO187" s="51"/>
      <c r="CP187" s="51"/>
      <c r="CQ187" s="51"/>
      <c r="CR187" s="51"/>
      <c r="CS187" s="51"/>
      <c r="CT187" s="51"/>
      <c r="CU187" s="51"/>
      <c r="CV187" s="51"/>
      <c r="CW187" s="51"/>
      <c r="CX187" s="51"/>
      <c r="CY187" s="51"/>
      <c r="CZ187" s="51"/>
      <c r="DA187" s="51"/>
      <c r="DB187" s="51"/>
      <c r="DC187" s="51"/>
      <c r="DD187" s="51"/>
      <c r="DE187" s="51"/>
      <c r="DF187" s="51"/>
      <c r="DG187" s="51"/>
      <c r="DH187" s="51"/>
      <c r="DI187" s="51"/>
      <c r="DJ187" s="51"/>
      <c r="DK187" s="51"/>
      <c r="DL187" s="51"/>
      <c r="DM187" s="51"/>
      <c r="DN187" s="51"/>
      <c r="DO187" s="51"/>
      <c r="DP187" s="51"/>
      <c r="DQ187" s="51"/>
      <c r="DR187" s="51"/>
      <c r="DS187" s="51"/>
      <c r="DT187" s="51"/>
      <c r="DU187" s="51"/>
      <c r="DV187" s="51"/>
      <c r="DW187" s="51"/>
      <c r="DX187" s="51"/>
      <c r="DY187" s="51"/>
      <c r="DZ187" s="51"/>
      <c r="EA187" s="51"/>
      <c r="EB187" s="51"/>
      <c r="EC187" s="51"/>
      <c r="ED187" s="51"/>
      <c r="EE187" s="51"/>
      <c r="EF187" s="51"/>
      <c r="EG187" s="51"/>
      <c r="EH187" s="51"/>
      <c r="EI187" s="51"/>
      <c r="EJ187" s="51"/>
    </row>
    <row r="188" spans="3:140">
      <c r="C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1"/>
      <c r="AI188" s="51"/>
      <c r="AJ188" s="51"/>
      <c r="AK188" s="51"/>
      <c r="AL188" s="51"/>
      <c r="AM188" s="51"/>
      <c r="AN188" s="51"/>
      <c r="AO188" s="51"/>
      <c r="AP188" s="51"/>
      <c r="AQ188" s="51"/>
      <c r="AR188" s="51"/>
      <c r="AS188" s="51"/>
      <c r="AT188" s="51"/>
      <c r="AU188" s="51"/>
      <c r="AV188" s="51"/>
      <c r="AW188" s="51"/>
      <c r="AX188" s="51"/>
      <c r="AY188" s="51"/>
      <c r="AZ188" s="51"/>
      <c r="BA188" s="51"/>
      <c r="BB188" s="51"/>
      <c r="BC188" s="51"/>
      <c r="BD188" s="51"/>
      <c r="BE188" s="51"/>
      <c r="BF188" s="51"/>
      <c r="BG188" s="51"/>
      <c r="BH188" s="51"/>
      <c r="BI188" s="51"/>
      <c r="BJ188" s="51"/>
      <c r="BK188" s="51"/>
      <c r="BL188" s="51"/>
      <c r="BM188" s="51"/>
      <c r="BN188" s="51"/>
      <c r="BO188" s="51"/>
      <c r="BP188" s="51"/>
      <c r="BQ188" s="51"/>
      <c r="BR188" s="51"/>
      <c r="BS188" s="51"/>
      <c r="BT188" s="51"/>
      <c r="BU188" s="51"/>
      <c r="BV188" s="51"/>
      <c r="BW188" s="51"/>
      <c r="BX188" s="51"/>
      <c r="BY188" s="51"/>
      <c r="BZ188" s="51"/>
      <c r="CA188" s="51"/>
      <c r="CB188" s="51"/>
      <c r="CC188" s="51"/>
      <c r="CD188" s="51"/>
      <c r="CE188" s="51"/>
      <c r="CF188" s="51"/>
      <c r="CG188" s="51"/>
      <c r="CH188" s="51"/>
      <c r="CI188" s="51"/>
      <c r="CJ188" s="51"/>
      <c r="CK188" s="51"/>
      <c r="CL188" s="51"/>
      <c r="CM188" s="51"/>
      <c r="CN188" s="51"/>
      <c r="CO188" s="51"/>
      <c r="CP188" s="51"/>
      <c r="CQ188" s="51"/>
      <c r="CR188" s="51"/>
      <c r="CS188" s="51"/>
      <c r="CT188" s="51"/>
      <c r="CU188" s="51"/>
      <c r="CV188" s="51"/>
      <c r="CW188" s="51"/>
      <c r="CX188" s="51"/>
      <c r="CY188" s="51"/>
      <c r="CZ188" s="51"/>
      <c r="DA188" s="51"/>
      <c r="DB188" s="51"/>
      <c r="DC188" s="51"/>
      <c r="DD188" s="51"/>
      <c r="DE188" s="51"/>
      <c r="DF188" s="51"/>
      <c r="DG188" s="51"/>
      <c r="DH188" s="51"/>
      <c r="DI188" s="51"/>
      <c r="DJ188" s="51"/>
      <c r="DK188" s="51"/>
      <c r="DL188" s="51"/>
      <c r="DM188" s="51"/>
      <c r="DN188" s="51"/>
      <c r="DO188" s="51"/>
      <c r="DP188" s="51"/>
      <c r="DQ188" s="51"/>
      <c r="DR188" s="51"/>
      <c r="DS188" s="51"/>
      <c r="DT188" s="51"/>
      <c r="DU188" s="51"/>
      <c r="DV188" s="51"/>
      <c r="DW188" s="51"/>
      <c r="DX188" s="51"/>
      <c r="DY188" s="51"/>
      <c r="DZ188" s="51"/>
      <c r="EA188" s="51"/>
      <c r="EB188" s="51"/>
      <c r="EC188" s="51"/>
      <c r="ED188" s="51"/>
      <c r="EE188" s="51"/>
      <c r="EF188" s="51"/>
      <c r="EG188" s="51"/>
      <c r="EH188" s="51"/>
      <c r="EI188" s="51"/>
      <c r="EJ188" s="51"/>
    </row>
    <row r="189" spans="3:140">
      <c r="C189" s="19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  <c r="AH189" s="51"/>
      <c r="AI189" s="51"/>
      <c r="AJ189" s="51"/>
      <c r="AK189" s="51"/>
      <c r="AL189" s="51"/>
      <c r="AM189" s="51"/>
      <c r="AN189" s="51"/>
      <c r="AO189" s="51"/>
      <c r="AP189" s="51"/>
      <c r="AQ189" s="51"/>
      <c r="AR189" s="51"/>
      <c r="AS189" s="51"/>
      <c r="AT189" s="51"/>
      <c r="AU189" s="51"/>
      <c r="AV189" s="51"/>
      <c r="AW189" s="51"/>
      <c r="AX189" s="51"/>
      <c r="AY189" s="51"/>
      <c r="AZ189" s="51"/>
      <c r="BA189" s="51"/>
      <c r="BB189" s="51"/>
      <c r="BC189" s="51"/>
      <c r="BD189" s="51"/>
      <c r="BE189" s="51"/>
      <c r="BF189" s="51"/>
      <c r="BG189" s="51"/>
      <c r="BH189" s="51"/>
      <c r="BI189" s="51"/>
      <c r="BJ189" s="51"/>
      <c r="BK189" s="51"/>
      <c r="BL189" s="51"/>
      <c r="BM189" s="51"/>
      <c r="BN189" s="51"/>
      <c r="BO189" s="51"/>
      <c r="BP189" s="51"/>
      <c r="BQ189" s="51"/>
      <c r="BR189" s="51"/>
      <c r="BS189" s="51"/>
      <c r="BT189" s="51"/>
      <c r="BU189" s="51"/>
      <c r="BV189" s="51"/>
      <c r="BW189" s="51"/>
      <c r="BX189" s="51"/>
      <c r="BY189" s="51"/>
      <c r="BZ189" s="51"/>
      <c r="CA189" s="51"/>
      <c r="CB189" s="51"/>
      <c r="CC189" s="51"/>
      <c r="CD189" s="51"/>
      <c r="CE189" s="51"/>
      <c r="CF189" s="51"/>
      <c r="CG189" s="51"/>
      <c r="CH189" s="51"/>
      <c r="CI189" s="51"/>
      <c r="CJ189" s="51"/>
      <c r="CK189" s="51"/>
      <c r="CL189" s="51"/>
      <c r="CM189" s="51"/>
      <c r="CN189" s="51"/>
      <c r="CO189" s="51"/>
      <c r="CP189" s="51"/>
      <c r="CQ189" s="51"/>
      <c r="CR189" s="51"/>
      <c r="CS189" s="51"/>
      <c r="CT189" s="51"/>
      <c r="CU189" s="51"/>
      <c r="CV189" s="51"/>
      <c r="CW189" s="51"/>
      <c r="CX189" s="51"/>
      <c r="CY189" s="51"/>
      <c r="CZ189" s="51"/>
      <c r="DA189" s="51"/>
      <c r="DB189" s="51"/>
      <c r="DC189" s="51"/>
      <c r="DD189" s="51"/>
      <c r="DE189" s="51"/>
      <c r="DF189" s="51"/>
      <c r="DG189" s="51"/>
      <c r="DH189" s="51"/>
      <c r="DI189" s="51"/>
      <c r="DJ189" s="51"/>
      <c r="DK189" s="51"/>
      <c r="DL189" s="51"/>
      <c r="DM189" s="51"/>
      <c r="DN189" s="51"/>
      <c r="DO189" s="51"/>
      <c r="DP189" s="51"/>
      <c r="DQ189" s="51"/>
      <c r="DR189" s="51"/>
      <c r="DS189" s="51"/>
      <c r="DT189" s="51"/>
      <c r="DU189" s="51"/>
      <c r="DV189" s="51"/>
      <c r="DW189" s="51"/>
      <c r="DX189" s="51"/>
      <c r="DY189" s="51"/>
      <c r="DZ189" s="51"/>
      <c r="EA189" s="51"/>
      <c r="EB189" s="51"/>
      <c r="EC189" s="51"/>
      <c r="ED189" s="51"/>
      <c r="EE189" s="51"/>
      <c r="EF189" s="51"/>
      <c r="EG189" s="51"/>
      <c r="EH189" s="51"/>
      <c r="EI189" s="51"/>
      <c r="EJ189" s="51"/>
    </row>
    <row r="190" spans="3:140">
      <c r="C190" s="19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1"/>
      <c r="AI190" s="51"/>
      <c r="AJ190" s="51"/>
      <c r="AK190" s="51"/>
      <c r="AL190" s="51"/>
      <c r="AM190" s="51"/>
      <c r="AN190" s="51"/>
      <c r="AO190" s="51"/>
      <c r="AP190" s="51"/>
      <c r="AQ190" s="51"/>
      <c r="AR190" s="51"/>
      <c r="AS190" s="51"/>
      <c r="AT190" s="51"/>
      <c r="AU190" s="51"/>
      <c r="AV190" s="51"/>
      <c r="AW190" s="51"/>
      <c r="AX190" s="51"/>
      <c r="AY190" s="51"/>
      <c r="AZ190" s="51"/>
      <c r="BA190" s="51"/>
      <c r="BB190" s="51"/>
      <c r="BC190" s="51"/>
      <c r="BD190" s="51"/>
      <c r="BE190" s="51"/>
      <c r="BF190" s="51"/>
      <c r="BG190" s="51"/>
      <c r="BH190" s="51"/>
      <c r="BI190" s="51"/>
      <c r="BJ190" s="51"/>
      <c r="BK190" s="51"/>
      <c r="BL190" s="51"/>
      <c r="BM190" s="51"/>
      <c r="BN190" s="51"/>
      <c r="BO190" s="51"/>
      <c r="BP190" s="51"/>
      <c r="BQ190" s="51"/>
      <c r="BR190" s="51"/>
      <c r="BS190" s="51"/>
      <c r="BT190" s="51"/>
      <c r="BU190" s="51"/>
      <c r="BV190" s="51"/>
      <c r="BW190" s="51"/>
      <c r="BX190" s="51"/>
      <c r="BY190" s="51"/>
      <c r="BZ190" s="51"/>
      <c r="CA190" s="51"/>
      <c r="CB190" s="51"/>
      <c r="CC190" s="51"/>
      <c r="CD190" s="51"/>
      <c r="CE190" s="51"/>
      <c r="CF190" s="51"/>
      <c r="CG190" s="51"/>
      <c r="CH190" s="51"/>
      <c r="CI190" s="51"/>
      <c r="CJ190" s="51"/>
      <c r="CK190" s="51"/>
      <c r="CL190" s="51"/>
      <c r="CM190" s="51"/>
      <c r="CN190" s="51"/>
      <c r="CO190" s="51"/>
      <c r="CP190" s="51"/>
      <c r="CQ190" s="51"/>
      <c r="CR190" s="51"/>
      <c r="CS190" s="51"/>
      <c r="CT190" s="51"/>
      <c r="CU190" s="51"/>
      <c r="CV190" s="51"/>
      <c r="CW190" s="51"/>
      <c r="CX190" s="51"/>
      <c r="CY190" s="51"/>
      <c r="CZ190" s="51"/>
      <c r="DA190" s="51"/>
      <c r="DB190" s="51"/>
      <c r="DC190" s="51"/>
      <c r="DD190" s="51"/>
      <c r="DE190" s="51"/>
      <c r="DF190" s="51"/>
      <c r="DG190" s="51"/>
      <c r="DH190" s="51"/>
      <c r="DI190" s="51"/>
      <c r="DJ190" s="51"/>
      <c r="DK190" s="51"/>
      <c r="DL190" s="51"/>
      <c r="DM190" s="51"/>
      <c r="DN190" s="51"/>
      <c r="DO190" s="51"/>
      <c r="DP190" s="51"/>
      <c r="DQ190" s="51"/>
      <c r="DR190" s="51"/>
      <c r="DS190" s="51"/>
      <c r="DT190" s="51"/>
      <c r="DU190" s="51"/>
      <c r="DV190" s="51"/>
      <c r="DW190" s="51"/>
      <c r="DX190" s="51"/>
      <c r="DY190" s="51"/>
      <c r="DZ190" s="51"/>
      <c r="EA190" s="51"/>
      <c r="EB190" s="51"/>
      <c r="EC190" s="51"/>
      <c r="ED190" s="51"/>
      <c r="EE190" s="51"/>
      <c r="EF190" s="51"/>
      <c r="EG190" s="51"/>
      <c r="EH190" s="51"/>
      <c r="EI190" s="51"/>
      <c r="EJ190" s="51"/>
    </row>
    <row r="191" spans="3:140">
      <c r="C191" s="19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1"/>
      <c r="AI191" s="51"/>
      <c r="AJ191" s="51"/>
      <c r="AK191" s="51"/>
      <c r="AL191" s="51"/>
      <c r="AM191" s="51"/>
      <c r="AN191" s="51"/>
      <c r="AO191" s="51"/>
      <c r="AP191" s="51"/>
      <c r="AQ191" s="51"/>
      <c r="AR191" s="51"/>
      <c r="AS191" s="51"/>
      <c r="AT191" s="51"/>
      <c r="AU191" s="51"/>
      <c r="AV191" s="51"/>
      <c r="AW191" s="51"/>
      <c r="AX191" s="51"/>
      <c r="AY191" s="51"/>
      <c r="AZ191" s="51"/>
      <c r="BA191" s="51"/>
      <c r="BB191" s="51"/>
      <c r="BC191" s="51"/>
      <c r="BD191" s="51"/>
      <c r="BE191" s="51"/>
      <c r="BF191" s="51"/>
      <c r="BG191" s="51"/>
      <c r="BH191" s="51"/>
      <c r="BI191" s="51"/>
      <c r="BJ191" s="51"/>
      <c r="BK191" s="51"/>
      <c r="BL191" s="51"/>
      <c r="BM191" s="51"/>
      <c r="BN191" s="51"/>
      <c r="BO191" s="51"/>
      <c r="BP191" s="51"/>
      <c r="BQ191" s="51"/>
      <c r="BR191" s="51"/>
      <c r="BS191" s="51"/>
      <c r="BT191" s="51"/>
      <c r="BU191" s="51"/>
      <c r="BV191" s="51"/>
      <c r="BW191" s="51"/>
      <c r="BX191" s="51"/>
      <c r="BY191" s="51"/>
      <c r="BZ191" s="51"/>
      <c r="CA191" s="51"/>
      <c r="CB191" s="51"/>
      <c r="CC191" s="51"/>
      <c r="CD191" s="51"/>
      <c r="CE191" s="51"/>
      <c r="CF191" s="51"/>
      <c r="CG191" s="51"/>
      <c r="CH191" s="51"/>
      <c r="CI191" s="51"/>
      <c r="CJ191" s="51"/>
      <c r="CK191" s="51"/>
      <c r="CL191" s="51"/>
      <c r="CM191" s="51"/>
      <c r="CN191" s="51"/>
      <c r="CO191" s="51"/>
      <c r="CP191" s="51"/>
      <c r="CQ191" s="51"/>
      <c r="CR191" s="51"/>
      <c r="CS191" s="51"/>
      <c r="CT191" s="51"/>
      <c r="CU191" s="51"/>
      <c r="CV191" s="51"/>
      <c r="CW191" s="51"/>
      <c r="CX191" s="51"/>
      <c r="CY191" s="51"/>
      <c r="CZ191" s="51"/>
      <c r="DA191" s="51"/>
      <c r="DB191" s="51"/>
      <c r="DC191" s="51"/>
      <c r="DD191" s="51"/>
      <c r="DE191" s="51"/>
      <c r="DF191" s="51"/>
      <c r="DG191" s="51"/>
      <c r="DH191" s="51"/>
      <c r="DI191" s="51"/>
      <c r="DJ191" s="51"/>
      <c r="DK191" s="51"/>
      <c r="DL191" s="51"/>
      <c r="DM191" s="51"/>
      <c r="DN191" s="51"/>
      <c r="DO191" s="51"/>
      <c r="DP191" s="51"/>
      <c r="DQ191" s="51"/>
      <c r="DR191" s="51"/>
      <c r="DS191" s="51"/>
      <c r="DT191" s="51"/>
      <c r="DU191" s="51"/>
      <c r="DV191" s="51"/>
      <c r="DW191" s="51"/>
      <c r="DX191" s="51"/>
      <c r="DY191" s="51"/>
      <c r="DZ191" s="51"/>
      <c r="EA191" s="51"/>
      <c r="EB191" s="51"/>
      <c r="EC191" s="51"/>
      <c r="ED191" s="51"/>
      <c r="EE191" s="51"/>
      <c r="EF191" s="51"/>
      <c r="EG191" s="51"/>
      <c r="EH191" s="51"/>
      <c r="EI191" s="51"/>
      <c r="EJ191" s="51"/>
    </row>
    <row r="192" spans="3:140">
      <c r="C192" s="19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1"/>
      <c r="AG192" s="51"/>
      <c r="AH192" s="51"/>
      <c r="AI192" s="51"/>
      <c r="AJ192" s="51"/>
      <c r="AK192" s="51"/>
      <c r="AL192" s="51"/>
      <c r="AM192" s="51"/>
      <c r="AN192" s="51"/>
      <c r="AO192" s="51"/>
      <c r="AP192" s="51"/>
      <c r="AQ192" s="51"/>
      <c r="AR192" s="51"/>
      <c r="AS192" s="51"/>
      <c r="AT192" s="51"/>
      <c r="AU192" s="51"/>
      <c r="AV192" s="51"/>
      <c r="AW192" s="51"/>
      <c r="AX192" s="51"/>
      <c r="AY192" s="51"/>
      <c r="AZ192" s="51"/>
      <c r="BA192" s="51"/>
      <c r="BB192" s="51"/>
      <c r="BC192" s="51"/>
      <c r="BD192" s="51"/>
      <c r="BE192" s="51"/>
      <c r="BF192" s="51"/>
      <c r="BG192" s="51"/>
      <c r="BH192" s="51"/>
      <c r="BI192" s="51"/>
      <c r="BJ192" s="51"/>
      <c r="BK192" s="51"/>
      <c r="BL192" s="51"/>
      <c r="BM192" s="51"/>
      <c r="BN192" s="51"/>
      <c r="BO192" s="51"/>
      <c r="BP192" s="51"/>
      <c r="BQ192" s="51"/>
      <c r="BR192" s="51"/>
      <c r="BS192" s="51"/>
      <c r="BT192" s="51"/>
      <c r="BU192" s="51"/>
      <c r="BV192" s="51"/>
      <c r="BW192" s="51"/>
      <c r="BX192" s="51"/>
      <c r="BY192" s="51"/>
      <c r="BZ192" s="51"/>
      <c r="CA192" s="51"/>
      <c r="CB192" s="51"/>
      <c r="CC192" s="51"/>
      <c r="CD192" s="51"/>
      <c r="CE192" s="51"/>
      <c r="CF192" s="51"/>
      <c r="CG192" s="51"/>
      <c r="CH192" s="51"/>
      <c r="CI192" s="51"/>
      <c r="CJ192" s="51"/>
      <c r="CK192" s="51"/>
      <c r="CL192" s="51"/>
      <c r="CM192" s="51"/>
      <c r="CN192" s="51"/>
      <c r="CO192" s="51"/>
      <c r="CP192" s="51"/>
      <c r="CQ192" s="51"/>
      <c r="CR192" s="51"/>
      <c r="CS192" s="51"/>
      <c r="CT192" s="51"/>
      <c r="CU192" s="51"/>
      <c r="CV192" s="51"/>
      <c r="CW192" s="51"/>
      <c r="CX192" s="51"/>
      <c r="CY192" s="51"/>
      <c r="CZ192" s="51"/>
      <c r="DA192" s="51"/>
      <c r="DB192" s="51"/>
      <c r="DC192" s="51"/>
      <c r="DD192" s="51"/>
      <c r="DE192" s="51"/>
      <c r="DF192" s="51"/>
      <c r="DG192" s="51"/>
      <c r="DH192" s="51"/>
      <c r="DI192" s="51"/>
      <c r="DJ192" s="51"/>
      <c r="DK192" s="51"/>
      <c r="DL192" s="51"/>
      <c r="DM192" s="51"/>
      <c r="DN192" s="51"/>
      <c r="DO192" s="51"/>
      <c r="DP192" s="51"/>
      <c r="DQ192" s="51"/>
      <c r="DR192" s="51"/>
      <c r="DS192" s="51"/>
      <c r="DT192" s="51"/>
      <c r="DU192" s="51"/>
      <c r="DV192" s="51"/>
      <c r="DW192" s="51"/>
      <c r="DX192" s="51"/>
      <c r="DY192" s="51"/>
      <c r="DZ192" s="51"/>
      <c r="EA192" s="51"/>
      <c r="EB192" s="51"/>
      <c r="EC192" s="51"/>
      <c r="ED192" s="51"/>
      <c r="EE192" s="51"/>
      <c r="EF192" s="51"/>
      <c r="EG192" s="51"/>
      <c r="EH192" s="51"/>
      <c r="EI192" s="51"/>
      <c r="EJ192" s="51"/>
    </row>
    <row r="193" spans="3:140">
      <c r="C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1"/>
      <c r="AG193" s="51"/>
      <c r="AH193" s="51"/>
      <c r="AI193" s="51"/>
      <c r="AJ193" s="51"/>
      <c r="AK193" s="51"/>
      <c r="AL193" s="51"/>
      <c r="AM193" s="51"/>
      <c r="AN193" s="51"/>
      <c r="AO193" s="51"/>
      <c r="AP193" s="51"/>
      <c r="AQ193" s="51"/>
      <c r="AR193" s="51"/>
      <c r="AS193" s="51"/>
      <c r="AT193" s="51"/>
      <c r="AU193" s="51"/>
      <c r="AV193" s="51"/>
      <c r="AW193" s="51"/>
      <c r="AX193" s="51"/>
      <c r="AY193" s="51"/>
      <c r="AZ193" s="51"/>
      <c r="BA193" s="51"/>
      <c r="BB193" s="51"/>
      <c r="BC193" s="51"/>
      <c r="BD193" s="51"/>
      <c r="BE193" s="51"/>
      <c r="BF193" s="51"/>
      <c r="BG193" s="51"/>
      <c r="BH193" s="51"/>
      <c r="BI193" s="51"/>
      <c r="BJ193" s="51"/>
      <c r="BK193" s="51"/>
      <c r="BL193" s="51"/>
      <c r="BM193" s="51"/>
      <c r="BN193" s="51"/>
      <c r="BO193" s="51"/>
      <c r="BP193" s="51"/>
      <c r="BQ193" s="51"/>
      <c r="BR193" s="51"/>
      <c r="BS193" s="51"/>
      <c r="BT193" s="51"/>
      <c r="BU193" s="51"/>
      <c r="BV193" s="51"/>
      <c r="BW193" s="51"/>
      <c r="BX193" s="51"/>
      <c r="BY193" s="51"/>
      <c r="BZ193" s="51"/>
      <c r="CA193" s="51"/>
      <c r="CB193" s="51"/>
      <c r="CC193" s="51"/>
      <c r="CD193" s="51"/>
      <c r="CE193" s="51"/>
      <c r="CF193" s="51"/>
      <c r="CG193" s="51"/>
      <c r="CH193" s="51"/>
      <c r="CI193" s="51"/>
      <c r="CJ193" s="51"/>
      <c r="CK193" s="51"/>
      <c r="CL193" s="51"/>
      <c r="CM193" s="51"/>
      <c r="CN193" s="51"/>
      <c r="CO193" s="51"/>
      <c r="CP193" s="51"/>
      <c r="CQ193" s="51"/>
      <c r="CR193" s="51"/>
      <c r="CS193" s="51"/>
      <c r="CT193" s="51"/>
      <c r="CU193" s="51"/>
      <c r="CV193" s="51"/>
      <c r="CW193" s="51"/>
      <c r="CX193" s="51"/>
      <c r="CY193" s="51"/>
      <c r="CZ193" s="51"/>
      <c r="DA193" s="51"/>
      <c r="DB193" s="51"/>
      <c r="DC193" s="51"/>
      <c r="DD193" s="51"/>
      <c r="DE193" s="51"/>
      <c r="DF193" s="51"/>
      <c r="DG193" s="51"/>
      <c r="DH193" s="51"/>
      <c r="DI193" s="51"/>
      <c r="DJ193" s="51"/>
      <c r="DK193" s="51"/>
      <c r="DL193" s="51"/>
      <c r="DM193" s="51"/>
      <c r="DN193" s="51"/>
      <c r="DO193" s="51"/>
      <c r="DP193" s="51"/>
      <c r="DQ193" s="51"/>
      <c r="DR193" s="51"/>
      <c r="DS193" s="51"/>
      <c r="DT193" s="51"/>
      <c r="DU193" s="51"/>
      <c r="DV193" s="51"/>
      <c r="DW193" s="51"/>
      <c r="DX193" s="51"/>
      <c r="DY193" s="51"/>
      <c r="DZ193" s="51"/>
      <c r="EA193" s="51"/>
      <c r="EB193" s="51"/>
      <c r="EC193" s="51"/>
      <c r="ED193" s="51"/>
      <c r="EE193" s="51"/>
      <c r="EF193" s="51"/>
      <c r="EG193" s="51"/>
      <c r="EH193" s="51"/>
      <c r="EI193" s="51"/>
      <c r="EJ193" s="51"/>
    </row>
    <row r="194" spans="3:140">
      <c r="C194" s="19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1"/>
      <c r="AI194" s="51"/>
      <c r="AJ194" s="51"/>
      <c r="AK194" s="51"/>
      <c r="AL194" s="51"/>
      <c r="AM194" s="51"/>
      <c r="AN194" s="51"/>
      <c r="AO194" s="51"/>
      <c r="AP194" s="51"/>
      <c r="AQ194" s="51"/>
      <c r="AR194" s="51"/>
      <c r="AS194" s="51"/>
      <c r="AT194" s="51"/>
      <c r="AU194" s="51"/>
      <c r="AV194" s="51"/>
      <c r="AW194" s="51"/>
      <c r="AX194" s="51"/>
      <c r="AY194" s="51"/>
      <c r="AZ194" s="51"/>
      <c r="BA194" s="51"/>
      <c r="BB194" s="51"/>
      <c r="BC194" s="51"/>
      <c r="BD194" s="51"/>
      <c r="BE194" s="51"/>
      <c r="BF194" s="51"/>
      <c r="BG194" s="51"/>
      <c r="BH194" s="51"/>
      <c r="BI194" s="51"/>
      <c r="BJ194" s="51"/>
      <c r="BK194" s="51"/>
      <c r="BL194" s="51"/>
      <c r="BM194" s="51"/>
      <c r="BN194" s="51"/>
      <c r="BO194" s="51"/>
      <c r="BP194" s="51"/>
      <c r="BQ194" s="51"/>
      <c r="BR194" s="51"/>
      <c r="BS194" s="51"/>
      <c r="BT194" s="51"/>
      <c r="BU194" s="51"/>
      <c r="BV194" s="51"/>
      <c r="BW194" s="51"/>
      <c r="BX194" s="51"/>
      <c r="BY194" s="51"/>
      <c r="BZ194" s="51"/>
      <c r="CA194" s="51"/>
      <c r="CB194" s="51"/>
      <c r="CC194" s="51"/>
      <c r="CD194" s="51"/>
      <c r="CE194" s="51"/>
      <c r="CF194" s="51"/>
      <c r="CG194" s="51"/>
      <c r="CH194" s="51"/>
      <c r="CI194" s="51"/>
      <c r="CJ194" s="51"/>
      <c r="CK194" s="51"/>
      <c r="CL194" s="51"/>
      <c r="CM194" s="51"/>
      <c r="CN194" s="51"/>
      <c r="CO194" s="51"/>
      <c r="CP194" s="51"/>
      <c r="CQ194" s="51"/>
      <c r="CR194" s="51"/>
      <c r="CS194" s="51"/>
      <c r="CT194" s="51"/>
      <c r="CU194" s="51"/>
      <c r="CV194" s="51"/>
      <c r="CW194" s="51"/>
      <c r="CX194" s="51"/>
      <c r="CY194" s="51"/>
      <c r="CZ194" s="51"/>
      <c r="DA194" s="51"/>
      <c r="DB194" s="51"/>
      <c r="DC194" s="51"/>
      <c r="DD194" s="51"/>
      <c r="DE194" s="51"/>
      <c r="DF194" s="51"/>
      <c r="DG194" s="51"/>
      <c r="DH194" s="51"/>
      <c r="DI194" s="51"/>
      <c r="DJ194" s="51"/>
      <c r="DK194" s="51"/>
      <c r="DL194" s="51"/>
      <c r="DM194" s="51"/>
      <c r="DN194" s="51"/>
      <c r="DO194" s="51"/>
      <c r="DP194" s="51"/>
      <c r="DQ194" s="51"/>
      <c r="DR194" s="51"/>
      <c r="DS194" s="51"/>
      <c r="DT194" s="51"/>
      <c r="DU194" s="51"/>
      <c r="DV194" s="51"/>
      <c r="DW194" s="51"/>
      <c r="DX194" s="51"/>
      <c r="DY194" s="51"/>
      <c r="DZ194" s="51"/>
      <c r="EA194" s="51"/>
      <c r="EB194" s="51"/>
      <c r="EC194" s="51"/>
      <c r="ED194" s="51"/>
      <c r="EE194" s="51"/>
      <c r="EF194" s="51"/>
      <c r="EG194" s="51"/>
      <c r="EH194" s="51"/>
      <c r="EI194" s="51"/>
      <c r="EJ194" s="51"/>
    </row>
    <row r="195" spans="3:140">
      <c r="C195" s="19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1"/>
      <c r="AI195" s="51"/>
      <c r="AJ195" s="51"/>
      <c r="AK195" s="51"/>
      <c r="AL195" s="51"/>
      <c r="AM195" s="51"/>
      <c r="AN195" s="51"/>
      <c r="AO195" s="51"/>
      <c r="AP195" s="51"/>
      <c r="AQ195" s="51"/>
      <c r="AR195" s="51"/>
      <c r="AS195" s="51"/>
      <c r="AT195" s="51"/>
      <c r="AU195" s="51"/>
      <c r="AV195" s="51"/>
      <c r="AW195" s="51"/>
      <c r="AX195" s="51"/>
      <c r="AY195" s="51"/>
      <c r="AZ195" s="51"/>
      <c r="BA195" s="51"/>
      <c r="BB195" s="51"/>
      <c r="BC195" s="51"/>
      <c r="BD195" s="51"/>
      <c r="BE195" s="51"/>
      <c r="BF195" s="51"/>
      <c r="BG195" s="51"/>
      <c r="BH195" s="51"/>
      <c r="BI195" s="51"/>
      <c r="BJ195" s="51"/>
      <c r="BK195" s="51"/>
      <c r="BL195" s="51"/>
      <c r="BM195" s="51"/>
      <c r="BN195" s="51"/>
      <c r="BO195" s="51"/>
      <c r="BP195" s="51"/>
      <c r="BQ195" s="51"/>
      <c r="BR195" s="51"/>
      <c r="BS195" s="51"/>
      <c r="BT195" s="51"/>
      <c r="BU195" s="51"/>
      <c r="BV195" s="51"/>
      <c r="BW195" s="51"/>
      <c r="BX195" s="51"/>
      <c r="BY195" s="51"/>
      <c r="BZ195" s="51"/>
      <c r="CA195" s="51"/>
      <c r="CB195" s="51"/>
      <c r="CC195" s="51"/>
      <c r="CD195" s="51"/>
      <c r="CE195" s="51"/>
      <c r="CF195" s="51"/>
      <c r="CG195" s="51"/>
      <c r="CH195" s="51"/>
      <c r="CI195" s="51"/>
      <c r="CJ195" s="51"/>
      <c r="CK195" s="51"/>
      <c r="CL195" s="51"/>
      <c r="CM195" s="51"/>
      <c r="CN195" s="51"/>
      <c r="CO195" s="51"/>
      <c r="CP195" s="51"/>
      <c r="CQ195" s="51"/>
      <c r="CR195" s="51"/>
      <c r="CS195" s="51"/>
      <c r="CT195" s="51"/>
      <c r="CU195" s="51"/>
      <c r="CV195" s="51"/>
      <c r="CW195" s="51"/>
      <c r="CX195" s="51"/>
      <c r="CY195" s="51"/>
      <c r="CZ195" s="51"/>
      <c r="DA195" s="51"/>
      <c r="DB195" s="51"/>
      <c r="DC195" s="51"/>
      <c r="DD195" s="51"/>
      <c r="DE195" s="51"/>
      <c r="DF195" s="51"/>
      <c r="DG195" s="51"/>
      <c r="DH195" s="51"/>
      <c r="DI195" s="51"/>
      <c r="DJ195" s="51"/>
      <c r="DK195" s="51"/>
      <c r="DL195" s="51"/>
      <c r="DM195" s="51"/>
      <c r="DN195" s="51"/>
      <c r="DO195" s="51"/>
      <c r="DP195" s="51"/>
      <c r="DQ195" s="51"/>
      <c r="DR195" s="51"/>
      <c r="DS195" s="51"/>
      <c r="DT195" s="51"/>
      <c r="DU195" s="51"/>
      <c r="DV195" s="51"/>
      <c r="DW195" s="51"/>
      <c r="DX195" s="51"/>
      <c r="DY195" s="51"/>
      <c r="DZ195" s="51"/>
      <c r="EA195" s="51"/>
      <c r="EB195" s="51"/>
      <c r="EC195" s="51"/>
      <c r="ED195" s="51"/>
      <c r="EE195" s="51"/>
      <c r="EF195" s="51"/>
      <c r="EG195" s="51"/>
      <c r="EH195" s="51"/>
      <c r="EI195" s="51"/>
      <c r="EJ195" s="51"/>
    </row>
    <row r="196" spans="3:140">
      <c r="C196" s="19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V196" s="51"/>
      <c r="W196" s="51"/>
      <c r="X196" s="51"/>
      <c r="Y196" s="51"/>
      <c r="Z196" s="51"/>
      <c r="AA196" s="51"/>
      <c r="AB196" s="51"/>
      <c r="AC196" s="51"/>
      <c r="AD196" s="51"/>
      <c r="AE196" s="51"/>
      <c r="AF196" s="51"/>
      <c r="AG196" s="51"/>
      <c r="AH196" s="51"/>
      <c r="AI196" s="51"/>
      <c r="AJ196" s="51"/>
      <c r="AK196" s="51"/>
      <c r="AL196" s="51"/>
      <c r="AM196" s="51"/>
      <c r="AN196" s="51"/>
      <c r="AO196" s="51"/>
      <c r="AP196" s="51"/>
      <c r="AQ196" s="51"/>
      <c r="AR196" s="51"/>
      <c r="AS196" s="51"/>
      <c r="AT196" s="51"/>
      <c r="AU196" s="51"/>
      <c r="AV196" s="51"/>
      <c r="AW196" s="51"/>
      <c r="AX196" s="51"/>
      <c r="AY196" s="51"/>
      <c r="AZ196" s="51"/>
      <c r="BA196" s="51"/>
      <c r="BB196" s="51"/>
      <c r="BC196" s="51"/>
      <c r="BD196" s="51"/>
      <c r="BE196" s="51"/>
      <c r="BF196" s="51"/>
      <c r="BG196" s="51"/>
      <c r="BH196" s="51"/>
      <c r="BI196" s="51"/>
      <c r="BJ196" s="51"/>
      <c r="BK196" s="51"/>
      <c r="BL196" s="51"/>
      <c r="BM196" s="51"/>
      <c r="BN196" s="51"/>
      <c r="BO196" s="51"/>
      <c r="BP196" s="51"/>
      <c r="BQ196" s="51"/>
      <c r="BR196" s="51"/>
      <c r="BS196" s="51"/>
      <c r="BT196" s="51"/>
      <c r="BU196" s="51"/>
      <c r="BV196" s="51"/>
      <c r="BW196" s="51"/>
      <c r="BX196" s="51"/>
      <c r="BY196" s="51"/>
      <c r="BZ196" s="51"/>
      <c r="CA196" s="51"/>
      <c r="CB196" s="51"/>
      <c r="CC196" s="51"/>
      <c r="CD196" s="51"/>
      <c r="CE196" s="51"/>
      <c r="CF196" s="51"/>
      <c r="CG196" s="51"/>
      <c r="CH196" s="51"/>
      <c r="CI196" s="51"/>
      <c r="CJ196" s="51"/>
      <c r="CK196" s="51"/>
      <c r="CL196" s="51"/>
      <c r="CM196" s="51"/>
      <c r="CN196" s="51"/>
      <c r="CO196" s="51"/>
      <c r="CP196" s="51"/>
      <c r="CQ196" s="51"/>
      <c r="CR196" s="51"/>
      <c r="CS196" s="51"/>
      <c r="CT196" s="51"/>
      <c r="CU196" s="51"/>
      <c r="CV196" s="51"/>
      <c r="CW196" s="51"/>
      <c r="CX196" s="51"/>
      <c r="CY196" s="51"/>
      <c r="CZ196" s="51"/>
      <c r="DA196" s="51"/>
      <c r="DB196" s="51"/>
      <c r="DC196" s="51"/>
      <c r="DD196" s="51"/>
      <c r="DE196" s="51"/>
      <c r="DF196" s="51"/>
      <c r="DG196" s="51"/>
      <c r="DH196" s="51"/>
      <c r="DI196" s="51"/>
      <c r="DJ196" s="51"/>
      <c r="DK196" s="51"/>
      <c r="DL196" s="51"/>
      <c r="DM196" s="51"/>
      <c r="DN196" s="51"/>
      <c r="DO196" s="51"/>
      <c r="DP196" s="51"/>
      <c r="DQ196" s="51"/>
      <c r="DR196" s="51"/>
      <c r="DS196" s="51"/>
      <c r="DT196" s="51"/>
      <c r="DU196" s="51"/>
      <c r="DV196" s="51"/>
      <c r="DW196" s="51"/>
      <c r="DX196" s="51"/>
      <c r="DY196" s="51"/>
      <c r="DZ196" s="51"/>
      <c r="EA196" s="51"/>
      <c r="EB196" s="51"/>
      <c r="EC196" s="51"/>
      <c r="ED196" s="51"/>
      <c r="EE196" s="51"/>
      <c r="EF196" s="51"/>
      <c r="EG196" s="51"/>
      <c r="EH196" s="51"/>
      <c r="EI196" s="51"/>
      <c r="EJ196" s="51"/>
    </row>
    <row r="197" spans="3:140">
      <c r="C197" s="19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V197" s="51"/>
      <c r="W197" s="51"/>
      <c r="X197" s="51"/>
      <c r="Y197" s="51"/>
      <c r="Z197" s="51"/>
      <c r="AA197" s="51"/>
      <c r="AB197" s="51"/>
      <c r="AC197" s="51"/>
      <c r="AD197" s="51"/>
      <c r="AE197" s="51"/>
      <c r="AF197" s="51"/>
      <c r="AG197" s="51"/>
      <c r="AH197" s="51"/>
      <c r="AI197" s="51"/>
      <c r="AJ197" s="51"/>
      <c r="AK197" s="51"/>
      <c r="AL197" s="51"/>
      <c r="AM197" s="51"/>
      <c r="AN197" s="51"/>
      <c r="AO197" s="51"/>
      <c r="AP197" s="51"/>
      <c r="AQ197" s="51"/>
      <c r="AR197" s="51"/>
      <c r="AS197" s="51"/>
      <c r="AT197" s="51"/>
      <c r="AU197" s="51"/>
      <c r="AV197" s="51"/>
      <c r="AW197" s="51"/>
      <c r="AX197" s="51"/>
      <c r="AY197" s="51"/>
      <c r="AZ197" s="51"/>
      <c r="BA197" s="51"/>
      <c r="BB197" s="51"/>
      <c r="BC197" s="51"/>
      <c r="BD197" s="51"/>
      <c r="BE197" s="51"/>
      <c r="BF197" s="51"/>
      <c r="BG197" s="51"/>
      <c r="BH197" s="51"/>
      <c r="BI197" s="51"/>
      <c r="BJ197" s="51"/>
      <c r="BK197" s="51"/>
      <c r="BL197" s="51"/>
      <c r="BM197" s="51"/>
      <c r="BN197" s="51"/>
      <c r="BO197" s="51"/>
      <c r="BP197" s="51"/>
      <c r="BQ197" s="51"/>
      <c r="BR197" s="51"/>
      <c r="BS197" s="51"/>
      <c r="BT197" s="51"/>
      <c r="BU197" s="51"/>
      <c r="BV197" s="51"/>
      <c r="BW197" s="51"/>
      <c r="BX197" s="51"/>
      <c r="BY197" s="51"/>
      <c r="BZ197" s="51"/>
      <c r="CA197" s="51"/>
      <c r="CB197" s="51"/>
      <c r="CC197" s="51"/>
      <c r="CD197" s="51"/>
      <c r="CE197" s="51"/>
      <c r="CF197" s="51"/>
      <c r="CG197" s="51"/>
      <c r="CH197" s="51"/>
      <c r="CI197" s="51"/>
      <c r="CJ197" s="51"/>
      <c r="CK197" s="51"/>
      <c r="CL197" s="51"/>
      <c r="CM197" s="51"/>
      <c r="CN197" s="51"/>
      <c r="CO197" s="51"/>
      <c r="CP197" s="51"/>
      <c r="CQ197" s="51"/>
      <c r="CR197" s="51"/>
      <c r="CS197" s="51"/>
      <c r="CT197" s="51"/>
      <c r="CU197" s="51"/>
      <c r="CV197" s="51"/>
      <c r="CW197" s="51"/>
      <c r="CX197" s="51"/>
      <c r="CY197" s="51"/>
      <c r="CZ197" s="51"/>
      <c r="DA197" s="51"/>
      <c r="DB197" s="51"/>
      <c r="DC197" s="51"/>
      <c r="DD197" s="51"/>
      <c r="DE197" s="51"/>
      <c r="DF197" s="51"/>
      <c r="DG197" s="51"/>
      <c r="DH197" s="51"/>
      <c r="DI197" s="51"/>
      <c r="DJ197" s="51"/>
      <c r="DK197" s="51"/>
      <c r="DL197" s="51"/>
      <c r="DM197" s="51"/>
      <c r="DN197" s="51"/>
      <c r="DO197" s="51"/>
      <c r="DP197" s="51"/>
      <c r="DQ197" s="51"/>
      <c r="DR197" s="51"/>
      <c r="DS197" s="51"/>
      <c r="DT197" s="51"/>
      <c r="DU197" s="51"/>
      <c r="DV197" s="51"/>
      <c r="DW197" s="51"/>
      <c r="DX197" s="51"/>
      <c r="DY197" s="51"/>
      <c r="DZ197" s="51"/>
      <c r="EA197" s="51"/>
      <c r="EB197" s="51"/>
      <c r="EC197" s="51"/>
      <c r="ED197" s="51"/>
      <c r="EE197" s="51"/>
      <c r="EF197" s="51"/>
      <c r="EG197" s="51"/>
      <c r="EH197" s="51"/>
      <c r="EI197" s="51"/>
      <c r="EJ197" s="51"/>
    </row>
    <row r="198" spans="3:140">
      <c r="C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/>
      <c r="AG198" s="51"/>
      <c r="AH198" s="51"/>
      <c r="AI198" s="51"/>
      <c r="AJ198" s="51"/>
      <c r="AK198" s="51"/>
      <c r="AL198" s="51"/>
      <c r="AM198" s="51"/>
      <c r="AN198" s="51"/>
      <c r="AO198" s="51"/>
      <c r="AP198" s="51"/>
      <c r="AQ198" s="51"/>
      <c r="AR198" s="51"/>
      <c r="AS198" s="51"/>
      <c r="AT198" s="51"/>
      <c r="AU198" s="51"/>
      <c r="AV198" s="51"/>
      <c r="AW198" s="51"/>
      <c r="AX198" s="51"/>
      <c r="AY198" s="51"/>
      <c r="AZ198" s="51"/>
      <c r="BA198" s="51"/>
      <c r="BB198" s="51"/>
      <c r="BC198" s="51"/>
      <c r="BD198" s="51"/>
      <c r="BE198" s="51"/>
      <c r="BF198" s="51"/>
      <c r="BG198" s="51"/>
      <c r="BH198" s="51"/>
      <c r="BI198" s="51"/>
      <c r="BJ198" s="51"/>
      <c r="BK198" s="51"/>
      <c r="BL198" s="51"/>
      <c r="BM198" s="51"/>
      <c r="BN198" s="51"/>
      <c r="BO198" s="51"/>
      <c r="BP198" s="51"/>
      <c r="BQ198" s="51"/>
      <c r="BR198" s="51"/>
      <c r="BS198" s="51"/>
      <c r="BT198" s="51"/>
      <c r="BU198" s="51"/>
      <c r="BV198" s="51"/>
      <c r="BW198" s="51"/>
      <c r="BX198" s="51"/>
      <c r="BY198" s="51"/>
      <c r="BZ198" s="51"/>
      <c r="CA198" s="51"/>
      <c r="CB198" s="51"/>
      <c r="CC198" s="51"/>
      <c r="CD198" s="51"/>
      <c r="CE198" s="51"/>
      <c r="CF198" s="51"/>
      <c r="CG198" s="51"/>
      <c r="CH198" s="51"/>
      <c r="CI198" s="51"/>
      <c r="CJ198" s="51"/>
      <c r="CK198" s="51"/>
      <c r="CL198" s="51"/>
      <c r="CM198" s="51"/>
      <c r="CN198" s="51"/>
      <c r="CO198" s="51"/>
      <c r="CP198" s="51"/>
      <c r="CQ198" s="51"/>
      <c r="CR198" s="51"/>
      <c r="CS198" s="51"/>
      <c r="CT198" s="51"/>
      <c r="CU198" s="51"/>
      <c r="CV198" s="51"/>
      <c r="CW198" s="51"/>
      <c r="CX198" s="51"/>
      <c r="CY198" s="51"/>
      <c r="CZ198" s="51"/>
      <c r="DA198" s="51"/>
      <c r="DB198" s="51"/>
      <c r="DC198" s="51"/>
      <c r="DD198" s="51"/>
      <c r="DE198" s="51"/>
      <c r="DF198" s="51"/>
      <c r="DG198" s="51"/>
      <c r="DH198" s="51"/>
      <c r="DI198" s="51"/>
      <c r="DJ198" s="51"/>
      <c r="DK198" s="51"/>
      <c r="DL198" s="51"/>
      <c r="DM198" s="51"/>
      <c r="DN198" s="51"/>
      <c r="DO198" s="51"/>
      <c r="DP198" s="51"/>
      <c r="DQ198" s="51"/>
      <c r="DR198" s="51"/>
      <c r="DS198" s="51"/>
      <c r="DT198" s="51"/>
      <c r="DU198" s="51"/>
      <c r="DV198" s="51"/>
      <c r="DW198" s="51"/>
      <c r="DX198" s="51"/>
      <c r="DY198" s="51"/>
      <c r="DZ198" s="51"/>
      <c r="EA198" s="51"/>
      <c r="EB198" s="51"/>
      <c r="EC198" s="51"/>
      <c r="ED198" s="51"/>
      <c r="EE198" s="51"/>
      <c r="EF198" s="51"/>
      <c r="EG198" s="51"/>
      <c r="EH198" s="51"/>
      <c r="EI198" s="51"/>
      <c r="EJ198" s="51"/>
    </row>
    <row r="199" spans="3:140">
      <c r="C199" s="19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1"/>
      <c r="AI199" s="51"/>
      <c r="AJ199" s="51"/>
      <c r="AK199" s="51"/>
      <c r="AL199" s="51"/>
      <c r="AM199" s="51"/>
      <c r="AN199" s="51"/>
      <c r="AO199" s="51"/>
      <c r="AP199" s="51"/>
      <c r="AQ199" s="51"/>
      <c r="AR199" s="51"/>
      <c r="AS199" s="51"/>
      <c r="AT199" s="51"/>
      <c r="AU199" s="51"/>
      <c r="AV199" s="51"/>
      <c r="AW199" s="51"/>
      <c r="AX199" s="51"/>
      <c r="AY199" s="51"/>
      <c r="AZ199" s="51"/>
      <c r="BA199" s="51"/>
      <c r="BB199" s="51"/>
      <c r="BC199" s="51"/>
      <c r="BD199" s="51"/>
      <c r="BE199" s="51"/>
      <c r="BF199" s="51"/>
      <c r="BG199" s="51"/>
      <c r="BH199" s="51"/>
      <c r="BI199" s="51"/>
      <c r="BJ199" s="51"/>
      <c r="BK199" s="51"/>
      <c r="BL199" s="51"/>
      <c r="BM199" s="51"/>
      <c r="BN199" s="51"/>
      <c r="BO199" s="51"/>
      <c r="BP199" s="51"/>
      <c r="BQ199" s="51"/>
      <c r="BR199" s="51"/>
      <c r="BS199" s="51"/>
      <c r="BT199" s="51"/>
      <c r="BU199" s="51"/>
      <c r="BV199" s="51"/>
      <c r="BW199" s="51"/>
      <c r="BX199" s="51"/>
      <c r="BY199" s="51"/>
      <c r="BZ199" s="51"/>
      <c r="CA199" s="51"/>
      <c r="CB199" s="51"/>
      <c r="CC199" s="51"/>
      <c r="CD199" s="51"/>
      <c r="CE199" s="51"/>
      <c r="CF199" s="51"/>
      <c r="CG199" s="51"/>
      <c r="CH199" s="51"/>
      <c r="CI199" s="51"/>
      <c r="CJ199" s="51"/>
      <c r="CK199" s="51"/>
      <c r="CL199" s="51"/>
      <c r="CM199" s="51"/>
      <c r="CN199" s="51"/>
      <c r="CO199" s="51"/>
      <c r="CP199" s="51"/>
      <c r="CQ199" s="51"/>
      <c r="CR199" s="51"/>
      <c r="CS199" s="51"/>
      <c r="CT199" s="51"/>
      <c r="CU199" s="51"/>
      <c r="CV199" s="51"/>
      <c r="CW199" s="51"/>
      <c r="CX199" s="51"/>
      <c r="CY199" s="51"/>
      <c r="CZ199" s="51"/>
      <c r="DA199" s="51"/>
      <c r="DB199" s="51"/>
      <c r="DC199" s="51"/>
      <c r="DD199" s="51"/>
      <c r="DE199" s="51"/>
      <c r="DF199" s="51"/>
      <c r="DG199" s="51"/>
      <c r="DH199" s="51"/>
      <c r="DI199" s="51"/>
      <c r="DJ199" s="51"/>
      <c r="DK199" s="51"/>
      <c r="DL199" s="51"/>
      <c r="DM199" s="51"/>
      <c r="DN199" s="51"/>
      <c r="DO199" s="51"/>
      <c r="DP199" s="51"/>
      <c r="DQ199" s="51"/>
      <c r="DR199" s="51"/>
      <c r="DS199" s="51"/>
      <c r="DT199" s="51"/>
      <c r="DU199" s="51"/>
      <c r="DV199" s="51"/>
      <c r="DW199" s="51"/>
      <c r="DX199" s="51"/>
      <c r="DY199" s="51"/>
      <c r="DZ199" s="51"/>
      <c r="EA199" s="51"/>
      <c r="EB199" s="51"/>
      <c r="EC199" s="51"/>
      <c r="ED199" s="51"/>
      <c r="EE199" s="51"/>
      <c r="EF199" s="51"/>
      <c r="EG199" s="51"/>
      <c r="EH199" s="51"/>
      <c r="EI199" s="51"/>
      <c r="EJ199" s="51"/>
    </row>
    <row r="200" spans="3:140">
      <c r="C200" s="19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1"/>
      <c r="AI200" s="51"/>
      <c r="AJ200" s="51"/>
      <c r="AK200" s="51"/>
      <c r="AL200" s="51"/>
      <c r="AM200" s="51"/>
      <c r="AN200" s="51"/>
      <c r="AO200" s="51"/>
      <c r="AP200" s="51"/>
      <c r="AQ200" s="51"/>
      <c r="AR200" s="51"/>
      <c r="AS200" s="51"/>
      <c r="AT200" s="51"/>
      <c r="AU200" s="51"/>
      <c r="AV200" s="51"/>
      <c r="AW200" s="51"/>
      <c r="AX200" s="51"/>
      <c r="AY200" s="51"/>
      <c r="AZ200" s="51"/>
      <c r="BA200" s="51"/>
      <c r="BB200" s="51"/>
      <c r="BC200" s="51"/>
      <c r="BD200" s="51"/>
      <c r="BE200" s="51"/>
      <c r="BF200" s="51"/>
      <c r="BG200" s="51"/>
      <c r="BH200" s="51"/>
      <c r="BI200" s="51"/>
      <c r="BJ200" s="51"/>
      <c r="BK200" s="51"/>
      <c r="BL200" s="51"/>
      <c r="BM200" s="51"/>
      <c r="BN200" s="51"/>
      <c r="BO200" s="51"/>
      <c r="BP200" s="51"/>
      <c r="BQ200" s="51"/>
      <c r="BR200" s="51"/>
      <c r="BS200" s="51"/>
      <c r="BT200" s="51"/>
      <c r="BU200" s="51"/>
      <c r="BV200" s="51"/>
      <c r="BW200" s="51"/>
      <c r="BX200" s="51"/>
      <c r="BY200" s="51"/>
      <c r="BZ200" s="51"/>
      <c r="CA200" s="51"/>
      <c r="CB200" s="51"/>
      <c r="CC200" s="51"/>
      <c r="CD200" s="51"/>
      <c r="CE200" s="51"/>
      <c r="CF200" s="51"/>
      <c r="CG200" s="51"/>
      <c r="CH200" s="51"/>
      <c r="CI200" s="51"/>
      <c r="CJ200" s="51"/>
      <c r="CK200" s="51"/>
      <c r="CL200" s="51"/>
      <c r="CM200" s="51"/>
      <c r="CN200" s="51"/>
      <c r="CO200" s="51"/>
      <c r="CP200" s="51"/>
      <c r="CQ200" s="51"/>
      <c r="CR200" s="51"/>
      <c r="CS200" s="51"/>
      <c r="CT200" s="51"/>
      <c r="CU200" s="51"/>
      <c r="CV200" s="51"/>
      <c r="CW200" s="51"/>
      <c r="CX200" s="51"/>
      <c r="CY200" s="51"/>
      <c r="CZ200" s="51"/>
      <c r="DA200" s="51"/>
      <c r="DB200" s="51"/>
      <c r="DC200" s="51"/>
      <c r="DD200" s="51"/>
      <c r="DE200" s="51"/>
      <c r="DF200" s="51"/>
      <c r="DG200" s="51"/>
      <c r="DH200" s="51"/>
      <c r="DI200" s="51"/>
      <c r="DJ200" s="51"/>
      <c r="DK200" s="51"/>
      <c r="DL200" s="51"/>
      <c r="DM200" s="51"/>
      <c r="DN200" s="51"/>
      <c r="DO200" s="51"/>
      <c r="DP200" s="51"/>
      <c r="DQ200" s="51"/>
      <c r="DR200" s="51"/>
      <c r="DS200" s="51"/>
      <c r="DT200" s="51"/>
      <c r="DU200" s="51"/>
      <c r="DV200" s="51"/>
      <c r="DW200" s="51"/>
      <c r="DX200" s="51"/>
      <c r="DY200" s="51"/>
      <c r="DZ200" s="51"/>
      <c r="EA200" s="51"/>
      <c r="EB200" s="51"/>
      <c r="EC200" s="51"/>
      <c r="ED200" s="51"/>
      <c r="EE200" s="51"/>
      <c r="EF200" s="51"/>
      <c r="EG200" s="51"/>
      <c r="EH200" s="51"/>
      <c r="EI200" s="51"/>
      <c r="EJ200" s="51"/>
    </row>
    <row r="201" spans="3:140">
      <c r="C201" s="19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1"/>
      <c r="AI201" s="51"/>
      <c r="AJ201" s="51"/>
      <c r="AK201" s="51"/>
      <c r="AL201" s="51"/>
      <c r="AM201" s="51"/>
      <c r="AN201" s="51"/>
      <c r="AO201" s="51"/>
      <c r="AP201" s="51"/>
      <c r="AQ201" s="51"/>
      <c r="AR201" s="51"/>
      <c r="AS201" s="51"/>
      <c r="AT201" s="51"/>
      <c r="AU201" s="51"/>
      <c r="AV201" s="51"/>
      <c r="AW201" s="51"/>
      <c r="AX201" s="51"/>
      <c r="AY201" s="51"/>
      <c r="AZ201" s="51"/>
      <c r="BA201" s="51"/>
      <c r="BB201" s="51"/>
      <c r="BC201" s="51"/>
      <c r="BD201" s="51"/>
      <c r="BE201" s="51"/>
      <c r="BF201" s="51"/>
      <c r="BG201" s="51"/>
      <c r="BH201" s="51"/>
      <c r="BI201" s="51"/>
      <c r="BJ201" s="51"/>
      <c r="BK201" s="51"/>
      <c r="BL201" s="51"/>
      <c r="BM201" s="51"/>
      <c r="BN201" s="51"/>
      <c r="BO201" s="51"/>
      <c r="BP201" s="51"/>
      <c r="BQ201" s="51"/>
      <c r="BR201" s="51"/>
      <c r="BS201" s="51"/>
      <c r="BT201" s="51"/>
      <c r="BU201" s="51"/>
      <c r="BV201" s="51"/>
      <c r="BW201" s="51"/>
      <c r="BX201" s="51"/>
      <c r="BY201" s="51"/>
      <c r="BZ201" s="51"/>
      <c r="CA201" s="51"/>
      <c r="CB201" s="51"/>
      <c r="CC201" s="51"/>
      <c r="CD201" s="51"/>
      <c r="CE201" s="51"/>
      <c r="CF201" s="51"/>
      <c r="CG201" s="51"/>
      <c r="CH201" s="51"/>
      <c r="CI201" s="51"/>
      <c r="CJ201" s="51"/>
      <c r="CK201" s="51"/>
      <c r="CL201" s="51"/>
      <c r="CM201" s="51"/>
      <c r="CN201" s="51"/>
      <c r="CO201" s="51"/>
      <c r="CP201" s="51"/>
      <c r="CQ201" s="51"/>
      <c r="CR201" s="51"/>
      <c r="CS201" s="51"/>
      <c r="CT201" s="51"/>
      <c r="CU201" s="51"/>
      <c r="CV201" s="51"/>
      <c r="CW201" s="51"/>
      <c r="CX201" s="51"/>
      <c r="CY201" s="51"/>
      <c r="CZ201" s="51"/>
      <c r="DA201" s="51"/>
      <c r="DB201" s="51"/>
      <c r="DC201" s="51"/>
      <c r="DD201" s="51"/>
      <c r="DE201" s="51"/>
      <c r="DF201" s="51"/>
      <c r="DG201" s="51"/>
      <c r="DH201" s="51"/>
      <c r="DI201" s="51"/>
      <c r="DJ201" s="51"/>
      <c r="DK201" s="51"/>
      <c r="DL201" s="51"/>
      <c r="DM201" s="51"/>
      <c r="DN201" s="51"/>
      <c r="DO201" s="51"/>
      <c r="DP201" s="51"/>
      <c r="DQ201" s="51"/>
      <c r="DR201" s="51"/>
      <c r="DS201" s="51"/>
      <c r="DT201" s="51"/>
      <c r="DU201" s="51"/>
      <c r="DV201" s="51"/>
      <c r="DW201" s="51"/>
      <c r="DX201" s="51"/>
      <c r="DY201" s="51"/>
      <c r="DZ201" s="51"/>
      <c r="EA201" s="51"/>
      <c r="EB201" s="51"/>
      <c r="EC201" s="51"/>
      <c r="ED201" s="51"/>
      <c r="EE201" s="51"/>
      <c r="EF201" s="51"/>
      <c r="EG201" s="51"/>
      <c r="EH201" s="51"/>
      <c r="EI201" s="51"/>
      <c r="EJ201" s="51"/>
    </row>
    <row r="202" spans="3:140">
      <c r="C202" s="19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1"/>
      <c r="AI202" s="51"/>
      <c r="AJ202" s="51"/>
      <c r="AK202" s="51"/>
      <c r="AL202" s="51"/>
      <c r="AM202" s="51"/>
      <c r="AN202" s="51"/>
      <c r="AO202" s="51"/>
      <c r="AP202" s="51"/>
      <c r="AQ202" s="51"/>
      <c r="AR202" s="51"/>
      <c r="AS202" s="51"/>
      <c r="AT202" s="51"/>
      <c r="AU202" s="51"/>
      <c r="AV202" s="51"/>
      <c r="AW202" s="51"/>
      <c r="AX202" s="51"/>
      <c r="AY202" s="51"/>
      <c r="AZ202" s="51"/>
      <c r="BA202" s="51"/>
      <c r="BB202" s="51"/>
      <c r="BC202" s="51"/>
      <c r="BD202" s="51"/>
      <c r="BE202" s="51"/>
      <c r="BF202" s="51"/>
      <c r="BG202" s="51"/>
      <c r="BH202" s="51"/>
      <c r="BI202" s="51"/>
      <c r="BJ202" s="51"/>
      <c r="BK202" s="51"/>
      <c r="BL202" s="51"/>
      <c r="BM202" s="51"/>
      <c r="BN202" s="51"/>
      <c r="BO202" s="51"/>
      <c r="BP202" s="51"/>
      <c r="BQ202" s="51"/>
      <c r="BR202" s="51"/>
      <c r="BS202" s="51"/>
      <c r="BT202" s="51"/>
      <c r="BU202" s="51"/>
      <c r="BV202" s="51"/>
      <c r="BW202" s="51"/>
      <c r="BX202" s="51"/>
      <c r="BY202" s="51"/>
      <c r="BZ202" s="51"/>
      <c r="CA202" s="51"/>
      <c r="CB202" s="51"/>
      <c r="CC202" s="51"/>
      <c r="CD202" s="51"/>
      <c r="CE202" s="51"/>
      <c r="CF202" s="51"/>
      <c r="CG202" s="51"/>
      <c r="CH202" s="51"/>
      <c r="CI202" s="51"/>
      <c r="CJ202" s="51"/>
      <c r="CK202" s="51"/>
      <c r="CL202" s="51"/>
      <c r="CM202" s="51"/>
      <c r="CN202" s="51"/>
      <c r="CO202" s="51"/>
      <c r="CP202" s="51"/>
      <c r="CQ202" s="51"/>
      <c r="CR202" s="51"/>
      <c r="CS202" s="51"/>
      <c r="CT202" s="51"/>
      <c r="CU202" s="51"/>
      <c r="CV202" s="51"/>
      <c r="CW202" s="51"/>
      <c r="CX202" s="51"/>
      <c r="CY202" s="51"/>
      <c r="CZ202" s="51"/>
      <c r="DA202" s="51"/>
      <c r="DB202" s="51"/>
      <c r="DC202" s="51"/>
      <c r="DD202" s="51"/>
      <c r="DE202" s="51"/>
      <c r="DF202" s="51"/>
      <c r="DG202" s="51"/>
      <c r="DH202" s="51"/>
      <c r="DI202" s="51"/>
      <c r="DJ202" s="51"/>
      <c r="DK202" s="51"/>
      <c r="DL202" s="51"/>
      <c r="DM202" s="51"/>
      <c r="DN202" s="51"/>
      <c r="DO202" s="51"/>
      <c r="DP202" s="51"/>
      <c r="DQ202" s="51"/>
      <c r="DR202" s="51"/>
      <c r="DS202" s="51"/>
      <c r="DT202" s="51"/>
      <c r="DU202" s="51"/>
      <c r="DV202" s="51"/>
      <c r="DW202" s="51"/>
      <c r="DX202" s="51"/>
      <c r="DY202" s="51"/>
      <c r="DZ202" s="51"/>
      <c r="EA202" s="51"/>
      <c r="EB202" s="51"/>
      <c r="EC202" s="51"/>
      <c r="ED202" s="51"/>
      <c r="EE202" s="51"/>
      <c r="EF202" s="51"/>
      <c r="EG202" s="51"/>
      <c r="EH202" s="51"/>
      <c r="EI202" s="51"/>
      <c r="EJ202" s="51"/>
    </row>
    <row r="203" spans="3:140">
      <c r="C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1"/>
      <c r="AI203" s="51"/>
      <c r="AJ203" s="51"/>
      <c r="AK203" s="51"/>
      <c r="AL203" s="51"/>
      <c r="AM203" s="51"/>
      <c r="AN203" s="51"/>
      <c r="AO203" s="51"/>
      <c r="AP203" s="51"/>
      <c r="AQ203" s="51"/>
      <c r="AR203" s="51"/>
      <c r="AS203" s="51"/>
      <c r="AT203" s="51"/>
      <c r="AU203" s="51"/>
      <c r="AV203" s="51"/>
      <c r="AW203" s="51"/>
      <c r="AX203" s="51"/>
      <c r="AY203" s="51"/>
      <c r="AZ203" s="51"/>
      <c r="BA203" s="51"/>
      <c r="BB203" s="51"/>
      <c r="BC203" s="51"/>
      <c r="BD203" s="51"/>
      <c r="BE203" s="51"/>
      <c r="BF203" s="51"/>
      <c r="BG203" s="51"/>
      <c r="BH203" s="51"/>
      <c r="BI203" s="51"/>
      <c r="BJ203" s="51"/>
      <c r="BK203" s="51"/>
      <c r="BL203" s="51"/>
      <c r="BM203" s="51"/>
      <c r="BN203" s="51"/>
      <c r="BO203" s="51"/>
      <c r="BP203" s="51"/>
      <c r="BQ203" s="51"/>
      <c r="BR203" s="51"/>
      <c r="BS203" s="51"/>
      <c r="BT203" s="51"/>
      <c r="BU203" s="51"/>
      <c r="BV203" s="51"/>
      <c r="BW203" s="51"/>
      <c r="BX203" s="51"/>
      <c r="BY203" s="51"/>
      <c r="BZ203" s="51"/>
      <c r="CA203" s="51"/>
      <c r="CB203" s="51"/>
      <c r="CC203" s="51"/>
      <c r="CD203" s="51"/>
      <c r="CE203" s="51"/>
      <c r="CF203" s="51"/>
      <c r="CG203" s="51"/>
      <c r="CH203" s="51"/>
      <c r="CI203" s="51"/>
      <c r="CJ203" s="51"/>
      <c r="CK203" s="51"/>
      <c r="CL203" s="51"/>
      <c r="CM203" s="51"/>
      <c r="CN203" s="51"/>
      <c r="CO203" s="51"/>
      <c r="CP203" s="51"/>
      <c r="CQ203" s="51"/>
      <c r="CR203" s="51"/>
      <c r="CS203" s="51"/>
      <c r="CT203" s="51"/>
      <c r="CU203" s="51"/>
      <c r="CV203" s="51"/>
      <c r="CW203" s="51"/>
      <c r="CX203" s="51"/>
      <c r="CY203" s="51"/>
      <c r="CZ203" s="51"/>
      <c r="DA203" s="51"/>
      <c r="DB203" s="51"/>
      <c r="DC203" s="51"/>
      <c r="DD203" s="51"/>
      <c r="DE203" s="51"/>
      <c r="DF203" s="51"/>
      <c r="DG203" s="51"/>
      <c r="DH203" s="51"/>
      <c r="DI203" s="51"/>
      <c r="DJ203" s="51"/>
      <c r="DK203" s="51"/>
      <c r="DL203" s="51"/>
      <c r="DM203" s="51"/>
      <c r="DN203" s="51"/>
      <c r="DO203" s="51"/>
      <c r="DP203" s="51"/>
      <c r="DQ203" s="51"/>
      <c r="DR203" s="51"/>
      <c r="DS203" s="51"/>
      <c r="DT203" s="51"/>
      <c r="DU203" s="51"/>
      <c r="DV203" s="51"/>
      <c r="DW203" s="51"/>
      <c r="DX203" s="51"/>
      <c r="DY203" s="51"/>
      <c r="DZ203" s="51"/>
      <c r="EA203" s="51"/>
      <c r="EB203" s="51"/>
      <c r="EC203" s="51"/>
      <c r="ED203" s="51"/>
      <c r="EE203" s="51"/>
      <c r="EF203" s="51"/>
      <c r="EG203" s="51"/>
      <c r="EH203" s="51"/>
      <c r="EI203" s="51"/>
      <c r="EJ203" s="51"/>
    </row>
    <row r="204" spans="3:140">
      <c r="C204" s="19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1"/>
      <c r="AI204" s="51"/>
      <c r="AJ204" s="51"/>
      <c r="AK204" s="51"/>
      <c r="AL204" s="51"/>
      <c r="AM204" s="51"/>
      <c r="AN204" s="51"/>
      <c r="AO204" s="51"/>
      <c r="AP204" s="51"/>
      <c r="AQ204" s="51"/>
      <c r="AR204" s="51"/>
      <c r="AS204" s="51"/>
      <c r="AT204" s="51"/>
      <c r="AU204" s="51"/>
      <c r="AV204" s="51"/>
      <c r="AW204" s="51"/>
      <c r="AX204" s="51"/>
      <c r="AY204" s="51"/>
      <c r="AZ204" s="51"/>
      <c r="BA204" s="51"/>
      <c r="BB204" s="51"/>
      <c r="BC204" s="51"/>
      <c r="BD204" s="51"/>
      <c r="BE204" s="51"/>
      <c r="BF204" s="51"/>
      <c r="BG204" s="51"/>
      <c r="BH204" s="51"/>
      <c r="BI204" s="51"/>
      <c r="BJ204" s="51"/>
      <c r="BK204" s="51"/>
      <c r="BL204" s="51"/>
      <c r="BM204" s="51"/>
      <c r="BN204" s="51"/>
      <c r="BO204" s="51"/>
      <c r="BP204" s="51"/>
      <c r="BQ204" s="51"/>
      <c r="BR204" s="51"/>
      <c r="BS204" s="51"/>
      <c r="BT204" s="51"/>
      <c r="BU204" s="51"/>
      <c r="BV204" s="51"/>
      <c r="BW204" s="51"/>
      <c r="BX204" s="51"/>
      <c r="BY204" s="51"/>
      <c r="BZ204" s="51"/>
      <c r="CA204" s="51"/>
      <c r="CB204" s="51"/>
      <c r="CC204" s="51"/>
      <c r="CD204" s="51"/>
      <c r="CE204" s="51"/>
      <c r="CF204" s="51"/>
      <c r="CG204" s="51"/>
      <c r="CH204" s="51"/>
      <c r="CI204" s="51"/>
      <c r="CJ204" s="51"/>
      <c r="CK204" s="51"/>
      <c r="CL204" s="51"/>
      <c r="CM204" s="51"/>
      <c r="CN204" s="51"/>
      <c r="CO204" s="51"/>
      <c r="CP204" s="51"/>
      <c r="CQ204" s="51"/>
      <c r="CR204" s="51"/>
      <c r="CS204" s="51"/>
      <c r="CT204" s="51"/>
      <c r="CU204" s="51"/>
      <c r="CV204" s="51"/>
      <c r="CW204" s="51"/>
      <c r="CX204" s="51"/>
      <c r="CY204" s="51"/>
      <c r="CZ204" s="51"/>
      <c r="DA204" s="51"/>
      <c r="DB204" s="51"/>
      <c r="DC204" s="51"/>
      <c r="DD204" s="51"/>
      <c r="DE204" s="51"/>
      <c r="DF204" s="51"/>
      <c r="DG204" s="51"/>
      <c r="DH204" s="51"/>
      <c r="DI204" s="51"/>
      <c r="DJ204" s="51"/>
      <c r="DK204" s="51"/>
      <c r="DL204" s="51"/>
      <c r="DM204" s="51"/>
      <c r="DN204" s="51"/>
      <c r="DO204" s="51"/>
      <c r="DP204" s="51"/>
      <c r="DQ204" s="51"/>
      <c r="DR204" s="51"/>
      <c r="DS204" s="51"/>
      <c r="DT204" s="51"/>
      <c r="DU204" s="51"/>
      <c r="DV204" s="51"/>
      <c r="DW204" s="51"/>
      <c r="DX204" s="51"/>
      <c r="DY204" s="51"/>
      <c r="DZ204" s="51"/>
      <c r="EA204" s="51"/>
      <c r="EB204" s="51"/>
      <c r="EC204" s="51"/>
      <c r="ED204" s="51"/>
      <c r="EE204" s="51"/>
      <c r="EF204" s="51"/>
      <c r="EG204" s="51"/>
      <c r="EH204" s="51"/>
      <c r="EI204" s="51"/>
      <c r="EJ204" s="51"/>
    </row>
    <row r="205" spans="3:140">
      <c r="C205" s="19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1"/>
      <c r="AI205" s="51"/>
      <c r="AJ205" s="51"/>
      <c r="AK205" s="51"/>
      <c r="AL205" s="51"/>
      <c r="AM205" s="51"/>
      <c r="AN205" s="51"/>
      <c r="AO205" s="51"/>
      <c r="AP205" s="51"/>
      <c r="AQ205" s="51"/>
      <c r="AR205" s="51"/>
      <c r="AS205" s="51"/>
      <c r="AT205" s="51"/>
      <c r="AU205" s="51"/>
      <c r="AV205" s="51"/>
      <c r="AW205" s="51"/>
      <c r="AX205" s="51"/>
      <c r="AY205" s="51"/>
      <c r="AZ205" s="51"/>
      <c r="BA205" s="51"/>
      <c r="BB205" s="51"/>
      <c r="BC205" s="51"/>
      <c r="BD205" s="51"/>
      <c r="BE205" s="51"/>
      <c r="BF205" s="51"/>
      <c r="BG205" s="51"/>
      <c r="BH205" s="51"/>
      <c r="BI205" s="51"/>
      <c r="BJ205" s="51"/>
      <c r="BK205" s="51"/>
      <c r="BL205" s="51"/>
      <c r="BM205" s="51"/>
      <c r="BN205" s="51"/>
      <c r="BO205" s="51"/>
      <c r="BP205" s="51"/>
      <c r="BQ205" s="51"/>
      <c r="BR205" s="51"/>
      <c r="BS205" s="51"/>
      <c r="BT205" s="51"/>
      <c r="BU205" s="51"/>
      <c r="BV205" s="51"/>
      <c r="BW205" s="51"/>
      <c r="BX205" s="51"/>
      <c r="BY205" s="51"/>
      <c r="BZ205" s="51"/>
      <c r="CA205" s="51"/>
      <c r="CB205" s="51"/>
      <c r="CC205" s="51"/>
      <c r="CD205" s="51"/>
      <c r="CE205" s="51"/>
      <c r="CF205" s="51"/>
      <c r="CG205" s="51"/>
      <c r="CH205" s="51"/>
      <c r="CI205" s="51"/>
      <c r="CJ205" s="51"/>
      <c r="CK205" s="51"/>
      <c r="CL205" s="51"/>
      <c r="CM205" s="51"/>
      <c r="CN205" s="51"/>
      <c r="CO205" s="51"/>
      <c r="CP205" s="51"/>
      <c r="CQ205" s="51"/>
      <c r="CR205" s="51"/>
      <c r="CS205" s="51"/>
      <c r="CT205" s="51"/>
      <c r="CU205" s="51"/>
      <c r="CV205" s="51"/>
      <c r="CW205" s="51"/>
      <c r="CX205" s="51"/>
      <c r="CY205" s="51"/>
      <c r="CZ205" s="51"/>
      <c r="DA205" s="51"/>
      <c r="DB205" s="51"/>
      <c r="DC205" s="51"/>
      <c r="DD205" s="51"/>
      <c r="DE205" s="51"/>
      <c r="DF205" s="51"/>
      <c r="DG205" s="51"/>
      <c r="DH205" s="51"/>
      <c r="DI205" s="51"/>
      <c r="DJ205" s="51"/>
      <c r="DK205" s="51"/>
      <c r="DL205" s="51"/>
      <c r="DM205" s="51"/>
      <c r="DN205" s="51"/>
      <c r="DO205" s="51"/>
      <c r="DP205" s="51"/>
      <c r="DQ205" s="51"/>
      <c r="DR205" s="51"/>
      <c r="DS205" s="51"/>
      <c r="DT205" s="51"/>
      <c r="DU205" s="51"/>
      <c r="DV205" s="51"/>
      <c r="DW205" s="51"/>
      <c r="DX205" s="51"/>
      <c r="DY205" s="51"/>
      <c r="DZ205" s="51"/>
      <c r="EA205" s="51"/>
      <c r="EB205" s="51"/>
      <c r="EC205" s="51"/>
      <c r="ED205" s="51"/>
      <c r="EE205" s="51"/>
      <c r="EF205" s="51"/>
      <c r="EG205" s="51"/>
      <c r="EH205" s="51"/>
      <c r="EI205" s="51"/>
      <c r="EJ205" s="51"/>
    </row>
    <row r="206" spans="3:140">
      <c r="C206" s="19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1"/>
      <c r="AI206" s="51"/>
      <c r="AJ206" s="51"/>
      <c r="AK206" s="51"/>
      <c r="AL206" s="51"/>
      <c r="AM206" s="51"/>
      <c r="AN206" s="51"/>
      <c r="AO206" s="51"/>
      <c r="AP206" s="51"/>
      <c r="AQ206" s="51"/>
      <c r="AR206" s="51"/>
      <c r="AS206" s="51"/>
      <c r="AT206" s="51"/>
      <c r="AU206" s="51"/>
      <c r="AV206" s="51"/>
      <c r="AW206" s="51"/>
      <c r="AX206" s="51"/>
      <c r="AY206" s="51"/>
      <c r="AZ206" s="51"/>
      <c r="BA206" s="51"/>
      <c r="BB206" s="51"/>
      <c r="BC206" s="51"/>
      <c r="BD206" s="51"/>
      <c r="BE206" s="51"/>
      <c r="BF206" s="51"/>
      <c r="BG206" s="51"/>
      <c r="BH206" s="51"/>
      <c r="BI206" s="51"/>
      <c r="BJ206" s="51"/>
      <c r="BK206" s="51"/>
      <c r="BL206" s="51"/>
      <c r="BM206" s="51"/>
      <c r="BN206" s="51"/>
      <c r="BO206" s="51"/>
      <c r="BP206" s="51"/>
      <c r="BQ206" s="51"/>
      <c r="BR206" s="51"/>
      <c r="BS206" s="51"/>
      <c r="BT206" s="51"/>
      <c r="BU206" s="51"/>
      <c r="BV206" s="51"/>
      <c r="BW206" s="51"/>
      <c r="BX206" s="51"/>
      <c r="BY206" s="51"/>
      <c r="BZ206" s="51"/>
      <c r="CA206" s="51"/>
      <c r="CB206" s="51"/>
      <c r="CC206" s="51"/>
      <c r="CD206" s="51"/>
      <c r="CE206" s="51"/>
      <c r="CF206" s="51"/>
      <c r="CG206" s="51"/>
      <c r="CH206" s="51"/>
      <c r="CI206" s="51"/>
      <c r="CJ206" s="51"/>
      <c r="CK206" s="51"/>
      <c r="CL206" s="51"/>
      <c r="CM206" s="51"/>
      <c r="CN206" s="51"/>
      <c r="CO206" s="51"/>
      <c r="CP206" s="51"/>
      <c r="CQ206" s="51"/>
      <c r="CR206" s="51"/>
      <c r="CS206" s="51"/>
      <c r="CT206" s="51"/>
      <c r="CU206" s="51"/>
      <c r="CV206" s="51"/>
      <c r="CW206" s="51"/>
      <c r="CX206" s="51"/>
      <c r="CY206" s="51"/>
      <c r="CZ206" s="51"/>
      <c r="DA206" s="51"/>
      <c r="DB206" s="51"/>
      <c r="DC206" s="51"/>
      <c r="DD206" s="51"/>
      <c r="DE206" s="51"/>
      <c r="DF206" s="51"/>
      <c r="DG206" s="51"/>
      <c r="DH206" s="51"/>
      <c r="DI206" s="51"/>
      <c r="DJ206" s="51"/>
      <c r="DK206" s="51"/>
      <c r="DL206" s="51"/>
      <c r="DM206" s="51"/>
      <c r="DN206" s="51"/>
      <c r="DO206" s="51"/>
      <c r="DP206" s="51"/>
      <c r="DQ206" s="51"/>
      <c r="DR206" s="51"/>
      <c r="DS206" s="51"/>
      <c r="DT206" s="51"/>
      <c r="DU206" s="51"/>
      <c r="DV206" s="51"/>
      <c r="DW206" s="51"/>
      <c r="DX206" s="51"/>
      <c r="DY206" s="51"/>
      <c r="DZ206" s="51"/>
      <c r="EA206" s="51"/>
      <c r="EB206" s="51"/>
      <c r="EC206" s="51"/>
      <c r="ED206" s="51"/>
      <c r="EE206" s="51"/>
      <c r="EF206" s="51"/>
      <c r="EG206" s="51"/>
      <c r="EH206" s="51"/>
      <c r="EI206" s="51"/>
      <c r="EJ206" s="51"/>
    </row>
    <row r="207" spans="3:140">
      <c r="C207" s="19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1"/>
      <c r="AI207" s="51"/>
      <c r="AJ207" s="51"/>
      <c r="AK207" s="51"/>
      <c r="AL207" s="51"/>
      <c r="AM207" s="51"/>
      <c r="AN207" s="51"/>
      <c r="AO207" s="51"/>
      <c r="AP207" s="51"/>
      <c r="AQ207" s="51"/>
      <c r="AR207" s="51"/>
      <c r="AS207" s="51"/>
      <c r="AT207" s="51"/>
      <c r="AU207" s="51"/>
      <c r="AV207" s="51"/>
      <c r="AW207" s="51"/>
      <c r="AX207" s="51"/>
      <c r="AY207" s="51"/>
      <c r="AZ207" s="51"/>
      <c r="BA207" s="51"/>
      <c r="BB207" s="51"/>
      <c r="BC207" s="51"/>
      <c r="BD207" s="51"/>
      <c r="BE207" s="51"/>
      <c r="BF207" s="51"/>
      <c r="BG207" s="51"/>
      <c r="BH207" s="51"/>
      <c r="BI207" s="51"/>
      <c r="BJ207" s="51"/>
      <c r="BK207" s="51"/>
      <c r="BL207" s="51"/>
      <c r="BM207" s="51"/>
      <c r="BN207" s="51"/>
      <c r="BO207" s="51"/>
      <c r="BP207" s="51"/>
      <c r="BQ207" s="51"/>
      <c r="BR207" s="51"/>
      <c r="BS207" s="51"/>
      <c r="BT207" s="51"/>
      <c r="BU207" s="51"/>
      <c r="BV207" s="51"/>
      <c r="BW207" s="51"/>
      <c r="BX207" s="51"/>
      <c r="BY207" s="51"/>
      <c r="BZ207" s="51"/>
      <c r="CA207" s="51"/>
      <c r="CB207" s="51"/>
      <c r="CC207" s="51"/>
      <c r="CD207" s="51"/>
      <c r="CE207" s="51"/>
      <c r="CF207" s="51"/>
      <c r="CG207" s="51"/>
      <c r="CH207" s="51"/>
      <c r="CI207" s="51"/>
      <c r="CJ207" s="51"/>
      <c r="CK207" s="51"/>
      <c r="CL207" s="51"/>
      <c r="CM207" s="51"/>
      <c r="CN207" s="51"/>
      <c r="CO207" s="51"/>
      <c r="CP207" s="51"/>
      <c r="CQ207" s="51"/>
      <c r="CR207" s="51"/>
      <c r="CS207" s="51"/>
      <c r="CT207" s="51"/>
      <c r="CU207" s="51"/>
      <c r="CV207" s="51"/>
      <c r="CW207" s="51"/>
      <c r="CX207" s="51"/>
      <c r="CY207" s="51"/>
      <c r="CZ207" s="51"/>
      <c r="DA207" s="51"/>
      <c r="DB207" s="51"/>
      <c r="DC207" s="51"/>
      <c r="DD207" s="51"/>
      <c r="DE207" s="51"/>
      <c r="DF207" s="51"/>
      <c r="DG207" s="51"/>
      <c r="DH207" s="51"/>
      <c r="DI207" s="51"/>
      <c r="DJ207" s="51"/>
      <c r="DK207" s="51"/>
      <c r="DL207" s="51"/>
      <c r="DM207" s="51"/>
      <c r="DN207" s="51"/>
      <c r="DO207" s="51"/>
      <c r="DP207" s="51"/>
      <c r="DQ207" s="51"/>
      <c r="DR207" s="51"/>
      <c r="DS207" s="51"/>
      <c r="DT207" s="51"/>
      <c r="DU207" s="51"/>
      <c r="DV207" s="51"/>
      <c r="DW207" s="51"/>
      <c r="DX207" s="51"/>
      <c r="DY207" s="51"/>
      <c r="DZ207" s="51"/>
      <c r="EA207" s="51"/>
      <c r="EB207" s="51"/>
      <c r="EC207" s="51"/>
      <c r="ED207" s="51"/>
      <c r="EE207" s="51"/>
      <c r="EF207" s="51"/>
      <c r="EG207" s="51"/>
      <c r="EH207" s="51"/>
      <c r="EI207" s="51"/>
      <c r="EJ207" s="51"/>
    </row>
    <row r="208" spans="3:140">
      <c r="C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1"/>
      <c r="AI208" s="51"/>
      <c r="AJ208" s="51"/>
      <c r="AK208" s="51"/>
      <c r="AL208" s="51"/>
      <c r="AM208" s="51"/>
      <c r="AN208" s="51"/>
      <c r="AO208" s="51"/>
      <c r="AP208" s="51"/>
      <c r="AQ208" s="51"/>
      <c r="AR208" s="51"/>
      <c r="AS208" s="51"/>
      <c r="AT208" s="51"/>
      <c r="AU208" s="51"/>
      <c r="AV208" s="51"/>
      <c r="AW208" s="51"/>
      <c r="AX208" s="51"/>
      <c r="AY208" s="51"/>
      <c r="AZ208" s="51"/>
      <c r="BA208" s="51"/>
      <c r="BB208" s="51"/>
      <c r="BC208" s="51"/>
      <c r="BD208" s="51"/>
      <c r="BE208" s="51"/>
      <c r="BF208" s="51"/>
      <c r="BG208" s="51"/>
      <c r="BH208" s="51"/>
      <c r="BI208" s="51"/>
      <c r="BJ208" s="51"/>
      <c r="BK208" s="51"/>
      <c r="BL208" s="51"/>
      <c r="BM208" s="51"/>
      <c r="BN208" s="51"/>
      <c r="BO208" s="51"/>
      <c r="BP208" s="51"/>
      <c r="BQ208" s="51"/>
      <c r="BR208" s="51"/>
      <c r="BS208" s="51"/>
      <c r="BT208" s="51"/>
      <c r="BU208" s="51"/>
      <c r="BV208" s="51"/>
      <c r="BW208" s="51"/>
      <c r="BX208" s="51"/>
      <c r="BY208" s="51"/>
      <c r="BZ208" s="51"/>
      <c r="CA208" s="51"/>
      <c r="CB208" s="51"/>
      <c r="CC208" s="51"/>
      <c r="CD208" s="51"/>
      <c r="CE208" s="51"/>
      <c r="CF208" s="51"/>
      <c r="CG208" s="51"/>
      <c r="CH208" s="51"/>
      <c r="CI208" s="51"/>
      <c r="CJ208" s="51"/>
      <c r="CK208" s="51"/>
      <c r="CL208" s="51"/>
      <c r="CM208" s="51"/>
      <c r="CN208" s="51"/>
      <c r="CO208" s="51"/>
      <c r="CP208" s="51"/>
      <c r="CQ208" s="51"/>
      <c r="CR208" s="51"/>
      <c r="CS208" s="51"/>
      <c r="CT208" s="51"/>
      <c r="CU208" s="51"/>
      <c r="CV208" s="51"/>
      <c r="CW208" s="51"/>
      <c r="CX208" s="51"/>
      <c r="CY208" s="51"/>
      <c r="CZ208" s="51"/>
      <c r="DA208" s="51"/>
      <c r="DB208" s="51"/>
      <c r="DC208" s="51"/>
      <c r="DD208" s="51"/>
      <c r="DE208" s="51"/>
      <c r="DF208" s="51"/>
      <c r="DG208" s="51"/>
      <c r="DH208" s="51"/>
      <c r="DI208" s="51"/>
      <c r="DJ208" s="51"/>
      <c r="DK208" s="51"/>
      <c r="DL208" s="51"/>
      <c r="DM208" s="51"/>
      <c r="DN208" s="51"/>
      <c r="DO208" s="51"/>
      <c r="DP208" s="51"/>
      <c r="DQ208" s="51"/>
      <c r="DR208" s="51"/>
      <c r="DS208" s="51"/>
      <c r="DT208" s="51"/>
      <c r="DU208" s="51"/>
      <c r="DV208" s="51"/>
      <c r="DW208" s="51"/>
      <c r="DX208" s="51"/>
      <c r="DY208" s="51"/>
      <c r="DZ208" s="51"/>
      <c r="EA208" s="51"/>
      <c r="EB208" s="51"/>
      <c r="EC208" s="51"/>
      <c r="ED208" s="51"/>
      <c r="EE208" s="51"/>
      <c r="EF208" s="51"/>
      <c r="EG208" s="51"/>
      <c r="EH208" s="51"/>
      <c r="EI208" s="51"/>
      <c r="EJ208" s="51"/>
    </row>
    <row r="209" spans="3:15">
      <c r="C209" s="19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</row>
    <row r="210" spans="3:15">
      <c r="C210" s="19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</row>
    <row r="211" spans="3:15">
      <c r="C211" s="19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</row>
    <row r="212" spans="3:15">
      <c r="C212" s="19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</row>
    <row r="213" spans="3:15">
      <c r="C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</row>
    <row r="214" spans="3:15">
      <c r="C214" s="19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</row>
    <row r="215" spans="3:15">
      <c r="C215" s="19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</row>
    <row r="216" spans="3:15">
      <c r="C216" s="19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</row>
    <row r="217" spans="3:15">
      <c r="C217" s="19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</row>
    <row r="218" spans="3:15">
      <c r="C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</row>
    <row r="219" spans="3:15">
      <c r="C219" s="19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</row>
    <row r="220" spans="3:15">
      <c r="C220" s="19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</row>
    <row r="221" spans="3:15">
      <c r="C221" s="19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</row>
    <row r="222" spans="3:15">
      <c r="C222" s="19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</row>
    <row r="223" spans="3:15">
      <c r="C223" s="1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</row>
    <row r="224" spans="3:15">
      <c r="C224" s="19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</row>
    <row r="225" spans="3:15">
      <c r="C225" s="19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</row>
    <row r="226" spans="3:15">
      <c r="C226" s="19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</row>
    <row r="227" spans="3:15">
      <c r="C227" s="19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</row>
    <row r="228" spans="3:15">
      <c r="C228" s="1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</row>
    <row r="229" spans="3:15">
      <c r="C229" s="19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</row>
    <row r="230" spans="3:15">
      <c r="C230" s="19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</row>
    <row r="231" spans="3:15">
      <c r="C231" s="19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</row>
    <row r="232" spans="3:15">
      <c r="C232" s="19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</row>
    <row r="233" spans="3:15">
      <c r="C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</row>
    <row r="234" spans="3:15">
      <c r="C234" s="19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</row>
    <row r="235" spans="3:15"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</row>
    <row r="236" spans="3:15"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</row>
    <row r="237" spans="3:15"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</row>
    <row r="238" spans="3:15"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</row>
    <row r="239" spans="3:15"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</row>
    <row r="240" spans="3:15"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</row>
    <row r="241" spans="3:15"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</row>
    <row r="242" spans="3:15"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</row>
    <row r="243" spans="3:15"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</row>
    <row r="244" spans="3:15"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</row>
    <row r="245" spans="3:15"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</row>
    <row r="246" spans="3:15"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</row>
    <row r="247" spans="3:15"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</row>
    <row r="248" spans="3:15"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</row>
    <row r="249" spans="3:15"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</row>
    <row r="250" spans="3:15"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</row>
    <row r="251" spans="3:15"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</row>
    <row r="252" spans="3:15"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</row>
    <row r="253" spans="3:15"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</row>
    <row r="254" spans="3:15"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</row>
    <row r="255" spans="3:15"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</row>
    <row r="256" spans="3:15"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</row>
    <row r="257" spans="3:15"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</row>
    <row r="258" spans="3:15"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</row>
    <row r="259" spans="3:15"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</row>
    <row r="260" spans="3:15"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</row>
    <row r="261" spans="3:15"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</row>
    <row r="262" spans="3:15"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</row>
    <row r="263" spans="3:15"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</row>
    <row r="264" spans="3:15"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</row>
    <row r="265" spans="3:15"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</row>
    <row r="266" spans="3:15"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</row>
    <row r="267" spans="3:15"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</row>
    <row r="268" spans="3:15"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</row>
    <row r="269" spans="3:15"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</row>
    <row r="270" spans="3:15"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</row>
    <row r="271" spans="3:15"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</row>
    <row r="272" spans="3:15"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</row>
    <row r="273" spans="3:15"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</row>
    <row r="274" spans="3:15"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</row>
    <row r="275" spans="3:15"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</row>
    <row r="276" spans="3:15"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</row>
    <row r="277" spans="3:15"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</row>
    <row r="278" spans="3:15"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</row>
    <row r="279" spans="3:15"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</row>
    <row r="280" spans="3:15"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</row>
    <row r="281" spans="3:15"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</row>
    <row r="282" spans="3:15"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</row>
    <row r="283" spans="3:15"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</row>
    <row r="284" spans="3:15"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</row>
    <row r="285" spans="3:15"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</row>
    <row r="286" spans="3:15"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</row>
    <row r="287" spans="3:15"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</row>
    <row r="288" spans="3:15"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</row>
    <row r="289" spans="3:15"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</row>
    <row r="290" spans="3:15"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</row>
    <row r="291" spans="3:15"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</row>
    <row r="292" spans="3:15"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</row>
    <row r="293" spans="3:15"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</row>
    <row r="294" spans="3:15"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</row>
    <row r="295" spans="3:15"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</row>
    <row r="296" spans="3:15"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</row>
    <row r="297" spans="3:15"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</row>
    <row r="298" spans="3:15"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</row>
    <row r="299" spans="3:15"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</row>
    <row r="300" spans="3:15"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</row>
    <row r="301" spans="3:15"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</row>
    <row r="302" spans="3:15"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</row>
    <row r="303" spans="3:15"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</row>
    <row r="304" spans="3:15"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</row>
    <row r="305" spans="3:15"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</row>
    <row r="306" spans="3:15"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</row>
    <row r="307" spans="3:15"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</row>
    <row r="308" spans="3:15"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</row>
    <row r="309" spans="3:15"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</row>
    <row r="310" spans="3:15"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</row>
    <row r="311" spans="3:15"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</row>
    <row r="312" spans="3:15"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</row>
    <row r="313" spans="3:15"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</row>
    <row r="314" spans="3:15"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</row>
    <row r="315" spans="3:15"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</row>
    <row r="316" spans="3:15"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</row>
    <row r="317" spans="3:15"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</row>
    <row r="318" spans="3:15"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</row>
    <row r="319" spans="3:15"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</row>
    <row r="320" spans="3:15"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</row>
    <row r="321" spans="3:15"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</row>
    <row r="322" spans="3:15"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</row>
    <row r="323" spans="3:15"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</row>
    <row r="324" spans="3:15"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</row>
    <row r="325" spans="3:15"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</row>
    <row r="326" spans="3:15"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</row>
    <row r="327" spans="3:15"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</row>
    <row r="328" spans="3:15"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</row>
    <row r="329" spans="3:15"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</row>
    <row r="330" spans="3:15"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</row>
    <row r="331" spans="3:15"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</row>
    <row r="332" spans="3:15"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</row>
    <row r="333" spans="3:15"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</row>
    <row r="334" spans="3:15"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</row>
    <row r="335" spans="3:15"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</row>
    <row r="336" spans="3:15"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</row>
    <row r="337" spans="3:15"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</row>
    <row r="338" spans="3:15"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</row>
    <row r="339" spans="3:15"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</row>
    <row r="340" spans="3:15"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</row>
    <row r="341" spans="3:15"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</row>
    <row r="342" spans="3:15"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</row>
    <row r="343" spans="3:15"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</row>
    <row r="344" spans="3:15"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</row>
    <row r="345" spans="3:15"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</row>
    <row r="346" spans="3:15"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</row>
    <row r="347" spans="3:15"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</row>
    <row r="348" spans="3:15"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</row>
    <row r="349" spans="3:15"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</row>
    <row r="350" spans="3:15"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</row>
    <row r="351" spans="3:15"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</row>
    <row r="352" spans="3:15"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</row>
    <row r="353" spans="3:15"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</row>
    <row r="354" spans="3:15"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</row>
    <row r="355" spans="3:15"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</row>
    <row r="356" spans="3:15"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</row>
    <row r="357" spans="3:15"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</row>
    <row r="358" spans="3:15"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</row>
    <row r="359" spans="3:15"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</row>
    <row r="360" spans="3:15"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</row>
    <row r="361" spans="3:15"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</row>
    <row r="362" spans="3:15"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</row>
    <row r="363" spans="3:15"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</row>
    <row r="364" spans="3:15"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</row>
    <row r="365" spans="3:15"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</row>
    <row r="366" spans="3:15"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</row>
    <row r="367" spans="3:15"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</row>
    <row r="368" spans="3:15"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</row>
    <row r="369" spans="3:15"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</row>
    <row r="370" spans="3:15"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</row>
    <row r="371" spans="3:15"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</row>
    <row r="372" spans="3:15"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</row>
    <row r="373" spans="3:15"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</row>
    <row r="374" spans="3:15"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</row>
    <row r="375" spans="3:15"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</row>
    <row r="376" spans="3:15"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</row>
    <row r="377" spans="3:15"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</row>
    <row r="378" spans="3:15"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</row>
    <row r="379" spans="3:15"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</row>
    <row r="380" spans="3:15"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</row>
    <row r="381" spans="3:15"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</row>
    <row r="382" spans="3:15"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</row>
    <row r="383" spans="3:15"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</row>
    <row r="384" spans="3:15"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</row>
    <row r="385" spans="3:15"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</row>
    <row r="386" spans="3:15"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</row>
    <row r="387" spans="3:15"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</row>
    <row r="388" spans="3:15"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</row>
    <row r="389" spans="3:15"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</row>
    <row r="390" spans="3:15"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</row>
    <row r="391" spans="3:15"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</row>
    <row r="392" spans="3:15"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</row>
    <row r="393" spans="3:15"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</row>
    <row r="394" spans="3:15"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</row>
    <row r="395" spans="3:15"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</row>
    <row r="396" spans="3:15"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</row>
    <row r="397" spans="3:15"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</row>
    <row r="398" spans="3:15"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</row>
    <row r="399" spans="3:15"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</row>
    <row r="400" spans="3:15"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</row>
    <row r="401" spans="3:15"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</row>
    <row r="402" spans="3:15"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</row>
    <row r="403" spans="3:15"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</row>
    <row r="404" spans="3:15"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</row>
    <row r="405" spans="3:15"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</row>
    <row r="406" spans="3:15"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</row>
    <row r="407" spans="3:15"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</row>
    <row r="408" spans="3:15"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</row>
    <row r="409" spans="3:15"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</row>
    <row r="410" spans="3:15"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</row>
    <row r="411" spans="3:15"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</row>
    <row r="412" spans="3:15"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</row>
    <row r="413" spans="3:15"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</row>
    <row r="414" spans="3:15"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</row>
    <row r="415" spans="3:15"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</row>
    <row r="416" spans="3:15"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</row>
    <row r="417" spans="3:15"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</row>
    <row r="418" spans="3:15"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</row>
    <row r="419" spans="3:15"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</row>
    <row r="420" spans="3:15"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</row>
    <row r="421" spans="3:15"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</row>
    <row r="422" spans="3:15"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</row>
    <row r="423" spans="3:15"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</row>
    <row r="424" spans="3:15"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</row>
    <row r="425" spans="3:15"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</row>
    <row r="426" spans="3:15"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</row>
    <row r="427" spans="3:15"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</row>
    <row r="428" spans="3:15"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</row>
    <row r="429" spans="3:15"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</row>
    <row r="430" spans="3:15"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</row>
    <row r="431" spans="3:15"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</row>
    <row r="432" spans="3:15"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</row>
    <row r="433" spans="3:15"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</row>
    <row r="434" spans="3:15"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</row>
    <row r="435" spans="3:15"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</row>
    <row r="436" spans="3:15"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</row>
    <row r="437" spans="3:15"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</row>
    <row r="438" spans="3:15"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</row>
    <row r="439" spans="3:15"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</row>
    <row r="440" spans="3:15"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</row>
    <row r="441" spans="3:15"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</row>
    <row r="442" spans="3:15"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</row>
    <row r="443" spans="3:15"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</row>
    <row r="444" spans="3:15"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</row>
    <row r="445" spans="3:15"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</row>
    <row r="446" spans="3:15"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</row>
    <row r="447" spans="3:15"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</row>
    <row r="448" spans="3:15"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</row>
    <row r="449" spans="3:15"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</row>
    <row r="450" spans="3:15"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</row>
    <row r="451" spans="3:15"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</row>
    <row r="452" spans="3:15"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</row>
    <row r="453" spans="3:15"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</row>
    <row r="454" spans="3:15"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</row>
    <row r="455" spans="3:15"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</row>
    <row r="456" spans="3:15"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</row>
    <row r="457" spans="3:15"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</row>
    <row r="458" spans="3:15"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</row>
    <row r="459" spans="3:15"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</row>
    <row r="460" spans="3:15"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</row>
    <row r="461" spans="3:15"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</row>
    <row r="462" spans="3:15"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</row>
    <row r="463" spans="3:15"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</row>
    <row r="464" spans="3:15"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</row>
    <row r="465" spans="3:15"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</row>
    <row r="466" spans="3:15"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</row>
    <row r="467" spans="3:15"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</row>
    <row r="468" spans="3:15"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</row>
    <row r="469" spans="3:15"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</row>
    <row r="470" spans="3:15"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</row>
    <row r="471" spans="3:15"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</row>
    <row r="472" spans="3:15"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</row>
    <row r="473" spans="3:15"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</row>
    <row r="474" spans="3:15"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</row>
    <row r="475" spans="3:15"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</row>
    <row r="476" spans="3:15"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</row>
    <row r="477" spans="3:15"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</row>
    <row r="478" spans="3:15"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</row>
    <row r="479" spans="3:15"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</row>
    <row r="480" spans="3:15"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</row>
    <row r="481" spans="3:15"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</row>
    <row r="482" spans="3:15"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</row>
    <row r="483" spans="3:15"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</row>
    <row r="484" spans="3:15"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</row>
    <row r="485" spans="3:15"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</row>
    <row r="486" spans="3:15"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</row>
    <row r="487" spans="3:15"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</row>
    <row r="488" spans="3:15"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</row>
    <row r="489" spans="3:15"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</row>
    <row r="490" spans="3:15"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</row>
    <row r="491" spans="3:15"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</row>
    <row r="492" spans="3:15"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</row>
    <row r="493" spans="3:15"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</row>
    <row r="494" spans="3:15"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</row>
    <row r="495" spans="3:15"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</row>
    <row r="496" spans="3:15"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</row>
    <row r="497" spans="3:15"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</row>
    <row r="498" spans="3:15"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</row>
    <row r="499" spans="3:15"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</row>
    <row r="500" spans="3:15"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</row>
    <row r="501" spans="3:15"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</row>
    <row r="502" spans="3:15"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</row>
    <row r="503" spans="3:15"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</row>
    <row r="504" spans="3:15"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</row>
    <row r="505" spans="3:15"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</row>
    <row r="506" spans="3:15"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</row>
    <row r="507" spans="3:15"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</row>
    <row r="508" spans="3:15"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</row>
    <row r="509" spans="3:15"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</row>
    <row r="510" spans="3:15"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</row>
    <row r="511" spans="3:15"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</row>
    <row r="512" spans="3:15"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</row>
    <row r="513" spans="3:15"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</row>
    <row r="514" spans="3:15"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</row>
    <row r="515" spans="3:15"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</row>
    <row r="516" spans="3:15"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</row>
    <row r="517" spans="3:15"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</row>
    <row r="518" spans="3:15"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</row>
    <row r="519" spans="3:15"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</row>
    <row r="520" spans="3:15"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</row>
    <row r="521" spans="3:15"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</row>
    <row r="522" spans="3:15"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</row>
    <row r="523" spans="3:15"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</row>
    <row r="524" spans="3:15"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</row>
    <row r="525" spans="3:15"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</row>
    <row r="526" spans="3:15"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</row>
    <row r="527" spans="3:15"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</row>
    <row r="528" spans="3:15"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</row>
    <row r="529" spans="3:15"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</row>
    <row r="530" spans="3:15"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</row>
    <row r="531" spans="3:15"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</row>
    <row r="532" spans="3:15"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</row>
    <row r="533" spans="3:15"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</row>
    <row r="534" spans="3:15"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</row>
    <row r="535" spans="3:15"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</row>
    <row r="536" spans="3:15"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</row>
    <row r="537" spans="3:15"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</row>
    <row r="538" spans="3:15"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</row>
    <row r="539" spans="3:15"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</row>
    <row r="540" spans="3:15"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</row>
    <row r="541" spans="3:15"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</row>
    <row r="542" spans="3:15"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</row>
    <row r="543" spans="3:15"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</row>
    <row r="544" spans="3:15"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</row>
    <row r="545" spans="3:15"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</row>
    <row r="546" spans="3:15"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</row>
    <row r="547" spans="3:15"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</row>
    <row r="548" spans="3:15"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</row>
    <row r="549" spans="3:15"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</row>
    <row r="550" spans="3:15"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</row>
    <row r="551" spans="3:15"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</row>
    <row r="552" spans="3:15"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</row>
    <row r="553" spans="3:15"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</row>
    <row r="554" spans="3:15"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</row>
    <row r="555" spans="3:15"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</row>
    <row r="556" spans="3:15"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</row>
    <row r="557" spans="3:15"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</row>
    <row r="558" spans="3:15"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</row>
    <row r="559" spans="3:15"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</row>
    <row r="560" spans="3:15"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</row>
    <row r="561" spans="3:15"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</row>
    <row r="562" spans="3:15"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</row>
    <row r="563" spans="3:15"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</row>
    <row r="564" spans="3:15"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</row>
    <row r="565" spans="3:15"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</row>
    <row r="566" spans="3:15"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</row>
    <row r="567" spans="3:15"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</row>
    <row r="568" spans="3:15"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</row>
    <row r="569" spans="3:15"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</row>
    <row r="570" spans="3:15"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</row>
    <row r="571" spans="3:15"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</row>
    <row r="572" spans="3:15"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</row>
    <row r="573" spans="3:15"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</row>
    <row r="574" spans="3:15"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</row>
    <row r="575" spans="3:15"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</row>
    <row r="576" spans="3:15"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</row>
    <row r="577" spans="3:15"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</row>
    <row r="578" spans="3:15"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</row>
    <row r="579" spans="3:15"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</row>
    <row r="580" spans="3:15"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</row>
    <row r="581" spans="3:15"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</row>
    <row r="582" spans="3:15"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</row>
    <row r="583" spans="3:15"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</row>
    <row r="584" spans="3:15"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</row>
    <row r="585" spans="3:15"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</row>
    <row r="586" spans="3:15"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</row>
    <row r="587" spans="3:15"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</row>
    <row r="588" spans="3:15"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</row>
    <row r="589" spans="3:15"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</row>
    <row r="590" spans="3:15"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</row>
    <row r="591" spans="3:15"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</row>
    <row r="592" spans="3:15"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</row>
    <row r="593" spans="3:15"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</row>
    <row r="594" spans="3:15"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</row>
    <row r="595" spans="3:15"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</row>
    <row r="596" spans="3:15"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</row>
    <row r="597" spans="3:15"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</row>
    <row r="598" spans="3:15"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</row>
    <row r="599" spans="3:15"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</row>
    <row r="600" spans="3:15"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</row>
    <row r="601" spans="3:15"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</row>
    <row r="602" spans="3:15"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</row>
    <row r="603" spans="3:15"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</row>
    <row r="604" spans="3:15"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</row>
    <row r="605" spans="3:15"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</row>
    <row r="606" spans="3:15"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</row>
    <row r="607" spans="3:15"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</row>
    <row r="608" spans="3:15"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</row>
    <row r="609" spans="3:15"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</row>
    <row r="610" spans="3:15"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</row>
    <row r="611" spans="3:15"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</row>
    <row r="612" spans="3:15"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</row>
    <row r="613" spans="3:15"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</row>
    <row r="614" spans="3:15"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</row>
    <row r="615" spans="3:15"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</row>
    <row r="616" spans="3:15"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</row>
    <row r="617" spans="3:15"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</row>
    <row r="618" spans="3:15"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</row>
    <row r="619" spans="3:15"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</row>
    <row r="620" spans="3:15"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</row>
    <row r="621" spans="3:15"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</row>
    <row r="622" spans="3:15"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</row>
    <row r="623" spans="3:15"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</row>
    <row r="624" spans="3:15"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</row>
    <row r="625" spans="3:15"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</row>
    <row r="626" spans="3:15"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</row>
    <row r="627" spans="3:15"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</row>
    <row r="628" spans="3:15"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</row>
    <row r="629" spans="3:15"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</row>
    <row r="630" spans="3:15"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</row>
    <row r="631" spans="3:15"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</row>
    <row r="632" spans="3:15"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</row>
    <row r="633" spans="3:15"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</row>
    <row r="634" spans="3:15"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</row>
    <row r="635" spans="3:15"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</row>
    <row r="636" spans="3:15"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</row>
    <row r="637" spans="3:15"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</row>
    <row r="638" spans="3:15"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</row>
    <row r="639" spans="3:15"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</row>
    <row r="640" spans="3:15"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</row>
    <row r="641" spans="3:15"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</row>
    <row r="642" spans="3:15"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</row>
    <row r="643" spans="3:15"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</row>
    <row r="644" spans="3:15"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</row>
    <row r="645" spans="3:15"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</row>
    <row r="646" spans="3:15"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</row>
    <row r="647" spans="3:15"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</row>
    <row r="648" spans="3:15"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</row>
    <row r="649" spans="3:15"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</row>
    <row r="650" spans="3:15"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</row>
    <row r="651" spans="3:15"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</row>
    <row r="652" spans="3:15"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</row>
    <row r="653" spans="3:15"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</row>
    <row r="654" spans="3:15"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</row>
    <row r="655" spans="3:15"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</row>
    <row r="656" spans="3:15"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</row>
    <row r="657" spans="3:15"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</row>
    <row r="658" spans="3:15"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</row>
    <row r="659" spans="3:15"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</row>
    <row r="660" spans="3:15"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</row>
    <row r="661" spans="3:15"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</row>
    <row r="662" spans="3:15"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</row>
    <row r="663" spans="3:15"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</row>
    <row r="664" spans="3:15"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</row>
    <row r="665" spans="3:15"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</row>
    <row r="666" spans="3:15"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</row>
    <row r="667" spans="3:15"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</row>
    <row r="668" spans="3:15"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</row>
    <row r="669" spans="3:15"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</row>
    <row r="670" spans="3:15"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</row>
    <row r="671" spans="3:15"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</row>
    <row r="672" spans="3:15"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</row>
    <row r="673" spans="3:15"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</row>
    <row r="674" spans="3:15"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</row>
    <row r="675" spans="3:15"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</row>
    <row r="676" spans="3:15"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</row>
    <row r="677" spans="3:15"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</row>
    <row r="678" spans="3:15"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</row>
    <row r="679" spans="3:15"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</row>
    <row r="680" spans="3:15"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</row>
    <row r="681" spans="3:15"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</row>
    <row r="682" spans="3:15"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</row>
    <row r="683" spans="3:15"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</row>
    <row r="684" spans="3:15"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</row>
    <row r="685" spans="3:15"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</row>
    <row r="686" spans="3:15"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</row>
    <row r="687" spans="3:15"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</row>
    <row r="688" spans="3:15"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</row>
    <row r="689" spans="3:15"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</row>
    <row r="690" spans="3:15"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</row>
    <row r="691" spans="3:15"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</row>
    <row r="692" spans="3:15"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</row>
    <row r="693" spans="3:15"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</row>
    <row r="694" spans="3:15"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</row>
    <row r="695" spans="3:15"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</row>
    <row r="696" spans="3:15"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</row>
    <row r="697" spans="3:15"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</row>
    <row r="698" spans="3:15"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</row>
    <row r="699" spans="3:15"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</row>
    <row r="700" spans="3:15"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</row>
    <row r="701" spans="3:15"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</row>
    <row r="702" spans="3:15"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</row>
    <row r="703" spans="3:15"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</row>
    <row r="704" spans="3:15"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</row>
    <row r="705" spans="3:15"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</row>
    <row r="706" spans="3:15"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</row>
    <row r="707" spans="3:15"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</row>
    <row r="708" spans="3:15"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</row>
    <row r="709" spans="3:15"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</row>
    <row r="710" spans="3:15"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</row>
    <row r="711" spans="3:15"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</row>
    <row r="712" spans="3:15"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</row>
    <row r="713" spans="3:15"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</row>
    <row r="714" spans="3:15"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</row>
    <row r="715" spans="3:15"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</row>
    <row r="716" spans="3:15"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</row>
    <row r="717" spans="3:15"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</row>
    <row r="718" spans="3:15"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</row>
    <row r="719" spans="3:15"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</row>
    <row r="720" spans="3:15"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</row>
    <row r="721" spans="3:15"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</row>
    <row r="722" spans="3:15"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</row>
    <row r="723" spans="3:15"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</row>
    <row r="724" spans="3:15"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</row>
    <row r="725" spans="3:15"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</row>
    <row r="726" spans="3:15"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</row>
    <row r="727" spans="3:15"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</row>
    <row r="728" spans="3:15"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</row>
    <row r="729" spans="3:15"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</row>
    <row r="730" spans="3:15"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</row>
    <row r="731" spans="3:15"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</row>
    <row r="732" spans="3:15"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</row>
    <row r="733" spans="3:15"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</row>
    <row r="734" spans="3:15"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</row>
    <row r="735" spans="3:15"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</row>
    <row r="736" spans="3:15"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</row>
    <row r="737" spans="3:15"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</row>
    <row r="738" spans="3:15"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</row>
    <row r="739" spans="3:15"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</row>
    <row r="740" spans="3:15"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</row>
    <row r="741" spans="3:15"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</row>
    <row r="742" spans="3:15"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</row>
    <row r="743" spans="3:15"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</row>
    <row r="744" spans="3:15"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</row>
    <row r="745" spans="3:15"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</row>
    <row r="746" spans="3:15"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</row>
    <row r="747" spans="3:15"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</row>
    <row r="748" spans="3:15"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</row>
    <row r="749" spans="3:15"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</row>
    <row r="750" spans="3:15"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</row>
    <row r="751" spans="3:15"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</row>
    <row r="752" spans="3:15"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</row>
    <row r="753" spans="3:15"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</row>
    <row r="754" spans="3:15"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</row>
    <row r="755" spans="3:15"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</row>
    <row r="756" spans="3:15"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</row>
    <row r="757" spans="3:15"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</row>
    <row r="758" spans="3:15"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</row>
    <row r="759" spans="3:15"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</row>
    <row r="760" spans="3:15"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</row>
    <row r="761" spans="3:15"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</row>
    <row r="762" spans="3:15"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</row>
    <row r="763" spans="3:15"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</row>
    <row r="764" spans="3:15"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</row>
    <row r="765" spans="3:15"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</row>
    <row r="766" spans="3:15"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</row>
    <row r="767" spans="3:15"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</row>
    <row r="768" spans="3:15"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</row>
    <row r="769" spans="3:15"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</row>
    <row r="770" spans="3:15"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</row>
    <row r="771" spans="3:15"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</row>
    <row r="772" spans="3:15"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</row>
    <row r="773" spans="3:15"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</row>
    <row r="774" spans="3:15"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</row>
    <row r="775" spans="3:15"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</row>
  </sheetData>
  <sheetProtection sheet="1" objects="1" scenarios="1" formatCells="0" formatColumns="0" formatRows="0" sort="0" autoFilter="0" pivotTables="0"/>
  <mergeCells count="25">
    <mergeCell ref="D15:E15"/>
    <mergeCell ref="F15:G15"/>
    <mergeCell ref="H15:I15"/>
    <mergeCell ref="J15:K15"/>
    <mergeCell ref="L15:M15"/>
    <mergeCell ref="V15:W15"/>
    <mergeCell ref="N17:O17"/>
    <mergeCell ref="P17:W17"/>
    <mergeCell ref="I8:K8"/>
    <mergeCell ref="H9:L9"/>
    <mergeCell ref="N15:O15"/>
    <mergeCell ref="P15:Q15"/>
    <mergeCell ref="R15:S15"/>
    <mergeCell ref="T15:U15"/>
    <mergeCell ref="N18:O18"/>
    <mergeCell ref="P18:Q18"/>
    <mergeCell ref="R18:S18"/>
    <mergeCell ref="T18:U18"/>
    <mergeCell ref="V18:W18"/>
    <mergeCell ref="L18:M18"/>
    <mergeCell ref="C18:C19"/>
    <mergeCell ref="D18:E18"/>
    <mergeCell ref="F18:G18"/>
    <mergeCell ref="H18:I18"/>
    <mergeCell ref="J18:K18"/>
  </mergeCells>
  <pageMargins left="0.70866141732283472" right="0.70866141732283472" top="0.99" bottom="0.74803149606299213" header="0.31496062992125984" footer="0.31496062992125984"/>
  <pageSetup scale="26" orientation="portrait" r:id="rId1"/>
  <rowBreaks count="1" manualBreakCount="1">
    <brk id="112" max="16383" man="1"/>
  </rowBreaks>
  <colBreaks count="1" manualBreakCount="1">
    <brk id="28" max="167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4">
    <pageSetUpPr fitToPage="1"/>
  </sheetPr>
  <dimension ref="A1:II887"/>
  <sheetViews>
    <sheetView workbookViewId="0">
      <selection activeCell="D18" sqref="D18:D19"/>
    </sheetView>
  </sheetViews>
  <sheetFormatPr defaultRowHeight="13.5"/>
  <cols>
    <col min="2" max="2" width="10.42578125" customWidth="1"/>
    <col min="3" max="3" width="9.140625" customWidth="1"/>
    <col min="4" max="4" width="51.140625" customWidth="1"/>
    <col min="5" max="24" width="9.7109375" customWidth="1"/>
    <col min="25" max="51" width="10.7109375" customWidth="1"/>
    <col min="52" max="52" width="13.85546875" style="13" customWidth="1"/>
    <col min="53" max="54" width="48.28515625" customWidth="1"/>
    <col min="55" max="130" width="9.140625" customWidth="1"/>
    <col min="131" max="131" width="12.7109375" customWidth="1"/>
    <col min="132" max="132" width="11.85546875" customWidth="1"/>
    <col min="133" max="138" width="9.140625" customWidth="1"/>
    <col min="139" max="139" width="9.140625" hidden="1" customWidth="1"/>
    <col min="140" max="140" width="10" hidden="1" customWidth="1"/>
    <col min="141" max="145" width="9.140625" hidden="1" customWidth="1"/>
    <col min="146" max="179" width="9.140625" customWidth="1"/>
    <col min="181" max="181" width="11" bestFit="1" customWidth="1"/>
    <col min="182" max="182" width="17.42578125" bestFit="1" customWidth="1"/>
    <col min="184" max="186" width="9.140625" hidden="1" customWidth="1"/>
    <col min="187" max="187" width="17.42578125" style="14" hidden="1" customWidth="1"/>
    <col min="188" max="188" width="9.140625" hidden="1" customWidth="1"/>
    <col min="189" max="189" width="11.5703125" hidden="1" customWidth="1"/>
    <col min="190" max="191" width="9.140625" hidden="1" customWidth="1"/>
    <col min="192" max="202" width="0" hidden="1" customWidth="1"/>
    <col min="205" max="205" width="0" hidden="1" customWidth="1"/>
  </cols>
  <sheetData>
    <row r="1" spans="1:243">
      <c r="A1" s="72"/>
      <c r="B1" s="72"/>
      <c r="C1" s="72">
        <v>0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</row>
    <row r="2" spans="1:243" ht="15" customHeight="1">
      <c r="A2" s="72"/>
      <c r="B2" s="72"/>
      <c r="C2" s="72"/>
      <c r="D2" s="212"/>
      <c r="E2" s="213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5"/>
      <c r="X2" s="216"/>
      <c r="Y2" s="216"/>
      <c r="Z2" s="216"/>
      <c r="AA2" s="216"/>
      <c r="AB2" s="216"/>
      <c r="AC2" s="216"/>
      <c r="AD2" s="216"/>
      <c r="AE2" s="216"/>
      <c r="AF2" s="216"/>
      <c r="AG2" s="216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</row>
    <row r="3" spans="1:243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213"/>
      <c r="Q3" s="213"/>
      <c r="R3" s="72"/>
      <c r="S3" s="72"/>
      <c r="T3" s="72"/>
      <c r="U3" s="72"/>
      <c r="V3" s="72"/>
      <c r="W3" s="217"/>
      <c r="X3" s="217"/>
      <c r="Y3" s="217"/>
      <c r="Z3" s="217"/>
      <c r="AA3" s="217"/>
      <c r="AB3" s="217"/>
      <c r="AC3" s="217"/>
      <c r="AD3" s="217"/>
      <c r="AE3" s="217"/>
      <c r="AF3" s="217"/>
      <c r="AG3" s="217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GE3" s="16"/>
    </row>
    <row r="4" spans="1:243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213"/>
      <c r="Q4" s="213"/>
      <c r="R4" s="72"/>
      <c r="S4" s="72"/>
      <c r="T4" s="72"/>
      <c r="U4" s="72"/>
      <c r="V4" s="72"/>
      <c r="W4" s="217"/>
      <c r="X4" s="217"/>
      <c r="Y4" s="217"/>
      <c r="Z4" s="217"/>
      <c r="AA4" s="217"/>
      <c r="AB4" s="217"/>
      <c r="AC4" s="217"/>
      <c r="AD4" s="217"/>
      <c r="AE4" s="217"/>
      <c r="AF4" s="217"/>
      <c r="AG4" s="217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244"/>
      <c r="AW4" s="244"/>
      <c r="AX4" s="244"/>
      <c r="AY4" s="244"/>
      <c r="AZ4" s="50"/>
      <c r="BA4" s="612"/>
      <c r="BB4" s="612"/>
      <c r="BC4" s="612"/>
      <c r="BD4" s="612"/>
      <c r="BE4" s="612"/>
      <c r="BF4" s="612"/>
      <c r="BG4" s="612"/>
      <c r="BH4" s="612"/>
      <c r="BI4" s="612"/>
      <c r="BJ4" s="612"/>
      <c r="BK4" s="612"/>
      <c r="BL4" s="612"/>
      <c r="BM4" s="612"/>
      <c r="BN4" s="612"/>
      <c r="BO4" s="612"/>
      <c r="BP4" s="612"/>
      <c r="BQ4" s="612"/>
      <c r="BR4" s="612"/>
      <c r="BS4" s="612"/>
      <c r="BT4" s="612"/>
      <c r="BU4" s="612"/>
      <c r="BV4" s="612"/>
      <c r="BW4" s="612"/>
      <c r="BX4" s="612"/>
      <c r="BY4" s="612"/>
      <c r="BZ4" s="612"/>
      <c r="CA4" s="612"/>
      <c r="CB4" s="612"/>
      <c r="CC4" s="612"/>
      <c r="CD4" s="612"/>
      <c r="CE4" s="612"/>
      <c r="CF4" s="612"/>
      <c r="CG4" s="612"/>
      <c r="CH4" s="612"/>
      <c r="CI4" s="612"/>
      <c r="CJ4" s="612"/>
      <c r="CK4" s="612"/>
      <c r="CL4" s="612"/>
      <c r="CM4" s="612"/>
      <c r="CN4" s="612"/>
      <c r="CO4" s="612"/>
      <c r="CP4" s="612"/>
      <c r="CQ4" s="612"/>
      <c r="CR4" s="612"/>
      <c r="CS4" s="612"/>
      <c r="CT4" s="612"/>
      <c r="CU4" s="612"/>
      <c r="CV4" s="612"/>
      <c r="CW4" s="612"/>
      <c r="CX4" s="612"/>
      <c r="CY4" s="612"/>
      <c r="CZ4" s="612"/>
      <c r="DA4" s="612"/>
      <c r="DB4" s="612"/>
      <c r="DC4" s="612"/>
      <c r="DD4" s="612"/>
      <c r="DE4" s="612"/>
      <c r="DF4" s="612"/>
      <c r="DG4" s="612"/>
      <c r="DH4" s="612"/>
      <c r="DI4" s="612"/>
      <c r="DJ4" s="612"/>
      <c r="DK4" s="612"/>
      <c r="DL4" s="612"/>
      <c r="DM4" s="612"/>
      <c r="DN4" s="612"/>
      <c r="DO4" s="612"/>
      <c r="DP4" s="612"/>
      <c r="DQ4" s="612"/>
      <c r="DR4" s="612"/>
      <c r="DS4" s="612"/>
      <c r="DT4" s="612"/>
      <c r="DU4" s="612"/>
      <c r="DV4" s="612"/>
      <c r="DW4" s="612"/>
      <c r="DX4" s="612"/>
      <c r="DY4" s="612"/>
      <c r="DZ4" s="612"/>
      <c r="EA4" s="612"/>
      <c r="EB4" s="612"/>
      <c r="EC4" s="612"/>
      <c r="ED4" s="612"/>
      <c r="EE4" s="612"/>
      <c r="EF4" s="612"/>
      <c r="EG4" s="612"/>
      <c r="EH4" s="612"/>
      <c r="EI4" s="612"/>
      <c r="EJ4" s="612"/>
      <c r="EK4" s="612"/>
      <c r="EL4" s="612"/>
      <c r="EM4" s="612"/>
      <c r="EN4" s="612"/>
      <c r="EO4" s="612"/>
      <c r="EP4" s="612"/>
      <c r="EQ4" s="612"/>
      <c r="ER4" s="612"/>
      <c r="ES4" s="612"/>
      <c r="ET4" s="612"/>
      <c r="EU4" s="612"/>
      <c r="EV4" s="612"/>
      <c r="EW4" s="612"/>
      <c r="EX4" s="612"/>
      <c r="EY4" s="612"/>
      <c r="EZ4" s="612"/>
      <c r="FA4" s="612"/>
      <c r="FB4" s="612"/>
      <c r="FC4" s="612"/>
      <c r="FD4" s="612"/>
      <c r="FE4" s="612"/>
      <c r="FF4" s="612"/>
      <c r="FG4" s="612"/>
      <c r="FH4" s="612"/>
      <c r="FI4" s="612"/>
      <c r="FJ4" s="612"/>
      <c r="FK4" s="612"/>
      <c r="FL4" s="612"/>
      <c r="FM4" s="612"/>
      <c r="FN4" s="612"/>
      <c r="FO4" s="612"/>
      <c r="FP4" s="612"/>
      <c r="FQ4" s="612"/>
      <c r="FR4" s="612"/>
      <c r="FS4" s="612"/>
      <c r="FT4" s="612"/>
      <c r="FU4" s="612"/>
      <c r="FV4" s="612"/>
      <c r="FW4" s="612"/>
      <c r="FX4" s="612"/>
      <c r="FY4" s="612"/>
      <c r="FZ4" s="612"/>
      <c r="GA4" s="612"/>
      <c r="GB4" s="612"/>
      <c r="GC4" s="612"/>
      <c r="GD4" s="612"/>
      <c r="GE4" s="245"/>
      <c r="GF4" s="612"/>
      <c r="GG4" s="612"/>
      <c r="GH4" s="612"/>
      <c r="GI4" s="612"/>
      <c r="GJ4" s="612"/>
      <c r="GK4" s="612"/>
      <c r="GL4" s="612"/>
      <c r="GM4" s="612"/>
      <c r="GN4" s="612"/>
      <c r="GO4" s="612"/>
      <c r="GP4" s="612"/>
      <c r="GQ4" s="612"/>
      <c r="GR4" s="612"/>
      <c r="GS4" s="612"/>
      <c r="GT4" s="612"/>
      <c r="GU4" s="612"/>
      <c r="GV4" s="612"/>
      <c r="GW4" s="612"/>
      <c r="GX4" s="612"/>
      <c r="GY4" s="612"/>
      <c r="GZ4" s="612"/>
      <c r="HA4" s="612"/>
      <c r="HB4" s="612"/>
      <c r="HC4" s="612"/>
      <c r="HD4" s="612"/>
      <c r="HE4" s="612"/>
      <c r="HF4" s="612"/>
      <c r="HG4" s="612"/>
      <c r="HH4" s="612"/>
      <c r="HI4" s="612"/>
      <c r="HJ4" s="612"/>
      <c r="HK4" s="612"/>
      <c r="HL4" s="612"/>
      <c r="HM4" s="612"/>
      <c r="HN4" s="612"/>
      <c r="HO4" s="612"/>
      <c r="HP4" s="612"/>
      <c r="HQ4" s="612"/>
      <c r="HR4" s="612"/>
      <c r="HS4" s="612"/>
      <c r="HT4" s="612"/>
      <c r="HU4" s="612"/>
      <c r="HV4" s="612"/>
      <c r="HW4" s="612"/>
      <c r="HX4" s="612"/>
      <c r="HY4" s="612"/>
      <c r="HZ4" s="612"/>
      <c r="IA4" s="612"/>
      <c r="IB4" s="612"/>
      <c r="IC4" s="612"/>
      <c r="ID4" s="612"/>
      <c r="IE4" s="612"/>
      <c r="IF4" s="612"/>
      <c r="IG4" s="612"/>
      <c r="IH4" s="612"/>
      <c r="II4" s="612"/>
    </row>
    <row r="5" spans="1:243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213"/>
      <c r="Q5" s="213"/>
      <c r="R5" s="72"/>
      <c r="S5" s="72"/>
      <c r="T5" s="72"/>
      <c r="U5" s="72"/>
      <c r="V5" s="72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244"/>
      <c r="AW5" s="244"/>
      <c r="AX5" s="244"/>
      <c r="AY5" s="244"/>
      <c r="AZ5" s="50"/>
      <c r="BA5" s="612"/>
      <c r="BB5" s="612"/>
      <c r="BC5" s="612"/>
      <c r="BD5" s="612"/>
      <c r="BE5" s="612"/>
      <c r="BF5" s="612"/>
      <c r="BG5" s="612"/>
      <c r="BH5" s="612"/>
      <c r="BI5" s="612"/>
      <c r="BJ5" s="612"/>
      <c r="BK5" s="612"/>
      <c r="BL5" s="612"/>
      <c r="BM5" s="612"/>
      <c r="BN5" s="612"/>
      <c r="BO5" s="612"/>
      <c r="BP5" s="612"/>
      <c r="BQ5" s="612"/>
      <c r="BR5" s="612"/>
      <c r="BS5" s="612"/>
      <c r="BT5" s="612"/>
      <c r="BU5" s="612"/>
      <c r="BV5" s="612"/>
      <c r="BW5" s="612"/>
      <c r="BX5" s="612"/>
      <c r="BY5" s="612"/>
      <c r="BZ5" s="612"/>
      <c r="CA5" s="612"/>
      <c r="CB5" s="612"/>
      <c r="CC5" s="612"/>
      <c r="CD5" s="612"/>
      <c r="CE5" s="612"/>
      <c r="CF5" s="612"/>
      <c r="CG5" s="612"/>
      <c r="CH5" s="612"/>
      <c r="CI5" s="612"/>
      <c r="CJ5" s="612"/>
      <c r="CK5" s="612"/>
      <c r="CL5" s="612"/>
      <c r="CM5" s="612"/>
      <c r="CN5" s="612"/>
      <c r="CO5" s="612"/>
      <c r="CP5" s="612"/>
      <c r="CQ5" s="612"/>
      <c r="CR5" s="612"/>
      <c r="CS5" s="612"/>
      <c r="CT5" s="612"/>
      <c r="CU5" s="612"/>
      <c r="CV5" s="612"/>
      <c r="CW5" s="612"/>
      <c r="CX5" s="612"/>
      <c r="CY5" s="612"/>
      <c r="CZ5" s="612"/>
      <c r="DA5" s="612"/>
      <c r="DB5" s="612"/>
      <c r="DC5" s="612"/>
      <c r="DD5" s="612"/>
      <c r="DE5" s="612"/>
      <c r="DF5" s="612"/>
      <c r="DG5" s="612"/>
      <c r="DH5" s="612"/>
      <c r="DI5" s="612"/>
      <c r="DJ5" s="612"/>
      <c r="DK5" s="612"/>
      <c r="DL5" s="612"/>
      <c r="DM5" s="612"/>
      <c r="DN5" s="612"/>
      <c r="DO5" s="612"/>
      <c r="DP5" s="612"/>
      <c r="DQ5" s="612"/>
      <c r="DR5" s="612"/>
      <c r="DS5" s="612"/>
      <c r="DT5" s="612"/>
      <c r="DU5" s="612"/>
      <c r="DV5" s="612"/>
      <c r="DW5" s="612"/>
      <c r="DX5" s="612"/>
      <c r="DY5" s="612"/>
      <c r="DZ5" s="612"/>
      <c r="EA5" s="612"/>
      <c r="EB5" s="612"/>
      <c r="EC5" s="612"/>
      <c r="ED5" s="612"/>
      <c r="EE5" s="612"/>
      <c r="EF5" s="612"/>
      <c r="EG5" s="612"/>
      <c r="EH5" s="612"/>
      <c r="EI5" s="612"/>
      <c r="EJ5" s="612"/>
      <c r="EK5" s="612"/>
      <c r="EL5" s="612"/>
      <c r="EM5" s="612"/>
      <c r="EN5" s="612"/>
      <c r="EO5" s="612"/>
      <c r="EP5" s="612"/>
      <c r="EQ5" s="612"/>
      <c r="ER5" s="612"/>
      <c r="ES5" s="612"/>
      <c r="ET5" s="612"/>
      <c r="EU5" s="612"/>
      <c r="EV5" s="612"/>
      <c r="EW5" s="612"/>
      <c r="EX5" s="612"/>
      <c r="EY5" s="612"/>
      <c r="EZ5" s="612"/>
      <c r="FA5" s="612"/>
      <c r="FB5" s="612"/>
      <c r="FC5" s="612"/>
      <c r="FD5" s="612"/>
      <c r="FE5" s="612"/>
      <c r="FF5" s="612"/>
      <c r="FG5" s="612"/>
      <c r="FH5" s="612"/>
      <c r="FI5" s="612"/>
      <c r="FJ5" s="612"/>
      <c r="FK5" s="612"/>
      <c r="FL5" s="612"/>
      <c r="FM5" s="612"/>
      <c r="FN5" s="612"/>
      <c r="FO5" s="612"/>
      <c r="FP5" s="612"/>
      <c r="FQ5" s="612"/>
      <c r="FR5" s="612"/>
      <c r="FS5" s="612"/>
      <c r="FT5" s="612"/>
      <c r="FU5" s="612"/>
      <c r="FV5" s="612"/>
      <c r="FW5" s="612"/>
      <c r="FX5" s="612"/>
      <c r="FY5" s="612"/>
      <c r="FZ5" s="612"/>
      <c r="GA5" s="612"/>
      <c r="GB5" s="612"/>
      <c r="GC5" s="612"/>
      <c r="GD5" s="612"/>
      <c r="GE5" s="245"/>
      <c r="GF5" s="612"/>
      <c r="GG5" s="612"/>
      <c r="GH5" s="612"/>
      <c r="GI5" s="612"/>
      <c r="GJ5" s="612"/>
      <c r="GK5" s="612"/>
      <c r="GL5" s="612"/>
      <c r="GM5" s="612"/>
      <c r="GN5" s="612"/>
      <c r="GO5" s="612"/>
      <c r="GP5" s="612"/>
      <c r="GQ5" s="612"/>
      <c r="GR5" s="612"/>
      <c r="GS5" s="612"/>
      <c r="GT5" s="612"/>
      <c r="GU5" s="612"/>
      <c r="GV5" s="612"/>
      <c r="GW5" s="612"/>
      <c r="GX5" s="612"/>
      <c r="GY5" s="612"/>
      <c r="GZ5" s="612"/>
      <c r="HA5" s="612"/>
      <c r="HB5" s="612"/>
      <c r="HC5" s="612"/>
      <c r="HD5" s="612"/>
      <c r="HE5" s="612"/>
      <c r="HF5" s="612"/>
      <c r="HG5" s="612"/>
      <c r="HH5" s="612"/>
      <c r="HI5" s="612"/>
      <c r="HJ5" s="612"/>
      <c r="HK5" s="612"/>
      <c r="HL5" s="612"/>
      <c r="HM5" s="612"/>
      <c r="HN5" s="612"/>
      <c r="HO5" s="612"/>
      <c r="HP5" s="612"/>
      <c r="HQ5" s="612"/>
      <c r="HR5" s="612"/>
      <c r="HS5" s="612"/>
      <c r="HT5" s="612"/>
      <c r="HU5" s="612"/>
      <c r="HV5" s="612"/>
      <c r="HW5" s="612"/>
      <c r="HX5" s="612"/>
      <c r="HY5" s="612"/>
      <c r="HZ5" s="612"/>
      <c r="IA5" s="612"/>
      <c r="IB5" s="612"/>
      <c r="IC5" s="612"/>
      <c r="ID5" s="612"/>
      <c r="IE5" s="612"/>
      <c r="IF5" s="612"/>
      <c r="IG5" s="612"/>
      <c r="IH5" s="612"/>
      <c r="II5" s="612"/>
    </row>
    <row r="6" spans="1:243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213"/>
      <c r="P6" s="213"/>
      <c r="Q6" s="213"/>
      <c r="R6" s="72"/>
      <c r="S6" s="72"/>
      <c r="T6" s="72"/>
      <c r="U6" s="72"/>
      <c r="V6" s="72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244"/>
      <c r="AW6" s="244"/>
      <c r="AX6" s="244"/>
      <c r="AY6" s="244"/>
      <c r="AZ6" s="50"/>
      <c r="BA6" s="612"/>
      <c r="BB6" s="612"/>
      <c r="BC6" s="612"/>
      <c r="BD6" s="612"/>
      <c r="BE6" s="612"/>
      <c r="BF6" s="612"/>
      <c r="BG6" s="612"/>
      <c r="BH6" s="612"/>
      <c r="BI6" s="612"/>
      <c r="BJ6" s="612"/>
      <c r="BK6" s="612"/>
      <c r="BL6" s="612"/>
      <c r="BM6" s="612"/>
      <c r="BN6" s="612"/>
      <c r="BO6" s="612"/>
      <c r="BP6" s="612"/>
      <c r="BQ6" s="612"/>
      <c r="BR6" s="612"/>
      <c r="BS6" s="612"/>
      <c r="BT6" s="612"/>
      <c r="BU6" s="612"/>
      <c r="BV6" s="612"/>
      <c r="BW6" s="612"/>
      <c r="BX6" s="612"/>
      <c r="BY6" s="612"/>
      <c r="BZ6" s="612"/>
      <c r="CA6" s="612"/>
      <c r="CB6" s="612"/>
      <c r="CC6" s="612"/>
      <c r="CD6" s="612"/>
      <c r="CE6" s="612"/>
      <c r="CF6" s="612"/>
      <c r="CG6" s="612"/>
      <c r="CH6" s="612"/>
      <c r="CI6" s="612"/>
      <c r="CJ6" s="612"/>
      <c r="CK6" s="612"/>
      <c r="CL6" s="612"/>
      <c r="CM6" s="612"/>
      <c r="CN6" s="612"/>
      <c r="CO6" s="612"/>
      <c r="CP6" s="612"/>
      <c r="CQ6" s="612"/>
      <c r="CR6" s="612"/>
      <c r="CS6" s="612"/>
      <c r="CT6" s="612"/>
      <c r="CU6" s="612"/>
      <c r="CV6" s="612"/>
      <c r="CW6" s="612"/>
      <c r="CX6" s="612"/>
      <c r="CY6" s="612"/>
      <c r="CZ6" s="612"/>
      <c r="DA6" s="612"/>
      <c r="DB6" s="612"/>
      <c r="DC6" s="612"/>
      <c r="DD6" s="612"/>
      <c r="DE6" s="612"/>
      <c r="DF6" s="612"/>
      <c r="DG6" s="612"/>
      <c r="DH6" s="612"/>
      <c r="DI6" s="612"/>
      <c r="DJ6" s="612"/>
      <c r="DK6" s="612"/>
      <c r="DL6" s="612"/>
      <c r="DM6" s="612"/>
      <c r="DN6" s="612"/>
      <c r="DO6" s="612"/>
      <c r="DP6" s="612"/>
      <c r="DQ6" s="612"/>
      <c r="DR6" s="612"/>
      <c r="DS6" s="612"/>
      <c r="DT6" s="612"/>
      <c r="DU6" s="612"/>
      <c r="DV6" s="612"/>
      <c r="DW6" s="612"/>
      <c r="DX6" s="612"/>
      <c r="DY6" s="612"/>
      <c r="DZ6" s="612"/>
      <c r="EA6" s="612"/>
      <c r="EB6" s="612"/>
      <c r="EC6" s="612"/>
      <c r="ED6" s="612"/>
      <c r="EE6" s="612"/>
      <c r="EF6" s="612"/>
      <c r="EG6" s="612"/>
      <c r="EH6" s="612"/>
      <c r="EI6" s="612"/>
      <c r="EJ6" s="612"/>
      <c r="EK6" s="612"/>
      <c r="EL6" s="612"/>
      <c r="EM6" s="612"/>
      <c r="EN6" s="612"/>
      <c r="EO6" s="612"/>
      <c r="EP6" s="612"/>
      <c r="EQ6" s="612"/>
      <c r="ER6" s="612"/>
      <c r="ES6" s="612"/>
      <c r="ET6" s="612"/>
      <c r="EU6" s="612"/>
      <c r="EV6" s="612"/>
      <c r="EW6" s="612"/>
      <c r="EX6" s="612"/>
      <c r="EY6" s="612"/>
      <c r="EZ6" s="612"/>
      <c r="FA6" s="612"/>
      <c r="FB6" s="612"/>
      <c r="FC6" s="612"/>
      <c r="FD6" s="612"/>
      <c r="FE6" s="612"/>
      <c r="FF6" s="612"/>
      <c r="FG6" s="612"/>
      <c r="FH6" s="612"/>
      <c r="FI6" s="612"/>
      <c r="FJ6" s="612"/>
      <c r="FK6" s="612"/>
      <c r="FL6" s="612"/>
      <c r="FM6" s="612"/>
      <c r="FN6" s="612"/>
      <c r="FO6" s="612"/>
      <c r="FP6" s="612"/>
      <c r="FQ6" s="612"/>
      <c r="FR6" s="612"/>
      <c r="FS6" s="612"/>
      <c r="FT6" s="612"/>
      <c r="FU6" s="612"/>
      <c r="FV6" s="612"/>
      <c r="FW6" s="612"/>
      <c r="FX6" s="612"/>
      <c r="FY6" s="612"/>
      <c r="FZ6" s="612"/>
      <c r="GA6" s="612"/>
      <c r="GB6" s="612"/>
      <c r="GC6" s="612"/>
      <c r="GD6" s="612"/>
      <c r="GE6" s="245"/>
      <c r="GF6" s="612"/>
      <c r="GG6" s="612"/>
      <c r="GH6" s="612"/>
      <c r="GI6" s="612"/>
      <c r="GJ6" s="612"/>
      <c r="GK6" s="612"/>
      <c r="GL6" s="612"/>
      <c r="GM6" s="612"/>
      <c r="GN6" s="612"/>
      <c r="GO6" s="612"/>
      <c r="GP6" s="612"/>
      <c r="GQ6" s="612"/>
      <c r="GR6" s="612"/>
      <c r="GS6" s="612"/>
      <c r="GT6" s="612"/>
      <c r="GU6" s="612"/>
      <c r="GV6" s="612"/>
      <c r="GW6" s="612"/>
      <c r="GX6" s="612"/>
      <c r="GY6" s="612"/>
      <c r="GZ6" s="612"/>
      <c r="HA6" s="612"/>
      <c r="HB6" s="612"/>
      <c r="HC6" s="612"/>
      <c r="HD6" s="612"/>
      <c r="HE6" s="612"/>
      <c r="HF6" s="612"/>
      <c r="HG6" s="612"/>
      <c r="HH6" s="612"/>
      <c r="HI6" s="612"/>
      <c r="HJ6" s="612"/>
      <c r="HK6" s="612"/>
      <c r="HL6" s="612"/>
      <c r="HM6" s="612"/>
      <c r="HN6" s="612"/>
      <c r="HO6" s="612"/>
      <c r="HP6" s="612"/>
      <c r="HQ6" s="612"/>
      <c r="HR6" s="612"/>
      <c r="HS6" s="612"/>
      <c r="HT6" s="612"/>
      <c r="HU6" s="612"/>
      <c r="HV6" s="612"/>
      <c r="HW6" s="612"/>
      <c r="HX6" s="612"/>
      <c r="HY6" s="612"/>
      <c r="HZ6" s="612"/>
      <c r="IA6" s="612"/>
      <c r="IB6" s="612"/>
      <c r="IC6" s="612"/>
      <c r="ID6" s="612"/>
      <c r="IE6" s="612"/>
      <c r="IF6" s="612"/>
      <c r="IG6" s="612"/>
      <c r="IH6" s="612"/>
      <c r="II6" s="612"/>
    </row>
    <row r="7" spans="1:243" ht="15">
      <c r="A7" s="72"/>
      <c r="B7" s="72"/>
      <c r="C7" s="72"/>
      <c r="D7" s="72"/>
      <c r="E7" s="72"/>
      <c r="F7" s="72"/>
      <c r="G7" s="72"/>
      <c r="H7" s="72"/>
      <c r="I7" s="72"/>
      <c r="J7" s="1152" t="str">
        <f>IF(MasterSheet!$A$1=1, MasterSheet!C5,MasterSheet!B5)</f>
        <v>CRNA GORA</v>
      </c>
      <c r="K7" s="1152"/>
      <c r="L7" s="1152"/>
      <c r="M7" s="76"/>
      <c r="N7" s="71"/>
      <c r="O7" s="72"/>
      <c r="P7" s="213"/>
      <c r="Q7" s="213"/>
      <c r="R7" s="72"/>
      <c r="S7" s="72"/>
      <c r="T7" s="72"/>
      <c r="U7" s="72"/>
      <c r="V7" s="72"/>
      <c r="W7" s="217"/>
      <c r="X7" s="217"/>
      <c r="Y7" s="217"/>
      <c r="Z7" s="217"/>
      <c r="AA7" s="217"/>
      <c r="AB7" s="217"/>
      <c r="AC7" s="217"/>
      <c r="AD7" s="217"/>
      <c r="AE7" s="217"/>
      <c r="AF7" s="217"/>
      <c r="AG7" s="217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244"/>
      <c r="AW7" s="244"/>
      <c r="AX7" s="244"/>
      <c r="AY7" s="244"/>
      <c r="AZ7" s="50"/>
      <c r="BA7" s="612"/>
      <c r="BB7" s="612"/>
      <c r="BC7" s="612"/>
      <c r="BD7" s="612"/>
      <c r="BE7" s="612"/>
      <c r="BF7" s="612"/>
      <c r="BG7" s="612"/>
      <c r="BH7" s="612"/>
      <c r="BI7" s="612"/>
      <c r="BJ7" s="612"/>
      <c r="BK7" s="612"/>
      <c r="BL7" s="612"/>
      <c r="BM7" s="612"/>
      <c r="BN7" s="612"/>
      <c r="BO7" s="612"/>
      <c r="BP7" s="612"/>
      <c r="BQ7" s="612"/>
      <c r="BR7" s="612"/>
      <c r="BS7" s="612"/>
      <c r="BT7" s="612"/>
      <c r="BU7" s="612"/>
      <c r="BV7" s="612"/>
      <c r="BW7" s="612"/>
      <c r="BX7" s="612"/>
      <c r="BY7" s="612"/>
      <c r="BZ7" s="612"/>
      <c r="CA7" s="612"/>
      <c r="CB7" s="612"/>
      <c r="CC7" s="612"/>
      <c r="CD7" s="612"/>
      <c r="CE7" s="612"/>
      <c r="CF7" s="612"/>
      <c r="CG7" s="612"/>
      <c r="CH7" s="612"/>
      <c r="CI7" s="612"/>
      <c r="CJ7" s="612"/>
      <c r="CK7" s="612"/>
      <c r="CL7" s="612"/>
      <c r="CM7" s="612"/>
      <c r="CN7" s="612"/>
      <c r="CO7" s="612"/>
      <c r="CP7" s="612"/>
      <c r="CQ7" s="612"/>
      <c r="CR7" s="612"/>
      <c r="CS7" s="612"/>
      <c r="CT7" s="612"/>
      <c r="CU7" s="612"/>
      <c r="CV7" s="612"/>
      <c r="CW7" s="612"/>
      <c r="CX7" s="612"/>
      <c r="CY7" s="612"/>
      <c r="CZ7" s="612"/>
      <c r="DA7" s="612"/>
      <c r="DB7" s="612"/>
      <c r="DC7" s="612"/>
      <c r="DD7" s="612"/>
      <c r="DE7" s="612"/>
      <c r="DF7" s="612"/>
      <c r="DG7" s="612"/>
      <c r="DH7" s="612"/>
      <c r="DI7" s="612"/>
      <c r="DJ7" s="612"/>
      <c r="DK7" s="612"/>
      <c r="DL7" s="612"/>
      <c r="DM7" s="612"/>
      <c r="DN7" s="612"/>
      <c r="DO7" s="612"/>
      <c r="DP7" s="612"/>
      <c r="DQ7" s="612"/>
      <c r="DR7" s="612"/>
      <c r="DS7" s="612"/>
      <c r="DT7" s="612"/>
      <c r="DU7" s="612"/>
      <c r="DV7" s="612"/>
      <c r="DW7" s="612"/>
      <c r="DX7" s="612"/>
      <c r="DY7" s="612"/>
      <c r="DZ7" s="612"/>
      <c r="EA7" s="612"/>
      <c r="EB7" s="612"/>
      <c r="EC7" s="612"/>
      <c r="ED7" s="612"/>
      <c r="EE7" s="612"/>
      <c r="EF7" s="612"/>
      <c r="EG7" s="612"/>
      <c r="EH7" s="612"/>
      <c r="EI7" s="612"/>
      <c r="EJ7" s="612"/>
      <c r="EK7" s="612"/>
      <c r="EL7" s="612"/>
      <c r="EM7" s="612"/>
      <c r="EN7" s="612"/>
      <c r="EO7" s="612"/>
      <c r="EP7" s="612"/>
      <c r="EQ7" s="612"/>
      <c r="ER7" s="612"/>
      <c r="ES7" s="612"/>
      <c r="ET7" s="612"/>
      <c r="EU7" s="612"/>
      <c r="EV7" s="612"/>
      <c r="EW7" s="612"/>
      <c r="EX7" s="612"/>
      <c r="EY7" s="612"/>
      <c r="EZ7" s="612"/>
      <c r="FA7" s="612"/>
      <c r="FB7" s="612"/>
      <c r="FC7" s="612"/>
      <c r="FD7" s="612"/>
      <c r="FE7" s="612"/>
      <c r="FF7" s="612"/>
      <c r="FG7" s="612"/>
      <c r="FH7" s="612"/>
      <c r="FI7" s="612"/>
      <c r="FJ7" s="612"/>
      <c r="FK7" s="612"/>
      <c r="FL7" s="612"/>
      <c r="FM7" s="612"/>
      <c r="FN7" s="612"/>
      <c r="FO7" s="612"/>
      <c r="FP7" s="612"/>
      <c r="FQ7" s="612"/>
      <c r="FR7" s="612"/>
      <c r="FS7" s="612"/>
      <c r="FT7" s="612"/>
      <c r="FU7" s="612"/>
      <c r="FV7" s="612"/>
      <c r="FW7" s="612"/>
      <c r="FX7" s="612"/>
      <c r="FY7" s="612"/>
      <c r="FZ7" s="612"/>
      <c r="GA7" s="612"/>
      <c r="GB7" s="612"/>
      <c r="GC7" s="612"/>
      <c r="GD7" s="612"/>
      <c r="GE7" s="245"/>
      <c r="GF7" s="612"/>
      <c r="GG7" s="612"/>
      <c r="GH7" s="612"/>
      <c r="GI7" s="612"/>
      <c r="GJ7" s="612"/>
      <c r="GK7" s="612"/>
      <c r="GL7" s="612"/>
      <c r="GM7" s="612"/>
      <c r="GN7" s="612"/>
      <c r="GO7" s="612"/>
      <c r="GP7" s="612"/>
      <c r="GQ7" s="612"/>
      <c r="GR7" s="612"/>
      <c r="GS7" s="612"/>
      <c r="GT7" s="612"/>
      <c r="GU7" s="612"/>
      <c r="GV7" s="612"/>
      <c r="GW7" s="612"/>
      <c r="GX7" s="612"/>
      <c r="GY7" s="612"/>
      <c r="GZ7" s="612"/>
      <c r="HA7" s="612"/>
      <c r="HB7" s="612"/>
      <c r="HC7" s="612"/>
      <c r="HD7" s="612"/>
      <c r="HE7" s="612"/>
      <c r="HF7" s="612"/>
      <c r="HG7" s="612"/>
      <c r="HH7" s="612"/>
      <c r="HI7" s="612"/>
      <c r="HJ7" s="612"/>
      <c r="HK7" s="612"/>
      <c r="HL7" s="612"/>
      <c r="HM7" s="612"/>
      <c r="HN7" s="612"/>
      <c r="HO7" s="612"/>
      <c r="HP7" s="612"/>
      <c r="HQ7" s="612"/>
      <c r="HR7" s="612"/>
      <c r="HS7" s="612"/>
      <c r="HT7" s="612"/>
      <c r="HU7" s="612"/>
      <c r="HV7" s="612"/>
      <c r="HW7" s="612"/>
      <c r="HX7" s="612"/>
      <c r="HY7" s="612"/>
      <c r="HZ7" s="612"/>
      <c r="IA7" s="612"/>
      <c r="IB7" s="612"/>
      <c r="IC7" s="612"/>
      <c r="ID7" s="612"/>
      <c r="IE7" s="612"/>
      <c r="IF7" s="612"/>
      <c r="IG7" s="612"/>
      <c r="IH7" s="612"/>
      <c r="II7" s="612"/>
    </row>
    <row r="8" spans="1:243" ht="15">
      <c r="A8" s="72"/>
      <c r="B8" s="72"/>
      <c r="C8" s="72"/>
      <c r="D8" s="72"/>
      <c r="E8" s="72"/>
      <c r="F8" s="72"/>
      <c r="G8" s="72"/>
      <c r="H8" s="72"/>
      <c r="I8" s="1152" t="str">
        <f>IF(MasterSheet!$A$1=1,MasterSheet!C6,MasterSheet!B6)</f>
        <v>MINISTARSTVO FINANSIJA</v>
      </c>
      <c r="J8" s="1152"/>
      <c r="K8" s="1152"/>
      <c r="L8" s="1152"/>
      <c r="M8" s="1152"/>
      <c r="N8" s="76"/>
      <c r="O8" s="72"/>
      <c r="P8" s="213"/>
      <c r="Q8" s="213"/>
      <c r="R8" s="72"/>
      <c r="S8" s="72"/>
      <c r="T8" s="72"/>
      <c r="U8" s="72"/>
      <c r="V8" s="72"/>
      <c r="W8" s="217"/>
      <c r="X8" s="217"/>
      <c r="Y8" s="217"/>
      <c r="Z8" s="217"/>
      <c r="AA8" s="217"/>
      <c r="AB8" s="217"/>
      <c r="AC8" s="217"/>
      <c r="AD8" s="217"/>
      <c r="AE8" s="217"/>
      <c r="AF8" s="217"/>
      <c r="AG8" s="217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244"/>
      <c r="AW8" s="244"/>
      <c r="AX8" s="244"/>
      <c r="AY8" s="244"/>
      <c r="AZ8" s="50"/>
      <c r="BA8" s="612"/>
      <c r="BB8" s="612"/>
      <c r="BC8" s="612"/>
      <c r="BD8" s="612"/>
      <c r="BE8" s="612"/>
      <c r="BF8" s="612"/>
      <c r="BG8" s="612"/>
      <c r="BH8" s="612"/>
      <c r="BI8" s="612"/>
      <c r="BJ8" s="612"/>
      <c r="BK8" s="612"/>
      <c r="BL8" s="612"/>
      <c r="BM8" s="612"/>
      <c r="BN8" s="612"/>
      <c r="BO8" s="612"/>
      <c r="BP8" s="612"/>
      <c r="BQ8" s="612"/>
      <c r="BR8" s="612"/>
      <c r="BS8" s="612"/>
      <c r="BT8" s="612"/>
      <c r="BU8" s="612"/>
      <c r="BV8" s="612"/>
      <c r="BW8" s="612"/>
      <c r="BX8" s="612"/>
      <c r="BY8" s="612"/>
      <c r="BZ8" s="612"/>
      <c r="CA8" s="612"/>
      <c r="CB8" s="612"/>
      <c r="CC8" s="612"/>
      <c r="CD8" s="612"/>
      <c r="CE8" s="612"/>
      <c r="CF8" s="612"/>
      <c r="CG8" s="612"/>
      <c r="CH8" s="612"/>
      <c r="CI8" s="612"/>
      <c r="CJ8" s="612"/>
      <c r="CK8" s="612"/>
      <c r="CL8" s="612"/>
      <c r="CM8" s="612"/>
      <c r="CN8" s="612"/>
      <c r="CO8" s="612"/>
      <c r="CP8" s="612"/>
      <c r="CQ8" s="612"/>
      <c r="CR8" s="612"/>
      <c r="CS8" s="612"/>
      <c r="CT8" s="612"/>
      <c r="CU8" s="612"/>
      <c r="CV8" s="612"/>
      <c r="CW8" s="612"/>
      <c r="CX8" s="612"/>
      <c r="CY8" s="612"/>
      <c r="CZ8" s="612"/>
      <c r="DA8" s="612"/>
      <c r="DB8" s="612"/>
      <c r="DC8" s="612"/>
      <c r="DD8" s="612"/>
      <c r="DE8" s="612"/>
      <c r="DF8" s="612"/>
      <c r="DG8" s="612"/>
      <c r="DH8" s="612"/>
      <c r="DI8" s="612"/>
      <c r="DJ8" s="612"/>
      <c r="DK8" s="612"/>
      <c r="DL8" s="612"/>
      <c r="DM8" s="612"/>
      <c r="DN8" s="612"/>
      <c r="DO8" s="612"/>
      <c r="DP8" s="612"/>
      <c r="DQ8" s="612"/>
      <c r="DR8" s="612"/>
      <c r="DS8" s="612"/>
      <c r="DT8" s="612"/>
      <c r="DU8" s="612"/>
      <c r="DV8" s="612"/>
      <c r="DW8" s="612"/>
      <c r="DX8" s="612"/>
      <c r="DY8" s="612"/>
      <c r="DZ8" s="612"/>
      <c r="EA8" s="612"/>
      <c r="EB8" s="612"/>
      <c r="EC8" s="612"/>
      <c r="ED8" s="612"/>
      <c r="EE8" s="612"/>
      <c r="EF8" s="612"/>
      <c r="EG8" s="612"/>
      <c r="EH8" s="612"/>
      <c r="EI8" s="612"/>
      <c r="EJ8" s="612"/>
      <c r="EK8" s="612"/>
      <c r="EL8" s="612"/>
      <c r="EM8" s="612"/>
      <c r="EN8" s="612"/>
      <c r="EO8" s="612"/>
      <c r="EP8" s="612"/>
      <c r="EQ8" s="612"/>
      <c r="ER8" s="612"/>
      <c r="ES8" s="612"/>
      <c r="ET8" s="612"/>
      <c r="EU8" s="612"/>
      <c r="EV8" s="612"/>
      <c r="EW8" s="612"/>
      <c r="EX8" s="612"/>
      <c r="EY8" s="612"/>
      <c r="EZ8" s="612"/>
      <c r="FA8" s="612"/>
      <c r="FB8" s="612"/>
      <c r="FC8" s="612"/>
      <c r="FD8" s="612"/>
      <c r="FE8" s="612"/>
      <c r="FF8" s="612"/>
      <c r="FG8" s="612"/>
      <c r="FH8" s="612"/>
      <c r="FI8" s="612"/>
      <c r="FJ8" s="612"/>
      <c r="FK8" s="612"/>
      <c r="FL8" s="612"/>
      <c r="FM8" s="612"/>
      <c r="FN8" s="612"/>
      <c r="FO8" s="612"/>
      <c r="FP8" s="612"/>
      <c r="FQ8" s="612"/>
      <c r="FR8" s="612"/>
      <c r="FS8" s="612"/>
      <c r="FT8" s="612"/>
      <c r="FU8" s="612"/>
      <c r="FV8" s="612"/>
      <c r="FW8" s="612"/>
      <c r="FX8" s="612"/>
      <c r="FY8" s="612"/>
      <c r="FZ8" s="612"/>
      <c r="GA8" s="612"/>
      <c r="GB8" s="612"/>
      <c r="GC8" s="612"/>
      <c r="GD8" s="612"/>
      <c r="GE8" s="245"/>
      <c r="GF8" s="612"/>
      <c r="GG8" s="612"/>
      <c r="GH8" s="612"/>
      <c r="GI8" s="612"/>
      <c r="GJ8" s="612"/>
      <c r="GK8" s="612"/>
      <c r="GL8" s="612"/>
      <c r="GM8" s="612"/>
      <c r="GN8" s="612"/>
      <c r="GO8" s="612"/>
      <c r="GP8" s="612"/>
      <c r="GQ8" s="612"/>
      <c r="GR8" s="612"/>
      <c r="GS8" s="612"/>
      <c r="GT8" s="612"/>
      <c r="GU8" s="612"/>
      <c r="GV8" s="612"/>
      <c r="GW8" s="612"/>
      <c r="GX8" s="612"/>
      <c r="GY8" s="612"/>
      <c r="GZ8" s="612"/>
      <c r="HA8" s="612"/>
      <c r="HB8" s="612"/>
      <c r="HC8" s="612"/>
      <c r="HD8" s="612"/>
      <c r="HE8" s="612"/>
      <c r="HF8" s="612"/>
      <c r="HG8" s="612"/>
      <c r="HH8" s="612"/>
      <c r="HI8" s="612"/>
      <c r="HJ8" s="612"/>
      <c r="HK8" s="612"/>
      <c r="HL8" s="612"/>
      <c r="HM8" s="612"/>
      <c r="HN8" s="612"/>
      <c r="HO8" s="612"/>
      <c r="HP8" s="612"/>
      <c r="HQ8" s="612"/>
      <c r="HR8" s="612"/>
      <c r="HS8" s="612"/>
      <c r="HT8" s="612"/>
      <c r="HU8" s="612"/>
      <c r="HV8" s="612"/>
      <c r="HW8" s="612"/>
      <c r="HX8" s="612"/>
      <c r="HY8" s="612"/>
      <c r="HZ8" s="612"/>
      <c r="IA8" s="612"/>
      <c r="IB8" s="612"/>
      <c r="IC8" s="612"/>
      <c r="ID8" s="612"/>
      <c r="IE8" s="612"/>
      <c r="IF8" s="612"/>
      <c r="IG8" s="612"/>
      <c r="IH8" s="612"/>
      <c r="II8" s="612"/>
    </row>
    <row r="9" spans="1:243" ht="15">
      <c r="A9" s="72"/>
      <c r="B9" s="72"/>
      <c r="C9" s="72"/>
      <c r="D9" s="213"/>
      <c r="E9" s="72"/>
      <c r="F9" s="72"/>
      <c r="G9" s="72"/>
      <c r="H9" s="72"/>
      <c r="I9" s="72"/>
      <c r="J9" s="71"/>
      <c r="K9" s="71"/>
      <c r="L9" s="71"/>
      <c r="M9" s="71"/>
      <c r="N9" s="71"/>
      <c r="O9" s="72"/>
      <c r="P9" s="72"/>
      <c r="Q9" s="72"/>
      <c r="R9" s="72"/>
      <c r="S9" s="72"/>
      <c r="T9" s="72"/>
      <c r="U9" s="72"/>
      <c r="V9" s="72"/>
      <c r="W9" s="217"/>
      <c r="X9" s="217"/>
      <c r="Y9" s="217"/>
      <c r="Z9" s="217"/>
      <c r="AA9" s="217"/>
      <c r="AB9" s="217"/>
      <c r="AC9" s="217"/>
      <c r="AD9" s="217"/>
      <c r="AE9" s="217"/>
      <c r="AF9" s="217"/>
      <c r="AG9" s="217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244"/>
      <c r="AW9" s="244"/>
      <c r="AX9" s="244"/>
      <c r="AY9" s="244"/>
      <c r="AZ9" s="50"/>
      <c r="BA9" s="612"/>
      <c r="BB9" s="612"/>
      <c r="BC9" s="612"/>
      <c r="BD9" s="612"/>
      <c r="BE9" s="612"/>
      <c r="BF9" s="612"/>
      <c r="BG9" s="612"/>
      <c r="BH9" s="612"/>
      <c r="BI9" s="612"/>
      <c r="BJ9" s="612"/>
      <c r="BK9" s="612"/>
      <c r="BL9" s="612"/>
      <c r="BM9" s="612"/>
      <c r="BN9" s="612"/>
      <c r="BO9" s="612"/>
      <c r="BP9" s="612"/>
      <c r="BQ9" s="612"/>
      <c r="BR9" s="612"/>
      <c r="BS9" s="612"/>
      <c r="BT9" s="612"/>
      <c r="BU9" s="612"/>
      <c r="BV9" s="612"/>
      <c r="BW9" s="612"/>
      <c r="BX9" s="612"/>
      <c r="BY9" s="612"/>
      <c r="BZ9" s="612"/>
      <c r="CA9" s="612"/>
      <c r="CB9" s="612"/>
      <c r="CC9" s="612"/>
      <c r="CD9" s="612"/>
      <c r="CE9" s="612"/>
      <c r="CF9" s="612"/>
      <c r="CG9" s="612"/>
      <c r="CH9" s="612"/>
      <c r="CI9" s="612"/>
      <c r="CJ9" s="612"/>
      <c r="CK9" s="612"/>
      <c r="CL9" s="612"/>
      <c r="CM9" s="612"/>
      <c r="CN9" s="612"/>
      <c r="CO9" s="612"/>
      <c r="CP9" s="612"/>
      <c r="CQ9" s="612"/>
      <c r="CR9" s="612"/>
      <c r="CS9" s="612"/>
      <c r="CT9" s="612"/>
      <c r="CU9" s="612"/>
      <c r="CV9" s="612"/>
      <c r="CW9" s="612"/>
      <c r="CX9" s="612"/>
      <c r="CY9" s="612"/>
      <c r="CZ9" s="612"/>
      <c r="DA9" s="612"/>
      <c r="DB9" s="612"/>
      <c r="DC9" s="612"/>
      <c r="DD9" s="612"/>
      <c r="DE9" s="612"/>
      <c r="DF9" s="612"/>
      <c r="DG9" s="612"/>
      <c r="DH9" s="612"/>
      <c r="DI9" s="612"/>
      <c r="DJ9" s="612"/>
      <c r="DK9" s="612"/>
      <c r="DL9" s="612"/>
      <c r="DM9" s="612"/>
      <c r="DN9" s="612"/>
      <c r="DO9" s="612"/>
      <c r="DP9" s="612"/>
      <c r="DQ9" s="612"/>
      <c r="DR9" s="612"/>
      <c r="DS9" s="612"/>
      <c r="DT9" s="612"/>
      <c r="DU9" s="612"/>
      <c r="DV9" s="612"/>
      <c r="DW9" s="612"/>
      <c r="DX9" s="612"/>
      <c r="DY9" s="612"/>
      <c r="DZ9" s="612"/>
      <c r="EA9" s="612"/>
      <c r="EB9" s="612"/>
      <c r="EC9" s="612"/>
      <c r="ED9" s="612"/>
      <c r="EE9" s="612"/>
      <c r="EF9" s="612"/>
      <c r="EG9" s="612"/>
      <c r="EH9" s="612"/>
      <c r="EI9" s="612"/>
      <c r="EJ9" s="612"/>
      <c r="EK9" s="612"/>
      <c r="EL9" s="612"/>
      <c r="EM9" s="612"/>
      <c r="EN9" s="612"/>
      <c r="EO9" s="612"/>
      <c r="EP9" s="612"/>
      <c r="EQ9" s="612"/>
      <c r="ER9" s="612"/>
      <c r="ES9" s="612"/>
      <c r="ET9" s="612"/>
      <c r="EU9" s="612"/>
      <c r="EV9" s="612"/>
      <c r="EW9" s="612"/>
      <c r="EX9" s="612"/>
      <c r="EY9" s="612"/>
      <c r="EZ9" s="612"/>
      <c r="FA9" s="612"/>
      <c r="FB9" s="612"/>
      <c r="FC9" s="612"/>
      <c r="FD9" s="612"/>
      <c r="FE9" s="612"/>
      <c r="FF9" s="612"/>
      <c r="FG9" s="612"/>
      <c r="FH9" s="612"/>
      <c r="FI9" s="612"/>
      <c r="FJ9" s="612"/>
      <c r="FK9" s="612"/>
      <c r="FL9" s="612"/>
      <c r="FM9" s="612"/>
      <c r="FN9" s="612"/>
      <c r="FO9" s="612"/>
      <c r="FP9" s="612"/>
      <c r="FQ9" s="612"/>
      <c r="FR9" s="612"/>
      <c r="FS9" s="612"/>
      <c r="FT9" s="612"/>
      <c r="FU9" s="612"/>
      <c r="FV9" s="612"/>
      <c r="FW9" s="612"/>
      <c r="FX9" s="612"/>
      <c r="FY9" s="612"/>
      <c r="FZ9" s="612"/>
      <c r="GA9" s="612"/>
      <c r="GB9" s="612"/>
      <c r="GC9" s="612"/>
      <c r="GD9" s="612"/>
      <c r="GE9" s="245"/>
      <c r="GF9" s="612"/>
      <c r="GG9" s="612"/>
      <c r="GH9" s="612"/>
      <c r="GI9" s="612"/>
      <c r="GJ9" s="612"/>
      <c r="GK9" s="612"/>
      <c r="GL9" s="612"/>
      <c r="GM9" s="612"/>
      <c r="GN9" s="612"/>
      <c r="GO9" s="612"/>
      <c r="GP9" s="612"/>
      <c r="GQ9" s="612"/>
      <c r="GR9" s="612"/>
      <c r="GS9" s="612"/>
      <c r="GT9" s="612"/>
      <c r="GU9" s="612"/>
      <c r="GV9" s="612"/>
      <c r="GW9" s="612"/>
      <c r="GX9" s="612"/>
      <c r="GY9" s="612"/>
      <c r="GZ9" s="612"/>
      <c r="HA9" s="612"/>
      <c r="HB9" s="612"/>
      <c r="HC9" s="612"/>
      <c r="HD9" s="612"/>
      <c r="HE9" s="612"/>
      <c r="HF9" s="612"/>
      <c r="HG9" s="612"/>
      <c r="HH9" s="612"/>
      <c r="HI9" s="612"/>
      <c r="HJ9" s="612"/>
      <c r="HK9" s="612"/>
      <c r="HL9" s="612"/>
      <c r="HM9" s="612"/>
      <c r="HN9" s="612"/>
      <c r="HO9" s="612"/>
      <c r="HP9" s="612"/>
      <c r="HQ9" s="612"/>
      <c r="HR9" s="612"/>
      <c r="HS9" s="612"/>
      <c r="HT9" s="612"/>
      <c r="HU9" s="612"/>
      <c r="HV9" s="612"/>
      <c r="HW9" s="612"/>
      <c r="HX9" s="612"/>
      <c r="HY9" s="612"/>
      <c r="HZ9" s="612"/>
      <c r="IA9" s="612"/>
      <c r="IB9" s="612"/>
      <c r="IC9" s="612"/>
      <c r="ID9" s="612"/>
      <c r="IE9" s="612"/>
      <c r="IF9" s="612"/>
      <c r="IG9" s="612"/>
      <c r="IH9" s="612"/>
      <c r="II9" s="612"/>
    </row>
    <row r="10" spans="1:243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217"/>
      <c r="X10" s="217"/>
      <c r="Y10" s="217"/>
      <c r="Z10" s="217"/>
      <c r="AA10" s="217"/>
      <c r="AB10" s="217"/>
      <c r="AC10" s="217"/>
      <c r="AD10" s="217"/>
      <c r="AE10" s="217"/>
      <c r="AF10" s="217"/>
      <c r="AG10" s="217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244"/>
      <c r="AW10" s="244"/>
      <c r="AX10" s="244"/>
      <c r="AY10" s="244"/>
      <c r="AZ10" s="50"/>
      <c r="BA10" s="612"/>
      <c r="BB10" s="612"/>
      <c r="BC10" s="612"/>
      <c r="BD10" s="612"/>
      <c r="BE10" s="612"/>
      <c r="BF10" s="612"/>
      <c r="BG10" s="612"/>
      <c r="BH10" s="612"/>
      <c r="BI10" s="612"/>
      <c r="BJ10" s="612"/>
      <c r="BK10" s="612"/>
      <c r="BL10" s="612"/>
      <c r="BM10" s="612"/>
      <c r="BN10" s="612"/>
      <c r="BO10" s="612"/>
      <c r="BP10" s="612"/>
      <c r="BQ10" s="612"/>
      <c r="BR10" s="612"/>
      <c r="BS10" s="612"/>
      <c r="BT10" s="612"/>
      <c r="BU10" s="612"/>
      <c r="BV10" s="612"/>
      <c r="BW10" s="612"/>
      <c r="BX10" s="612"/>
      <c r="BY10" s="612"/>
      <c r="BZ10" s="612"/>
      <c r="CA10" s="612"/>
      <c r="CB10" s="612"/>
      <c r="CC10" s="612"/>
      <c r="CD10" s="612"/>
      <c r="CE10" s="612"/>
      <c r="CF10" s="612"/>
      <c r="CG10" s="612"/>
      <c r="CH10" s="612"/>
      <c r="CI10" s="612"/>
      <c r="CJ10" s="612"/>
      <c r="CK10" s="612"/>
      <c r="CL10" s="612"/>
      <c r="CM10" s="612"/>
      <c r="CN10" s="612"/>
      <c r="CO10" s="612"/>
      <c r="CP10" s="612"/>
      <c r="CQ10" s="612"/>
      <c r="CR10" s="612"/>
      <c r="CS10" s="612"/>
      <c r="CT10" s="612"/>
      <c r="CU10" s="612"/>
      <c r="CV10" s="612"/>
      <c r="CW10" s="612"/>
      <c r="CX10" s="612"/>
      <c r="CY10" s="612"/>
      <c r="CZ10" s="612"/>
      <c r="DA10" s="612"/>
      <c r="DB10" s="612"/>
      <c r="DC10" s="612"/>
      <c r="DD10" s="612"/>
      <c r="DE10" s="612"/>
      <c r="DF10" s="612"/>
      <c r="DG10" s="612"/>
      <c r="DH10" s="612"/>
      <c r="DI10" s="612"/>
      <c r="DJ10" s="612"/>
      <c r="DK10" s="612"/>
      <c r="DL10" s="612"/>
      <c r="DM10" s="612"/>
      <c r="DN10" s="612"/>
      <c r="DO10" s="612"/>
      <c r="DP10" s="612"/>
      <c r="DQ10" s="612"/>
      <c r="DR10" s="612"/>
      <c r="DS10" s="612"/>
      <c r="DT10" s="612"/>
      <c r="DU10" s="612"/>
      <c r="DV10" s="612"/>
      <c r="DW10" s="612"/>
      <c r="DX10" s="612"/>
      <c r="DY10" s="612"/>
      <c r="DZ10" s="612"/>
      <c r="EA10" s="612"/>
      <c r="EB10" s="612"/>
      <c r="EC10" s="612"/>
      <c r="ED10" s="612"/>
      <c r="EE10" s="612"/>
      <c r="EF10" s="612"/>
      <c r="EG10" s="612"/>
      <c r="EH10" s="612"/>
      <c r="EI10" s="612"/>
      <c r="EJ10" s="612"/>
      <c r="EK10" s="612"/>
      <c r="EL10" s="612"/>
      <c r="EM10" s="612"/>
      <c r="EN10" s="612"/>
      <c r="EO10" s="612"/>
      <c r="EP10" s="612"/>
      <c r="EQ10" s="612"/>
      <c r="ER10" s="612"/>
      <c r="ES10" s="612"/>
      <c r="ET10" s="612"/>
      <c r="EU10" s="612"/>
      <c r="EV10" s="612"/>
      <c r="EW10" s="612"/>
      <c r="EX10" s="612"/>
      <c r="EY10" s="612"/>
      <c r="EZ10" s="612"/>
      <c r="FA10" s="612"/>
      <c r="FB10" s="612"/>
      <c r="FC10" s="612"/>
      <c r="FD10" s="612"/>
      <c r="FE10" s="612"/>
      <c r="FF10" s="612"/>
      <c r="FG10" s="612"/>
      <c r="FH10" s="612"/>
      <c r="FI10" s="612"/>
      <c r="FJ10" s="612"/>
      <c r="FK10" s="612"/>
      <c r="FL10" s="612"/>
      <c r="FM10" s="612"/>
      <c r="FN10" s="612"/>
      <c r="FO10" s="612"/>
      <c r="FP10" s="612"/>
      <c r="FQ10" s="612"/>
      <c r="FR10" s="612"/>
      <c r="FS10" s="612"/>
      <c r="FT10" s="612"/>
      <c r="FU10" s="612"/>
      <c r="FV10" s="612"/>
      <c r="FW10" s="612"/>
      <c r="FX10" s="612"/>
      <c r="FY10" s="612"/>
      <c r="FZ10" s="612"/>
      <c r="GA10" s="612"/>
      <c r="GB10" s="612"/>
      <c r="GC10" s="612"/>
      <c r="GD10" s="612"/>
      <c r="GE10" s="245"/>
      <c r="GF10" s="612"/>
      <c r="GG10" s="612"/>
      <c r="GH10" s="612"/>
      <c r="GI10" s="612"/>
      <c r="GJ10" s="612"/>
      <c r="GK10" s="612"/>
      <c r="GL10" s="612"/>
      <c r="GM10" s="612"/>
      <c r="GN10" s="612"/>
      <c r="GO10" s="612"/>
      <c r="GP10" s="612"/>
      <c r="GQ10" s="612"/>
      <c r="GR10" s="612"/>
      <c r="GS10" s="612"/>
      <c r="GT10" s="612"/>
      <c r="GU10" s="612"/>
      <c r="GV10" s="612"/>
      <c r="GW10" s="612"/>
      <c r="GX10" s="612"/>
      <c r="GY10" s="612"/>
      <c r="GZ10" s="612"/>
      <c r="HA10" s="612"/>
      <c r="HB10" s="612"/>
      <c r="HC10" s="612"/>
      <c r="HD10" s="612"/>
      <c r="HE10" s="612"/>
      <c r="HF10" s="612"/>
      <c r="HG10" s="612"/>
      <c r="HH10" s="612"/>
      <c r="HI10" s="612"/>
      <c r="HJ10" s="612"/>
      <c r="HK10" s="612"/>
      <c r="HL10" s="612"/>
      <c r="HM10" s="612"/>
      <c r="HN10" s="612"/>
      <c r="HO10" s="612"/>
      <c r="HP10" s="612"/>
      <c r="HQ10" s="612"/>
      <c r="HR10" s="612"/>
      <c r="HS10" s="612"/>
      <c r="HT10" s="612"/>
      <c r="HU10" s="612"/>
      <c r="HV10" s="612"/>
      <c r="HW10" s="612"/>
      <c r="HX10" s="612"/>
      <c r="HY10" s="612"/>
      <c r="HZ10" s="612"/>
      <c r="IA10" s="612"/>
      <c r="IB10" s="612"/>
      <c r="IC10" s="612"/>
      <c r="ID10" s="612"/>
      <c r="IE10" s="612"/>
      <c r="IF10" s="612"/>
      <c r="IG10" s="612"/>
      <c r="IH10" s="612"/>
      <c r="II10" s="612"/>
    </row>
    <row r="11" spans="1:243">
      <c r="A11" s="72"/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217"/>
      <c r="X11" s="217"/>
      <c r="Y11" s="217"/>
      <c r="Z11" s="217"/>
      <c r="AA11" s="217"/>
      <c r="AB11" s="217"/>
      <c r="AC11" s="217"/>
      <c r="AD11" s="217"/>
      <c r="AE11" s="217"/>
      <c r="AF11" s="217"/>
      <c r="AG11" s="217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244"/>
      <c r="AW11" s="244"/>
      <c r="AX11" s="244"/>
      <c r="AY11" s="244"/>
      <c r="AZ11" s="50"/>
      <c r="BA11" s="612"/>
      <c r="BB11" s="612"/>
      <c r="BC11" s="612"/>
      <c r="BD11" s="612"/>
      <c r="BE11" s="612"/>
      <c r="BF11" s="612"/>
      <c r="BG11" s="612"/>
      <c r="BH11" s="612"/>
      <c r="BI11" s="612"/>
      <c r="BJ11" s="612"/>
      <c r="BK11" s="612"/>
      <c r="BL11" s="612"/>
      <c r="BM11" s="612"/>
      <c r="BN11" s="612"/>
      <c r="BO11" s="612"/>
      <c r="BP11" s="612"/>
      <c r="BQ11" s="612"/>
      <c r="BR11" s="612"/>
      <c r="BS11" s="612"/>
      <c r="BT11" s="612"/>
      <c r="BU11" s="612"/>
      <c r="BV11" s="612"/>
      <c r="BW11" s="612"/>
      <c r="BX11" s="612"/>
      <c r="BY11" s="612"/>
      <c r="BZ11" s="612"/>
      <c r="CA11" s="612"/>
      <c r="CB11" s="612"/>
      <c r="CC11" s="612"/>
      <c r="CD11" s="612"/>
      <c r="CE11" s="612"/>
      <c r="CF11" s="612"/>
      <c r="CG11" s="612"/>
      <c r="CH11" s="612"/>
      <c r="CI11" s="612"/>
      <c r="CJ11" s="612"/>
      <c r="CK11" s="612"/>
      <c r="CL11" s="612"/>
      <c r="CM11" s="612"/>
      <c r="CN11" s="612"/>
      <c r="CO11" s="612"/>
      <c r="CP11" s="612"/>
      <c r="CQ11" s="612"/>
      <c r="CR11" s="612"/>
      <c r="CS11" s="612"/>
      <c r="CT11" s="612"/>
      <c r="CU11" s="612"/>
      <c r="CV11" s="612"/>
      <c r="CW11" s="612"/>
      <c r="CX11" s="612"/>
      <c r="CY11" s="612"/>
      <c r="CZ11" s="612"/>
      <c r="DA11" s="612"/>
      <c r="DB11" s="612"/>
      <c r="DC11" s="612"/>
      <c r="DD11" s="612"/>
      <c r="DE11" s="612"/>
      <c r="DF11" s="612"/>
      <c r="DG11" s="612"/>
      <c r="DH11" s="612"/>
      <c r="DI11" s="612"/>
      <c r="DJ11" s="612"/>
      <c r="DK11" s="612"/>
      <c r="DL11" s="612"/>
      <c r="DM11" s="612"/>
      <c r="DN11" s="612"/>
      <c r="DO11" s="612"/>
      <c r="DP11" s="612"/>
      <c r="DQ11" s="612"/>
      <c r="DR11" s="612"/>
      <c r="DS11" s="612"/>
      <c r="DT11" s="612"/>
      <c r="DU11" s="612"/>
      <c r="DV11" s="612"/>
      <c r="DW11" s="612"/>
      <c r="DX11" s="612"/>
      <c r="DY11" s="612"/>
      <c r="DZ11" s="612"/>
      <c r="EA11" s="612"/>
      <c r="EB11" s="612"/>
      <c r="EC11" s="612"/>
      <c r="ED11" s="612"/>
      <c r="EE11" s="612"/>
      <c r="EF11" s="612"/>
      <c r="EG11" s="612"/>
      <c r="EH11" s="612"/>
      <c r="EI11" s="612"/>
      <c r="EJ11" s="612"/>
      <c r="EK11" s="612"/>
      <c r="EL11" s="612"/>
      <c r="EM11" s="612"/>
      <c r="EN11" s="612"/>
      <c r="EO11" s="612"/>
      <c r="EP11" s="612"/>
      <c r="EQ11" s="612"/>
      <c r="ER11" s="612"/>
      <c r="ES11" s="612"/>
      <c r="ET11" s="612"/>
      <c r="EU11" s="612"/>
      <c r="EV11" s="612"/>
      <c r="EW11" s="612"/>
      <c r="EX11" s="612"/>
      <c r="EY11" s="612"/>
      <c r="EZ11" s="612"/>
      <c r="FA11" s="612"/>
      <c r="FB11" s="612"/>
      <c r="FC11" s="612"/>
      <c r="FD11" s="612"/>
      <c r="FE11" s="612"/>
      <c r="FF11" s="612"/>
      <c r="FG11" s="612"/>
      <c r="FH11" s="612"/>
      <c r="FI11" s="612"/>
      <c r="FJ11" s="612"/>
      <c r="FK11" s="612"/>
      <c r="FL11" s="612"/>
      <c r="FM11" s="612"/>
      <c r="FN11" s="612"/>
      <c r="FO11" s="612"/>
      <c r="FP11" s="612"/>
      <c r="FQ11" s="612"/>
      <c r="FR11" s="612"/>
      <c r="FS11" s="612"/>
      <c r="FT11" s="612"/>
      <c r="FU11" s="612"/>
      <c r="FV11" s="612"/>
      <c r="FW11" s="612"/>
      <c r="FX11" s="612"/>
      <c r="FY11" s="612"/>
      <c r="FZ11" s="612"/>
      <c r="GA11" s="612"/>
      <c r="GB11" s="612"/>
      <c r="GC11" s="612"/>
      <c r="GD11" s="612"/>
      <c r="GE11" s="245"/>
      <c r="GF11" s="612"/>
      <c r="GG11" s="612"/>
      <c r="GH11" s="612"/>
      <c r="GI11" s="612"/>
      <c r="GJ11" s="612"/>
      <c r="GK11" s="612"/>
      <c r="GL11" s="612"/>
      <c r="GM11" s="612"/>
      <c r="GN11" s="612"/>
      <c r="GO11" s="612"/>
      <c r="GP11" s="612"/>
      <c r="GQ11" s="612"/>
      <c r="GR11" s="612"/>
      <c r="GS11" s="612"/>
      <c r="GT11" s="612"/>
      <c r="GU11" s="612"/>
      <c r="GV11" s="612"/>
      <c r="GW11" s="612"/>
      <c r="GX11" s="612"/>
      <c r="GY11" s="612"/>
      <c r="GZ11" s="612"/>
      <c r="HA11" s="612"/>
      <c r="HB11" s="612"/>
      <c r="HC11" s="612"/>
      <c r="HD11" s="612"/>
      <c r="HE11" s="612"/>
      <c r="HF11" s="612"/>
      <c r="HG11" s="612"/>
      <c r="HH11" s="612"/>
      <c r="HI11" s="612"/>
      <c r="HJ11" s="612"/>
      <c r="HK11" s="612"/>
      <c r="HL11" s="612"/>
      <c r="HM11" s="612"/>
      <c r="HN11" s="612"/>
      <c r="HO11" s="612"/>
      <c r="HP11" s="612"/>
      <c r="HQ11" s="612"/>
      <c r="HR11" s="612"/>
      <c r="HS11" s="612"/>
      <c r="HT11" s="612"/>
      <c r="HU11" s="612"/>
      <c r="HV11" s="612"/>
      <c r="HW11" s="612"/>
      <c r="HX11" s="612"/>
      <c r="HY11" s="612"/>
      <c r="HZ11" s="612"/>
      <c r="IA11" s="612"/>
      <c r="IB11" s="612"/>
      <c r="IC11" s="612"/>
      <c r="ID11" s="612"/>
      <c r="IE11" s="612"/>
      <c r="IF11" s="612"/>
      <c r="IG11" s="612"/>
      <c r="IH11" s="612"/>
      <c r="II11" s="612"/>
    </row>
    <row r="12" spans="1:243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217"/>
      <c r="X12" s="217"/>
      <c r="Y12" s="217"/>
      <c r="Z12" s="217"/>
      <c r="AA12" s="217"/>
      <c r="AB12" s="217"/>
      <c r="AC12" s="217"/>
      <c r="AD12" s="217"/>
      <c r="AE12" s="217"/>
      <c r="AF12" s="217"/>
      <c r="AG12" s="217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244"/>
      <c r="AW12" s="244"/>
      <c r="AX12" s="244"/>
      <c r="AY12" s="244"/>
      <c r="AZ12" s="50"/>
      <c r="BA12" s="612"/>
      <c r="BB12" s="612"/>
      <c r="BC12" s="612"/>
      <c r="BD12" s="612"/>
      <c r="BE12" s="612"/>
      <c r="BF12" s="612"/>
      <c r="BG12" s="612"/>
      <c r="BH12" s="612"/>
      <c r="BI12" s="612"/>
      <c r="BJ12" s="612"/>
      <c r="BK12" s="612"/>
      <c r="BL12" s="612"/>
      <c r="BM12" s="612"/>
      <c r="BN12" s="612"/>
      <c r="BO12" s="612"/>
      <c r="BP12" s="612"/>
      <c r="BQ12" s="612"/>
      <c r="BR12" s="612"/>
      <c r="BS12" s="612"/>
      <c r="BT12" s="612"/>
      <c r="BU12" s="612"/>
      <c r="BV12" s="612"/>
      <c r="BW12" s="612"/>
      <c r="BX12" s="612"/>
      <c r="BY12" s="612"/>
      <c r="BZ12" s="612"/>
      <c r="CA12" s="612"/>
      <c r="CB12" s="612"/>
      <c r="CC12" s="612"/>
      <c r="CD12" s="612"/>
      <c r="CE12" s="612"/>
      <c r="CF12" s="612"/>
      <c r="CG12" s="612"/>
      <c r="CH12" s="612"/>
      <c r="CI12" s="612"/>
      <c r="CJ12" s="612"/>
      <c r="CK12" s="612"/>
      <c r="CL12" s="612"/>
      <c r="CM12" s="612"/>
      <c r="CN12" s="612"/>
      <c r="CO12" s="612"/>
      <c r="CP12" s="612"/>
      <c r="CQ12" s="612"/>
      <c r="CR12" s="612"/>
      <c r="CS12" s="612"/>
      <c r="CT12" s="612"/>
      <c r="CU12" s="612"/>
      <c r="CV12" s="612"/>
      <c r="CW12" s="612"/>
      <c r="CX12" s="612"/>
      <c r="CY12" s="612"/>
      <c r="CZ12" s="612"/>
      <c r="DA12" s="612"/>
      <c r="DB12" s="612"/>
      <c r="DC12" s="612"/>
      <c r="DD12" s="612"/>
      <c r="DE12" s="612"/>
      <c r="DF12" s="612"/>
      <c r="DG12" s="612"/>
      <c r="DH12" s="612"/>
      <c r="DI12" s="612"/>
      <c r="DJ12" s="612"/>
      <c r="DK12" s="612"/>
      <c r="DL12" s="612"/>
      <c r="DM12" s="612"/>
      <c r="DN12" s="612"/>
      <c r="DO12" s="612"/>
      <c r="DP12" s="612"/>
      <c r="DQ12" s="612"/>
      <c r="DR12" s="612"/>
      <c r="DS12" s="612"/>
      <c r="DT12" s="612"/>
      <c r="DU12" s="612"/>
      <c r="DV12" s="612"/>
      <c r="DW12" s="612"/>
      <c r="DX12" s="612"/>
      <c r="DY12" s="612"/>
      <c r="DZ12" s="612"/>
      <c r="EA12" s="612"/>
      <c r="EB12" s="612"/>
      <c r="EC12" s="612"/>
      <c r="ED12" s="612"/>
      <c r="EE12" s="612"/>
      <c r="EF12" s="612"/>
      <c r="EG12" s="612"/>
      <c r="EH12" s="612"/>
      <c r="EI12" s="612"/>
      <c r="EJ12" s="612"/>
      <c r="EK12" s="612"/>
      <c r="EL12" s="612"/>
      <c r="EM12" s="612"/>
      <c r="EN12" s="612"/>
      <c r="EO12" s="612"/>
      <c r="EP12" s="612"/>
      <c r="EQ12" s="612"/>
      <c r="ER12" s="612"/>
      <c r="ES12" s="612"/>
      <c r="ET12" s="612"/>
      <c r="EU12" s="612"/>
      <c r="EV12" s="612"/>
      <c r="EW12" s="612"/>
      <c r="EX12" s="612"/>
      <c r="EY12" s="612"/>
      <c r="EZ12" s="612"/>
      <c r="FA12" s="612"/>
      <c r="FB12" s="612"/>
      <c r="FC12" s="612"/>
      <c r="FD12" s="612"/>
      <c r="FE12" s="612"/>
      <c r="FF12" s="612"/>
      <c r="FG12" s="612"/>
      <c r="FH12" s="612"/>
      <c r="FI12" s="612"/>
      <c r="FJ12" s="612"/>
      <c r="FK12" s="612"/>
      <c r="FL12" s="612"/>
      <c r="FM12" s="612"/>
      <c r="FN12" s="612"/>
      <c r="FO12" s="612"/>
      <c r="FP12" s="612"/>
      <c r="FQ12" s="612"/>
      <c r="FR12" s="612"/>
      <c r="FS12" s="612"/>
      <c r="FT12" s="612"/>
      <c r="FU12" s="612"/>
      <c r="FV12" s="612"/>
      <c r="FW12" s="612"/>
      <c r="FX12" s="612"/>
      <c r="FY12" s="612"/>
      <c r="FZ12" s="612"/>
      <c r="GA12" s="612"/>
      <c r="GB12" s="612"/>
      <c r="GC12" s="612"/>
      <c r="GD12" s="612"/>
      <c r="GE12" s="245"/>
      <c r="GF12" s="612"/>
      <c r="GG12" s="612"/>
      <c r="GH12" s="612"/>
      <c r="GI12" s="612"/>
      <c r="GJ12" s="612"/>
      <c r="GK12" s="612"/>
      <c r="GL12" s="612"/>
      <c r="GM12" s="612"/>
      <c r="GN12" s="612"/>
      <c r="GO12" s="612"/>
      <c r="GP12" s="612"/>
      <c r="GQ12" s="612"/>
      <c r="GR12" s="612"/>
      <c r="GS12" s="612"/>
      <c r="GT12" s="612"/>
      <c r="GU12" s="612"/>
      <c r="GV12" s="612"/>
      <c r="GW12" s="612"/>
      <c r="GX12" s="612"/>
      <c r="GY12" s="612"/>
      <c r="GZ12" s="612"/>
      <c r="HA12" s="612"/>
      <c r="HB12" s="612"/>
      <c r="HC12" s="612"/>
      <c r="HD12" s="612"/>
      <c r="HE12" s="612"/>
      <c r="HF12" s="612"/>
      <c r="HG12" s="612"/>
      <c r="HH12" s="612"/>
      <c r="HI12" s="612"/>
      <c r="HJ12" s="612"/>
      <c r="HK12" s="612"/>
      <c r="HL12" s="612"/>
      <c r="HM12" s="612"/>
      <c r="HN12" s="612"/>
      <c r="HO12" s="612"/>
      <c r="HP12" s="612"/>
      <c r="HQ12" s="612"/>
      <c r="HR12" s="612"/>
      <c r="HS12" s="612"/>
      <c r="HT12" s="612"/>
      <c r="HU12" s="612"/>
      <c r="HV12" s="612"/>
      <c r="HW12" s="612"/>
      <c r="HX12" s="612"/>
      <c r="HY12" s="612"/>
      <c r="HZ12" s="612"/>
      <c r="IA12" s="612"/>
      <c r="IB12" s="612"/>
      <c r="IC12" s="612"/>
      <c r="ID12" s="612"/>
      <c r="IE12" s="612"/>
      <c r="IF12" s="612"/>
      <c r="IG12" s="612"/>
      <c r="IH12" s="612"/>
      <c r="II12" s="612"/>
    </row>
    <row r="13" spans="1:243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244"/>
      <c r="AW13" s="244"/>
      <c r="AX13" s="244"/>
      <c r="AY13" s="244"/>
      <c r="AZ13" s="50"/>
      <c r="BA13" s="612"/>
      <c r="BB13" s="612"/>
      <c r="BC13" s="612"/>
      <c r="BD13" s="612"/>
      <c r="BE13" s="612"/>
      <c r="BF13" s="612"/>
      <c r="BG13" s="612"/>
      <c r="BH13" s="612"/>
      <c r="BI13" s="612"/>
      <c r="BJ13" s="612"/>
      <c r="BK13" s="612"/>
      <c r="BL13" s="612"/>
      <c r="BM13" s="612"/>
      <c r="BN13" s="612"/>
      <c r="BO13" s="612"/>
      <c r="BP13" s="612"/>
      <c r="BQ13" s="612"/>
      <c r="BR13" s="612"/>
      <c r="BS13" s="612"/>
      <c r="BT13" s="612"/>
      <c r="BU13" s="612"/>
      <c r="BV13" s="612"/>
      <c r="BW13" s="612"/>
      <c r="BX13" s="612"/>
      <c r="BY13" s="612"/>
      <c r="BZ13" s="612"/>
      <c r="CA13" s="612"/>
      <c r="CB13" s="612"/>
      <c r="CC13" s="612"/>
      <c r="CD13" s="612"/>
      <c r="CE13" s="612"/>
      <c r="CF13" s="612"/>
      <c r="CG13" s="612"/>
      <c r="CH13" s="612"/>
      <c r="CI13" s="612"/>
      <c r="CJ13" s="612"/>
      <c r="CK13" s="612"/>
      <c r="CL13" s="612"/>
      <c r="CM13" s="612"/>
      <c r="CN13" s="612"/>
      <c r="CO13" s="612"/>
      <c r="CP13" s="612"/>
      <c r="CQ13" s="612"/>
      <c r="CR13" s="612"/>
      <c r="CS13" s="612"/>
      <c r="CT13" s="612"/>
      <c r="CU13" s="612"/>
      <c r="CV13" s="612"/>
      <c r="CW13" s="612"/>
      <c r="CX13" s="612"/>
      <c r="CY13" s="612"/>
      <c r="CZ13" s="612"/>
      <c r="DA13" s="612"/>
      <c r="DB13" s="612"/>
      <c r="DC13" s="612"/>
      <c r="DD13" s="612"/>
      <c r="DE13" s="612"/>
      <c r="DF13" s="612"/>
      <c r="DG13" s="612"/>
      <c r="DH13" s="612"/>
      <c r="DI13" s="612"/>
      <c r="DJ13" s="612"/>
      <c r="DK13" s="612"/>
      <c r="DL13" s="612"/>
      <c r="DM13" s="612"/>
      <c r="DN13" s="612"/>
      <c r="DO13" s="612"/>
      <c r="DP13" s="612"/>
      <c r="DQ13" s="612"/>
      <c r="DR13" s="612"/>
      <c r="DS13" s="612"/>
      <c r="DT13" s="612"/>
      <c r="DU13" s="612"/>
      <c r="DV13" s="612"/>
      <c r="DW13" s="612"/>
      <c r="DX13" s="612"/>
      <c r="DY13" s="612"/>
      <c r="DZ13" s="612"/>
      <c r="EA13" s="612"/>
      <c r="EB13" s="612"/>
      <c r="EC13" s="612"/>
      <c r="ED13" s="612"/>
      <c r="EE13" s="612"/>
      <c r="EF13" s="612"/>
      <c r="EG13" s="612"/>
      <c r="EH13" s="612"/>
      <c r="EI13" s="612"/>
      <c r="EJ13" s="612"/>
      <c r="EK13" s="612"/>
      <c r="EL13" s="612"/>
      <c r="EM13" s="612"/>
      <c r="EN13" s="612"/>
      <c r="EO13" s="612"/>
      <c r="EP13" s="612"/>
      <c r="EQ13" s="612"/>
      <c r="ER13" s="612"/>
      <c r="ES13" s="612"/>
      <c r="ET13" s="612"/>
      <c r="EU13" s="612"/>
      <c r="EV13" s="612"/>
      <c r="EW13" s="612"/>
      <c r="EX13" s="612"/>
      <c r="EY13" s="612"/>
      <c r="EZ13" s="612"/>
      <c r="FA13" s="612"/>
      <c r="FB13" s="612"/>
      <c r="FC13" s="612"/>
      <c r="FD13" s="612"/>
      <c r="FE13" s="612"/>
      <c r="FF13" s="612"/>
      <c r="FG13" s="612"/>
      <c r="FH13" s="612"/>
      <c r="FI13" s="612"/>
      <c r="FJ13" s="612"/>
      <c r="FK13" s="612"/>
      <c r="FL13" s="612"/>
      <c r="FM13" s="612"/>
      <c r="FN13" s="612"/>
      <c r="FO13" s="612"/>
      <c r="FP13" s="612"/>
      <c r="FQ13" s="612"/>
      <c r="FR13" s="612"/>
      <c r="FS13" s="612"/>
      <c r="FT13" s="612"/>
      <c r="FU13" s="612"/>
      <c r="FV13" s="612"/>
      <c r="FW13" s="612"/>
      <c r="FX13" s="612"/>
      <c r="FY13" s="612"/>
      <c r="FZ13" s="612"/>
      <c r="GA13" s="612"/>
      <c r="GB13" s="612"/>
      <c r="GC13" s="612"/>
      <c r="GD13" s="612"/>
      <c r="GE13" s="245"/>
      <c r="GF13" s="612"/>
      <c r="GG13" s="612"/>
      <c r="GH13" s="612"/>
      <c r="GI13" s="612"/>
      <c r="GJ13" s="612"/>
      <c r="GK13" s="612"/>
      <c r="GL13" s="612"/>
      <c r="GM13" s="612"/>
      <c r="GN13" s="612"/>
      <c r="GO13" s="612"/>
      <c r="GP13" s="612"/>
      <c r="GQ13" s="612"/>
      <c r="GR13" s="612"/>
      <c r="GS13" s="612"/>
      <c r="GT13" s="612"/>
      <c r="GU13" s="612"/>
      <c r="GV13" s="612"/>
      <c r="GW13" s="612"/>
      <c r="GX13" s="612"/>
      <c r="GY13" s="612"/>
      <c r="GZ13" s="612"/>
      <c r="HA13" s="612"/>
      <c r="HB13" s="612"/>
      <c r="HC13" s="612"/>
      <c r="HD13" s="612"/>
      <c r="HE13" s="612"/>
      <c r="HF13" s="612"/>
      <c r="HG13" s="612"/>
      <c r="HH13" s="612"/>
      <c r="HI13" s="612"/>
      <c r="HJ13" s="612"/>
      <c r="HK13" s="612"/>
      <c r="HL13" s="612"/>
      <c r="HM13" s="612"/>
      <c r="HN13" s="612"/>
      <c r="HO13" s="612"/>
      <c r="HP13" s="612"/>
      <c r="HQ13" s="612"/>
      <c r="HR13" s="612"/>
      <c r="HS13" s="612"/>
      <c r="HT13" s="612"/>
      <c r="HU13" s="612"/>
      <c r="HV13" s="612"/>
      <c r="HW13" s="612"/>
      <c r="HX13" s="612"/>
      <c r="HY13" s="612"/>
      <c r="HZ13" s="612"/>
      <c r="IA13" s="612"/>
      <c r="IB13" s="612"/>
      <c r="IC13" s="612"/>
      <c r="ID13" s="612"/>
      <c r="IE13" s="612"/>
      <c r="IF13" s="612"/>
      <c r="IG13" s="612"/>
      <c r="IH13" s="612"/>
      <c r="II13" s="612"/>
    </row>
    <row r="14" spans="1:243" ht="14.25" thickBo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244"/>
      <c r="AW14" s="244"/>
      <c r="AX14" s="244"/>
      <c r="AY14" s="244"/>
      <c r="AZ14" s="50"/>
      <c r="BA14" s="612"/>
      <c r="BB14" s="612"/>
      <c r="BC14" s="612"/>
      <c r="BD14" s="612"/>
      <c r="BE14" s="612"/>
      <c r="BF14" s="612"/>
      <c r="BG14" s="612"/>
      <c r="BH14" s="612"/>
      <c r="BI14" s="612"/>
      <c r="BJ14" s="612"/>
      <c r="BK14" s="612"/>
      <c r="BL14" s="612"/>
      <c r="BM14" s="612"/>
      <c r="BN14" s="612"/>
      <c r="BO14" s="612"/>
      <c r="BP14" s="612"/>
      <c r="BQ14" s="612"/>
      <c r="BR14" s="612"/>
      <c r="BS14" s="612"/>
      <c r="BT14" s="612"/>
      <c r="BU14" s="612"/>
      <c r="BV14" s="612"/>
      <c r="BW14" s="612"/>
      <c r="BX14" s="612"/>
      <c r="BY14" s="612"/>
      <c r="BZ14" s="612"/>
      <c r="CA14" s="612"/>
      <c r="CB14" s="612"/>
      <c r="CC14" s="612"/>
      <c r="CD14" s="612"/>
      <c r="CE14" s="612"/>
      <c r="CF14" s="612"/>
      <c r="CG14" s="612"/>
      <c r="CH14" s="612"/>
      <c r="CI14" s="612"/>
      <c r="CJ14" s="612"/>
      <c r="CK14" s="612"/>
      <c r="CL14" s="612"/>
      <c r="CM14" s="612"/>
      <c r="CN14" s="612"/>
      <c r="CO14" s="612"/>
      <c r="CP14" s="612"/>
      <c r="CQ14" s="612"/>
      <c r="CR14" s="612"/>
      <c r="CS14" s="612"/>
      <c r="CT14" s="612"/>
      <c r="CU14" s="612"/>
      <c r="CV14" s="612"/>
      <c r="CW14" s="612"/>
      <c r="CX14" s="612"/>
      <c r="CY14" s="612"/>
      <c r="CZ14" s="612"/>
      <c r="DA14" s="612"/>
      <c r="DB14" s="612"/>
      <c r="DC14" s="612"/>
      <c r="DD14" s="612"/>
      <c r="DE14" s="612"/>
      <c r="DF14" s="612"/>
      <c r="DG14" s="612"/>
      <c r="DH14" s="612"/>
      <c r="DI14" s="612"/>
      <c r="DJ14" s="612"/>
      <c r="DK14" s="612"/>
      <c r="DL14" s="612"/>
      <c r="DM14" s="612"/>
      <c r="DN14" s="612"/>
      <c r="DO14" s="612"/>
      <c r="DP14" s="612"/>
      <c r="DQ14" s="612"/>
      <c r="DR14" s="612"/>
      <c r="DS14" s="612"/>
      <c r="DT14" s="612"/>
      <c r="DU14" s="612"/>
      <c r="DV14" s="612"/>
      <c r="DW14" s="612"/>
      <c r="DX14" s="612"/>
      <c r="DY14" s="612"/>
      <c r="DZ14" s="612"/>
      <c r="EA14" s="612"/>
      <c r="EB14" s="612"/>
      <c r="EC14" s="612"/>
      <c r="ED14" s="612"/>
      <c r="EE14" s="612"/>
      <c r="EF14" s="612"/>
      <c r="EG14" s="612"/>
      <c r="EH14" s="612"/>
      <c r="EI14" s="612"/>
      <c r="EJ14" s="612"/>
      <c r="EK14" s="612"/>
      <c r="EL14" s="612"/>
      <c r="EM14" s="612"/>
      <c r="EN14" s="612"/>
      <c r="EO14" s="612"/>
      <c r="EP14" s="612"/>
      <c r="EQ14" s="612"/>
      <c r="ER14" s="612"/>
      <c r="ES14" s="612"/>
      <c r="ET14" s="612"/>
      <c r="EU14" s="612"/>
      <c r="EV14" s="612"/>
      <c r="EW14" s="612"/>
      <c r="EX14" s="612"/>
      <c r="EY14" s="612"/>
      <c r="EZ14" s="612"/>
      <c r="FA14" s="612"/>
      <c r="FB14" s="612"/>
      <c r="FC14" s="612"/>
      <c r="FD14" s="612"/>
      <c r="FE14" s="612"/>
      <c r="FF14" s="612"/>
      <c r="FG14" s="612"/>
      <c r="FH14" s="612"/>
      <c r="FI14" s="612"/>
      <c r="FJ14" s="612"/>
      <c r="FK14" s="612"/>
      <c r="FL14" s="612"/>
      <c r="FM14" s="612"/>
      <c r="FN14" s="612"/>
      <c r="FO14" s="612"/>
      <c r="FP14" s="612"/>
      <c r="FQ14" s="612"/>
      <c r="FR14" s="612"/>
      <c r="FS14" s="612"/>
      <c r="FT14" s="612"/>
      <c r="FU14" s="612"/>
      <c r="FV14" s="612"/>
      <c r="FW14" s="612"/>
      <c r="FX14" s="612"/>
      <c r="FY14" s="612"/>
      <c r="FZ14" s="612"/>
      <c r="GA14" s="612"/>
      <c r="GB14" s="612"/>
      <c r="GC14" s="612"/>
      <c r="GD14" s="612"/>
      <c r="GE14" s="245"/>
      <c r="GF14" s="612"/>
      <c r="GG14" s="612"/>
      <c r="GH14" s="612"/>
      <c r="GI14" s="612"/>
      <c r="GJ14" s="612"/>
      <c r="GK14" s="612"/>
      <c r="GL14" s="612"/>
      <c r="GM14" s="612"/>
      <c r="GN14" s="612"/>
      <c r="GO14" s="612"/>
      <c r="GP14" s="612"/>
      <c r="GQ14" s="612"/>
      <c r="GR14" s="612"/>
      <c r="GS14" s="612"/>
      <c r="GT14" s="612"/>
      <c r="GU14" s="612"/>
      <c r="GV14" s="612"/>
      <c r="GW14" s="612"/>
      <c r="GX14" s="612"/>
      <c r="GY14" s="612"/>
      <c r="GZ14" s="612"/>
      <c r="HA14" s="612"/>
      <c r="HB14" s="612"/>
      <c r="HC14" s="612"/>
      <c r="HD14" s="612"/>
      <c r="HE14" s="612"/>
      <c r="HF14" s="612"/>
      <c r="HG14" s="612"/>
      <c r="HH14" s="612"/>
      <c r="HI14" s="612"/>
      <c r="HJ14" s="612"/>
      <c r="HK14" s="612"/>
      <c r="HL14" s="612"/>
      <c r="HM14" s="612"/>
      <c r="HN14" s="612"/>
      <c r="HO14" s="612"/>
      <c r="HP14" s="612"/>
      <c r="HQ14" s="612"/>
      <c r="HR14" s="612"/>
      <c r="HS14" s="612"/>
      <c r="HT14" s="612"/>
      <c r="HU14" s="612"/>
      <c r="HV14" s="612"/>
      <c r="HW14" s="612"/>
      <c r="HX14" s="612"/>
      <c r="HY14" s="612"/>
      <c r="HZ14" s="612"/>
      <c r="IA14" s="612"/>
      <c r="IB14" s="612"/>
      <c r="IC14" s="612"/>
      <c r="ID14" s="612"/>
      <c r="IE14" s="612"/>
      <c r="IF14" s="612"/>
      <c r="IG14" s="612"/>
      <c r="IH14" s="612"/>
      <c r="II14" s="612"/>
    </row>
    <row r="15" spans="1:243" ht="16.5" customHeight="1" thickTop="1" thickBot="1">
      <c r="A15" s="72"/>
      <c r="B15" s="72"/>
      <c r="C15" s="72"/>
      <c r="D15" s="211" t="str">
        <f>'Cental Budget_int'!D15</f>
        <v>BDP (u mil. €)</v>
      </c>
      <c r="E15" s="1165">
        <f>'Cental Budget_int'!E15</f>
        <v>2148900000</v>
      </c>
      <c r="F15" s="1165">
        <f>'Cental Budget_int'!F15</f>
        <v>0</v>
      </c>
      <c r="G15" s="1166">
        <f>'Cental Budget_int'!G15</f>
        <v>2680500000</v>
      </c>
      <c r="H15" s="1166">
        <f>'Cental Budget_int'!H15</f>
        <v>0</v>
      </c>
      <c r="I15" s="1166">
        <f>'Cental Budget_int'!I15</f>
        <v>3085600000</v>
      </c>
      <c r="J15" s="1166">
        <f>'Cental Budget_int'!J15</f>
        <v>0</v>
      </c>
      <c r="K15" s="1166">
        <f>'Cental Budget_int'!K15</f>
        <v>2981000000</v>
      </c>
      <c r="L15" s="1166">
        <f>'Cental Budget_int'!L15</f>
        <v>0</v>
      </c>
      <c r="M15" s="1166">
        <f>'Cental Budget_int'!M15</f>
        <v>3104000000</v>
      </c>
      <c r="N15" s="1166">
        <f>'Cental Budget_int'!N15</f>
        <v>0</v>
      </c>
      <c r="O15" s="1166">
        <f>'Cental Budget_int'!O15</f>
        <v>3234000000</v>
      </c>
      <c r="P15" s="1166">
        <f>'Cental Budget_int'!P15</f>
        <v>0</v>
      </c>
      <c r="Q15" s="1167">
        <f>'Cental Budget_int'!Q15</f>
        <v>3149000000</v>
      </c>
      <c r="R15" s="1167">
        <f>'Cental Budget_int'!R15</f>
        <v>0</v>
      </c>
      <c r="S15" s="1168">
        <f>'Cental Budget_int'!S15</f>
        <v>3517000000</v>
      </c>
      <c r="T15" s="1168">
        <f>'Cental Budget_int'!T15</f>
        <v>0</v>
      </c>
      <c r="U15" s="1168">
        <f>'Cental Budget_int'!U15</f>
        <v>3517000000</v>
      </c>
      <c r="V15" s="1168">
        <f>'Cental Budget_int'!V15</f>
        <v>0</v>
      </c>
      <c r="W15" s="1168">
        <f>'Cental Budget_int'!W15</f>
        <v>0</v>
      </c>
      <c r="X15" s="1168">
        <f>'Cental Budget_int'!X15</f>
        <v>0</v>
      </c>
      <c r="Y15" s="218"/>
      <c r="Z15" s="218"/>
      <c r="AA15" s="218"/>
      <c r="AB15" s="218"/>
      <c r="AC15" s="218"/>
      <c r="AD15" s="218"/>
      <c r="AE15" s="218"/>
      <c r="AF15" s="218"/>
      <c r="AG15" s="218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50"/>
      <c r="BA15" s="612"/>
      <c r="BB15" s="612"/>
      <c r="BC15" s="612"/>
      <c r="BD15" s="612"/>
      <c r="BE15" s="612"/>
      <c r="BF15" s="612"/>
      <c r="BG15" s="612"/>
      <c r="BH15" s="612"/>
      <c r="BI15" s="612"/>
      <c r="BJ15" s="612"/>
      <c r="BK15" s="612"/>
      <c r="BL15" s="612"/>
      <c r="BM15" s="612"/>
      <c r="BN15" s="612"/>
      <c r="BO15" s="612"/>
      <c r="BP15" s="612"/>
      <c r="BQ15" s="612"/>
      <c r="BR15" s="612"/>
      <c r="BS15" s="612"/>
      <c r="BT15" s="612"/>
      <c r="BU15" s="612"/>
      <c r="BV15" s="612"/>
      <c r="BW15" s="612"/>
      <c r="BX15" s="612"/>
      <c r="BY15" s="612"/>
      <c r="BZ15" s="612"/>
      <c r="CA15" s="612"/>
      <c r="CB15" s="612"/>
      <c r="CC15" s="612"/>
      <c r="CD15" s="612"/>
      <c r="CE15" s="612"/>
      <c r="CF15" s="612"/>
      <c r="CG15" s="612"/>
      <c r="CH15" s="612"/>
      <c r="CI15" s="612"/>
      <c r="CJ15" s="612"/>
      <c r="CK15" s="612"/>
      <c r="CL15" s="612"/>
      <c r="CM15" s="612"/>
      <c r="CN15" s="612"/>
      <c r="CO15" s="612"/>
      <c r="CP15" s="612"/>
      <c r="CQ15" s="612"/>
      <c r="CR15" s="612"/>
      <c r="CS15" s="612"/>
      <c r="CT15" s="612"/>
      <c r="CU15" s="612"/>
      <c r="CV15" s="612"/>
      <c r="CW15" s="612"/>
      <c r="CX15" s="612"/>
      <c r="CY15" s="612"/>
      <c r="CZ15" s="612"/>
      <c r="DA15" s="612"/>
      <c r="DB15" s="612"/>
      <c r="DC15" s="612"/>
      <c r="DD15" s="612"/>
      <c r="DE15" s="612"/>
      <c r="DF15" s="612"/>
      <c r="DG15" s="612"/>
      <c r="DH15" s="612"/>
      <c r="DI15" s="612"/>
      <c r="DJ15" s="612"/>
      <c r="DK15" s="612"/>
      <c r="DL15" s="612"/>
      <c r="DM15" s="612"/>
      <c r="DN15" s="612"/>
      <c r="DO15" s="612"/>
      <c r="DP15" s="612"/>
      <c r="DQ15" s="612"/>
      <c r="DR15" s="612"/>
      <c r="DS15" s="612"/>
      <c r="DT15" s="612"/>
      <c r="DU15" s="612"/>
      <c r="DV15" s="612"/>
      <c r="DW15" s="612"/>
      <c r="DX15" s="612"/>
      <c r="DY15" s="612"/>
      <c r="DZ15" s="612"/>
      <c r="EA15" s="612"/>
      <c r="EB15" s="612"/>
      <c r="EC15" s="612"/>
      <c r="ED15" s="612"/>
      <c r="EE15" s="612"/>
      <c r="EF15" s="612"/>
      <c r="EG15" s="612"/>
      <c r="EH15" s="612"/>
      <c r="EI15" s="612"/>
      <c r="EJ15" s="612"/>
      <c r="EK15" s="612"/>
      <c r="EL15" s="612"/>
      <c r="EM15" s="612"/>
      <c r="EN15" s="612"/>
      <c r="EO15" s="612"/>
      <c r="EP15" s="612"/>
      <c r="EQ15" s="612"/>
      <c r="ER15" s="612"/>
      <c r="ES15" s="612"/>
      <c r="ET15" s="612"/>
      <c r="EU15" s="612"/>
      <c r="EV15" s="612"/>
      <c r="EW15" s="612"/>
      <c r="EX15" s="612"/>
      <c r="EY15" s="612"/>
      <c r="EZ15" s="612"/>
      <c r="FA15" s="612"/>
      <c r="FB15" s="612"/>
      <c r="FC15" s="612"/>
      <c r="FD15" s="612"/>
      <c r="FE15" s="612"/>
      <c r="FF15" s="612"/>
      <c r="FG15" s="612"/>
      <c r="FH15" s="612"/>
      <c r="FI15" s="612"/>
      <c r="FJ15" s="612"/>
      <c r="FK15" s="612"/>
      <c r="FL15" s="612"/>
      <c r="FM15" s="612"/>
      <c r="FN15" s="612"/>
      <c r="FO15" s="612"/>
      <c r="FP15" s="612"/>
      <c r="FQ15" s="612"/>
      <c r="FR15" s="612"/>
      <c r="FS15" s="612"/>
      <c r="FT15" s="612"/>
      <c r="FU15" s="612"/>
      <c r="FV15" s="612"/>
      <c r="FW15" s="612"/>
      <c r="FX15" s="612"/>
      <c r="FY15" s="612"/>
      <c r="FZ15" s="612"/>
      <c r="GA15" s="612"/>
      <c r="GB15" s="612"/>
      <c r="GC15" s="612"/>
      <c r="GD15" s="612"/>
      <c r="GE15" s="245"/>
      <c r="GF15" s="612"/>
      <c r="GG15" s="612"/>
      <c r="GH15" s="612"/>
      <c r="GI15" s="612"/>
      <c r="GJ15" s="612"/>
      <c r="GK15" s="612"/>
      <c r="GL15" s="612"/>
      <c r="GM15" s="612"/>
      <c r="GN15" s="612"/>
      <c r="GO15" s="612"/>
      <c r="GP15" s="612"/>
      <c r="GQ15" s="612"/>
      <c r="GR15" s="612"/>
      <c r="GS15" s="612"/>
      <c r="GT15" s="612"/>
      <c r="GU15" s="612"/>
      <c r="GV15" s="612"/>
      <c r="GW15" s="612"/>
      <c r="GX15" s="612"/>
      <c r="GY15" s="612"/>
      <c r="GZ15" s="612"/>
      <c r="HA15" s="612"/>
      <c r="HB15" s="612"/>
      <c r="HC15" s="612"/>
      <c r="HD15" s="612"/>
      <c r="HE15" s="612"/>
      <c r="HF15" s="612"/>
      <c r="HG15" s="612"/>
      <c r="HH15" s="612"/>
      <c r="HI15" s="612"/>
      <c r="HJ15" s="612"/>
      <c r="HK15" s="612"/>
      <c r="HL15" s="612"/>
      <c r="HM15" s="612"/>
      <c r="HN15" s="612"/>
      <c r="HO15" s="612"/>
      <c r="HP15" s="612"/>
      <c r="HQ15" s="612"/>
      <c r="HR15" s="612"/>
      <c r="HS15" s="612"/>
      <c r="HT15" s="612"/>
      <c r="HU15" s="612"/>
      <c r="HV15" s="612"/>
      <c r="HW15" s="612"/>
      <c r="HX15" s="612"/>
      <c r="HY15" s="612"/>
      <c r="HZ15" s="612"/>
      <c r="IA15" s="612"/>
      <c r="IB15" s="612"/>
      <c r="IC15" s="612"/>
      <c r="ID15" s="612"/>
      <c r="IE15" s="612"/>
      <c r="IF15" s="612"/>
      <c r="IG15" s="612"/>
      <c r="IH15" s="612"/>
      <c r="II15" s="612"/>
    </row>
    <row r="16" spans="1:243" ht="16.5" customHeight="1" thickTop="1">
      <c r="A16" s="72"/>
      <c r="B16" s="72"/>
      <c r="C16" s="72"/>
      <c r="D16" s="237"/>
      <c r="E16" s="238"/>
      <c r="F16" s="238"/>
      <c r="G16" s="235"/>
      <c r="H16" s="235"/>
      <c r="I16" s="235"/>
      <c r="J16" s="235"/>
      <c r="K16" s="235"/>
      <c r="L16" s="235"/>
      <c r="M16" s="235"/>
      <c r="N16" s="235"/>
      <c r="O16" s="235"/>
      <c r="P16" s="235"/>
      <c r="Q16" s="235"/>
      <c r="R16" s="235"/>
      <c r="S16" s="236"/>
      <c r="T16" s="236"/>
      <c r="U16" s="236"/>
      <c r="V16" s="236"/>
      <c r="W16" s="218"/>
      <c r="X16" s="218"/>
      <c r="Y16" s="218"/>
      <c r="Z16" s="218"/>
      <c r="AA16" s="218"/>
      <c r="AB16" s="218"/>
      <c r="AC16" s="218"/>
      <c r="AD16" s="218"/>
      <c r="AE16" s="218"/>
      <c r="AF16" s="218"/>
      <c r="AG16" s="218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50"/>
      <c r="BA16" s="612"/>
      <c r="BB16" s="612"/>
      <c r="BC16" s="612"/>
      <c r="BD16" s="612"/>
      <c r="BE16" s="612"/>
      <c r="BF16" s="612"/>
      <c r="BG16" s="612"/>
      <c r="BH16" s="612"/>
      <c r="BI16" s="612"/>
      <c r="BJ16" s="612"/>
      <c r="BK16" s="612"/>
      <c r="BL16" s="612"/>
      <c r="BM16" s="612"/>
      <c r="BN16" s="612"/>
      <c r="BO16" s="612"/>
      <c r="BP16" s="612"/>
      <c r="BQ16" s="612"/>
      <c r="BR16" s="612"/>
      <c r="BS16" s="612"/>
      <c r="BT16" s="612"/>
      <c r="BU16" s="612"/>
      <c r="BV16" s="612"/>
      <c r="BW16" s="612"/>
      <c r="BX16" s="612"/>
      <c r="BY16" s="612"/>
      <c r="BZ16" s="612"/>
      <c r="CA16" s="612"/>
      <c r="CB16" s="612"/>
      <c r="CC16" s="612"/>
      <c r="CD16" s="612"/>
      <c r="CE16" s="612"/>
      <c r="CF16" s="612"/>
      <c r="CG16" s="612"/>
      <c r="CH16" s="612"/>
      <c r="CI16" s="612"/>
      <c r="CJ16" s="612"/>
      <c r="CK16" s="612"/>
      <c r="CL16" s="612"/>
      <c r="CM16" s="612"/>
      <c r="CN16" s="612"/>
      <c r="CO16" s="612"/>
      <c r="CP16" s="612"/>
      <c r="CQ16" s="612"/>
      <c r="CR16" s="612"/>
      <c r="CS16" s="612"/>
      <c r="CT16" s="612"/>
      <c r="CU16" s="612"/>
      <c r="CV16" s="612"/>
      <c r="CW16" s="612"/>
      <c r="CX16" s="612"/>
      <c r="CY16" s="612"/>
      <c r="CZ16" s="612"/>
      <c r="DA16" s="612"/>
      <c r="DB16" s="612"/>
      <c r="DC16" s="612"/>
      <c r="DD16" s="612"/>
      <c r="DE16" s="612"/>
      <c r="DF16" s="612"/>
      <c r="DG16" s="612"/>
      <c r="DH16" s="612"/>
      <c r="DI16" s="612"/>
      <c r="DJ16" s="612"/>
      <c r="DK16" s="612"/>
      <c r="DL16" s="612"/>
      <c r="DM16" s="612"/>
      <c r="DN16" s="612"/>
      <c r="DO16" s="612"/>
      <c r="DP16" s="612"/>
      <c r="DQ16" s="612"/>
      <c r="DR16" s="612"/>
      <c r="DS16" s="612"/>
      <c r="DT16" s="612"/>
      <c r="DU16" s="612"/>
      <c r="DV16" s="612"/>
      <c r="DW16" s="612"/>
      <c r="DX16" s="612"/>
      <c r="DY16" s="612"/>
      <c r="DZ16" s="612"/>
      <c r="EA16" s="612"/>
      <c r="EB16" s="612"/>
      <c r="EC16" s="612"/>
      <c r="ED16" s="612"/>
      <c r="EE16" s="612"/>
      <c r="EF16" s="612"/>
      <c r="EG16" s="612"/>
      <c r="EH16" s="612"/>
      <c r="EI16" s="612"/>
      <c r="EJ16" s="612"/>
      <c r="EK16" s="612"/>
      <c r="EL16" s="612"/>
      <c r="EM16" s="612"/>
      <c r="EN16" s="612"/>
      <c r="EO16" s="612"/>
      <c r="EP16" s="612"/>
      <c r="EQ16" s="612"/>
      <c r="ER16" s="612"/>
      <c r="ES16" s="612"/>
      <c r="ET16" s="612"/>
      <c r="EU16" s="612"/>
      <c r="EV16" s="612"/>
      <c r="EW16" s="612"/>
      <c r="EX16" s="612"/>
      <c r="EY16" s="612"/>
      <c r="EZ16" s="612"/>
      <c r="FA16" s="612"/>
      <c r="FB16" s="612"/>
      <c r="FC16" s="612"/>
      <c r="FD16" s="612"/>
      <c r="FE16" s="612"/>
      <c r="FF16" s="612"/>
      <c r="FG16" s="612"/>
      <c r="FH16" s="612"/>
      <c r="FI16" s="612"/>
      <c r="FJ16" s="612"/>
      <c r="FK16" s="612"/>
      <c r="FL16" s="612"/>
      <c r="FM16" s="612"/>
      <c r="FN16" s="612"/>
      <c r="FO16" s="612"/>
      <c r="FP16" s="612"/>
      <c r="FQ16" s="612"/>
      <c r="FR16" s="612"/>
      <c r="FS16" s="612"/>
      <c r="FT16" s="612"/>
      <c r="FU16" s="612"/>
      <c r="FV16" s="612"/>
      <c r="FW16" s="612"/>
      <c r="FX16" s="612"/>
      <c r="FY16" s="612"/>
      <c r="FZ16" s="612"/>
      <c r="GA16" s="612"/>
      <c r="GB16" s="612"/>
      <c r="GC16" s="612"/>
      <c r="GD16" s="612"/>
      <c r="GE16" s="245"/>
      <c r="GF16" s="612"/>
      <c r="GG16" s="612"/>
      <c r="GH16" s="612"/>
      <c r="GI16" s="612"/>
      <c r="GJ16" s="612"/>
      <c r="GK16" s="612"/>
      <c r="GL16" s="612"/>
      <c r="GM16" s="612"/>
      <c r="GN16" s="612"/>
      <c r="GO16" s="612"/>
      <c r="GP16" s="612"/>
      <c r="GQ16" s="612"/>
      <c r="GR16" s="612"/>
      <c r="GS16" s="612"/>
      <c r="GT16" s="612"/>
      <c r="GU16" s="612"/>
      <c r="GV16" s="612"/>
      <c r="GW16" s="612"/>
      <c r="GX16" s="612"/>
      <c r="GY16" s="612"/>
      <c r="GZ16" s="612"/>
      <c r="HA16" s="612"/>
      <c r="HB16" s="612"/>
      <c r="HC16" s="612"/>
      <c r="HD16" s="612"/>
      <c r="HE16" s="612"/>
      <c r="HF16" s="612"/>
      <c r="HG16" s="612"/>
      <c r="HH16" s="612"/>
      <c r="HI16" s="612"/>
      <c r="HJ16" s="612"/>
      <c r="HK16" s="612"/>
      <c r="HL16" s="612"/>
      <c r="HM16" s="612"/>
      <c r="HN16" s="612"/>
      <c r="HO16" s="612"/>
      <c r="HP16" s="612"/>
      <c r="HQ16" s="612"/>
      <c r="HR16" s="612"/>
      <c r="HS16" s="612"/>
      <c r="HT16" s="612"/>
      <c r="HU16" s="612"/>
      <c r="HV16" s="612"/>
      <c r="HW16" s="612"/>
      <c r="HX16" s="612"/>
      <c r="HY16" s="612"/>
      <c r="HZ16" s="612"/>
      <c r="IA16" s="612"/>
      <c r="IB16" s="612"/>
      <c r="IC16" s="612"/>
      <c r="ID16" s="612"/>
      <c r="IE16" s="612"/>
      <c r="IF16" s="612"/>
      <c r="IG16" s="612"/>
      <c r="IH16" s="612"/>
      <c r="II16" s="612"/>
    </row>
    <row r="17" spans="1:243" ht="17.25" customHeight="1" thickBot="1">
      <c r="A17" s="72"/>
      <c r="B17" s="72"/>
      <c r="C17" s="219"/>
      <c r="D17" s="1163"/>
      <c r="E17" s="1163"/>
      <c r="F17" s="1163"/>
      <c r="G17" s="220"/>
      <c r="H17" s="220"/>
      <c r="I17" s="220"/>
      <c r="J17" s="220"/>
      <c r="K17" s="220"/>
      <c r="L17" s="220"/>
      <c r="M17" s="220"/>
      <c r="N17" s="220"/>
      <c r="O17" s="1140"/>
      <c r="P17" s="1140"/>
      <c r="Q17" s="1164" t="str">
        <f>IF(MasterSheet!$A$1=1,MasterSheet!$O$67,MasterSheet!O68)</f>
        <v>Plan prema Zakonu o Budžetu za 2013. godinu</v>
      </c>
      <c r="R17" s="1164"/>
      <c r="S17" s="1164"/>
      <c r="T17" s="1164"/>
      <c r="U17" s="1164"/>
      <c r="V17" s="1164"/>
      <c r="W17" s="1164"/>
      <c r="X17" s="1164"/>
      <c r="Y17" s="220"/>
      <c r="Z17" s="220"/>
      <c r="AA17" s="220"/>
      <c r="AB17" s="220"/>
      <c r="AC17" s="220"/>
      <c r="AD17" s="220"/>
      <c r="AE17" s="220"/>
      <c r="AF17" s="220"/>
      <c r="AG17" s="220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50"/>
      <c r="BA17" s="612"/>
      <c r="BB17" s="612"/>
      <c r="BC17" s="612"/>
      <c r="BD17" s="612"/>
      <c r="BE17" s="612"/>
      <c r="BF17" s="612"/>
      <c r="BG17" s="612"/>
      <c r="BH17" s="612"/>
      <c r="BI17" s="612"/>
      <c r="BJ17" s="612"/>
      <c r="BK17" s="612"/>
      <c r="BL17" s="612"/>
      <c r="BM17" s="612"/>
      <c r="BN17" s="612"/>
      <c r="BO17" s="612"/>
      <c r="BP17" s="612"/>
      <c r="BQ17" s="612"/>
      <c r="BR17" s="612"/>
      <c r="BS17" s="612"/>
      <c r="BT17" s="612"/>
      <c r="BU17" s="612"/>
      <c r="BV17" s="612"/>
      <c r="BW17" s="612"/>
      <c r="BX17" s="612"/>
      <c r="BY17" s="612"/>
      <c r="BZ17" s="612"/>
      <c r="CA17" s="612"/>
      <c r="CB17" s="612"/>
      <c r="CC17" s="612"/>
      <c r="CD17" s="612"/>
      <c r="CE17" s="612"/>
      <c r="CF17" s="612"/>
      <c r="CG17" s="612"/>
      <c r="CH17" s="612"/>
      <c r="CI17" s="612"/>
      <c r="CJ17" s="612"/>
      <c r="CK17" s="612"/>
      <c r="CL17" s="612"/>
      <c r="CM17" s="612"/>
      <c r="CN17" s="612"/>
      <c r="CO17" s="612"/>
      <c r="CP17" s="612"/>
      <c r="CQ17" s="612"/>
      <c r="CR17" s="612"/>
      <c r="CS17" s="612"/>
      <c r="CT17" s="612"/>
      <c r="CU17" s="612"/>
      <c r="CV17" s="612"/>
      <c r="CW17" s="612"/>
      <c r="CX17" s="612"/>
      <c r="CY17" s="612"/>
      <c r="CZ17" s="612"/>
      <c r="DA17" s="612"/>
      <c r="DB17" s="612"/>
      <c r="DC17" s="612"/>
      <c r="DD17" s="612"/>
      <c r="DE17" s="612"/>
      <c r="DF17" s="612"/>
      <c r="DG17" s="612"/>
      <c r="DH17" s="612"/>
      <c r="DI17" s="612"/>
      <c r="DJ17" s="612"/>
      <c r="DK17" s="612"/>
      <c r="DL17" s="612"/>
      <c r="DM17" s="612"/>
      <c r="DN17" s="612"/>
      <c r="DO17" s="612"/>
      <c r="DP17" s="612"/>
      <c r="DQ17" s="612"/>
      <c r="DR17" s="612"/>
      <c r="DS17" s="612"/>
      <c r="DT17" s="612"/>
      <c r="DU17" s="612"/>
      <c r="DV17" s="612"/>
      <c r="DW17" s="612"/>
      <c r="DX17" s="612"/>
      <c r="DY17" s="612"/>
      <c r="DZ17" s="612"/>
      <c r="EA17" s="612"/>
      <c r="EB17" s="612"/>
      <c r="EC17" s="612"/>
      <c r="ED17" s="612"/>
      <c r="EE17" s="612"/>
      <c r="EF17" s="612"/>
      <c r="EG17" s="612"/>
      <c r="EH17" s="612"/>
      <c r="EI17" s="612"/>
      <c r="EJ17" s="612"/>
      <c r="EK17" s="612"/>
      <c r="EL17" s="612"/>
      <c r="EM17" s="612"/>
      <c r="EN17" s="612"/>
      <c r="EO17" s="612"/>
      <c r="EP17" s="612"/>
      <c r="EQ17" s="612"/>
      <c r="ER17" s="612"/>
      <c r="ES17" s="612"/>
      <c r="ET17" s="612"/>
      <c r="EU17" s="612"/>
      <c r="EV17" s="612"/>
      <c r="EW17" s="612"/>
      <c r="EX17" s="612"/>
      <c r="EY17" s="612"/>
      <c r="EZ17" s="612"/>
      <c r="FA17" s="612"/>
      <c r="FB17" s="612"/>
      <c r="FC17" s="612"/>
      <c r="FD17" s="612"/>
      <c r="FE17" s="612"/>
      <c r="FF17" s="612"/>
      <c r="FG17" s="612"/>
      <c r="FH17" s="612"/>
      <c r="FI17" s="612"/>
      <c r="FJ17" s="612"/>
      <c r="FK17" s="612"/>
      <c r="FL17" s="612"/>
      <c r="FM17" s="612"/>
      <c r="FN17" s="612"/>
      <c r="FO17" s="612"/>
      <c r="FP17" s="612"/>
      <c r="FQ17" s="612"/>
      <c r="FR17" s="612"/>
      <c r="FS17" s="612"/>
      <c r="FT17" s="612"/>
      <c r="FU17" s="612"/>
      <c r="FV17" s="612"/>
      <c r="FW17" s="612"/>
      <c r="FX17" s="612"/>
      <c r="FY17" s="612"/>
      <c r="FZ17" s="612"/>
      <c r="GA17" s="612"/>
      <c r="GB17" s="612"/>
      <c r="GC17" s="612"/>
      <c r="GD17" s="612"/>
      <c r="GE17" s="245"/>
      <c r="GF17" s="612"/>
      <c r="GG17" s="612"/>
      <c r="GH17" s="612"/>
      <c r="GI17" s="612"/>
      <c r="GJ17" s="612"/>
      <c r="GK17" s="612"/>
      <c r="GL17" s="612"/>
      <c r="GM17" s="612"/>
      <c r="GN17" s="612"/>
      <c r="GO17" s="612"/>
      <c r="GP17" s="612"/>
      <c r="GQ17" s="612"/>
      <c r="GR17" s="612"/>
      <c r="GS17" s="612"/>
      <c r="GT17" s="612"/>
      <c r="GU17" s="612"/>
      <c r="GV17" s="612"/>
      <c r="GW17" s="612"/>
      <c r="GX17" s="612"/>
      <c r="GY17" s="612"/>
      <c r="GZ17" s="612"/>
      <c r="HA17" s="612"/>
      <c r="HB17" s="612"/>
      <c r="HC17" s="612"/>
      <c r="HD17" s="612"/>
      <c r="HE17" s="612"/>
      <c r="HF17" s="612"/>
      <c r="HG17" s="612"/>
      <c r="HH17" s="612"/>
      <c r="HI17" s="612"/>
      <c r="HJ17" s="612"/>
      <c r="HK17" s="612"/>
      <c r="HL17" s="612"/>
      <c r="HM17" s="612"/>
      <c r="HN17" s="612"/>
      <c r="HO17" s="612"/>
      <c r="HP17" s="612"/>
      <c r="HQ17" s="612"/>
      <c r="HR17" s="612"/>
      <c r="HS17" s="612"/>
      <c r="HT17" s="612"/>
      <c r="HU17" s="612"/>
      <c r="HV17" s="612"/>
      <c r="HW17" s="612"/>
      <c r="HX17" s="612"/>
      <c r="HY17" s="612"/>
      <c r="HZ17" s="612"/>
      <c r="IA17" s="612"/>
      <c r="IB17" s="612"/>
      <c r="IC17" s="612"/>
      <c r="ID17" s="612"/>
      <c r="IE17" s="612"/>
      <c r="IF17" s="612"/>
      <c r="IG17" s="612"/>
      <c r="IH17" s="612"/>
      <c r="II17" s="612"/>
    </row>
    <row r="18" spans="1:243" ht="17.25" customHeight="1" thickTop="1">
      <c r="A18" s="72"/>
      <c r="B18" s="72"/>
      <c r="C18" s="219"/>
      <c r="D18" s="1160" t="str">
        <f>IF(MasterSheet!$A$1=1,MasterSheet!B258,MasterSheet!B257)</f>
        <v>Javna potrošnja</v>
      </c>
      <c r="E18" s="1162">
        <v>2006</v>
      </c>
      <c r="F18" s="1162"/>
      <c r="G18" s="1162">
        <v>2007</v>
      </c>
      <c r="H18" s="1162"/>
      <c r="I18" s="1162">
        <v>2008</v>
      </c>
      <c r="J18" s="1162"/>
      <c r="K18" s="1162">
        <v>2009</v>
      </c>
      <c r="L18" s="1162"/>
      <c r="M18" s="1162">
        <v>2010</v>
      </c>
      <c r="N18" s="1162"/>
      <c r="O18" s="1162">
        <v>2011</v>
      </c>
      <c r="P18" s="1162"/>
      <c r="Q18" s="1162">
        <v>2012</v>
      </c>
      <c r="R18" s="1162"/>
      <c r="S18" s="1162">
        <v>2013</v>
      </c>
      <c r="T18" s="1162"/>
      <c r="U18" s="1162">
        <v>2014</v>
      </c>
      <c r="V18" s="1162"/>
      <c r="W18" s="1162">
        <v>2015</v>
      </c>
      <c r="X18" s="1162"/>
      <c r="Y18" s="220"/>
      <c r="Z18" s="220"/>
      <c r="AA18" s="220"/>
      <c r="AB18" s="220"/>
      <c r="AC18" s="220"/>
      <c r="AD18" s="220"/>
      <c r="AE18" s="220"/>
      <c r="AF18" s="220"/>
      <c r="AG18" s="220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50"/>
      <c r="BA18" s="612"/>
      <c r="BB18" s="612"/>
      <c r="BC18" s="612"/>
      <c r="BD18" s="612"/>
      <c r="BE18" s="612"/>
      <c r="BF18" s="612"/>
      <c r="BG18" s="612"/>
      <c r="BH18" s="612"/>
      <c r="BI18" s="612"/>
      <c r="BJ18" s="612"/>
      <c r="BK18" s="612"/>
      <c r="BL18" s="612"/>
      <c r="BM18" s="612"/>
      <c r="BN18" s="612"/>
      <c r="BO18" s="612"/>
      <c r="BP18" s="612"/>
      <c r="BQ18" s="612"/>
      <c r="BR18" s="612"/>
      <c r="BS18" s="612"/>
      <c r="BT18" s="612"/>
      <c r="BU18" s="612"/>
      <c r="BV18" s="612"/>
      <c r="BW18" s="612"/>
      <c r="BX18" s="612"/>
      <c r="BY18" s="612"/>
      <c r="BZ18" s="612"/>
      <c r="CA18" s="612"/>
      <c r="CB18" s="612"/>
      <c r="CC18" s="612"/>
      <c r="CD18" s="612"/>
      <c r="CE18" s="612"/>
      <c r="CF18" s="612"/>
      <c r="CG18" s="612"/>
      <c r="CH18" s="612"/>
      <c r="CI18" s="612"/>
      <c r="CJ18" s="612"/>
      <c r="CK18" s="612"/>
      <c r="CL18" s="612"/>
      <c r="CM18" s="612"/>
      <c r="CN18" s="612"/>
      <c r="CO18" s="612"/>
      <c r="CP18" s="612"/>
      <c r="CQ18" s="612"/>
      <c r="CR18" s="612"/>
      <c r="CS18" s="612"/>
      <c r="CT18" s="612"/>
      <c r="CU18" s="612"/>
      <c r="CV18" s="612"/>
      <c r="CW18" s="612"/>
      <c r="CX18" s="612"/>
      <c r="CY18" s="612"/>
      <c r="CZ18" s="612"/>
      <c r="DA18" s="612"/>
      <c r="DB18" s="612"/>
      <c r="DC18" s="612"/>
      <c r="DD18" s="612"/>
      <c r="DE18" s="612"/>
      <c r="DF18" s="612"/>
      <c r="DG18" s="612"/>
      <c r="DH18" s="612"/>
      <c r="DI18" s="612"/>
      <c r="DJ18" s="612"/>
      <c r="DK18" s="612"/>
      <c r="DL18" s="612"/>
      <c r="DM18" s="612"/>
      <c r="DN18" s="612"/>
      <c r="DO18" s="612"/>
      <c r="DP18" s="612"/>
      <c r="DQ18" s="612"/>
      <c r="DR18" s="612"/>
      <c r="DS18" s="612"/>
      <c r="DT18" s="612"/>
      <c r="DU18" s="612"/>
      <c r="DV18" s="612"/>
      <c r="DW18" s="612"/>
      <c r="DX18" s="612"/>
      <c r="DY18" s="612"/>
      <c r="DZ18" s="612"/>
      <c r="EA18" s="612"/>
      <c r="EB18" s="612"/>
      <c r="EC18" s="612"/>
      <c r="ED18" s="612"/>
      <c r="EE18" s="612"/>
      <c r="EF18" s="612"/>
      <c r="EG18" s="612"/>
      <c r="EH18" s="612"/>
      <c r="EI18" s="612"/>
      <c r="EJ18" s="612"/>
      <c r="EK18" s="612"/>
      <c r="EL18" s="612"/>
      <c r="EM18" s="612"/>
      <c r="EN18" s="612"/>
      <c r="EO18" s="612"/>
      <c r="EP18" s="612"/>
      <c r="EQ18" s="612"/>
      <c r="ER18" s="612"/>
      <c r="ES18" s="612"/>
      <c r="ET18" s="612"/>
      <c r="EU18" s="612"/>
      <c r="EV18" s="612"/>
      <c r="EW18" s="612"/>
      <c r="EX18" s="612"/>
      <c r="EY18" s="612"/>
      <c r="EZ18" s="612"/>
      <c r="FA18" s="612"/>
      <c r="FB18" s="612"/>
      <c r="FC18" s="612"/>
      <c r="FD18" s="612"/>
      <c r="FE18" s="612"/>
      <c r="FF18" s="612"/>
      <c r="FG18" s="612"/>
      <c r="FH18" s="612"/>
      <c r="FI18" s="612"/>
      <c r="FJ18" s="612"/>
      <c r="FK18" s="612"/>
      <c r="FL18" s="612"/>
      <c r="FM18" s="612"/>
      <c r="FN18" s="612"/>
      <c r="FO18" s="612"/>
      <c r="FP18" s="612"/>
      <c r="FQ18" s="612"/>
      <c r="FR18" s="612"/>
      <c r="FS18" s="612"/>
      <c r="FT18" s="612"/>
      <c r="FU18" s="612"/>
      <c r="FV18" s="612"/>
      <c r="FW18" s="612"/>
      <c r="FX18" s="612"/>
      <c r="FY18" s="612"/>
      <c r="FZ18" s="612"/>
      <c r="GA18" s="612"/>
      <c r="GB18" s="612"/>
      <c r="GC18" s="612"/>
      <c r="GD18" s="612"/>
      <c r="GE18" s="245"/>
      <c r="GF18" s="612"/>
      <c r="GG18" s="612"/>
      <c r="GH18" s="612"/>
      <c r="GI18" s="612"/>
      <c r="GJ18" s="612"/>
      <c r="GK18" s="612"/>
      <c r="GL18" s="612"/>
      <c r="GM18" s="612"/>
      <c r="GN18" s="612"/>
      <c r="GO18" s="612"/>
      <c r="GP18" s="612"/>
      <c r="GQ18" s="612"/>
      <c r="GR18" s="612"/>
      <c r="GS18" s="612"/>
      <c r="GT18" s="612"/>
      <c r="GU18" s="612"/>
      <c r="GV18" s="612"/>
      <c r="GW18" s="612"/>
      <c r="GX18" s="612"/>
      <c r="GY18" s="612"/>
      <c r="GZ18" s="612"/>
      <c r="HA18" s="612"/>
      <c r="HB18" s="612"/>
      <c r="HC18" s="612"/>
      <c r="HD18" s="612"/>
      <c r="HE18" s="612"/>
      <c r="HF18" s="612"/>
      <c r="HG18" s="612"/>
      <c r="HH18" s="612"/>
      <c r="HI18" s="612"/>
      <c r="HJ18" s="612"/>
      <c r="HK18" s="612"/>
      <c r="HL18" s="612"/>
      <c r="HM18" s="612"/>
      <c r="HN18" s="612"/>
      <c r="HO18" s="612"/>
      <c r="HP18" s="612"/>
      <c r="HQ18" s="612"/>
      <c r="HR18" s="612"/>
      <c r="HS18" s="612"/>
      <c r="HT18" s="612"/>
      <c r="HU18" s="612"/>
      <c r="HV18" s="612"/>
      <c r="HW18" s="612"/>
      <c r="HX18" s="612"/>
      <c r="HY18" s="612"/>
      <c r="HZ18" s="612"/>
      <c r="IA18" s="612"/>
      <c r="IB18" s="612"/>
      <c r="IC18" s="612"/>
      <c r="ID18" s="612"/>
      <c r="IE18" s="612"/>
      <c r="IF18" s="612"/>
      <c r="IG18" s="612"/>
      <c r="IH18" s="612"/>
      <c r="II18" s="612"/>
    </row>
    <row r="19" spans="1:243" ht="16.5" customHeight="1" thickBot="1">
      <c r="A19" s="72"/>
      <c r="B19" s="72"/>
      <c r="C19" s="72"/>
      <c r="D19" s="1161"/>
      <c r="E19" s="313" t="str">
        <f>IF(MasterSheet!$A$1=1,MasterSheet!C258,MasterSheet!C257)</f>
        <v>mil. €</v>
      </c>
      <c r="F19" s="304" t="str">
        <f>IF(MasterSheet!$A$1=1,MasterSheet!D258,MasterSheet!D257)</f>
        <v xml:space="preserve"> % BDP</v>
      </c>
      <c r="G19" s="313" t="str">
        <f>IF(MasterSheet!$A$1=1,MasterSheet!E258,MasterSheet!E257)</f>
        <v>mil. €</v>
      </c>
      <c r="H19" s="304" t="str">
        <f>IF(MasterSheet!$A$1=1,MasterSheet!F258,MasterSheet!F257)</f>
        <v xml:space="preserve"> % BDP</v>
      </c>
      <c r="I19" s="313" t="str">
        <f>IF(MasterSheet!$A$1=1,MasterSheet!G258,MasterSheet!G257)</f>
        <v>mil. €</v>
      </c>
      <c r="J19" s="304" t="str">
        <f>IF(MasterSheet!$A$1=1,MasterSheet!H258,MasterSheet!H257)</f>
        <v xml:space="preserve"> % BDP</v>
      </c>
      <c r="K19" s="239" t="str">
        <f>IF(MasterSheet!$A$1=1,MasterSheet!I258,MasterSheet!I257)</f>
        <v>mil. €</v>
      </c>
      <c r="L19" s="239" t="str">
        <f>IF(MasterSheet!$A$1=1,MasterSheet!J258,MasterSheet!J257)</f>
        <v xml:space="preserve"> % BDP</v>
      </c>
      <c r="M19" s="313" t="str">
        <f>IF(MasterSheet!$A$1=1,MasterSheet!K258,MasterSheet!K257)</f>
        <v>mil. €</v>
      </c>
      <c r="N19" s="304" t="str">
        <f>IF(MasterSheet!$A$1=1,MasterSheet!L258,MasterSheet!L257)</f>
        <v xml:space="preserve"> % BDP</v>
      </c>
      <c r="O19" s="313" t="str">
        <f>IF(MasterSheet!$A$1=1,MasterSheet!M258,MasterSheet!M257)</f>
        <v>mil. €</v>
      </c>
      <c r="P19" s="304" t="str">
        <f>IF(MasterSheet!$A$1=1,MasterSheet!N258,MasterSheet!N257)</f>
        <v xml:space="preserve"> % BDP</v>
      </c>
      <c r="Q19" s="313" t="str">
        <f>IF(MasterSheet!$A$1=1,MasterSheet!O258,MasterSheet!O257)</f>
        <v>mil. €</v>
      </c>
      <c r="R19" s="304" t="str">
        <f>IF(MasterSheet!$A$1=1,MasterSheet!P258,MasterSheet!P257)</f>
        <v xml:space="preserve"> % BDP</v>
      </c>
      <c r="S19" s="313" t="str">
        <f>IF(MasterSheet!$A$1=1,MasterSheet!Q258,MasterSheet!Q257)</f>
        <v>mil. €</v>
      </c>
      <c r="T19" s="304" t="str">
        <f>IF(MasterSheet!$A$1=1,MasterSheet!R258,MasterSheet!R257)</f>
        <v xml:space="preserve"> % BDP</v>
      </c>
      <c r="U19" s="313" t="str">
        <f>IF(MasterSheet!$A$1=1,MasterSheet!S258,MasterSheet!S257)</f>
        <v>mil. €</v>
      </c>
      <c r="V19" s="304" t="str">
        <f>IF(MasterSheet!$A$1=1,MasterSheet!T258,MasterSheet!T257)</f>
        <v xml:space="preserve"> % BDP</v>
      </c>
      <c r="W19" s="313" t="str">
        <f>IF(MasterSheet!$A$1=1,MasterSheet!U258,MasterSheet!U257)</f>
        <v>mil. €</v>
      </c>
      <c r="X19" s="304" t="str">
        <f>IF(MasterSheet!$A$1=1,MasterSheet!V258,MasterSheet!V257)</f>
        <v xml:space="preserve"> % BDP</v>
      </c>
      <c r="Y19" s="221"/>
      <c r="Z19" s="221"/>
      <c r="AA19" s="221"/>
      <c r="AB19" s="221"/>
      <c r="AC19" s="221"/>
      <c r="AD19" s="221"/>
      <c r="AE19" s="221"/>
      <c r="AF19" s="221"/>
      <c r="AG19" s="221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50"/>
      <c r="BA19" s="1159"/>
      <c r="BB19" s="1157"/>
      <c r="BC19" s="1157"/>
      <c r="BD19" s="1157"/>
      <c r="BE19" s="1157"/>
      <c r="BF19" s="612"/>
      <c r="BG19" s="612"/>
      <c r="BH19" s="612"/>
      <c r="BI19" s="612"/>
      <c r="BJ19" s="612"/>
      <c r="BK19" s="612"/>
      <c r="BL19" s="612"/>
      <c r="BM19" s="612"/>
      <c r="BN19" s="612"/>
      <c r="BO19" s="612"/>
      <c r="BP19" s="612"/>
      <c r="BQ19" s="612"/>
      <c r="BR19" s="612"/>
      <c r="BS19" s="612"/>
      <c r="BT19" s="612"/>
      <c r="BU19" s="612"/>
      <c r="BV19" s="612"/>
      <c r="BW19" s="612"/>
      <c r="BX19" s="612"/>
      <c r="BY19" s="612"/>
      <c r="BZ19" s="612"/>
      <c r="CA19" s="612"/>
      <c r="CB19" s="612"/>
      <c r="CC19" s="612"/>
      <c r="CD19" s="612"/>
      <c r="CE19" s="612"/>
      <c r="CF19" s="612"/>
      <c r="CG19" s="612"/>
      <c r="CH19" s="612"/>
      <c r="CI19" s="612"/>
      <c r="CJ19" s="612"/>
      <c r="CK19" s="612"/>
      <c r="CL19" s="612"/>
      <c r="CM19" s="612"/>
      <c r="CN19" s="612"/>
      <c r="CO19" s="612"/>
      <c r="CP19" s="612"/>
      <c r="CQ19" s="612"/>
      <c r="CR19" s="612"/>
      <c r="CS19" s="612"/>
      <c r="CT19" s="612"/>
      <c r="CU19" s="612"/>
      <c r="CV19" s="612"/>
      <c r="CW19" s="612"/>
      <c r="CX19" s="612"/>
      <c r="CY19" s="612"/>
      <c r="CZ19" s="612"/>
      <c r="DA19" s="612"/>
      <c r="DB19" s="612"/>
      <c r="DC19" s="612"/>
      <c r="DD19" s="612"/>
      <c r="DE19" s="612"/>
      <c r="DF19" s="612"/>
      <c r="DG19" s="612"/>
      <c r="DH19" s="612"/>
      <c r="DI19" s="612"/>
      <c r="DJ19" s="612"/>
      <c r="DK19" s="612"/>
      <c r="DL19" s="612"/>
      <c r="DM19" s="612"/>
      <c r="DN19" s="612"/>
      <c r="DO19" s="612"/>
      <c r="DP19" s="612"/>
      <c r="DQ19" s="612"/>
      <c r="DR19" s="612"/>
      <c r="DS19" s="612"/>
      <c r="DT19" s="612"/>
      <c r="DU19" s="612"/>
      <c r="DV19" s="612"/>
      <c r="DW19" s="612"/>
      <c r="DX19" s="612"/>
      <c r="DY19" s="612"/>
      <c r="DZ19" s="612"/>
      <c r="EA19" s="612"/>
      <c r="EB19" s="612"/>
      <c r="EC19" s="612"/>
      <c r="ED19" s="612"/>
      <c r="EE19" s="612"/>
      <c r="EF19" s="612"/>
      <c r="EG19" s="612"/>
      <c r="EH19" s="612"/>
      <c r="EI19" s="612"/>
      <c r="EJ19" s="612"/>
      <c r="EK19" s="612"/>
      <c r="EL19" s="612"/>
      <c r="EM19" s="612"/>
      <c r="EN19" s="612"/>
      <c r="EO19" s="612"/>
      <c r="EP19" s="612"/>
      <c r="EQ19" s="612"/>
      <c r="ER19" s="612"/>
      <c r="ES19" s="612"/>
      <c r="ET19" s="612"/>
      <c r="EU19" s="612"/>
      <c r="EV19" s="612"/>
      <c r="EW19" s="612"/>
      <c r="EX19" s="612"/>
      <c r="EY19" s="612"/>
      <c r="EZ19" s="612"/>
      <c r="FA19" s="612"/>
      <c r="FB19" s="612"/>
      <c r="FC19" s="612"/>
      <c r="FD19" s="612"/>
      <c r="FE19" s="612"/>
      <c r="FF19" s="612"/>
      <c r="FG19" s="612"/>
      <c r="FH19" s="612"/>
      <c r="FI19" s="612"/>
      <c r="FJ19" s="612"/>
      <c r="FK19" s="612"/>
      <c r="FL19" s="612"/>
      <c r="FM19" s="612"/>
      <c r="FN19" s="612"/>
      <c r="FO19" s="612"/>
      <c r="FP19" s="612"/>
      <c r="FQ19" s="612"/>
      <c r="FR19" s="612"/>
      <c r="FS19" s="612"/>
      <c r="FT19" s="612"/>
      <c r="FU19" s="612"/>
      <c r="FV19" s="612"/>
      <c r="FW19" s="612"/>
      <c r="FX19" s="612"/>
      <c r="FY19" s="612"/>
      <c r="FZ19" s="612"/>
      <c r="GA19" s="612"/>
      <c r="GB19" s="612"/>
      <c r="GC19" s="612"/>
      <c r="GD19" s="612"/>
      <c r="GE19" s="245"/>
      <c r="GF19" s="612"/>
      <c r="GG19" s="612"/>
      <c r="GH19" s="612"/>
      <c r="GI19" s="612"/>
      <c r="GJ19" s="612"/>
      <c r="GK19" s="612"/>
      <c r="GL19" s="612"/>
      <c r="GM19" s="612"/>
      <c r="GN19" s="612"/>
      <c r="GO19" s="612"/>
      <c r="GP19" s="612"/>
      <c r="GQ19" s="612"/>
      <c r="GR19" s="612"/>
      <c r="GS19" s="612"/>
      <c r="GT19" s="612"/>
      <c r="GU19" s="612"/>
      <c r="GV19" s="612"/>
      <c r="GW19" s="612"/>
      <c r="GX19" s="612"/>
      <c r="GY19" s="612"/>
      <c r="GZ19" s="612"/>
      <c r="HA19" s="612"/>
      <c r="HB19" s="612"/>
      <c r="HC19" s="612"/>
      <c r="HD19" s="612"/>
      <c r="HE19" s="612"/>
      <c r="HF19" s="612"/>
      <c r="HG19" s="612"/>
      <c r="HH19" s="612"/>
      <c r="HI19" s="612"/>
      <c r="HJ19" s="612"/>
      <c r="HK19" s="612"/>
      <c r="HL19" s="612"/>
      <c r="HM19" s="612"/>
      <c r="HN19" s="612"/>
      <c r="HO19" s="612"/>
      <c r="HP19" s="612"/>
      <c r="HQ19" s="612"/>
      <c r="HR19" s="612"/>
      <c r="HS19" s="612"/>
      <c r="HT19" s="612"/>
      <c r="HU19" s="612"/>
      <c r="HV19" s="612"/>
      <c r="HW19" s="612"/>
      <c r="HX19" s="612"/>
      <c r="HY19" s="612"/>
      <c r="HZ19" s="612"/>
      <c r="IA19" s="612"/>
      <c r="IB19" s="612"/>
      <c r="IC19" s="612"/>
      <c r="ID19" s="612"/>
      <c r="IE19" s="612"/>
      <c r="IF19" s="612"/>
      <c r="IG19" s="612"/>
      <c r="IH19" s="612"/>
      <c r="II19" s="612"/>
    </row>
    <row r="20" spans="1:243" ht="15" customHeight="1" thickTop="1" thickBot="1">
      <c r="A20" s="72"/>
      <c r="B20" s="72"/>
      <c r="C20" s="72"/>
      <c r="D20" s="240" t="str">
        <f>IF(MasterSheet!$A$1=1,MasterSheet!C259,MasterSheet!B259)</f>
        <v>Izvorni prihodi</v>
      </c>
      <c r="E20" s="314">
        <f>+E21+E30+E35+E36+E37+E38</f>
        <v>977481729.04999959</v>
      </c>
      <c r="F20" s="305">
        <f t="shared" ref="F20:F73" si="0">+E20/$E$15*100</f>
        <v>45.48753916189677</v>
      </c>
      <c r="G20" s="314">
        <f>+G21+G30+G35+G36+G37+G38</f>
        <v>1327453741.4199998</v>
      </c>
      <c r="H20" s="305">
        <f t="shared" ref="H20:H73" si="1">+G20/$G$15*100</f>
        <v>49.522616728968472</v>
      </c>
      <c r="I20" s="314">
        <f>+I21+I30+I35+I36+I37+I38</f>
        <v>1544436557.4989567</v>
      </c>
      <c r="J20" s="305">
        <f t="shared" ref="J20:J73" si="2">+I20/$I$15*100</f>
        <v>50.053038550005077</v>
      </c>
      <c r="K20" s="314">
        <f>+K21+K30+K35+K36+K37+K38</f>
        <v>1352965211.8900003</v>
      </c>
      <c r="L20" s="305">
        <f t="shared" ref="L20:L73" si="3">+K20/$K$15*100</f>
        <v>45.386286879906088</v>
      </c>
      <c r="M20" s="314">
        <f>+M21+M30+M35+M36+M37+M38</f>
        <v>1314326020.6084619</v>
      </c>
      <c r="N20" s="305">
        <f>+M20/$M$15*100</f>
        <v>42.342977468056112</v>
      </c>
      <c r="O20" s="314">
        <f>+O21+O30+O35+O36+O37+O38</f>
        <v>1285074777.05</v>
      </c>
      <c r="P20" s="305">
        <f>+O20/$O$15*100</f>
        <v>39.736387663883733</v>
      </c>
      <c r="Q20" s="332">
        <f>+Q21+Q30+Q35+Q36+Q37+Q38</f>
        <v>1292717599.1833332</v>
      </c>
      <c r="R20" s="322">
        <f>+Q20/$Q$15*100</f>
        <v>41.051686223668881</v>
      </c>
      <c r="S20" s="332">
        <f>+S21+S30+S35+S36+S37+S38</f>
        <v>1294096453.708262</v>
      </c>
      <c r="T20" s="322">
        <f>+S20/$S$15*100</f>
        <v>36.795463568617059</v>
      </c>
      <c r="U20" s="332">
        <f>+U21+U30+U35+U36+U37+U38</f>
        <v>1320048211.4556689</v>
      </c>
      <c r="V20" s="322">
        <f>+U20/$U$15*100</f>
        <v>37.533358301270084</v>
      </c>
      <c r="W20" s="332">
        <f>+W21+W30+W35+W36+W37+W38</f>
        <v>25951757.747406907</v>
      </c>
      <c r="X20" s="511" t="e">
        <f>+W20/$W$15*100</f>
        <v>#DIV/0!</v>
      </c>
      <c r="Y20" s="222"/>
      <c r="Z20" s="222"/>
      <c r="AA20" s="222"/>
      <c r="AB20" s="222"/>
      <c r="AC20" s="222"/>
      <c r="AD20" s="222"/>
      <c r="AE20" s="222"/>
      <c r="AF20" s="222"/>
      <c r="AG20" s="222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50"/>
      <c r="BA20" s="246"/>
      <c r="BB20" s="247"/>
      <c r="BC20" s="612"/>
      <c r="BD20" s="612"/>
      <c r="BE20" s="612"/>
      <c r="BF20" s="612"/>
      <c r="BG20" s="612"/>
      <c r="BH20" s="612"/>
      <c r="BI20" s="612"/>
      <c r="BJ20" s="612"/>
      <c r="BK20" s="612"/>
      <c r="BL20" s="612"/>
      <c r="BM20" s="612"/>
      <c r="BN20" s="612"/>
      <c r="BO20" s="612"/>
      <c r="BP20" s="612"/>
      <c r="BQ20" s="612"/>
      <c r="BR20" s="612"/>
      <c r="BS20" s="612"/>
      <c r="BT20" s="612"/>
      <c r="BU20" s="612"/>
      <c r="BV20" s="612"/>
      <c r="BW20" s="612"/>
      <c r="BX20" s="612"/>
      <c r="BY20" s="612"/>
      <c r="BZ20" s="612"/>
      <c r="CA20" s="612"/>
      <c r="CB20" s="612"/>
      <c r="CC20" s="612"/>
      <c r="CD20" s="612"/>
      <c r="CE20" s="612"/>
      <c r="CF20" s="612"/>
      <c r="CG20" s="612"/>
      <c r="CH20" s="612"/>
      <c r="CI20" s="612"/>
      <c r="CJ20" s="612"/>
      <c r="CK20" s="612"/>
      <c r="CL20" s="612"/>
      <c r="CM20" s="612"/>
      <c r="CN20" s="612"/>
      <c r="CO20" s="612"/>
      <c r="CP20" s="612"/>
      <c r="CQ20" s="612"/>
      <c r="CR20" s="612"/>
      <c r="CS20" s="612"/>
      <c r="CT20" s="612"/>
      <c r="CU20" s="612"/>
      <c r="CV20" s="612"/>
      <c r="CW20" s="612"/>
      <c r="CX20" s="612"/>
      <c r="CY20" s="612"/>
      <c r="CZ20" s="612"/>
      <c r="DA20" s="612"/>
      <c r="DB20" s="612"/>
      <c r="DC20" s="612"/>
      <c r="DD20" s="612"/>
      <c r="DE20" s="612"/>
      <c r="DF20" s="612"/>
      <c r="DG20" s="612"/>
      <c r="DH20" s="612"/>
      <c r="DI20" s="612"/>
      <c r="DJ20" s="612"/>
      <c r="DK20" s="612"/>
      <c r="DL20" s="612"/>
      <c r="DM20" s="612"/>
      <c r="DN20" s="612"/>
      <c r="DO20" s="612"/>
      <c r="DP20" s="612"/>
      <c r="DQ20" s="612"/>
      <c r="DR20" s="612"/>
      <c r="DS20" s="612"/>
      <c r="DT20" s="612"/>
      <c r="DU20" s="612"/>
      <c r="DV20" s="612"/>
      <c r="DW20" s="612"/>
      <c r="DX20" s="612"/>
      <c r="DY20" s="612"/>
      <c r="DZ20" s="612"/>
      <c r="EA20" s="612"/>
      <c r="EB20" s="612"/>
      <c r="EC20" s="612"/>
      <c r="ED20" s="612"/>
      <c r="EE20" s="612"/>
      <c r="EF20" s="612"/>
      <c r="EG20" s="612"/>
      <c r="EH20" s="612"/>
      <c r="EI20" s="612"/>
      <c r="EJ20" s="612"/>
      <c r="EK20" s="612"/>
      <c r="EL20" s="612"/>
      <c r="EM20" s="612"/>
      <c r="EN20" s="612"/>
      <c r="EO20" s="612"/>
      <c r="EP20" s="612"/>
      <c r="EQ20" s="612"/>
      <c r="ER20" s="612"/>
      <c r="ES20" s="612"/>
      <c r="ET20" s="612"/>
      <c r="EU20" s="612"/>
      <c r="EV20" s="612"/>
      <c r="EW20" s="612"/>
      <c r="EX20" s="612"/>
      <c r="EY20" s="612"/>
      <c r="EZ20" s="612"/>
      <c r="FA20" s="612"/>
      <c r="FB20" s="612"/>
      <c r="FC20" s="612"/>
      <c r="FD20" s="612"/>
      <c r="FE20" s="612"/>
      <c r="FF20" s="612"/>
      <c r="FG20" s="612"/>
      <c r="FH20" s="612"/>
      <c r="FI20" s="612"/>
      <c r="FJ20" s="612"/>
      <c r="FK20" s="612"/>
      <c r="FL20" s="612"/>
      <c r="FM20" s="612"/>
      <c r="FN20" s="612"/>
      <c r="FO20" s="612"/>
      <c r="FP20" s="612"/>
      <c r="FQ20" s="612"/>
      <c r="FR20" s="612"/>
      <c r="FS20" s="612"/>
      <c r="FT20" s="612"/>
      <c r="FU20" s="248"/>
      <c r="FV20" s="612"/>
      <c r="FW20" s="612"/>
      <c r="FX20" s="612"/>
      <c r="FY20" s="612"/>
      <c r="FZ20" s="612"/>
      <c r="GA20" s="612"/>
      <c r="GB20" s="612"/>
      <c r="GC20" s="612"/>
      <c r="GD20" s="612"/>
      <c r="GE20" s="245"/>
      <c r="GF20" s="612"/>
      <c r="GG20" s="612"/>
      <c r="GH20" s="612"/>
      <c r="GI20" s="612"/>
      <c r="GJ20" s="612"/>
      <c r="GK20" s="612"/>
      <c r="GL20" s="612"/>
      <c r="GM20" s="612"/>
      <c r="GN20" s="612"/>
      <c r="GO20" s="612"/>
      <c r="GP20" s="612"/>
      <c r="GQ20" s="612"/>
      <c r="GR20" s="612"/>
      <c r="GS20" s="612"/>
      <c r="GT20" s="612"/>
      <c r="GU20" s="612"/>
      <c r="GV20" s="612"/>
      <c r="GW20" s="612"/>
      <c r="GX20" s="612"/>
      <c r="GY20" s="612"/>
      <c r="GZ20" s="612"/>
      <c r="HA20" s="612"/>
      <c r="HB20" s="612"/>
      <c r="HC20" s="612"/>
      <c r="HD20" s="612"/>
      <c r="HE20" s="612"/>
      <c r="HF20" s="612"/>
      <c r="HG20" s="612"/>
      <c r="HH20" s="612"/>
      <c r="HI20" s="612"/>
      <c r="HJ20" s="612"/>
      <c r="HK20" s="612"/>
      <c r="HL20" s="612"/>
      <c r="HM20" s="612"/>
      <c r="HN20" s="612"/>
      <c r="HO20" s="612"/>
      <c r="HP20" s="612"/>
      <c r="HQ20" s="612"/>
      <c r="HR20" s="612"/>
      <c r="HS20" s="612"/>
      <c r="HT20" s="612"/>
      <c r="HU20" s="612"/>
      <c r="HV20" s="612"/>
      <c r="HW20" s="612"/>
      <c r="HX20" s="612"/>
      <c r="HY20" s="612"/>
      <c r="HZ20" s="612"/>
      <c r="IA20" s="612"/>
      <c r="IB20" s="612"/>
      <c r="IC20" s="612"/>
      <c r="ID20" s="612"/>
      <c r="IE20" s="612"/>
      <c r="IF20" s="612"/>
      <c r="IG20" s="612"/>
      <c r="IH20" s="612"/>
      <c r="II20" s="612"/>
    </row>
    <row r="21" spans="1:243" ht="15" customHeight="1" thickTop="1">
      <c r="A21" s="72"/>
      <c r="B21" s="72"/>
      <c r="C21" s="72"/>
      <c r="D21" s="268" t="str">
        <f>IF(MasterSheet!$A$1=1,MasterSheet!C260,MasterSheet!B260)</f>
        <v>Porezi</v>
      </c>
      <c r="E21" s="315">
        <f>SUM(E22:E29)</f>
        <v>554531683.49999976</v>
      </c>
      <c r="F21" s="306">
        <f t="shared" si="0"/>
        <v>25.805374075108183</v>
      </c>
      <c r="G21" s="315">
        <f>SUM(G22:G29)</f>
        <v>782936478.57999992</v>
      </c>
      <c r="H21" s="306">
        <f t="shared" si="1"/>
        <v>29.208598342846482</v>
      </c>
      <c r="I21" s="315">
        <f>SUM(I22:I29)</f>
        <v>926395935.53392506</v>
      </c>
      <c r="J21" s="306">
        <f t="shared" si="2"/>
        <v>30.023202473876232</v>
      </c>
      <c r="K21" s="315">
        <f>SUM(K22:K29)</f>
        <v>795656504.49000013</v>
      </c>
      <c r="L21" s="306">
        <f t="shared" si="3"/>
        <v>26.690926014424694</v>
      </c>
      <c r="M21" s="315">
        <f>SUM(M22:M29)</f>
        <v>757228561.60846162</v>
      </c>
      <c r="N21" s="306">
        <f t="shared" ref="N21:N73" si="4">+M21/$M$15*100</f>
        <v>24.395250051818994</v>
      </c>
      <c r="O21" s="315">
        <f>SUM(O22:O29)</f>
        <v>794524489.61999989</v>
      </c>
      <c r="P21" s="306">
        <f t="shared" ref="P21:P73" si="5">+O21/$O$15*100</f>
        <v>24.567856821892388</v>
      </c>
      <c r="Q21" s="333">
        <f>SUM(Q22:Q29)</f>
        <v>778801110.5333333</v>
      </c>
      <c r="R21" s="323">
        <f t="shared" ref="R21:R73" si="6">+Q21/$Q$15*100</f>
        <v>24.731696110934685</v>
      </c>
      <c r="S21" s="333">
        <f>SUM(S22:S29)</f>
        <v>773225358.93309283</v>
      </c>
      <c r="T21" s="323">
        <f t="shared" ref="T21:T73" si="7">+S21/$S$15*100</f>
        <v>21.985367043875257</v>
      </c>
      <c r="U21" s="333">
        <f>SUM(U22:U29)</f>
        <v>806405768.00627339</v>
      </c>
      <c r="V21" s="323">
        <f t="shared" ref="V21:V73" si="8">+U21/$U$15*100</f>
        <v>22.928796360712919</v>
      </c>
      <c r="W21" s="333">
        <f>SUM(W22:W29)</f>
        <v>33180409.073180582</v>
      </c>
      <c r="X21" s="512" t="e">
        <f t="shared" ref="X21:X73" si="9">+W21/$W$15*100</f>
        <v>#DIV/0!</v>
      </c>
      <c r="Y21" s="222"/>
      <c r="Z21" s="222"/>
      <c r="AA21" s="222"/>
      <c r="AB21" s="222"/>
      <c r="AC21" s="222"/>
      <c r="AD21" s="222"/>
      <c r="AE21" s="222"/>
      <c r="AF21" s="222"/>
      <c r="AG21" s="222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50"/>
      <c r="BA21" s="249"/>
      <c r="BB21" s="247"/>
      <c r="BC21" s="612"/>
      <c r="BD21" s="612"/>
      <c r="BE21" s="612"/>
      <c r="BF21" s="612"/>
      <c r="BG21" s="612"/>
      <c r="BH21" s="612"/>
      <c r="BI21" s="612"/>
      <c r="BJ21" s="612"/>
      <c r="BK21" s="612"/>
      <c r="BL21" s="612"/>
      <c r="BM21" s="612"/>
      <c r="BN21" s="612"/>
      <c r="BO21" s="612"/>
      <c r="BP21" s="612"/>
      <c r="BQ21" s="612"/>
      <c r="BR21" s="612"/>
      <c r="BS21" s="612"/>
      <c r="BT21" s="612"/>
      <c r="BU21" s="612"/>
      <c r="BV21" s="612"/>
      <c r="BW21" s="612"/>
      <c r="BX21" s="612"/>
      <c r="BY21" s="612"/>
      <c r="BZ21" s="612"/>
      <c r="CA21" s="612"/>
      <c r="CB21" s="612"/>
      <c r="CC21" s="612"/>
      <c r="CD21" s="612"/>
      <c r="CE21" s="612"/>
      <c r="CF21" s="612"/>
      <c r="CG21" s="612"/>
      <c r="CH21" s="612"/>
      <c r="CI21" s="612"/>
      <c r="CJ21" s="612"/>
      <c r="CK21" s="612"/>
      <c r="CL21" s="612"/>
      <c r="CM21" s="612"/>
      <c r="CN21" s="612"/>
      <c r="CO21" s="612"/>
      <c r="CP21" s="612"/>
      <c r="CQ21" s="612"/>
      <c r="CR21" s="612"/>
      <c r="CS21" s="612"/>
      <c r="CT21" s="612"/>
      <c r="CU21" s="612"/>
      <c r="CV21" s="612"/>
      <c r="CW21" s="612"/>
      <c r="CX21" s="612"/>
      <c r="CY21" s="612"/>
      <c r="CZ21" s="612"/>
      <c r="DA21" s="612"/>
      <c r="DB21" s="612"/>
      <c r="DC21" s="612"/>
      <c r="DD21" s="612"/>
      <c r="DE21" s="612"/>
      <c r="DF21" s="612"/>
      <c r="DG21" s="612"/>
      <c r="DH21" s="612"/>
      <c r="DI21" s="612"/>
      <c r="DJ21" s="612"/>
      <c r="DK21" s="612"/>
      <c r="DL21" s="612"/>
      <c r="DM21" s="612"/>
      <c r="DN21" s="612"/>
      <c r="DO21" s="612"/>
      <c r="DP21" s="612"/>
      <c r="DQ21" s="612"/>
      <c r="DR21" s="612"/>
      <c r="DS21" s="612"/>
      <c r="DT21" s="612"/>
      <c r="DU21" s="612"/>
      <c r="DV21" s="612"/>
      <c r="DW21" s="612"/>
      <c r="DX21" s="612"/>
      <c r="DY21" s="612"/>
      <c r="DZ21" s="612"/>
      <c r="EA21" s="612"/>
      <c r="EB21" s="612"/>
      <c r="EC21" s="612"/>
      <c r="ED21" s="612"/>
      <c r="EE21" s="612"/>
      <c r="EF21" s="612"/>
      <c r="EG21" s="612"/>
      <c r="EH21" s="612"/>
      <c r="EI21" s="612"/>
      <c r="EJ21" s="612"/>
      <c r="EK21" s="612"/>
      <c r="EL21" s="612"/>
      <c r="EM21" s="612"/>
      <c r="EN21" s="612"/>
      <c r="EO21" s="612"/>
      <c r="EP21" s="612"/>
      <c r="EQ21" s="612"/>
      <c r="ER21" s="612"/>
      <c r="ES21" s="612"/>
      <c r="ET21" s="612"/>
      <c r="EU21" s="612"/>
      <c r="EV21" s="612"/>
      <c r="EW21" s="612"/>
      <c r="EX21" s="612"/>
      <c r="EY21" s="612"/>
      <c r="EZ21" s="612"/>
      <c r="FA21" s="612"/>
      <c r="FB21" s="612"/>
      <c r="FC21" s="612"/>
      <c r="FD21" s="612"/>
      <c r="FE21" s="612"/>
      <c r="FF21" s="612"/>
      <c r="FG21" s="612"/>
      <c r="FH21" s="612"/>
      <c r="FI21" s="612"/>
      <c r="FJ21" s="612"/>
      <c r="FK21" s="612"/>
      <c r="FL21" s="612"/>
      <c r="FM21" s="612"/>
      <c r="FN21" s="612"/>
      <c r="FO21" s="612"/>
      <c r="FP21" s="612"/>
      <c r="FQ21" s="612"/>
      <c r="FR21" s="612"/>
      <c r="FS21" s="612"/>
      <c r="FT21" s="612"/>
      <c r="FU21" s="612"/>
      <c r="FV21" s="612"/>
      <c r="FW21" s="612"/>
      <c r="FX21" s="612"/>
      <c r="FY21" s="612"/>
      <c r="FZ21" s="250"/>
      <c r="GA21" s="612"/>
      <c r="GB21" s="612"/>
      <c r="GC21" s="612"/>
      <c r="GD21" s="612"/>
      <c r="GE21" s="245"/>
      <c r="GF21" s="612"/>
      <c r="GG21" s="612"/>
      <c r="GH21" s="612"/>
      <c r="GI21" s="612"/>
      <c r="GJ21" s="612"/>
      <c r="GK21" s="612"/>
      <c r="GL21" s="612"/>
      <c r="GM21" s="612"/>
      <c r="GN21" s="612"/>
      <c r="GO21" s="612"/>
      <c r="GP21" s="612"/>
      <c r="GQ21" s="612"/>
      <c r="GR21" s="612"/>
      <c r="GS21" s="612"/>
      <c r="GT21" s="612"/>
      <c r="GU21" s="612"/>
      <c r="GV21" s="612"/>
      <c r="GW21" s="612"/>
      <c r="GX21" s="612"/>
      <c r="GY21" s="612"/>
      <c r="GZ21" s="612"/>
      <c r="HA21" s="612"/>
      <c r="HB21" s="612"/>
      <c r="HC21" s="612"/>
      <c r="HD21" s="612"/>
      <c r="HE21" s="612"/>
      <c r="HF21" s="612"/>
      <c r="HG21" s="612"/>
      <c r="HH21" s="612"/>
      <c r="HI21" s="612"/>
      <c r="HJ21" s="612"/>
      <c r="HK21" s="612"/>
      <c r="HL21" s="612"/>
      <c r="HM21" s="612"/>
      <c r="HN21" s="612"/>
      <c r="HO21" s="612"/>
      <c r="HP21" s="612"/>
      <c r="HQ21" s="612"/>
      <c r="HR21" s="612"/>
      <c r="HS21" s="612"/>
      <c r="HT21" s="612"/>
      <c r="HU21" s="612"/>
      <c r="HV21" s="612"/>
      <c r="HW21" s="612"/>
      <c r="HX21" s="612"/>
      <c r="HY21" s="612"/>
      <c r="HZ21" s="612"/>
      <c r="IA21" s="612"/>
      <c r="IB21" s="612"/>
      <c r="IC21" s="612"/>
      <c r="ID21" s="612"/>
      <c r="IE21" s="612"/>
      <c r="IF21" s="612"/>
      <c r="IG21" s="612"/>
      <c r="IH21" s="612"/>
      <c r="II21" s="612"/>
    </row>
    <row r="22" spans="1:243" ht="15" customHeight="1">
      <c r="A22" s="72"/>
      <c r="B22" s="72"/>
      <c r="C22" s="72"/>
      <c r="D22" s="269" t="str">
        <f>IF(MasterSheet!$A$1=1,MasterSheet!C261,MasterSheet!B261)</f>
        <v>Porez na dohodak fizičkih lica</v>
      </c>
      <c r="E22" s="316">
        <f>+'Cental Budget_int'!E22+'Local Government_int'!D22</f>
        <v>93019533.179999962</v>
      </c>
      <c r="F22" s="307">
        <f t="shared" si="0"/>
        <v>4.3287046014239827</v>
      </c>
      <c r="G22" s="316">
        <f>+'Cental Budget_int'!G22+'Local Government_int'!F22</f>
        <v>108097319.60000001</v>
      </c>
      <c r="H22" s="307">
        <f t="shared" si="1"/>
        <v>4.0327296996828954</v>
      </c>
      <c r="I22" s="316">
        <f>+'Cental Budget_int'!I22+'Local Government_int'!H22</f>
        <v>141669118.97468352</v>
      </c>
      <c r="J22" s="307">
        <f t="shared" si="2"/>
        <v>4.5912989037685872</v>
      </c>
      <c r="K22" s="316">
        <f>+'Cental Budget_int'!K22+'Local Government_int'!J22</f>
        <v>121370552.31</v>
      </c>
      <c r="L22" s="307">
        <f t="shared" si="3"/>
        <v>4.0714710603824225</v>
      </c>
      <c r="M22" s="316">
        <f>+'Cental Budget_int'!M22+'Local Government_int'!L22</f>
        <v>115069139.70512819</v>
      </c>
      <c r="N22" s="307">
        <f t="shared" si="4"/>
        <v>3.7071243461703673</v>
      </c>
      <c r="O22" s="316">
        <f>+'Cental Budget_int'!O22+'Local Government_int'!N22</f>
        <v>113227848.49200001</v>
      </c>
      <c r="P22" s="307">
        <f t="shared" si="5"/>
        <v>3.5011703306122453</v>
      </c>
      <c r="Q22" s="334">
        <f>+'Cental Budget_int'!Q22+'Local Government_int'!P22</f>
        <v>109682444.37333333</v>
      </c>
      <c r="R22" s="324">
        <f t="shared" si="6"/>
        <v>3.4830881033132215</v>
      </c>
      <c r="S22" s="334">
        <f>+'Cental Budget_int'!S22+'Local Government_int'!R22</f>
        <v>115040828.27923852</v>
      </c>
      <c r="T22" s="324">
        <f t="shared" si="7"/>
        <v>3.2709931270753065</v>
      </c>
      <c r="U22" s="334">
        <f>+'Cental Budget_int'!U22+'Local Government_int'!T22</f>
        <v>116647624.52941288</v>
      </c>
      <c r="V22" s="324">
        <f t="shared" si="8"/>
        <v>3.3166796852264113</v>
      </c>
      <c r="W22" s="334">
        <f>+'Cental Budget_int'!W22+'Local Government_int'!V22</f>
        <v>1606796.2501743548</v>
      </c>
      <c r="X22" s="513" t="e">
        <f t="shared" si="9"/>
        <v>#DIV/0!</v>
      </c>
      <c r="Y22" s="223"/>
      <c r="Z22" s="223"/>
      <c r="AA22" s="223"/>
      <c r="AB22" s="223"/>
      <c r="AC22" s="223"/>
      <c r="AD22" s="223"/>
      <c r="AE22" s="223"/>
      <c r="AF22" s="223"/>
      <c r="AG22" s="223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50"/>
      <c r="BA22" s="251"/>
      <c r="BB22" s="251"/>
      <c r="BC22" s="612"/>
      <c r="BD22" s="252"/>
      <c r="BE22" s="252"/>
      <c r="BF22" s="252"/>
      <c r="BG22" s="252"/>
      <c r="BH22" s="252"/>
      <c r="BI22" s="612"/>
      <c r="BJ22" s="612"/>
      <c r="BK22" s="612"/>
      <c r="BL22" s="612"/>
      <c r="BM22" s="612"/>
      <c r="BN22" s="612"/>
      <c r="BO22" s="612"/>
      <c r="BP22" s="612"/>
      <c r="BQ22" s="612"/>
      <c r="BR22" s="612"/>
      <c r="BS22" s="612"/>
      <c r="BT22" s="612"/>
      <c r="BU22" s="612"/>
      <c r="BV22" s="612"/>
      <c r="BW22" s="612"/>
      <c r="BX22" s="612"/>
      <c r="BY22" s="612"/>
      <c r="BZ22" s="612"/>
      <c r="CA22" s="612"/>
      <c r="CB22" s="612"/>
      <c r="CC22" s="612"/>
      <c r="CD22" s="612"/>
      <c r="CE22" s="612"/>
      <c r="CF22" s="612"/>
      <c r="CG22" s="612"/>
      <c r="CH22" s="612"/>
      <c r="CI22" s="612"/>
      <c r="CJ22" s="612"/>
      <c r="CK22" s="612"/>
      <c r="CL22" s="612"/>
      <c r="CM22" s="612"/>
      <c r="CN22" s="612"/>
      <c r="CO22" s="612"/>
      <c r="CP22" s="612"/>
      <c r="CQ22" s="612"/>
      <c r="CR22" s="612"/>
      <c r="CS22" s="612"/>
      <c r="CT22" s="612"/>
      <c r="CU22" s="612"/>
      <c r="CV22" s="612"/>
      <c r="CW22" s="612"/>
      <c r="CX22" s="612"/>
      <c r="CY22" s="612"/>
      <c r="CZ22" s="612"/>
      <c r="DA22" s="612"/>
      <c r="DB22" s="612"/>
      <c r="DC22" s="612"/>
      <c r="DD22" s="612"/>
      <c r="DE22" s="612"/>
      <c r="DF22" s="612"/>
      <c r="DG22" s="612"/>
      <c r="DH22" s="612"/>
      <c r="DI22" s="612"/>
      <c r="DJ22" s="612"/>
      <c r="DK22" s="612"/>
      <c r="DL22" s="612"/>
      <c r="DM22" s="612"/>
      <c r="DN22" s="612"/>
      <c r="DO22" s="612"/>
      <c r="DP22" s="612"/>
      <c r="DQ22" s="612"/>
      <c r="DR22" s="612"/>
      <c r="DS22" s="612"/>
      <c r="DT22" s="612"/>
      <c r="DU22" s="612"/>
      <c r="DV22" s="612"/>
      <c r="DW22" s="612"/>
      <c r="DX22" s="612"/>
      <c r="DY22" s="612"/>
      <c r="DZ22" s="612"/>
      <c r="EA22" s="612"/>
      <c r="EB22" s="612"/>
      <c r="EC22" s="612"/>
      <c r="ED22" s="612"/>
      <c r="EE22" s="612"/>
      <c r="EF22" s="612"/>
      <c r="EG22" s="612"/>
      <c r="EH22" s="612"/>
      <c r="EI22" s="612"/>
      <c r="EJ22" s="612"/>
      <c r="EK22" s="612"/>
      <c r="EL22" s="612"/>
      <c r="EM22" s="612"/>
      <c r="EN22" s="612"/>
      <c r="EO22" s="612"/>
      <c r="EP22" s="612"/>
      <c r="EQ22" s="612"/>
      <c r="ER22" s="612"/>
      <c r="ES22" s="612"/>
      <c r="ET22" s="612"/>
      <c r="EU22" s="612"/>
      <c r="EV22" s="612"/>
      <c r="EW22" s="612"/>
      <c r="EX22" s="612"/>
      <c r="EY22" s="612"/>
      <c r="EZ22" s="612"/>
      <c r="FA22" s="612"/>
      <c r="FB22" s="612"/>
      <c r="FC22" s="612"/>
      <c r="FD22" s="612"/>
      <c r="FE22" s="612"/>
      <c r="FF22" s="612"/>
      <c r="FG22" s="612"/>
      <c r="FH22" s="612"/>
      <c r="FI22" s="612"/>
      <c r="FJ22" s="612"/>
      <c r="FK22" s="612"/>
      <c r="FL22" s="612"/>
      <c r="FM22" s="612"/>
      <c r="FN22" s="612"/>
      <c r="FO22" s="612"/>
      <c r="FP22" s="612"/>
      <c r="FQ22" s="612"/>
      <c r="FR22" s="612"/>
      <c r="FS22" s="612"/>
      <c r="FT22" s="612"/>
      <c r="FU22" s="612"/>
      <c r="FV22" s="612"/>
      <c r="FW22" s="612"/>
      <c r="FX22" s="612"/>
      <c r="FY22" s="612"/>
      <c r="FZ22" s="612"/>
      <c r="GA22" s="612"/>
      <c r="GB22" s="612"/>
      <c r="GC22" s="612"/>
      <c r="GD22" s="612"/>
      <c r="GE22" s="245"/>
      <c r="GF22" s="612"/>
      <c r="GG22" s="612"/>
      <c r="GH22" s="612"/>
      <c r="GI22" s="612"/>
      <c r="GJ22" s="612"/>
      <c r="GK22" s="612"/>
      <c r="GL22" s="612"/>
      <c r="GM22" s="612"/>
      <c r="GN22" s="612"/>
      <c r="GO22" s="612"/>
      <c r="GP22" s="612"/>
      <c r="GQ22" s="612"/>
      <c r="GR22" s="612"/>
      <c r="GS22" s="612"/>
      <c r="GT22" s="612"/>
      <c r="GU22" s="612"/>
      <c r="GV22" s="612"/>
      <c r="GW22" s="612"/>
      <c r="GX22" s="612"/>
      <c r="GY22" s="612"/>
      <c r="GZ22" s="612"/>
      <c r="HA22" s="612"/>
      <c r="HB22" s="612"/>
      <c r="HC22" s="612"/>
      <c r="HD22" s="612"/>
      <c r="HE22" s="612"/>
      <c r="HF22" s="612"/>
      <c r="HG22" s="612"/>
      <c r="HH22" s="612"/>
      <c r="HI22" s="612"/>
      <c r="HJ22" s="612"/>
      <c r="HK22" s="612"/>
      <c r="HL22" s="612"/>
      <c r="HM22" s="612"/>
      <c r="HN22" s="612"/>
      <c r="HO22" s="612"/>
      <c r="HP22" s="612"/>
      <c r="HQ22" s="612"/>
      <c r="HR22" s="612"/>
      <c r="HS22" s="612"/>
      <c r="HT22" s="612"/>
      <c r="HU22" s="612"/>
      <c r="HV22" s="612"/>
      <c r="HW22" s="612"/>
      <c r="HX22" s="612"/>
      <c r="HY22" s="612"/>
      <c r="HZ22" s="612"/>
      <c r="IA22" s="612"/>
      <c r="IB22" s="612"/>
      <c r="IC22" s="612"/>
      <c r="ID22" s="612"/>
      <c r="IE22" s="612"/>
      <c r="IF22" s="612"/>
      <c r="IG22" s="612"/>
      <c r="IH22" s="612"/>
      <c r="II22" s="612"/>
    </row>
    <row r="23" spans="1:243" ht="15" customHeight="1">
      <c r="A23" s="72"/>
      <c r="B23" s="72"/>
      <c r="C23" s="72"/>
      <c r="D23" s="269" t="str">
        <f>IF(MasterSheet!$A$1=1,MasterSheet!C262,MasterSheet!B262)</f>
        <v>Porez na dobit pravnih lica</v>
      </c>
      <c r="E23" s="316">
        <f>+'Cental Budget_int'!E23</f>
        <v>12681282.079999981</v>
      </c>
      <c r="F23" s="307">
        <f t="shared" si="0"/>
        <v>0.59012899995346368</v>
      </c>
      <c r="G23" s="316">
        <f>+'Cental Budget_int'!G23</f>
        <v>39076661.670000002</v>
      </c>
      <c r="H23" s="307">
        <f t="shared" si="1"/>
        <v>1.457812410744264</v>
      </c>
      <c r="I23" s="316">
        <f>+'Cental Budget_int'!I23</f>
        <v>62803344.119999997</v>
      </c>
      <c r="J23" s="307">
        <f t="shared" si="2"/>
        <v>2.035368943479388</v>
      </c>
      <c r="K23" s="316">
        <f>+'Cental Budget_int'!K23</f>
        <v>54738222.979999997</v>
      </c>
      <c r="L23" s="307">
        <f t="shared" si="3"/>
        <v>1.8362369332438777</v>
      </c>
      <c r="M23" s="316">
        <f>+'Cental Budget_int'!M23</f>
        <v>20270971.710000001</v>
      </c>
      <c r="N23" s="307">
        <f t="shared" si="4"/>
        <v>0.65305965560567014</v>
      </c>
      <c r="O23" s="316">
        <f>+'Cental Budget_int'!O23</f>
        <v>36101185.260000005</v>
      </c>
      <c r="P23" s="307">
        <f t="shared" si="5"/>
        <v>1.1163013376623379</v>
      </c>
      <c r="Q23" s="334">
        <f>+'Cental Budget_int'!Q23</f>
        <v>64016557.520000003</v>
      </c>
      <c r="R23" s="324">
        <f t="shared" si="6"/>
        <v>2.0329170377897743</v>
      </c>
      <c r="S23" s="334">
        <f>+'Cental Budget_int'!S23</f>
        <v>41932967.183892116</v>
      </c>
      <c r="T23" s="324">
        <f t="shared" si="7"/>
        <v>1.1922936361641205</v>
      </c>
      <c r="U23" s="334">
        <f>+'Cental Budget_int'!U23</f>
        <v>41387054.245600007</v>
      </c>
      <c r="V23" s="324">
        <f t="shared" si="8"/>
        <v>1.1767715167927213</v>
      </c>
      <c r="W23" s="334">
        <f>+'Cental Budget_int'!W23</f>
        <v>-545912.93829210848</v>
      </c>
      <c r="X23" s="513" t="e">
        <f t="shared" si="9"/>
        <v>#DIV/0!</v>
      </c>
      <c r="Y23" s="223"/>
      <c r="Z23" s="223"/>
      <c r="AA23" s="223"/>
      <c r="AB23" s="223"/>
      <c r="AC23" s="223"/>
      <c r="AD23" s="223"/>
      <c r="AE23" s="223"/>
      <c r="AF23" s="223"/>
      <c r="AG23" s="223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50"/>
      <c r="BA23" s="251"/>
      <c r="BB23" s="251"/>
      <c r="BC23" s="612"/>
      <c r="BD23" s="252"/>
      <c r="BE23" s="252"/>
      <c r="BF23" s="252"/>
      <c r="BG23" s="252"/>
      <c r="BH23" s="252"/>
      <c r="BI23" s="612"/>
      <c r="BJ23" s="612"/>
      <c r="BK23" s="612"/>
      <c r="BL23" s="612"/>
      <c r="BM23" s="612"/>
      <c r="BN23" s="612"/>
      <c r="BO23" s="612"/>
      <c r="BP23" s="612"/>
      <c r="BQ23" s="612"/>
      <c r="BR23" s="612"/>
      <c r="BS23" s="612"/>
      <c r="BT23" s="612"/>
      <c r="BU23" s="612"/>
      <c r="BV23" s="612"/>
      <c r="BW23" s="612"/>
      <c r="BX23" s="612"/>
      <c r="BY23" s="612"/>
      <c r="BZ23" s="612"/>
      <c r="CA23" s="612"/>
      <c r="CB23" s="612"/>
      <c r="CC23" s="612"/>
      <c r="CD23" s="612"/>
      <c r="CE23" s="612"/>
      <c r="CF23" s="612"/>
      <c r="CG23" s="612"/>
      <c r="CH23" s="612"/>
      <c r="CI23" s="612"/>
      <c r="CJ23" s="612"/>
      <c r="CK23" s="612"/>
      <c r="CL23" s="612"/>
      <c r="CM23" s="612"/>
      <c r="CN23" s="612"/>
      <c r="CO23" s="612"/>
      <c r="CP23" s="612"/>
      <c r="CQ23" s="612"/>
      <c r="CR23" s="612"/>
      <c r="CS23" s="612"/>
      <c r="CT23" s="612"/>
      <c r="CU23" s="612"/>
      <c r="CV23" s="612"/>
      <c r="CW23" s="612"/>
      <c r="CX23" s="612"/>
      <c r="CY23" s="612"/>
      <c r="CZ23" s="612"/>
      <c r="DA23" s="612"/>
      <c r="DB23" s="612"/>
      <c r="DC23" s="612"/>
      <c r="DD23" s="612"/>
      <c r="DE23" s="612"/>
      <c r="DF23" s="612"/>
      <c r="DG23" s="612"/>
      <c r="DH23" s="612"/>
      <c r="DI23" s="612"/>
      <c r="DJ23" s="612"/>
      <c r="DK23" s="612"/>
      <c r="DL23" s="612"/>
      <c r="DM23" s="612"/>
      <c r="DN23" s="612"/>
      <c r="DO23" s="612"/>
      <c r="DP23" s="612"/>
      <c r="DQ23" s="612"/>
      <c r="DR23" s="612"/>
      <c r="DS23" s="612"/>
      <c r="DT23" s="612"/>
      <c r="DU23" s="612"/>
      <c r="DV23" s="612"/>
      <c r="DW23" s="612"/>
      <c r="DX23" s="612"/>
      <c r="DY23" s="612"/>
      <c r="DZ23" s="612"/>
      <c r="EA23" s="612"/>
      <c r="EB23" s="612"/>
      <c r="EC23" s="612"/>
      <c r="ED23" s="612"/>
      <c r="EE23" s="612"/>
      <c r="EF23" s="612"/>
      <c r="EG23" s="612"/>
      <c r="EH23" s="612"/>
      <c r="EI23" s="612"/>
      <c r="EJ23" s="612"/>
      <c r="EK23" s="612"/>
      <c r="EL23" s="612"/>
      <c r="EM23" s="612"/>
      <c r="EN23" s="612"/>
      <c r="EO23" s="612"/>
      <c r="EP23" s="612"/>
      <c r="EQ23" s="612"/>
      <c r="ER23" s="612"/>
      <c r="ES23" s="612"/>
      <c r="ET23" s="612"/>
      <c r="EU23" s="612"/>
      <c r="EV23" s="612"/>
      <c r="EW23" s="612"/>
      <c r="EX23" s="612"/>
      <c r="EY23" s="612"/>
      <c r="EZ23" s="612"/>
      <c r="FA23" s="612"/>
      <c r="FB23" s="612"/>
      <c r="FC23" s="612"/>
      <c r="FD23" s="612"/>
      <c r="FE23" s="612"/>
      <c r="FF23" s="612"/>
      <c r="FG23" s="612"/>
      <c r="FH23" s="612"/>
      <c r="FI23" s="612"/>
      <c r="FJ23" s="612"/>
      <c r="FK23" s="612"/>
      <c r="FL23" s="612"/>
      <c r="FM23" s="612"/>
      <c r="FN23" s="612"/>
      <c r="FO23" s="612"/>
      <c r="FP23" s="612"/>
      <c r="FQ23" s="612"/>
      <c r="FR23" s="612"/>
      <c r="FS23" s="612"/>
      <c r="FT23" s="612"/>
      <c r="FU23" s="612"/>
      <c r="FV23" s="612"/>
      <c r="FW23" s="612"/>
      <c r="FX23" s="612"/>
      <c r="FY23" s="612"/>
      <c r="FZ23" s="250"/>
      <c r="GA23" s="612"/>
      <c r="GB23" s="612"/>
      <c r="GC23" s="612"/>
      <c r="GD23" s="612"/>
      <c r="GE23" s="245"/>
      <c r="GF23" s="612"/>
      <c r="GG23" s="612"/>
      <c r="GH23" s="612"/>
      <c r="GI23" s="612"/>
      <c r="GJ23" s="612"/>
      <c r="GK23" s="612"/>
      <c r="GL23" s="612"/>
      <c r="GM23" s="612"/>
      <c r="GN23" s="612"/>
      <c r="GO23" s="612"/>
      <c r="GP23" s="612"/>
      <c r="GQ23" s="612"/>
      <c r="GR23" s="612"/>
      <c r="GS23" s="612"/>
      <c r="GT23" s="612"/>
      <c r="GU23" s="612"/>
      <c r="GV23" s="612"/>
      <c r="GW23" s="612"/>
      <c r="GX23" s="612"/>
      <c r="GY23" s="612"/>
      <c r="GZ23" s="612"/>
      <c r="HA23" s="612"/>
      <c r="HB23" s="612"/>
      <c r="HC23" s="612"/>
      <c r="HD23" s="612"/>
      <c r="HE23" s="612"/>
      <c r="HF23" s="612"/>
      <c r="HG23" s="612"/>
      <c r="HH23" s="612"/>
      <c r="HI23" s="612"/>
      <c r="HJ23" s="612"/>
      <c r="HK23" s="612"/>
      <c r="HL23" s="612"/>
      <c r="HM23" s="612"/>
      <c r="HN23" s="612"/>
      <c r="HO23" s="612"/>
      <c r="HP23" s="612"/>
      <c r="HQ23" s="612"/>
      <c r="HR23" s="612"/>
      <c r="HS23" s="612"/>
      <c r="HT23" s="612"/>
      <c r="HU23" s="612"/>
      <c r="HV23" s="612"/>
      <c r="HW23" s="612"/>
      <c r="HX23" s="612"/>
      <c r="HY23" s="612"/>
      <c r="HZ23" s="612"/>
      <c r="IA23" s="612"/>
      <c r="IB23" s="612"/>
      <c r="IC23" s="612"/>
      <c r="ID23" s="612"/>
      <c r="IE23" s="612"/>
      <c r="IF23" s="612"/>
      <c r="IG23" s="612"/>
      <c r="IH23" s="612"/>
      <c r="II23" s="612"/>
    </row>
    <row r="24" spans="1:243" ht="15" customHeight="1">
      <c r="A24" s="72"/>
      <c r="B24" s="72"/>
      <c r="C24" s="72"/>
      <c r="D24" s="269" t="str">
        <f>IF(MasterSheet!$A$1=1,MasterSheet!C263,MasterSheet!B263)</f>
        <v>Porez na promet nepokretnosti</v>
      </c>
      <c r="E24" s="316">
        <f>+'Cental Budget_int'!E24+'Local Government_int'!D24</f>
        <v>24870004.329999998</v>
      </c>
      <c r="F24" s="307">
        <f t="shared" si="0"/>
        <v>1.1573365130997253</v>
      </c>
      <c r="G24" s="316">
        <f>+'Cental Budget_int'!G24+'Local Government_int'!F24</f>
        <v>40206747.170000002</v>
      </c>
      <c r="H24" s="307">
        <f t="shared" si="1"/>
        <v>1.4999719145681778</v>
      </c>
      <c r="I24" s="316">
        <f>+'Cental Budget_int'!I24+'Local Government_int'!H24</f>
        <v>38094437.466666669</v>
      </c>
      <c r="J24" s="307">
        <f t="shared" si="2"/>
        <v>1.2345876804079166</v>
      </c>
      <c r="K24" s="316">
        <f>+'Cental Budget_int'!K24+'Local Government_int'!J24</f>
        <v>19797902.189999998</v>
      </c>
      <c r="L24" s="307">
        <f t="shared" si="3"/>
        <v>0.66413626937269366</v>
      </c>
      <c r="M24" s="316">
        <f>+'Cental Budget_int'!M24+'Local Government_int'!L24</f>
        <v>16461436.933333334</v>
      </c>
      <c r="N24" s="307">
        <f t="shared" si="4"/>
        <v>0.53032979810996561</v>
      </c>
      <c r="O24" s="316">
        <f>+'Cental Budget_int'!O24+'Local Government_int'!N24</f>
        <v>15656686.157999998</v>
      </c>
      <c r="P24" s="307">
        <f t="shared" si="5"/>
        <v>0.48412758682745821</v>
      </c>
      <c r="Q24" s="334">
        <f>+'Cental Budget_int'!Q24+'Local Government_int'!P24</f>
        <v>14414493.999999998</v>
      </c>
      <c r="R24" s="324">
        <f t="shared" si="6"/>
        <v>0.45774830104795167</v>
      </c>
      <c r="S24" s="334">
        <f>+'Cental Budget_int'!S24+'Local Government_int'!R24</f>
        <v>15218890.598464902</v>
      </c>
      <c r="T24" s="324">
        <f t="shared" si="7"/>
        <v>0.43272364510847033</v>
      </c>
      <c r="U24" s="334">
        <f>+'Cental Budget_int'!U24+'Local Government_int'!T24</f>
        <v>15455634.451390781</v>
      </c>
      <c r="V24" s="324">
        <f t="shared" si="8"/>
        <v>0.43945505974952459</v>
      </c>
      <c r="W24" s="334">
        <f>+'Cental Budget_int'!W24+'Local Government_int'!V24</f>
        <v>236743.85292587895</v>
      </c>
      <c r="X24" s="513" t="e">
        <f t="shared" si="9"/>
        <v>#DIV/0!</v>
      </c>
      <c r="Y24" s="223"/>
      <c r="Z24" s="223"/>
      <c r="AA24" s="223"/>
      <c r="AB24" s="223"/>
      <c r="AC24" s="223"/>
      <c r="AD24" s="223"/>
      <c r="AE24" s="223"/>
      <c r="AF24" s="223"/>
      <c r="AG24" s="223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50"/>
      <c r="BA24" s="251"/>
      <c r="BB24" s="251"/>
      <c r="BC24" s="612"/>
      <c r="BD24" s="612"/>
      <c r="BE24" s="612"/>
      <c r="BF24" s="612"/>
      <c r="BG24" s="612"/>
      <c r="BH24" s="612"/>
      <c r="BI24" s="612"/>
      <c r="BJ24" s="612"/>
      <c r="BK24" s="612"/>
      <c r="BL24" s="612"/>
      <c r="BM24" s="612"/>
      <c r="BN24" s="612"/>
      <c r="BO24" s="612"/>
      <c r="BP24" s="612"/>
      <c r="BQ24" s="612"/>
      <c r="BR24" s="612"/>
      <c r="BS24" s="612"/>
      <c r="BT24" s="612"/>
      <c r="BU24" s="612"/>
      <c r="BV24" s="612"/>
      <c r="BW24" s="612"/>
      <c r="BX24" s="612"/>
      <c r="BY24" s="612"/>
      <c r="BZ24" s="612"/>
      <c r="CA24" s="612"/>
      <c r="CB24" s="612"/>
      <c r="CC24" s="612"/>
      <c r="CD24" s="612"/>
      <c r="CE24" s="612"/>
      <c r="CF24" s="612"/>
      <c r="CG24" s="612"/>
      <c r="CH24" s="612"/>
      <c r="CI24" s="612"/>
      <c r="CJ24" s="612"/>
      <c r="CK24" s="612"/>
      <c r="CL24" s="612"/>
      <c r="CM24" s="612"/>
      <c r="CN24" s="612"/>
      <c r="CO24" s="612"/>
      <c r="CP24" s="612"/>
      <c r="CQ24" s="612"/>
      <c r="CR24" s="612"/>
      <c r="CS24" s="612"/>
      <c r="CT24" s="612"/>
      <c r="CU24" s="612"/>
      <c r="CV24" s="612"/>
      <c r="CW24" s="612"/>
      <c r="CX24" s="612"/>
      <c r="CY24" s="612"/>
      <c r="CZ24" s="612"/>
      <c r="DA24" s="612"/>
      <c r="DB24" s="612"/>
      <c r="DC24" s="612"/>
      <c r="DD24" s="612"/>
      <c r="DE24" s="612"/>
      <c r="DF24" s="612"/>
      <c r="DG24" s="612"/>
      <c r="DH24" s="612"/>
      <c r="DI24" s="612"/>
      <c r="DJ24" s="612"/>
      <c r="DK24" s="612"/>
      <c r="DL24" s="612"/>
      <c r="DM24" s="612"/>
      <c r="DN24" s="612"/>
      <c r="DO24" s="612"/>
      <c r="DP24" s="612"/>
      <c r="DQ24" s="612"/>
      <c r="DR24" s="612"/>
      <c r="DS24" s="612"/>
      <c r="DT24" s="612"/>
      <c r="DU24" s="612"/>
      <c r="DV24" s="612"/>
      <c r="DW24" s="612"/>
      <c r="DX24" s="612"/>
      <c r="DY24" s="612"/>
      <c r="DZ24" s="612"/>
      <c r="EA24" s="612"/>
      <c r="EB24" s="612"/>
      <c r="EC24" s="612"/>
      <c r="ED24" s="612"/>
      <c r="EE24" s="612"/>
      <c r="EF24" s="612"/>
      <c r="EG24" s="612"/>
      <c r="EH24" s="612"/>
      <c r="EI24" s="612"/>
      <c r="EJ24" s="612"/>
      <c r="EK24" s="612"/>
      <c r="EL24" s="612"/>
      <c r="EM24" s="612"/>
      <c r="EN24" s="612"/>
      <c r="EO24" s="612"/>
      <c r="EP24" s="612"/>
      <c r="EQ24" s="612"/>
      <c r="ER24" s="612"/>
      <c r="ES24" s="612"/>
      <c r="ET24" s="612"/>
      <c r="EU24" s="612"/>
      <c r="EV24" s="612"/>
      <c r="EW24" s="612"/>
      <c r="EX24" s="612"/>
      <c r="EY24" s="612"/>
      <c r="EZ24" s="612"/>
      <c r="FA24" s="612"/>
      <c r="FB24" s="612"/>
      <c r="FC24" s="612"/>
      <c r="FD24" s="612"/>
      <c r="FE24" s="612"/>
      <c r="FF24" s="612"/>
      <c r="FG24" s="612"/>
      <c r="FH24" s="612"/>
      <c r="FI24" s="612"/>
      <c r="FJ24" s="612"/>
      <c r="FK24" s="612"/>
      <c r="FL24" s="612"/>
      <c r="FM24" s="612"/>
      <c r="FN24" s="612"/>
      <c r="FO24" s="612"/>
      <c r="FP24" s="612"/>
      <c r="FQ24" s="612"/>
      <c r="FR24" s="612"/>
      <c r="FS24" s="612"/>
      <c r="FT24" s="612"/>
      <c r="FU24" s="612"/>
      <c r="FV24" s="612"/>
      <c r="FW24" s="612"/>
      <c r="FX24" s="612"/>
      <c r="FY24" s="612"/>
      <c r="FZ24" s="612"/>
      <c r="GA24" s="612"/>
      <c r="GB24" s="612"/>
      <c r="GC24" s="612"/>
      <c r="GD24" s="612"/>
      <c r="GE24" s="245"/>
      <c r="GF24" s="612"/>
      <c r="GG24" s="612"/>
      <c r="GH24" s="612"/>
      <c r="GI24" s="612"/>
      <c r="GJ24" s="612"/>
      <c r="GK24" s="612"/>
      <c r="GL24" s="612"/>
      <c r="GM24" s="612"/>
      <c r="GN24" s="612"/>
      <c r="GO24" s="612"/>
      <c r="GP24" s="612"/>
      <c r="GQ24" s="612"/>
      <c r="GR24" s="612"/>
      <c r="GS24" s="612"/>
      <c r="GT24" s="612"/>
      <c r="GU24" s="612"/>
      <c r="GV24" s="612"/>
      <c r="GW24" s="612"/>
      <c r="GX24" s="612"/>
      <c r="GY24" s="612"/>
      <c r="GZ24" s="612"/>
      <c r="HA24" s="612"/>
      <c r="HB24" s="612"/>
      <c r="HC24" s="612"/>
      <c r="HD24" s="612"/>
      <c r="HE24" s="612"/>
      <c r="HF24" s="612"/>
      <c r="HG24" s="612"/>
      <c r="HH24" s="612"/>
      <c r="HI24" s="612"/>
      <c r="HJ24" s="612"/>
      <c r="HK24" s="612"/>
      <c r="HL24" s="612"/>
      <c r="HM24" s="612"/>
      <c r="HN24" s="612"/>
      <c r="HO24" s="612"/>
      <c r="HP24" s="612"/>
      <c r="HQ24" s="612"/>
      <c r="HR24" s="612"/>
      <c r="HS24" s="612"/>
      <c r="HT24" s="612"/>
      <c r="HU24" s="612"/>
      <c r="HV24" s="612"/>
      <c r="HW24" s="612"/>
      <c r="HX24" s="612"/>
      <c r="HY24" s="612"/>
      <c r="HZ24" s="612"/>
      <c r="IA24" s="612"/>
      <c r="IB24" s="612"/>
      <c r="IC24" s="612"/>
      <c r="ID24" s="612"/>
      <c r="IE24" s="612"/>
      <c r="IF24" s="612"/>
      <c r="IG24" s="612"/>
      <c r="IH24" s="612"/>
      <c r="II24" s="612"/>
    </row>
    <row r="25" spans="1:243" ht="15" customHeight="1">
      <c r="A25" s="72"/>
      <c r="B25" s="72"/>
      <c r="C25" s="72"/>
      <c r="D25" s="269" t="str">
        <f>IF(MasterSheet!$A$1=1,MasterSheet!C264,MasterSheet!B264)</f>
        <v>Porez na dodatu vrijednost</v>
      </c>
      <c r="E25" s="316">
        <f>+'Cental Budget_int'!E25</f>
        <v>273156637.07999986</v>
      </c>
      <c r="F25" s="307">
        <f t="shared" si="0"/>
        <v>12.711463403601837</v>
      </c>
      <c r="G25" s="316">
        <f>+'Cental Budget_int'!G25</f>
        <v>393174255.16000003</v>
      </c>
      <c r="H25" s="307">
        <f t="shared" si="1"/>
        <v>14.667944605857116</v>
      </c>
      <c r="I25" s="316">
        <f>+'Cental Budget_int'!I25</f>
        <v>440064484.29000002</v>
      </c>
      <c r="J25" s="307">
        <f t="shared" si="2"/>
        <v>14.26187724559243</v>
      </c>
      <c r="K25" s="316">
        <f>+'Cental Budget_int'!K25</f>
        <v>370776941.73000002</v>
      </c>
      <c r="L25" s="307">
        <f t="shared" si="3"/>
        <v>12.438005425360618</v>
      </c>
      <c r="M25" s="316">
        <f>+'Cental Budget_int'!M25</f>
        <v>364177041.45999998</v>
      </c>
      <c r="N25" s="307">
        <f t="shared" si="4"/>
        <v>11.732507778994844</v>
      </c>
      <c r="O25" s="316">
        <f>+'Cental Budget_int'!O25</f>
        <v>392235880.90999997</v>
      </c>
      <c r="P25" s="307">
        <f t="shared" si="5"/>
        <v>12.12850590321583</v>
      </c>
      <c r="Q25" s="334">
        <f>+'Cental Budget_int'!Q25</f>
        <v>354714031.35000002</v>
      </c>
      <c r="R25" s="324">
        <f t="shared" si="6"/>
        <v>11.264338880597016</v>
      </c>
      <c r="S25" s="334">
        <f>+'Cental Budget_int'!S25</f>
        <v>373045631.00580901</v>
      </c>
      <c r="T25" s="324">
        <f t="shared" si="7"/>
        <v>10.606927239289424</v>
      </c>
      <c r="U25" s="334">
        <f>+'Cental Budget_int'!U25</f>
        <v>405808311.97700006</v>
      </c>
      <c r="V25" s="324">
        <f t="shared" si="8"/>
        <v>11.538479157719648</v>
      </c>
      <c r="W25" s="334">
        <f>+'Cental Budget_int'!W25</f>
        <v>32762680.971191049</v>
      </c>
      <c r="X25" s="513" t="e">
        <f t="shared" si="9"/>
        <v>#DIV/0!</v>
      </c>
      <c r="Y25" s="223"/>
      <c r="Z25" s="223"/>
      <c r="AA25" s="223"/>
      <c r="AB25" s="223"/>
      <c r="AC25" s="223"/>
      <c r="AD25" s="223"/>
      <c r="AE25" s="223"/>
      <c r="AF25" s="223"/>
      <c r="AG25" s="223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50"/>
      <c r="BA25" s="251"/>
      <c r="BB25" s="251"/>
      <c r="BC25" s="612"/>
      <c r="BD25" s="1158"/>
      <c r="BE25" s="1157"/>
      <c r="BF25" s="1157"/>
      <c r="BG25" s="1157"/>
      <c r="BH25" s="1157"/>
      <c r="BI25" s="1157"/>
      <c r="BJ25" s="1157"/>
      <c r="BK25" s="1157"/>
      <c r="BL25" s="1157"/>
      <c r="BM25" s="1157"/>
      <c r="BN25" s="1157"/>
      <c r="BO25" s="1157"/>
      <c r="BP25" s="1156"/>
      <c r="BQ25" s="1157"/>
      <c r="BR25" s="1157"/>
      <c r="BS25" s="1157"/>
      <c r="BT25" s="1157"/>
      <c r="BU25" s="1157"/>
      <c r="BV25" s="1157"/>
      <c r="BW25" s="1157"/>
      <c r="BX25" s="1157"/>
      <c r="BY25" s="1157"/>
      <c r="BZ25" s="1157"/>
      <c r="CA25" s="1157"/>
      <c r="CB25" s="611"/>
      <c r="CC25" s="1156"/>
      <c r="CD25" s="1157"/>
      <c r="CE25" s="1157"/>
      <c r="CF25" s="1157"/>
      <c r="CG25" s="1157"/>
      <c r="CH25" s="1157"/>
      <c r="CI25" s="1157"/>
      <c r="CJ25" s="1157"/>
      <c r="CK25" s="1157"/>
      <c r="CL25" s="1157"/>
      <c r="CM25" s="1157"/>
      <c r="CN25" s="1157"/>
      <c r="CO25" s="1156"/>
      <c r="CP25" s="1157"/>
      <c r="CQ25" s="1157"/>
      <c r="CR25" s="1157"/>
      <c r="CS25" s="1157"/>
      <c r="CT25" s="1157"/>
      <c r="CU25" s="1157"/>
      <c r="CV25" s="1157"/>
      <c r="CW25" s="1157"/>
      <c r="CX25" s="1157"/>
      <c r="CY25" s="1157"/>
      <c r="CZ25" s="1157"/>
      <c r="DA25" s="612"/>
      <c r="DB25" s="612"/>
      <c r="DC25" s="612"/>
      <c r="DD25" s="612"/>
      <c r="DE25" s="612"/>
      <c r="DF25" s="612"/>
      <c r="DG25" s="612"/>
      <c r="DH25" s="612"/>
      <c r="DI25" s="612"/>
      <c r="DJ25" s="612"/>
      <c r="DK25" s="612"/>
      <c r="DL25" s="612"/>
      <c r="DM25" s="612"/>
      <c r="DN25" s="612"/>
      <c r="DO25" s="612"/>
      <c r="DP25" s="612"/>
      <c r="DQ25" s="612"/>
      <c r="DR25" s="612"/>
      <c r="DS25" s="612"/>
      <c r="DT25" s="612"/>
      <c r="DU25" s="612"/>
      <c r="DV25" s="612"/>
      <c r="DW25" s="612"/>
      <c r="DX25" s="612"/>
      <c r="DY25" s="612"/>
      <c r="DZ25" s="612"/>
      <c r="EA25" s="612"/>
      <c r="EB25" s="612"/>
      <c r="EC25" s="612"/>
      <c r="ED25" s="612"/>
      <c r="EE25" s="612"/>
      <c r="EF25" s="612"/>
      <c r="EG25" s="612"/>
      <c r="EH25" s="612"/>
      <c r="EI25" s="612"/>
      <c r="EJ25" s="612"/>
      <c r="EK25" s="612"/>
      <c r="EL25" s="612"/>
      <c r="EM25" s="612"/>
      <c r="EN25" s="612"/>
      <c r="EO25" s="612"/>
      <c r="EP25" s="612"/>
      <c r="EQ25" s="612"/>
      <c r="ER25" s="612"/>
      <c r="ES25" s="612"/>
      <c r="ET25" s="612"/>
      <c r="EU25" s="612"/>
      <c r="EV25" s="612"/>
      <c r="EW25" s="612"/>
      <c r="EX25" s="612"/>
      <c r="EY25" s="612"/>
      <c r="EZ25" s="612"/>
      <c r="FA25" s="612"/>
      <c r="FB25" s="612"/>
      <c r="FC25" s="612"/>
      <c r="FD25" s="612"/>
      <c r="FE25" s="612"/>
      <c r="FF25" s="612"/>
      <c r="FG25" s="612"/>
      <c r="FH25" s="612"/>
      <c r="FI25" s="612"/>
      <c r="FJ25" s="612"/>
      <c r="FK25" s="612"/>
      <c r="FL25" s="612"/>
      <c r="FM25" s="612"/>
      <c r="FN25" s="612"/>
      <c r="FO25" s="612"/>
      <c r="FP25" s="612"/>
      <c r="FQ25" s="612"/>
      <c r="FR25" s="612"/>
      <c r="FS25" s="612"/>
      <c r="FT25" s="612"/>
      <c r="FU25" s="612"/>
      <c r="FV25" s="612"/>
      <c r="FW25" s="612"/>
      <c r="FX25" s="612"/>
      <c r="FY25" s="612"/>
      <c r="FZ25" s="50"/>
      <c r="GA25" s="612"/>
      <c r="GB25" s="612"/>
      <c r="GC25" s="612"/>
      <c r="GD25" s="612"/>
      <c r="GE25" s="245"/>
      <c r="GF25" s="612"/>
      <c r="GG25" s="612"/>
      <c r="GH25" s="612"/>
      <c r="GI25" s="612"/>
      <c r="GJ25" s="612"/>
      <c r="GK25" s="612"/>
      <c r="GL25" s="612"/>
      <c r="GM25" s="612"/>
      <c r="GN25" s="612"/>
      <c r="GO25" s="612"/>
      <c r="GP25" s="612"/>
      <c r="GQ25" s="612"/>
      <c r="GR25" s="612"/>
      <c r="GS25" s="612"/>
      <c r="GT25" s="612"/>
      <c r="GU25" s="612"/>
      <c r="GV25" s="612"/>
      <c r="GW25" s="612"/>
      <c r="GX25" s="612"/>
      <c r="GY25" s="612"/>
      <c r="GZ25" s="612"/>
      <c r="HA25" s="612"/>
      <c r="HB25" s="612"/>
      <c r="HC25" s="612"/>
      <c r="HD25" s="612"/>
      <c r="HE25" s="612"/>
      <c r="HF25" s="612"/>
      <c r="HG25" s="612"/>
      <c r="HH25" s="612"/>
      <c r="HI25" s="612"/>
      <c r="HJ25" s="612"/>
      <c r="HK25" s="612"/>
      <c r="HL25" s="612"/>
      <c r="HM25" s="612"/>
      <c r="HN25" s="612"/>
      <c r="HO25" s="612"/>
      <c r="HP25" s="612"/>
      <c r="HQ25" s="612"/>
      <c r="HR25" s="612"/>
      <c r="HS25" s="612"/>
      <c r="HT25" s="612"/>
      <c r="HU25" s="612"/>
      <c r="HV25" s="612"/>
      <c r="HW25" s="612"/>
      <c r="HX25" s="612"/>
      <c r="HY25" s="612"/>
      <c r="HZ25" s="612"/>
      <c r="IA25" s="612"/>
      <c r="IB25" s="612"/>
      <c r="IC25" s="612"/>
      <c r="ID25" s="612"/>
      <c r="IE25" s="612"/>
      <c r="IF25" s="612"/>
      <c r="IG25" s="612"/>
      <c r="IH25" s="612"/>
      <c r="II25" s="612"/>
    </row>
    <row r="26" spans="1:243" ht="15" customHeight="1">
      <c r="A26" s="72"/>
      <c r="B26" s="72"/>
      <c r="C26" s="72"/>
      <c r="D26" s="269" t="str">
        <f>IF(MasterSheet!$A$1=1,MasterSheet!C265,MasterSheet!B265)</f>
        <v>Akcize</v>
      </c>
      <c r="E26" s="316">
        <f>+'Cental Budget_int'!E26</f>
        <v>72376242.179999948</v>
      </c>
      <c r="F26" s="307">
        <f t="shared" si="0"/>
        <v>3.3680600390897646</v>
      </c>
      <c r="G26" s="316">
        <f>+'Cental Budget_int'!G26</f>
        <v>94538367.25</v>
      </c>
      <c r="H26" s="307">
        <f t="shared" si="1"/>
        <v>3.526893014362992</v>
      </c>
      <c r="I26" s="316">
        <f>+'Cental Budget_int'!I26</f>
        <v>120303864.65000001</v>
      </c>
      <c r="J26" s="307">
        <f t="shared" si="2"/>
        <v>3.8988807573891631</v>
      </c>
      <c r="K26" s="316">
        <f>+'Cental Budget_int'!K26</f>
        <v>128684864.44</v>
      </c>
      <c r="L26" s="307">
        <f t="shared" si="3"/>
        <v>4.3168354391143904</v>
      </c>
      <c r="M26" s="316">
        <f>+'Cental Budget_int'!M26</f>
        <v>134261371.03</v>
      </c>
      <c r="N26" s="307">
        <f t="shared" si="4"/>
        <v>4.3254307677190722</v>
      </c>
      <c r="O26" s="316">
        <f>+'Cental Budget_int'!O26</f>
        <v>143379590.77000001</v>
      </c>
      <c r="P26" s="307">
        <f t="shared" si="5"/>
        <v>4.4335062081014227</v>
      </c>
      <c r="Q26" s="334">
        <f>+'Cental Budget_int'!Q26</f>
        <v>151766097.75999999</v>
      </c>
      <c r="R26" s="324">
        <f t="shared" si="6"/>
        <v>4.8195013578913937</v>
      </c>
      <c r="S26" s="334">
        <f>+'Cental Budget_int'!S26</f>
        <v>157448789.82527599</v>
      </c>
      <c r="T26" s="324">
        <f t="shared" si="7"/>
        <v>4.47679243176787</v>
      </c>
      <c r="U26" s="334">
        <f>+'Cental Budget_int'!U26</f>
        <v>157610250.20399997</v>
      </c>
      <c r="V26" s="324">
        <f t="shared" si="8"/>
        <v>4.4813832870059702</v>
      </c>
      <c r="W26" s="334">
        <f>+'Cental Budget_int'!W26</f>
        <v>161460.378723979</v>
      </c>
      <c r="X26" s="513" t="e">
        <f t="shared" si="9"/>
        <v>#DIV/0!</v>
      </c>
      <c r="Y26" s="223"/>
      <c r="Z26" s="223"/>
      <c r="AA26" s="223"/>
      <c r="AB26" s="223"/>
      <c r="AC26" s="223"/>
      <c r="AD26" s="223"/>
      <c r="AE26" s="223"/>
      <c r="AF26" s="223"/>
      <c r="AG26" s="223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50"/>
      <c r="BA26" s="251"/>
      <c r="BB26" s="251"/>
      <c r="BC26" s="612"/>
      <c r="BD26" s="1158"/>
      <c r="BE26" s="1157"/>
      <c r="BF26" s="1157"/>
      <c r="BG26" s="1157"/>
      <c r="BH26" s="1157"/>
      <c r="BI26" s="1157"/>
      <c r="BJ26" s="1157"/>
      <c r="BK26" s="1157"/>
      <c r="BL26" s="1157"/>
      <c r="BM26" s="1157"/>
      <c r="BN26" s="1157"/>
      <c r="BO26" s="1157"/>
      <c r="BP26" s="1156"/>
      <c r="BQ26" s="1157"/>
      <c r="BR26" s="1157"/>
      <c r="BS26" s="1157"/>
      <c r="BT26" s="1157"/>
      <c r="BU26" s="1157"/>
      <c r="BV26" s="1157"/>
      <c r="BW26" s="1157"/>
      <c r="BX26" s="1157"/>
      <c r="BY26" s="1157"/>
      <c r="BZ26" s="1157"/>
      <c r="CA26" s="1157"/>
      <c r="CB26" s="611"/>
      <c r="CC26" s="1156"/>
      <c r="CD26" s="1157"/>
      <c r="CE26" s="1157"/>
      <c r="CF26" s="1157"/>
      <c r="CG26" s="1157"/>
      <c r="CH26" s="1157"/>
      <c r="CI26" s="1157"/>
      <c r="CJ26" s="1157"/>
      <c r="CK26" s="1157"/>
      <c r="CL26" s="1157"/>
      <c r="CM26" s="1157"/>
      <c r="CN26" s="1157"/>
      <c r="CO26" s="1156"/>
      <c r="CP26" s="1157"/>
      <c r="CQ26" s="1157"/>
      <c r="CR26" s="1157"/>
      <c r="CS26" s="1157"/>
      <c r="CT26" s="1157"/>
      <c r="CU26" s="1157"/>
      <c r="CV26" s="1157"/>
      <c r="CW26" s="1157"/>
      <c r="CX26" s="1157"/>
      <c r="CY26" s="1157"/>
      <c r="CZ26" s="1157"/>
      <c r="DA26" s="611"/>
      <c r="DB26" s="611"/>
      <c r="DC26" s="611"/>
      <c r="DD26" s="611"/>
      <c r="DE26" s="611"/>
      <c r="DF26" s="611"/>
      <c r="DG26" s="611"/>
      <c r="DH26" s="611"/>
      <c r="DI26" s="611"/>
      <c r="DJ26" s="611"/>
      <c r="DK26" s="611"/>
      <c r="DL26" s="611"/>
      <c r="DM26" s="1156"/>
      <c r="DN26" s="1157"/>
      <c r="DO26" s="1157"/>
      <c r="DP26" s="1157"/>
      <c r="DQ26" s="1157"/>
      <c r="DR26" s="1157"/>
      <c r="DS26" s="1157"/>
      <c r="DT26" s="1157"/>
      <c r="DU26" s="1157"/>
      <c r="DV26" s="1157"/>
      <c r="DW26" s="1157"/>
      <c r="DX26" s="1157"/>
      <c r="DY26" s="612"/>
      <c r="DZ26" s="612"/>
      <c r="EA26" s="612"/>
      <c r="EB26" s="612"/>
      <c r="EC26" s="612"/>
      <c r="ED26" s="612"/>
      <c r="EE26" s="612"/>
      <c r="EF26" s="612"/>
      <c r="EG26" s="612"/>
      <c r="EH26" s="612"/>
      <c r="EI26" s="612"/>
      <c r="EJ26" s="612"/>
      <c r="EK26" s="612"/>
      <c r="EL26" s="612"/>
      <c r="EM26" s="612"/>
      <c r="EN26" s="612"/>
      <c r="EO26" s="612"/>
      <c r="EP26" s="612"/>
      <c r="EQ26" s="612"/>
      <c r="ER26" s="612"/>
      <c r="ES26" s="612"/>
      <c r="ET26" s="612"/>
      <c r="EU26" s="612"/>
      <c r="EV26" s="612"/>
      <c r="EW26" s="612"/>
      <c r="EX26" s="612"/>
      <c r="EY26" s="612"/>
      <c r="EZ26" s="612"/>
      <c r="FA26" s="612"/>
      <c r="FB26" s="612"/>
      <c r="FC26" s="612"/>
      <c r="FD26" s="612"/>
      <c r="FE26" s="612"/>
      <c r="FF26" s="612"/>
      <c r="FG26" s="612"/>
      <c r="FH26" s="612"/>
      <c r="FI26" s="612"/>
      <c r="FJ26" s="612"/>
      <c r="FK26" s="612"/>
      <c r="FL26" s="612"/>
      <c r="FM26" s="612"/>
      <c r="FN26" s="612"/>
      <c r="FO26" s="612"/>
      <c r="FP26" s="612"/>
      <c r="FQ26" s="612"/>
      <c r="FR26" s="612"/>
      <c r="FS26" s="612"/>
      <c r="FT26" s="612"/>
      <c r="FU26" s="612"/>
      <c r="FV26" s="612"/>
      <c r="FW26" s="612"/>
      <c r="FX26" s="612"/>
      <c r="FY26" s="612"/>
      <c r="FZ26" s="254"/>
      <c r="GA26" s="612"/>
      <c r="GB26" s="612"/>
      <c r="GC26" s="612"/>
      <c r="GD26" s="612"/>
      <c r="GE26" s="245"/>
      <c r="GF26" s="612"/>
      <c r="GG26" s="612"/>
      <c r="GH26" s="612"/>
      <c r="GI26" s="612"/>
      <c r="GJ26" s="612"/>
      <c r="GK26" s="612"/>
      <c r="GL26" s="612"/>
      <c r="GM26" s="612"/>
      <c r="GN26" s="612"/>
      <c r="GO26" s="612"/>
      <c r="GP26" s="612"/>
      <c r="GQ26" s="612"/>
      <c r="GR26" s="612"/>
      <c r="GS26" s="612"/>
      <c r="GT26" s="612"/>
      <c r="GU26" s="612"/>
      <c r="GV26" s="612"/>
      <c r="GW26" s="612"/>
      <c r="GX26" s="612"/>
      <c r="GY26" s="612"/>
      <c r="GZ26" s="612"/>
      <c r="HA26" s="612"/>
      <c r="HB26" s="612"/>
      <c r="HC26" s="612"/>
      <c r="HD26" s="612"/>
      <c r="HE26" s="612"/>
      <c r="HF26" s="612"/>
      <c r="HG26" s="612"/>
      <c r="HH26" s="612"/>
      <c r="HI26" s="612"/>
      <c r="HJ26" s="612"/>
      <c r="HK26" s="612"/>
      <c r="HL26" s="612"/>
      <c r="HM26" s="612"/>
      <c r="HN26" s="612"/>
      <c r="HO26" s="612"/>
      <c r="HP26" s="612"/>
      <c r="HQ26" s="612"/>
      <c r="HR26" s="612"/>
      <c r="HS26" s="612"/>
      <c r="HT26" s="612"/>
      <c r="HU26" s="612"/>
      <c r="HV26" s="612"/>
      <c r="HW26" s="612"/>
      <c r="HX26" s="612"/>
      <c r="HY26" s="612"/>
      <c r="HZ26" s="612"/>
      <c r="IA26" s="612"/>
      <c r="IB26" s="612"/>
      <c r="IC26" s="612"/>
      <c r="ID26" s="612"/>
      <c r="IE26" s="612"/>
      <c r="IF26" s="612"/>
      <c r="IG26" s="612"/>
      <c r="IH26" s="612"/>
      <c r="II26" s="612"/>
    </row>
    <row r="27" spans="1:243" ht="15" customHeight="1">
      <c r="A27" s="72"/>
      <c r="B27" s="72"/>
      <c r="C27" s="72"/>
      <c r="D27" s="269" t="str">
        <f>IF(MasterSheet!$A$1=1,MasterSheet!C266,MasterSheet!B266)</f>
        <v>Porez na međunarodnu trgovinu i transakcije</v>
      </c>
      <c r="E27" s="316">
        <f>+'Cental Budget_int'!E27</f>
        <v>56766223.619999953</v>
      </c>
      <c r="F27" s="307">
        <f t="shared" si="0"/>
        <v>2.6416410079575572</v>
      </c>
      <c r="G27" s="316">
        <f>+'Cental Budget_int'!G27</f>
        <v>68495722.040000007</v>
      </c>
      <c r="H27" s="307">
        <f t="shared" si="1"/>
        <v>2.5553337825032645</v>
      </c>
      <c r="I27" s="316">
        <f>+'Cental Budget_int'!I27</f>
        <v>72926890</v>
      </c>
      <c r="J27" s="307">
        <f t="shared" si="2"/>
        <v>2.3634589707026183</v>
      </c>
      <c r="K27" s="316">
        <f>+'Cental Budget_int'!K27</f>
        <v>49121124.340000004</v>
      </c>
      <c r="L27" s="307">
        <f t="shared" si="3"/>
        <v>1.6478069218383093</v>
      </c>
      <c r="M27" s="316">
        <f>+'Cental Budget_int'!M27</f>
        <v>50811537.57</v>
      </c>
      <c r="N27" s="307">
        <f t="shared" si="4"/>
        <v>1.6369696382087628</v>
      </c>
      <c r="O27" s="316">
        <f>+'Cental Budget_int'!O27</f>
        <v>45327985.280000009</v>
      </c>
      <c r="P27" s="307">
        <f t="shared" si="5"/>
        <v>1.4016074607297468</v>
      </c>
      <c r="Q27" s="334">
        <f>+'Cental Budget_int'!Q27</f>
        <v>28965025.329999998</v>
      </c>
      <c r="R27" s="324">
        <f t="shared" si="6"/>
        <v>0.91981661892664335</v>
      </c>
      <c r="S27" s="334">
        <f>+'Cental Budget_int'!S27</f>
        <v>31189932.243369091</v>
      </c>
      <c r="T27" s="324">
        <f t="shared" si="7"/>
        <v>0.88683344450864632</v>
      </c>
      <c r="U27" s="334">
        <f>+'Cental Budget_int'!U27</f>
        <v>29544325.836599998</v>
      </c>
      <c r="V27" s="324">
        <f t="shared" si="8"/>
        <v>0.84004338460619854</v>
      </c>
      <c r="W27" s="334">
        <f>+'Cental Budget_int'!W27</f>
        <v>-1645606.4067690931</v>
      </c>
      <c r="X27" s="513" t="e">
        <f t="shared" si="9"/>
        <v>#DIV/0!</v>
      </c>
      <c r="Y27" s="223"/>
      <c r="Z27" s="223"/>
      <c r="AA27" s="223"/>
      <c r="AB27" s="223"/>
      <c r="AC27" s="223"/>
      <c r="AD27" s="223"/>
      <c r="AE27" s="223"/>
      <c r="AF27" s="223"/>
      <c r="AG27" s="223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50"/>
      <c r="BA27" s="251"/>
      <c r="BB27" s="251"/>
      <c r="BC27" s="612"/>
      <c r="BD27" s="612"/>
      <c r="BE27" s="612"/>
      <c r="BF27" s="612"/>
      <c r="BG27" s="612"/>
      <c r="BH27" s="612"/>
      <c r="BI27" s="612"/>
      <c r="BJ27" s="612"/>
      <c r="BK27" s="612"/>
      <c r="BL27" s="612"/>
      <c r="BM27" s="612"/>
      <c r="BN27" s="612"/>
      <c r="BO27" s="612"/>
      <c r="BP27" s="612"/>
      <c r="BQ27" s="612"/>
      <c r="BR27" s="612"/>
      <c r="BS27" s="612"/>
      <c r="BT27" s="612"/>
      <c r="BU27" s="612"/>
      <c r="BV27" s="612"/>
      <c r="BW27" s="612"/>
      <c r="BX27" s="612"/>
      <c r="BY27" s="612"/>
      <c r="BZ27" s="612"/>
      <c r="CA27" s="612"/>
      <c r="CB27" s="612"/>
      <c r="CC27" s="612"/>
      <c r="CD27" s="612"/>
      <c r="CE27" s="612"/>
      <c r="CF27" s="612"/>
      <c r="CG27" s="612"/>
      <c r="CH27" s="612"/>
      <c r="CI27" s="612"/>
      <c r="CJ27" s="612"/>
      <c r="CK27" s="612"/>
      <c r="CL27" s="612"/>
      <c r="CM27" s="612"/>
      <c r="CN27" s="612"/>
      <c r="CO27" s="612"/>
      <c r="CP27" s="612"/>
      <c r="CQ27" s="612"/>
      <c r="CR27" s="612"/>
      <c r="CS27" s="612"/>
      <c r="CT27" s="612"/>
      <c r="CU27" s="612"/>
      <c r="CV27" s="612"/>
      <c r="CW27" s="612"/>
      <c r="CX27" s="612"/>
      <c r="CY27" s="612"/>
      <c r="CZ27" s="612"/>
      <c r="DA27" s="612"/>
      <c r="DB27" s="612"/>
      <c r="DC27" s="612"/>
      <c r="DD27" s="612"/>
      <c r="DE27" s="612"/>
      <c r="DF27" s="612"/>
      <c r="DG27" s="612"/>
      <c r="DH27" s="612"/>
      <c r="DI27" s="612"/>
      <c r="DJ27" s="612"/>
      <c r="DK27" s="612"/>
      <c r="DL27" s="612"/>
      <c r="DM27" s="612"/>
      <c r="DN27" s="612"/>
      <c r="DO27" s="612"/>
      <c r="DP27" s="612"/>
      <c r="DQ27" s="612"/>
      <c r="DR27" s="612"/>
      <c r="DS27" s="612"/>
      <c r="DT27" s="612"/>
      <c r="DU27" s="612"/>
      <c r="DV27" s="612"/>
      <c r="DW27" s="612"/>
      <c r="DX27" s="612"/>
      <c r="DY27" s="612"/>
      <c r="DZ27" s="612"/>
      <c r="EA27" s="612"/>
      <c r="EB27" s="612"/>
      <c r="EC27" s="612"/>
      <c r="ED27" s="612"/>
      <c r="EE27" s="612"/>
      <c r="EF27" s="612"/>
      <c r="EG27" s="612"/>
      <c r="EH27" s="612"/>
      <c r="EI27" s="612"/>
      <c r="EJ27" s="612"/>
      <c r="EK27" s="612"/>
      <c r="EL27" s="612"/>
      <c r="EM27" s="612"/>
      <c r="EN27" s="612"/>
      <c r="EO27" s="612"/>
      <c r="EP27" s="612"/>
      <c r="EQ27" s="612"/>
      <c r="ER27" s="612"/>
      <c r="ES27" s="612"/>
      <c r="ET27" s="612"/>
      <c r="EU27" s="612"/>
      <c r="EV27" s="612"/>
      <c r="EW27" s="612"/>
      <c r="EX27" s="612"/>
      <c r="EY27" s="612"/>
      <c r="EZ27" s="612"/>
      <c r="FA27" s="612"/>
      <c r="FB27" s="612"/>
      <c r="FC27" s="612"/>
      <c r="FD27" s="612"/>
      <c r="FE27" s="612"/>
      <c r="FF27" s="612"/>
      <c r="FG27" s="612"/>
      <c r="FH27" s="612"/>
      <c r="FI27" s="612"/>
      <c r="FJ27" s="612"/>
      <c r="FK27" s="612"/>
      <c r="FL27" s="612"/>
      <c r="FM27" s="612"/>
      <c r="FN27" s="612"/>
      <c r="FO27" s="612"/>
      <c r="FP27" s="612"/>
      <c r="FQ27" s="612"/>
      <c r="FR27" s="612"/>
      <c r="FS27" s="612"/>
      <c r="FT27" s="612"/>
      <c r="FU27" s="612"/>
      <c r="FV27" s="612"/>
      <c r="FW27" s="612"/>
      <c r="FX27" s="612"/>
      <c r="FY27" s="612"/>
      <c r="FZ27" s="612"/>
      <c r="GA27" s="612"/>
      <c r="GB27" s="612"/>
      <c r="GC27" s="612"/>
      <c r="GD27" s="612"/>
      <c r="GE27" s="245"/>
      <c r="GF27" s="612"/>
      <c r="GG27" s="612"/>
      <c r="GH27" s="612"/>
      <c r="GI27" s="612"/>
      <c r="GJ27" s="612"/>
      <c r="GK27" s="612"/>
      <c r="GL27" s="612"/>
      <c r="GM27" s="612"/>
      <c r="GN27" s="612"/>
      <c r="GO27" s="612"/>
      <c r="GP27" s="612"/>
      <c r="GQ27" s="612"/>
      <c r="GR27" s="612"/>
      <c r="GS27" s="612"/>
      <c r="GT27" s="612"/>
      <c r="GU27" s="612"/>
      <c r="GV27" s="612"/>
      <c r="GW27" s="612"/>
      <c r="GX27" s="612"/>
      <c r="GY27" s="612"/>
      <c r="GZ27" s="612"/>
      <c r="HA27" s="612"/>
      <c r="HB27" s="612"/>
      <c r="HC27" s="612"/>
      <c r="HD27" s="612"/>
      <c r="HE27" s="612"/>
      <c r="HF27" s="612"/>
      <c r="HG27" s="612"/>
      <c r="HH27" s="612"/>
      <c r="HI27" s="612"/>
      <c r="HJ27" s="612"/>
      <c r="HK27" s="612"/>
      <c r="HL27" s="612"/>
      <c r="HM27" s="612"/>
      <c r="HN27" s="612"/>
      <c r="HO27" s="612"/>
      <c r="HP27" s="612"/>
      <c r="HQ27" s="612"/>
      <c r="HR27" s="612"/>
      <c r="HS27" s="612"/>
      <c r="HT27" s="612"/>
      <c r="HU27" s="612"/>
      <c r="HV27" s="612"/>
      <c r="HW27" s="612"/>
      <c r="HX27" s="612"/>
      <c r="HY27" s="612"/>
      <c r="HZ27" s="612"/>
      <c r="IA27" s="612"/>
      <c r="IB27" s="612"/>
      <c r="IC27" s="612"/>
      <c r="ID27" s="612"/>
      <c r="IE27" s="612"/>
      <c r="IF27" s="612"/>
      <c r="IG27" s="612"/>
      <c r="IH27" s="612"/>
      <c r="II27" s="612"/>
    </row>
    <row r="28" spans="1:243" ht="15" customHeight="1">
      <c r="A28" s="72"/>
      <c r="B28" s="72"/>
      <c r="C28" s="72"/>
      <c r="D28" s="269" t="str">
        <f>IF(MasterSheet!$A$1=1,MasterSheet!C267,MasterSheet!B267)</f>
        <v>Lokalni porezi</v>
      </c>
      <c r="E28" s="317">
        <f>+'Local Government_int'!D26</f>
        <v>17125994.16</v>
      </c>
      <c r="F28" s="307">
        <f t="shared" si="0"/>
        <v>0.79696561775792263</v>
      </c>
      <c r="G28" s="317">
        <f>+'Local Government_int'!F26</f>
        <v>32608096.789999999</v>
      </c>
      <c r="H28" s="307">
        <f t="shared" si="1"/>
        <v>1.2164930718149598</v>
      </c>
      <c r="I28" s="317">
        <f>+'Local Government_int'!H26</f>
        <v>42004203.132574901</v>
      </c>
      <c r="J28" s="307">
        <f t="shared" si="2"/>
        <v>1.3612977421757486</v>
      </c>
      <c r="K28" s="317">
        <f>+'Local Government_int'!J26</f>
        <v>42246040.649999999</v>
      </c>
      <c r="L28" s="307">
        <f t="shared" si="3"/>
        <v>1.4171768081180811</v>
      </c>
      <c r="M28" s="317">
        <f>+'Local Government_int'!L26</f>
        <v>44590000</v>
      </c>
      <c r="N28" s="307">
        <f t="shared" si="4"/>
        <v>1.4365335051546393</v>
      </c>
      <c r="O28" s="317">
        <f>+'Local Government_int'!N26</f>
        <v>44446728.650000006</v>
      </c>
      <c r="P28" s="307">
        <f t="shared" si="5"/>
        <v>1.3743577195423624</v>
      </c>
      <c r="Q28" s="335">
        <f>+'Local Government_int'!P26</f>
        <v>50963320.149999999</v>
      </c>
      <c r="R28" s="324">
        <f t="shared" si="6"/>
        <v>1.6183969561765641</v>
      </c>
      <c r="S28" s="335">
        <f>+'Local Government_int'!R26</f>
        <v>34939254.213990003</v>
      </c>
      <c r="T28" s="324">
        <f t="shared" si="7"/>
        <v>0.99343913033807218</v>
      </c>
      <c r="U28" s="335">
        <f>+'Local Government_int'!T26</f>
        <v>35638039.298269801</v>
      </c>
      <c r="V28" s="324">
        <f t="shared" si="8"/>
        <v>1.0133079129448337</v>
      </c>
      <c r="W28" s="335">
        <f>+'Local Government_int'!V26</f>
        <v>698785.08427979797</v>
      </c>
      <c r="X28" s="513" t="e">
        <f t="shared" si="9"/>
        <v>#DIV/0!</v>
      </c>
      <c r="Y28" s="223"/>
      <c r="Z28" s="223"/>
      <c r="AA28" s="223"/>
      <c r="AB28" s="223"/>
      <c r="AC28" s="223"/>
      <c r="AD28" s="223"/>
      <c r="AE28" s="223"/>
      <c r="AF28" s="223"/>
      <c r="AG28" s="223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50"/>
      <c r="BA28" s="251"/>
      <c r="BB28" s="251"/>
      <c r="BC28" s="612"/>
      <c r="BD28" s="612"/>
      <c r="BE28" s="612"/>
      <c r="BF28" s="612"/>
      <c r="BG28" s="612"/>
      <c r="BH28" s="612"/>
      <c r="BI28" s="612"/>
      <c r="BJ28" s="612"/>
      <c r="BK28" s="612"/>
      <c r="BL28" s="612"/>
      <c r="BM28" s="612"/>
      <c r="BN28" s="612"/>
      <c r="BO28" s="612"/>
      <c r="BP28" s="612"/>
      <c r="BQ28" s="612"/>
      <c r="BR28" s="612"/>
      <c r="BS28" s="612"/>
      <c r="BT28" s="612"/>
      <c r="BU28" s="612"/>
      <c r="BV28" s="612"/>
      <c r="BW28" s="612"/>
      <c r="BX28" s="612"/>
      <c r="BY28" s="612"/>
      <c r="BZ28" s="612"/>
      <c r="CA28" s="612"/>
      <c r="CB28" s="612"/>
      <c r="CC28" s="612"/>
      <c r="CD28" s="612"/>
      <c r="CE28" s="612"/>
      <c r="CF28" s="612"/>
      <c r="CG28" s="612"/>
      <c r="CH28" s="612"/>
      <c r="CI28" s="612"/>
      <c r="CJ28" s="612"/>
      <c r="CK28" s="612"/>
      <c r="CL28" s="612"/>
      <c r="CM28" s="612"/>
      <c r="CN28" s="612"/>
      <c r="CO28" s="612"/>
      <c r="CP28" s="612"/>
      <c r="CQ28" s="612"/>
      <c r="CR28" s="612"/>
      <c r="CS28" s="612"/>
      <c r="CT28" s="612"/>
      <c r="CU28" s="612"/>
      <c r="CV28" s="612"/>
      <c r="CW28" s="612"/>
      <c r="CX28" s="612"/>
      <c r="CY28" s="612"/>
      <c r="CZ28" s="612"/>
      <c r="DA28" s="612"/>
      <c r="DB28" s="612"/>
      <c r="DC28" s="612"/>
      <c r="DD28" s="612"/>
      <c r="DE28" s="612"/>
      <c r="DF28" s="612"/>
      <c r="DG28" s="612"/>
      <c r="DH28" s="612"/>
      <c r="DI28" s="612"/>
      <c r="DJ28" s="612"/>
      <c r="DK28" s="612"/>
      <c r="DL28" s="612"/>
      <c r="DM28" s="612"/>
      <c r="DN28" s="612"/>
      <c r="DO28" s="612"/>
      <c r="DP28" s="612"/>
      <c r="DQ28" s="612"/>
      <c r="DR28" s="612"/>
      <c r="DS28" s="612"/>
      <c r="DT28" s="612"/>
      <c r="DU28" s="612"/>
      <c r="DV28" s="612"/>
      <c r="DW28" s="612"/>
      <c r="DX28" s="612"/>
      <c r="DY28" s="612"/>
      <c r="DZ28" s="612"/>
      <c r="EA28" s="612"/>
      <c r="EB28" s="612"/>
      <c r="EC28" s="612"/>
      <c r="ED28" s="612"/>
      <c r="EE28" s="612"/>
      <c r="EF28" s="612"/>
      <c r="EG28" s="612"/>
      <c r="EH28" s="612"/>
      <c r="EI28" s="612"/>
      <c r="EJ28" s="612"/>
      <c r="EK28" s="612"/>
      <c r="EL28" s="612"/>
      <c r="EM28" s="612"/>
      <c r="EN28" s="612"/>
      <c r="EO28" s="612"/>
      <c r="EP28" s="612"/>
      <c r="EQ28" s="612"/>
      <c r="ER28" s="612"/>
      <c r="ES28" s="612"/>
      <c r="ET28" s="612"/>
      <c r="EU28" s="612"/>
      <c r="EV28" s="612"/>
      <c r="EW28" s="612"/>
      <c r="EX28" s="612"/>
      <c r="EY28" s="612"/>
      <c r="EZ28" s="612"/>
      <c r="FA28" s="612"/>
      <c r="FB28" s="612"/>
      <c r="FC28" s="612"/>
      <c r="FD28" s="612"/>
      <c r="FE28" s="612"/>
      <c r="FF28" s="612"/>
      <c r="FG28" s="612"/>
      <c r="FH28" s="612"/>
      <c r="FI28" s="612"/>
      <c r="FJ28" s="612"/>
      <c r="FK28" s="612"/>
      <c r="FL28" s="612"/>
      <c r="FM28" s="612"/>
      <c r="FN28" s="612"/>
      <c r="FO28" s="612"/>
      <c r="FP28" s="612"/>
      <c r="FQ28" s="612"/>
      <c r="FR28" s="612"/>
      <c r="FS28" s="612"/>
      <c r="FT28" s="612"/>
      <c r="FU28" s="612"/>
      <c r="FV28" s="612"/>
      <c r="FW28" s="612"/>
      <c r="FX28" s="612"/>
      <c r="FY28" s="612"/>
      <c r="FZ28" s="612"/>
      <c r="GA28" s="612"/>
      <c r="GB28" s="612"/>
      <c r="GC28" s="612"/>
      <c r="GD28" s="612"/>
      <c r="GE28" s="245"/>
      <c r="GF28" s="612"/>
      <c r="GG28" s="612"/>
      <c r="GH28" s="612"/>
      <c r="GI28" s="612"/>
      <c r="GJ28" s="612"/>
      <c r="GK28" s="612"/>
      <c r="GL28" s="612"/>
      <c r="GM28" s="612"/>
      <c r="GN28" s="612"/>
      <c r="GO28" s="612"/>
      <c r="GP28" s="612"/>
      <c r="GQ28" s="612"/>
      <c r="GR28" s="612"/>
      <c r="GS28" s="612"/>
      <c r="GT28" s="612"/>
      <c r="GU28" s="612"/>
      <c r="GV28" s="612"/>
      <c r="GW28" s="612"/>
      <c r="GX28" s="612"/>
      <c r="GY28" s="612"/>
      <c r="GZ28" s="612"/>
      <c r="HA28" s="612"/>
      <c r="HB28" s="612"/>
      <c r="HC28" s="612"/>
      <c r="HD28" s="612"/>
      <c r="HE28" s="612"/>
      <c r="HF28" s="612"/>
      <c r="HG28" s="612"/>
      <c r="HH28" s="612"/>
      <c r="HI28" s="612"/>
      <c r="HJ28" s="612"/>
      <c r="HK28" s="612"/>
      <c r="HL28" s="612"/>
      <c r="HM28" s="612"/>
      <c r="HN28" s="612"/>
      <c r="HO28" s="612"/>
      <c r="HP28" s="612"/>
      <c r="HQ28" s="612"/>
      <c r="HR28" s="612"/>
      <c r="HS28" s="612"/>
      <c r="HT28" s="612"/>
      <c r="HU28" s="612"/>
      <c r="HV28" s="612"/>
      <c r="HW28" s="612"/>
      <c r="HX28" s="612"/>
      <c r="HY28" s="612"/>
      <c r="HZ28" s="612"/>
      <c r="IA28" s="612"/>
      <c r="IB28" s="612"/>
      <c r="IC28" s="612"/>
      <c r="ID28" s="612"/>
      <c r="IE28" s="612"/>
      <c r="IF28" s="612"/>
      <c r="IG28" s="612"/>
      <c r="IH28" s="612"/>
      <c r="II28" s="612"/>
    </row>
    <row r="29" spans="1:243" ht="15" customHeight="1">
      <c r="A29" s="72"/>
      <c r="B29" s="72"/>
      <c r="C29" s="72"/>
      <c r="D29" s="269" t="str">
        <f>IF(MasterSheet!$A$1=1,MasterSheet!C268,MasterSheet!B268)</f>
        <v>Ostali republički porezi</v>
      </c>
      <c r="E29" s="316">
        <f>+'Cental Budget_int'!E28</f>
        <v>4535766.87</v>
      </c>
      <c r="F29" s="307">
        <f t="shared" si="0"/>
        <v>0.21107389222392853</v>
      </c>
      <c r="G29" s="316">
        <f>+'Cental Budget_int'!G28</f>
        <v>6739308.9000000004</v>
      </c>
      <c r="H29" s="307">
        <f t="shared" si="1"/>
        <v>0.25141984331281481</v>
      </c>
      <c r="I29" s="316">
        <f>+'Cental Budget_int'!I28</f>
        <v>8529592.9000000004</v>
      </c>
      <c r="J29" s="307">
        <f t="shared" si="2"/>
        <v>0.27643223036038372</v>
      </c>
      <c r="K29" s="316">
        <f>+'Cental Budget_int'!K28</f>
        <v>8920855.8499999996</v>
      </c>
      <c r="L29" s="307">
        <f t="shared" si="3"/>
        <v>0.29925715699429722</v>
      </c>
      <c r="M29" s="316">
        <f>+'Cental Budget_int'!M28</f>
        <v>11587063.199999999</v>
      </c>
      <c r="N29" s="307">
        <f t="shared" si="4"/>
        <v>0.37329456185567006</v>
      </c>
      <c r="O29" s="316">
        <f>+'Cental Budget_int'!O28</f>
        <v>4148584.0999999996</v>
      </c>
      <c r="P29" s="307">
        <f t="shared" si="5"/>
        <v>0.12828027520098947</v>
      </c>
      <c r="Q29" s="334">
        <f>+'Cental Budget_int'!Q28</f>
        <v>4279140.05</v>
      </c>
      <c r="R29" s="324">
        <f t="shared" si="6"/>
        <v>0.13588885519212449</v>
      </c>
      <c r="S29" s="334">
        <f>+'Cental Budget_int'!S28</f>
        <v>4409065.5830532741</v>
      </c>
      <c r="T29" s="324">
        <f t="shared" si="7"/>
        <v>0.12536438962335156</v>
      </c>
      <c r="U29" s="334">
        <f>+'Cental Budget_int'!U28</f>
        <v>4314527.4639999997</v>
      </c>
      <c r="V29" s="324">
        <f t="shared" si="8"/>
        <v>0.12267635666761445</v>
      </c>
      <c r="W29" s="334">
        <f>+'Cental Budget_int'!W28</f>
        <v>-94538.119053274393</v>
      </c>
      <c r="X29" s="513" t="e">
        <f t="shared" si="9"/>
        <v>#DIV/0!</v>
      </c>
      <c r="Y29" s="223"/>
      <c r="Z29" s="223"/>
      <c r="AA29" s="223"/>
      <c r="AB29" s="223"/>
      <c r="AC29" s="223"/>
      <c r="AD29" s="223"/>
      <c r="AE29" s="223"/>
      <c r="AF29" s="223"/>
      <c r="AG29" s="223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50"/>
      <c r="BA29" s="251"/>
      <c r="BB29" s="251"/>
      <c r="BC29" s="612"/>
      <c r="BD29" s="612"/>
      <c r="BE29" s="612"/>
      <c r="BF29" s="612"/>
      <c r="BG29" s="612"/>
      <c r="BH29" s="612"/>
      <c r="BI29" s="612"/>
      <c r="BJ29" s="612"/>
      <c r="BK29" s="612"/>
      <c r="BL29" s="612"/>
      <c r="BM29" s="612"/>
      <c r="BN29" s="612"/>
      <c r="BO29" s="612"/>
      <c r="BP29" s="612"/>
      <c r="BQ29" s="612"/>
      <c r="BR29" s="612"/>
      <c r="BS29" s="612"/>
      <c r="BT29" s="612"/>
      <c r="BU29" s="612"/>
      <c r="BV29" s="612"/>
      <c r="BW29" s="612"/>
      <c r="BX29" s="612"/>
      <c r="BY29" s="612"/>
      <c r="BZ29" s="612"/>
      <c r="CA29" s="612"/>
      <c r="CB29" s="612"/>
      <c r="CC29" s="612"/>
      <c r="CD29" s="612"/>
      <c r="CE29" s="612"/>
      <c r="CF29" s="612"/>
      <c r="CG29" s="612"/>
      <c r="CH29" s="612"/>
      <c r="CI29" s="612"/>
      <c r="CJ29" s="612"/>
      <c r="CK29" s="612"/>
      <c r="CL29" s="612"/>
      <c r="CM29" s="612"/>
      <c r="CN29" s="612"/>
      <c r="CO29" s="612"/>
      <c r="CP29" s="612"/>
      <c r="CQ29" s="612"/>
      <c r="CR29" s="612"/>
      <c r="CS29" s="612"/>
      <c r="CT29" s="612"/>
      <c r="CU29" s="612"/>
      <c r="CV29" s="612"/>
      <c r="CW29" s="612"/>
      <c r="CX29" s="612"/>
      <c r="CY29" s="612"/>
      <c r="CZ29" s="612"/>
      <c r="DA29" s="612"/>
      <c r="DB29" s="612"/>
      <c r="DC29" s="612"/>
      <c r="DD29" s="612"/>
      <c r="DE29" s="612"/>
      <c r="DF29" s="612"/>
      <c r="DG29" s="612"/>
      <c r="DH29" s="612"/>
      <c r="DI29" s="612"/>
      <c r="DJ29" s="612"/>
      <c r="DK29" s="612"/>
      <c r="DL29" s="612"/>
      <c r="DM29" s="612"/>
      <c r="DN29" s="612"/>
      <c r="DO29" s="612"/>
      <c r="DP29" s="612"/>
      <c r="DQ29" s="612"/>
      <c r="DR29" s="612"/>
      <c r="DS29" s="612"/>
      <c r="DT29" s="612"/>
      <c r="DU29" s="612"/>
      <c r="DV29" s="612"/>
      <c r="DW29" s="612"/>
      <c r="DX29" s="612"/>
      <c r="DY29" s="612"/>
      <c r="DZ29" s="612"/>
      <c r="EA29" s="612"/>
      <c r="EB29" s="612"/>
      <c r="EC29" s="612"/>
      <c r="ED29" s="612"/>
      <c r="EE29" s="612"/>
      <c r="EF29" s="612"/>
      <c r="EG29" s="612"/>
      <c r="EH29" s="612"/>
      <c r="EI29" s="612"/>
      <c r="EJ29" s="612"/>
      <c r="EK29" s="612"/>
      <c r="EL29" s="612"/>
      <c r="EM29" s="612"/>
      <c r="EN29" s="612"/>
      <c r="EO29" s="612"/>
      <c r="EP29" s="612"/>
      <c r="EQ29" s="612"/>
      <c r="ER29" s="612"/>
      <c r="ES29" s="612"/>
      <c r="ET29" s="612"/>
      <c r="EU29" s="612"/>
      <c r="EV29" s="612"/>
      <c r="EW29" s="612"/>
      <c r="EX29" s="612"/>
      <c r="EY29" s="612"/>
      <c r="EZ29" s="612"/>
      <c r="FA29" s="612"/>
      <c r="FB29" s="612"/>
      <c r="FC29" s="612"/>
      <c r="FD29" s="612"/>
      <c r="FE29" s="612"/>
      <c r="FF29" s="612"/>
      <c r="FG29" s="612"/>
      <c r="FH29" s="612"/>
      <c r="FI29" s="612"/>
      <c r="FJ29" s="612"/>
      <c r="FK29" s="612"/>
      <c r="FL29" s="612"/>
      <c r="FM29" s="612"/>
      <c r="FN29" s="612"/>
      <c r="FO29" s="612"/>
      <c r="FP29" s="612"/>
      <c r="FQ29" s="612"/>
      <c r="FR29" s="612"/>
      <c r="FS29" s="612"/>
      <c r="FT29" s="612"/>
      <c r="FU29" s="612"/>
      <c r="FV29" s="612"/>
      <c r="FW29" s="612"/>
      <c r="FX29" s="612"/>
      <c r="FY29" s="612"/>
      <c r="FZ29" s="612"/>
      <c r="GA29" s="612"/>
      <c r="GB29" s="612"/>
      <c r="GC29" s="612"/>
      <c r="GD29" s="612"/>
      <c r="GE29" s="245"/>
      <c r="GF29" s="612"/>
      <c r="GG29" s="612"/>
      <c r="GH29" s="612"/>
      <c r="GI29" s="612"/>
      <c r="GJ29" s="612"/>
      <c r="GK29" s="612"/>
      <c r="GL29" s="612"/>
      <c r="GM29" s="612"/>
      <c r="GN29" s="612"/>
      <c r="GO29" s="612"/>
      <c r="GP29" s="612"/>
      <c r="GQ29" s="612"/>
      <c r="GR29" s="612"/>
      <c r="GS29" s="612"/>
      <c r="GT29" s="612"/>
      <c r="GU29" s="612"/>
      <c r="GV29" s="612"/>
      <c r="GW29" s="612"/>
      <c r="GX29" s="612"/>
      <c r="GY29" s="612"/>
      <c r="GZ29" s="612"/>
      <c r="HA29" s="612"/>
      <c r="HB29" s="612"/>
      <c r="HC29" s="612"/>
      <c r="HD29" s="612"/>
      <c r="HE29" s="612"/>
      <c r="HF29" s="612"/>
      <c r="HG29" s="612"/>
      <c r="HH29" s="612"/>
      <c r="HI29" s="612"/>
      <c r="HJ29" s="612"/>
      <c r="HK29" s="612"/>
      <c r="HL29" s="612"/>
      <c r="HM29" s="612"/>
      <c r="HN29" s="612"/>
      <c r="HO29" s="612"/>
      <c r="HP29" s="612"/>
      <c r="HQ29" s="612"/>
      <c r="HR29" s="612"/>
      <c r="HS29" s="612"/>
      <c r="HT29" s="612"/>
      <c r="HU29" s="612"/>
      <c r="HV29" s="612"/>
      <c r="HW29" s="612"/>
      <c r="HX29" s="612"/>
      <c r="HY29" s="612"/>
      <c r="HZ29" s="612"/>
      <c r="IA29" s="612"/>
      <c r="IB29" s="612"/>
      <c r="IC29" s="612"/>
      <c r="ID29" s="612"/>
      <c r="IE29" s="612"/>
      <c r="IF29" s="612"/>
      <c r="IG29" s="612"/>
      <c r="IH29" s="612"/>
      <c r="II29" s="612"/>
    </row>
    <row r="30" spans="1:243" ht="15" customHeight="1">
      <c r="A30" s="72"/>
      <c r="B30" s="72"/>
      <c r="C30" s="72"/>
      <c r="D30" s="270" t="str">
        <f>IF(MasterSheet!$A$1=1,MasterSheet!C269,MasterSheet!B269)</f>
        <v>Doprinosi</v>
      </c>
      <c r="E30" s="318">
        <f>SUM(E31:E34)</f>
        <v>255157132.13</v>
      </c>
      <c r="F30" s="308">
        <f t="shared" si="0"/>
        <v>11.873848579738471</v>
      </c>
      <c r="G30" s="318">
        <f>SUM(G31:G34)</f>
        <v>306787808.32999998</v>
      </c>
      <c r="H30" s="308">
        <f t="shared" si="1"/>
        <v>11.445170987875395</v>
      </c>
      <c r="I30" s="318">
        <f>SUM(I31:I34)</f>
        <v>339912631.83999997</v>
      </c>
      <c r="J30" s="308">
        <f t="shared" si="2"/>
        <v>11.016095146486906</v>
      </c>
      <c r="K30" s="318">
        <f>SUM(K31:K34)</f>
        <v>307544352.32999998</v>
      </c>
      <c r="L30" s="308">
        <f t="shared" si="3"/>
        <v>10.316818259979872</v>
      </c>
      <c r="M30" s="318">
        <f>SUM(M31:M34)</f>
        <v>379756996.48000008</v>
      </c>
      <c r="N30" s="308">
        <f t="shared" si="4"/>
        <v>12.234439319587631</v>
      </c>
      <c r="O30" s="318">
        <f>SUM(O31:O34)</f>
        <v>353577453.33000004</v>
      </c>
      <c r="P30" s="308">
        <f t="shared" si="5"/>
        <v>10.933130900742116</v>
      </c>
      <c r="Q30" s="336">
        <f>SUM(Q31:Q34)</f>
        <v>362250409.59999996</v>
      </c>
      <c r="R30" s="325">
        <f t="shared" si="6"/>
        <v>11.503664960304857</v>
      </c>
      <c r="S30" s="336">
        <f>SUM(S31:S34)</f>
        <v>384217730.43822622</v>
      </c>
      <c r="T30" s="325">
        <f t="shared" si="7"/>
        <v>10.924587160597845</v>
      </c>
      <c r="U30" s="336">
        <f>SUM(U31:U34)</f>
        <v>376795417.792</v>
      </c>
      <c r="V30" s="325">
        <f t="shared" si="8"/>
        <v>10.713546141370486</v>
      </c>
      <c r="W30" s="336">
        <f>SUM(W31:W34)</f>
        <v>-7422312.6462262347</v>
      </c>
      <c r="X30" s="514" t="e">
        <f t="shared" si="9"/>
        <v>#DIV/0!</v>
      </c>
      <c r="Y30" s="222"/>
      <c r="Z30" s="222"/>
      <c r="AA30" s="222"/>
      <c r="AB30" s="222"/>
      <c r="AC30" s="222"/>
      <c r="AD30" s="222"/>
      <c r="AE30" s="222"/>
      <c r="AF30" s="222"/>
      <c r="AG30" s="222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50"/>
      <c r="BA30" s="249"/>
      <c r="BB30" s="249"/>
      <c r="BC30" s="612"/>
      <c r="BD30" s="612"/>
      <c r="BE30" s="612"/>
      <c r="BF30" s="612"/>
      <c r="BG30" s="612"/>
      <c r="BH30" s="612"/>
      <c r="BI30" s="612"/>
      <c r="BJ30" s="612"/>
      <c r="BK30" s="612"/>
      <c r="BL30" s="612"/>
      <c r="BM30" s="612"/>
      <c r="BN30" s="612"/>
      <c r="BO30" s="612"/>
      <c r="BP30" s="612"/>
      <c r="BQ30" s="612"/>
      <c r="BR30" s="612"/>
      <c r="BS30" s="612"/>
      <c r="BT30" s="612"/>
      <c r="BU30" s="612"/>
      <c r="BV30" s="612"/>
      <c r="BW30" s="612"/>
      <c r="BX30" s="612"/>
      <c r="BY30" s="612"/>
      <c r="BZ30" s="612"/>
      <c r="CA30" s="612"/>
      <c r="CB30" s="612"/>
      <c r="CC30" s="612"/>
      <c r="CD30" s="612"/>
      <c r="CE30" s="612"/>
      <c r="CF30" s="612"/>
      <c r="CG30" s="612"/>
      <c r="CH30" s="612"/>
      <c r="CI30" s="612"/>
      <c r="CJ30" s="612"/>
      <c r="CK30" s="612"/>
      <c r="CL30" s="612"/>
      <c r="CM30" s="612"/>
      <c r="CN30" s="612"/>
      <c r="CO30" s="612"/>
      <c r="CP30" s="612"/>
      <c r="CQ30" s="612"/>
      <c r="CR30" s="612"/>
      <c r="CS30" s="612"/>
      <c r="CT30" s="612"/>
      <c r="CU30" s="612"/>
      <c r="CV30" s="612"/>
      <c r="CW30" s="612"/>
      <c r="CX30" s="612"/>
      <c r="CY30" s="612"/>
      <c r="CZ30" s="612"/>
      <c r="DA30" s="612"/>
      <c r="DB30" s="612"/>
      <c r="DC30" s="612"/>
      <c r="DD30" s="612"/>
      <c r="DE30" s="612"/>
      <c r="DF30" s="612"/>
      <c r="DG30" s="612"/>
      <c r="DH30" s="612"/>
      <c r="DI30" s="612"/>
      <c r="DJ30" s="612"/>
      <c r="DK30" s="612"/>
      <c r="DL30" s="612"/>
      <c r="DM30" s="612"/>
      <c r="DN30" s="612"/>
      <c r="DO30" s="612"/>
      <c r="DP30" s="612"/>
      <c r="DQ30" s="612"/>
      <c r="DR30" s="612"/>
      <c r="DS30" s="612"/>
      <c r="DT30" s="612"/>
      <c r="DU30" s="612"/>
      <c r="DV30" s="612"/>
      <c r="DW30" s="612"/>
      <c r="DX30" s="612"/>
      <c r="DY30" s="612"/>
      <c r="DZ30" s="612"/>
      <c r="EA30" s="255"/>
      <c r="EB30" s="255"/>
      <c r="EC30" s="612"/>
      <c r="ED30" s="612"/>
      <c r="EE30" s="612"/>
      <c r="EF30" s="612"/>
      <c r="EG30" s="612"/>
      <c r="EH30" s="612"/>
      <c r="EI30" s="612"/>
      <c r="EJ30" s="612"/>
      <c r="EK30" s="612"/>
      <c r="EL30" s="612"/>
      <c r="EM30" s="612"/>
      <c r="EN30" s="612"/>
      <c r="EO30" s="612"/>
      <c r="EP30" s="612"/>
      <c r="EQ30" s="612"/>
      <c r="ER30" s="612"/>
      <c r="ES30" s="612"/>
      <c r="ET30" s="612"/>
      <c r="EU30" s="612"/>
      <c r="EV30" s="612"/>
      <c r="EW30" s="612"/>
      <c r="EX30" s="612"/>
      <c r="EY30" s="612"/>
      <c r="EZ30" s="612"/>
      <c r="FA30" s="612"/>
      <c r="FB30" s="612"/>
      <c r="FC30" s="612"/>
      <c r="FD30" s="612"/>
      <c r="FE30" s="612"/>
      <c r="FF30" s="612"/>
      <c r="FG30" s="612"/>
      <c r="FH30" s="612"/>
      <c r="FI30" s="612"/>
      <c r="FJ30" s="612"/>
      <c r="FK30" s="612"/>
      <c r="FL30" s="612"/>
      <c r="FM30" s="612"/>
      <c r="FN30" s="612"/>
      <c r="FO30" s="612"/>
      <c r="FP30" s="612"/>
      <c r="FQ30" s="612"/>
      <c r="FR30" s="612"/>
      <c r="FS30" s="612"/>
      <c r="FT30" s="612"/>
      <c r="FU30" s="612"/>
      <c r="FV30" s="612"/>
      <c r="FW30" s="612"/>
      <c r="FX30" s="612"/>
      <c r="FY30" s="612"/>
      <c r="FZ30" s="612"/>
      <c r="GA30" s="612"/>
      <c r="GB30" s="612"/>
      <c r="GC30" s="612"/>
      <c r="GD30" s="612"/>
      <c r="GE30" s="245"/>
      <c r="GF30" s="612"/>
      <c r="GG30" s="612"/>
      <c r="GH30" s="612"/>
      <c r="GI30" s="612"/>
      <c r="GJ30" s="612"/>
      <c r="GK30" s="612"/>
      <c r="GL30" s="612"/>
      <c r="GM30" s="612"/>
      <c r="GN30" s="612"/>
      <c r="GO30" s="612"/>
      <c r="GP30" s="612"/>
      <c r="GQ30" s="612"/>
      <c r="GR30" s="612"/>
      <c r="GS30" s="612"/>
      <c r="GT30" s="612"/>
      <c r="GU30" s="612"/>
      <c r="GV30" s="612"/>
      <c r="GW30" s="612"/>
      <c r="GX30" s="612"/>
      <c r="GY30" s="612"/>
      <c r="GZ30" s="612"/>
      <c r="HA30" s="612"/>
      <c r="HB30" s="612"/>
      <c r="HC30" s="612"/>
      <c r="HD30" s="612"/>
      <c r="HE30" s="612"/>
      <c r="HF30" s="612"/>
      <c r="HG30" s="612"/>
      <c r="HH30" s="612"/>
      <c r="HI30" s="612"/>
      <c r="HJ30" s="612"/>
      <c r="HK30" s="612"/>
      <c r="HL30" s="612"/>
      <c r="HM30" s="612"/>
      <c r="HN30" s="612"/>
      <c r="HO30" s="612"/>
      <c r="HP30" s="612"/>
      <c r="HQ30" s="612"/>
      <c r="HR30" s="612"/>
      <c r="HS30" s="612"/>
      <c r="HT30" s="612"/>
      <c r="HU30" s="612"/>
      <c r="HV30" s="612"/>
      <c r="HW30" s="612"/>
      <c r="HX30" s="612"/>
      <c r="HY30" s="612"/>
      <c r="HZ30" s="612"/>
      <c r="IA30" s="612"/>
      <c r="IB30" s="612"/>
      <c r="IC30" s="612"/>
      <c r="ID30" s="612"/>
      <c r="IE30" s="612"/>
      <c r="IF30" s="612"/>
      <c r="IG30" s="612"/>
      <c r="IH30" s="612"/>
      <c r="II30" s="612"/>
    </row>
    <row r="31" spans="1:243" ht="15" customHeight="1">
      <c r="A31" s="72"/>
      <c r="B31" s="72"/>
      <c r="C31" s="72"/>
      <c r="D31" s="269" t="str">
        <f>IF(MasterSheet!$A$1=1,MasterSheet!C270,MasterSheet!B270)</f>
        <v>Doprinosi za penzijsko i invalidsko osiguranje</v>
      </c>
      <c r="E31" s="316">
        <f>+'Cental Budget_int'!E30</f>
        <v>138179769.16</v>
      </c>
      <c r="F31" s="307">
        <f t="shared" si="0"/>
        <v>6.4302559058122766</v>
      </c>
      <c r="G31" s="316">
        <f>+'Cental Budget_int'!G30</f>
        <v>173517241.65000001</v>
      </c>
      <c r="H31" s="307">
        <f t="shared" si="1"/>
        <v>6.473316233911584</v>
      </c>
      <c r="I31" s="316">
        <f>+'Cental Budget_int'!I30</f>
        <v>213850904.31999999</v>
      </c>
      <c r="J31" s="307">
        <f t="shared" si="2"/>
        <v>6.9306100700025919</v>
      </c>
      <c r="K31" s="316">
        <f>+'Cental Budget_int'!K30</f>
        <v>199510659.24000001</v>
      </c>
      <c r="L31" s="307">
        <f t="shared" si="3"/>
        <v>6.6927426782958737</v>
      </c>
      <c r="M31" s="316">
        <f>+'Cental Budget_int'!M30</f>
        <v>233496116.37</v>
      </c>
      <c r="N31" s="307">
        <f t="shared" si="4"/>
        <v>7.5224264294458765</v>
      </c>
      <c r="O31" s="316">
        <f>+'Cental Budget_int'!O30</f>
        <v>213452220.68000001</v>
      </c>
      <c r="P31" s="307">
        <f t="shared" si="5"/>
        <v>6.6002541954236245</v>
      </c>
      <c r="Q31" s="334">
        <f>+'Cental Budget_int'!Q30</f>
        <v>216501675.27000001</v>
      </c>
      <c r="R31" s="324">
        <f t="shared" si="6"/>
        <v>6.8752516757700857</v>
      </c>
      <c r="S31" s="334">
        <f>+'Cental Budget_int'!S30</f>
        <v>226849483.25081635</v>
      </c>
      <c r="T31" s="324">
        <f t="shared" si="7"/>
        <v>6.4500848237366029</v>
      </c>
      <c r="U31" s="334">
        <f>+'Cental Budget_int'!U30</f>
        <v>224831708.77540001</v>
      </c>
      <c r="V31" s="324">
        <f t="shared" si="8"/>
        <v>6.3927127886096109</v>
      </c>
      <c r="W31" s="334">
        <f>+'Cental Budget_int'!W30</f>
        <v>-2017774.4754163325</v>
      </c>
      <c r="X31" s="513" t="e">
        <f t="shared" si="9"/>
        <v>#DIV/0!</v>
      </c>
      <c r="Y31" s="223"/>
      <c r="Z31" s="223"/>
      <c r="AA31" s="223"/>
      <c r="AB31" s="223"/>
      <c r="AC31" s="223"/>
      <c r="AD31" s="223"/>
      <c r="AE31" s="223"/>
      <c r="AF31" s="223"/>
      <c r="AG31" s="223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50"/>
      <c r="BA31" s="251"/>
      <c r="BB31" s="251"/>
      <c r="BC31" s="612"/>
      <c r="BD31" s="612"/>
      <c r="BE31" s="612"/>
      <c r="BF31" s="612"/>
      <c r="BG31" s="612"/>
      <c r="BH31" s="612"/>
      <c r="BI31" s="612"/>
      <c r="BJ31" s="612"/>
      <c r="BK31" s="612"/>
      <c r="BL31" s="612"/>
      <c r="BM31" s="612"/>
      <c r="BN31" s="612"/>
      <c r="BO31" s="612"/>
      <c r="BP31" s="612"/>
      <c r="BQ31" s="612"/>
      <c r="BR31" s="612"/>
      <c r="BS31" s="612"/>
      <c r="BT31" s="612"/>
      <c r="BU31" s="612"/>
      <c r="BV31" s="612"/>
      <c r="BW31" s="612"/>
      <c r="BX31" s="612"/>
      <c r="BY31" s="612"/>
      <c r="BZ31" s="612"/>
      <c r="CA31" s="612"/>
      <c r="CB31" s="612"/>
      <c r="CC31" s="612"/>
      <c r="CD31" s="612"/>
      <c r="CE31" s="612"/>
      <c r="CF31" s="612"/>
      <c r="CG31" s="612"/>
      <c r="CH31" s="612"/>
      <c r="CI31" s="612"/>
      <c r="CJ31" s="612"/>
      <c r="CK31" s="612"/>
      <c r="CL31" s="612"/>
      <c r="CM31" s="612"/>
      <c r="CN31" s="612"/>
      <c r="CO31" s="612"/>
      <c r="CP31" s="612"/>
      <c r="CQ31" s="612"/>
      <c r="CR31" s="612"/>
      <c r="CS31" s="612"/>
      <c r="CT31" s="612"/>
      <c r="CU31" s="612"/>
      <c r="CV31" s="612"/>
      <c r="CW31" s="612"/>
      <c r="CX31" s="612"/>
      <c r="CY31" s="612"/>
      <c r="CZ31" s="612"/>
      <c r="DA31" s="612"/>
      <c r="DB31" s="612"/>
      <c r="DC31" s="612"/>
      <c r="DD31" s="612"/>
      <c r="DE31" s="612"/>
      <c r="DF31" s="612"/>
      <c r="DG31" s="612"/>
      <c r="DH31" s="612"/>
      <c r="DI31" s="612"/>
      <c r="DJ31" s="612"/>
      <c r="DK31" s="612"/>
      <c r="DL31" s="612"/>
      <c r="DM31" s="612"/>
      <c r="DN31" s="612"/>
      <c r="DO31" s="612"/>
      <c r="DP31" s="612"/>
      <c r="DQ31" s="612"/>
      <c r="DR31" s="612"/>
      <c r="DS31" s="612"/>
      <c r="DT31" s="612"/>
      <c r="DU31" s="612"/>
      <c r="DV31" s="612"/>
      <c r="DW31" s="612"/>
      <c r="DX31" s="612"/>
      <c r="DY31" s="612"/>
      <c r="DZ31" s="612"/>
      <c r="EA31" s="255"/>
      <c r="EB31" s="255"/>
      <c r="EC31" s="612"/>
      <c r="ED31" s="612"/>
      <c r="EE31" s="612"/>
      <c r="EF31" s="612"/>
      <c r="EG31" s="612"/>
      <c r="EH31" s="612"/>
      <c r="EI31" s="612"/>
      <c r="EJ31" s="612"/>
      <c r="EK31" s="612"/>
      <c r="EL31" s="612"/>
      <c r="EM31" s="612"/>
      <c r="EN31" s="612"/>
      <c r="EO31" s="612"/>
      <c r="EP31" s="612"/>
      <c r="EQ31" s="612"/>
      <c r="ER31" s="612"/>
      <c r="ES31" s="612"/>
      <c r="ET31" s="612"/>
      <c r="EU31" s="612"/>
      <c r="EV31" s="612"/>
      <c r="EW31" s="612"/>
      <c r="EX31" s="612"/>
      <c r="EY31" s="612"/>
      <c r="EZ31" s="612"/>
      <c r="FA31" s="612"/>
      <c r="FB31" s="612"/>
      <c r="FC31" s="612"/>
      <c r="FD31" s="612"/>
      <c r="FE31" s="612"/>
      <c r="FF31" s="612"/>
      <c r="FG31" s="612"/>
      <c r="FH31" s="612"/>
      <c r="FI31" s="612"/>
      <c r="FJ31" s="612"/>
      <c r="FK31" s="612"/>
      <c r="FL31" s="612"/>
      <c r="FM31" s="612"/>
      <c r="FN31" s="612"/>
      <c r="FO31" s="612"/>
      <c r="FP31" s="612"/>
      <c r="FQ31" s="612"/>
      <c r="FR31" s="612"/>
      <c r="FS31" s="612"/>
      <c r="FT31" s="612"/>
      <c r="FU31" s="612"/>
      <c r="FV31" s="612"/>
      <c r="FW31" s="612"/>
      <c r="FX31" s="612"/>
      <c r="FY31" s="612"/>
      <c r="FZ31" s="612"/>
      <c r="GA31" s="612"/>
      <c r="GB31" s="612"/>
      <c r="GC31" s="612"/>
      <c r="GD31" s="612"/>
      <c r="GE31" s="245"/>
      <c r="GF31" s="612"/>
      <c r="GG31" s="612"/>
      <c r="GH31" s="612"/>
      <c r="GI31" s="612"/>
      <c r="GJ31" s="612"/>
      <c r="GK31" s="612"/>
      <c r="GL31" s="612"/>
      <c r="GM31" s="612"/>
      <c r="GN31" s="612"/>
      <c r="GO31" s="612"/>
      <c r="GP31" s="612"/>
      <c r="GQ31" s="612"/>
      <c r="GR31" s="612"/>
      <c r="GS31" s="612"/>
      <c r="GT31" s="612"/>
      <c r="GU31" s="612"/>
      <c r="GV31" s="612"/>
      <c r="GW31" s="612"/>
      <c r="GX31" s="612"/>
      <c r="GY31" s="612"/>
      <c r="GZ31" s="612"/>
      <c r="HA31" s="612"/>
      <c r="HB31" s="612"/>
      <c r="HC31" s="612"/>
      <c r="HD31" s="612"/>
      <c r="HE31" s="612"/>
      <c r="HF31" s="612"/>
      <c r="HG31" s="612"/>
      <c r="HH31" s="612"/>
      <c r="HI31" s="612"/>
      <c r="HJ31" s="612"/>
      <c r="HK31" s="612"/>
      <c r="HL31" s="612"/>
      <c r="HM31" s="612"/>
      <c r="HN31" s="612"/>
      <c r="HO31" s="612"/>
      <c r="HP31" s="612"/>
      <c r="HQ31" s="612"/>
      <c r="HR31" s="612"/>
      <c r="HS31" s="612"/>
      <c r="HT31" s="612"/>
      <c r="HU31" s="612"/>
      <c r="HV31" s="612"/>
      <c r="HW31" s="612"/>
      <c r="HX31" s="612"/>
      <c r="HY31" s="612"/>
      <c r="HZ31" s="612"/>
      <c r="IA31" s="612"/>
      <c r="IB31" s="612"/>
      <c r="IC31" s="612"/>
      <c r="ID31" s="612"/>
      <c r="IE31" s="612"/>
      <c r="IF31" s="612"/>
      <c r="IG31" s="612"/>
      <c r="IH31" s="612"/>
      <c r="II31" s="612"/>
    </row>
    <row r="32" spans="1:243" ht="15" customHeight="1">
      <c r="A32" s="72"/>
      <c r="B32" s="72"/>
      <c r="C32" s="72"/>
      <c r="D32" s="269" t="str">
        <f>IF(MasterSheet!$A$1=1,MasterSheet!C271,MasterSheet!B271)</f>
        <v>Doprinosi za zdravstveno osiguranje</v>
      </c>
      <c r="E32" s="316">
        <f>+'Cental Budget_int'!E31</f>
        <v>110592983</v>
      </c>
      <c r="F32" s="307">
        <f t="shared" si="0"/>
        <v>5.1464927637395883</v>
      </c>
      <c r="G32" s="316">
        <f>+'Cental Budget_int'!G31</f>
        <v>125446267</v>
      </c>
      <c r="H32" s="307">
        <f t="shared" si="1"/>
        <v>4.6799577317664616</v>
      </c>
      <c r="I32" s="316">
        <f>+'Cental Budget_int'!I31</f>
        <v>115860488.59999999</v>
      </c>
      <c r="J32" s="307">
        <f t="shared" si="2"/>
        <v>3.7548771260046667</v>
      </c>
      <c r="K32" s="316">
        <f>+'Cental Budget_int'!K31</f>
        <v>97587762.519999996</v>
      </c>
      <c r="L32" s="307">
        <f t="shared" si="3"/>
        <v>3.2736585883931566</v>
      </c>
      <c r="M32" s="316">
        <f>+'Cental Budget_int'!M31</f>
        <v>129895634.22</v>
      </c>
      <c r="N32" s="307">
        <f t="shared" si="4"/>
        <v>4.1847820302835048</v>
      </c>
      <c r="O32" s="316">
        <f>+'Cental Budget_int'!O31</f>
        <v>120890439.24000001</v>
      </c>
      <c r="P32" s="307">
        <f t="shared" si="5"/>
        <v>3.7381088200371062</v>
      </c>
      <c r="Q32" s="334">
        <f>+'Cental Budget_int'!Q31</f>
        <v>125738855</v>
      </c>
      <c r="R32" s="324">
        <f t="shared" si="6"/>
        <v>3.9929772943791679</v>
      </c>
      <c r="S32" s="334">
        <f>+'Cental Budget_int'!S31</f>
        <v>133924915.28862785</v>
      </c>
      <c r="T32" s="324">
        <f t="shared" si="7"/>
        <v>3.8079304887298222</v>
      </c>
      <c r="U32" s="334">
        <f>+'Cental Budget_int'!U31</f>
        <v>128553632.10000001</v>
      </c>
      <c r="V32" s="324">
        <f t="shared" si="8"/>
        <v>3.6552070543076485</v>
      </c>
      <c r="W32" s="334">
        <f>+'Cental Budget_int'!W31</f>
        <v>-5371283.1886278391</v>
      </c>
      <c r="X32" s="513" t="e">
        <f t="shared" si="9"/>
        <v>#DIV/0!</v>
      </c>
      <c r="Y32" s="223"/>
      <c r="Z32" s="223"/>
      <c r="AA32" s="223"/>
      <c r="AB32" s="223"/>
      <c r="AC32" s="223"/>
      <c r="AD32" s="223"/>
      <c r="AE32" s="223"/>
      <c r="AF32" s="223"/>
      <c r="AG32" s="223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50"/>
      <c r="BA32" s="251"/>
      <c r="BB32" s="251"/>
      <c r="BC32" s="612"/>
      <c r="BD32" s="612"/>
      <c r="BE32" s="612"/>
      <c r="BF32" s="612"/>
      <c r="BG32" s="612"/>
      <c r="BH32" s="612"/>
      <c r="BI32" s="612"/>
      <c r="BJ32" s="612"/>
      <c r="BK32" s="612"/>
      <c r="BL32" s="612"/>
      <c r="BM32" s="612"/>
      <c r="BN32" s="612"/>
      <c r="BO32" s="612"/>
      <c r="BP32" s="612"/>
      <c r="BQ32" s="612"/>
      <c r="BR32" s="612"/>
      <c r="BS32" s="612"/>
      <c r="BT32" s="612"/>
      <c r="BU32" s="612"/>
      <c r="BV32" s="612"/>
      <c r="BW32" s="612"/>
      <c r="BX32" s="612"/>
      <c r="BY32" s="612"/>
      <c r="BZ32" s="612"/>
      <c r="CA32" s="612"/>
      <c r="CB32" s="612"/>
      <c r="CC32" s="612"/>
      <c r="CD32" s="612"/>
      <c r="CE32" s="612"/>
      <c r="CF32" s="612"/>
      <c r="CG32" s="612"/>
      <c r="CH32" s="612"/>
      <c r="CI32" s="612"/>
      <c r="CJ32" s="612"/>
      <c r="CK32" s="612"/>
      <c r="CL32" s="612"/>
      <c r="CM32" s="612"/>
      <c r="CN32" s="612"/>
      <c r="CO32" s="612"/>
      <c r="CP32" s="612"/>
      <c r="CQ32" s="612"/>
      <c r="CR32" s="612"/>
      <c r="CS32" s="612"/>
      <c r="CT32" s="612"/>
      <c r="CU32" s="612"/>
      <c r="CV32" s="612"/>
      <c r="CW32" s="612"/>
      <c r="CX32" s="612"/>
      <c r="CY32" s="612"/>
      <c r="CZ32" s="612"/>
      <c r="DA32" s="612"/>
      <c r="DB32" s="612"/>
      <c r="DC32" s="612"/>
      <c r="DD32" s="612"/>
      <c r="DE32" s="612"/>
      <c r="DF32" s="612"/>
      <c r="DG32" s="612"/>
      <c r="DH32" s="612"/>
      <c r="DI32" s="612"/>
      <c r="DJ32" s="612"/>
      <c r="DK32" s="612"/>
      <c r="DL32" s="612"/>
      <c r="DM32" s="612"/>
      <c r="DN32" s="612"/>
      <c r="DO32" s="612"/>
      <c r="DP32" s="612"/>
      <c r="DQ32" s="612"/>
      <c r="DR32" s="612"/>
      <c r="DS32" s="612"/>
      <c r="DT32" s="612"/>
      <c r="DU32" s="612"/>
      <c r="DV32" s="612"/>
      <c r="DW32" s="612"/>
      <c r="DX32" s="612"/>
      <c r="DY32" s="612"/>
      <c r="DZ32" s="612"/>
      <c r="EA32" s="255"/>
      <c r="EB32" s="255"/>
      <c r="EC32" s="612"/>
      <c r="ED32" s="612"/>
      <c r="EE32" s="612"/>
      <c r="EF32" s="612"/>
      <c r="EG32" s="612"/>
      <c r="EH32" s="612"/>
      <c r="EI32" s="612"/>
      <c r="EJ32" s="256"/>
      <c r="EK32" s="256"/>
      <c r="EL32" s="256"/>
      <c r="EM32" s="612"/>
      <c r="EN32" s="612"/>
      <c r="EO32" s="612"/>
      <c r="EP32" s="612"/>
      <c r="EQ32" s="612"/>
      <c r="ER32" s="612"/>
      <c r="ES32" s="612"/>
      <c r="ET32" s="612"/>
      <c r="EU32" s="612"/>
      <c r="EV32" s="612"/>
      <c r="EW32" s="612"/>
      <c r="EX32" s="612"/>
      <c r="EY32" s="612"/>
      <c r="EZ32" s="612"/>
      <c r="FA32" s="612"/>
      <c r="FB32" s="612"/>
      <c r="FC32" s="612"/>
      <c r="FD32" s="612"/>
      <c r="FE32" s="612"/>
      <c r="FF32" s="612"/>
      <c r="FG32" s="612"/>
      <c r="FH32" s="612"/>
      <c r="FI32" s="612"/>
      <c r="FJ32" s="612"/>
      <c r="FK32" s="612"/>
      <c r="FL32" s="612"/>
      <c r="FM32" s="612"/>
      <c r="FN32" s="612"/>
      <c r="FO32" s="612"/>
      <c r="FP32" s="612"/>
      <c r="FQ32" s="612"/>
      <c r="FR32" s="612"/>
      <c r="FS32" s="612"/>
      <c r="FT32" s="612"/>
      <c r="FU32" s="612"/>
      <c r="FV32" s="612"/>
      <c r="FW32" s="612"/>
      <c r="FX32" s="612"/>
      <c r="FY32" s="612"/>
      <c r="FZ32" s="612"/>
      <c r="GA32" s="612"/>
      <c r="GB32" s="612"/>
      <c r="GC32" s="612"/>
      <c r="GD32" s="612"/>
      <c r="GE32" s="245"/>
      <c r="GF32" s="612"/>
      <c r="GG32" s="612"/>
      <c r="GH32" s="612"/>
      <c r="GI32" s="612"/>
      <c r="GJ32" s="612"/>
      <c r="GK32" s="612"/>
      <c r="GL32" s="612"/>
      <c r="GM32" s="612"/>
      <c r="GN32" s="612"/>
      <c r="GO32" s="612"/>
      <c r="GP32" s="612"/>
      <c r="GQ32" s="612"/>
      <c r="GR32" s="612"/>
      <c r="GS32" s="612"/>
      <c r="GT32" s="612"/>
      <c r="GU32" s="612"/>
      <c r="GV32" s="612"/>
      <c r="GW32" s="612"/>
      <c r="GX32" s="612"/>
      <c r="GY32" s="612"/>
      <c r="GZ32" s="612"/>
      <c r="HA32" s="612"/>
      <c r="HB32" s="612"/>
      <c r="HC32" s="612"/>
      <c r="HD32" s="612"/>
      <c r="HE32" s="612"/>
      <c r="HF32" s="612"/>
      <c r="HG32" s="612"/>
      <c r="HH32" s="612"/>
      <c r="HI32" s="612"/>
      <c r="HJ32" s="612"/>
      <c r="HK32" s="612"/>
      <c r="HL32" s="612"/>
      <c r="HM32" s="612"/>
      <c r="HN32" s="612"/>
      <c r="HO32" s="612"/>
      <c r="HP32" s="612"/>
      <c r="HQ32" s="612"/>
      <c r="HR32" s="612"/>
      <c r="HS32" s="612"/>
      <c r="HT32" s="612"/>
      <c r="HU32" s="612"/>
      <c r="HV32" s="612"/>
      <c r="HW32" s="612"/>
      <c r="HX32" s="612"/>
      <c r="HY32" s="612"/>
      <c r="HZ32" s="612"/>
      <c r="IA32" s="612"/>
      <c r="IB32" s="612"/>
      <c r="IC32" s="612"/>
      <c r="ID32" s="612"/>
      <c r="IE32" s="612"/>
      <c r="IF32" s="612"/>
      <c r="IG32" s="612"/>
      <c r="IH32" s="612"/>
      <c r="II32" s="612"/>
    </row>
    <row r="33" spans="1:243" ht="15" customHeight="1">
      <c r="A33" s="72"/>
      <c r="B33" s="72"/>
      <c r="C33" s="72"/>
      <c r="D33" s="269" t="str">
        <f>IF(MasterSheet!$A$1=1,MasterSheet!C272,MasterSheet!B272)</f>
        <v>Doprinosi za osiguranje od nezaposlenosti</v>
      </c>
      <c r="E33" s="316">
        <f>+'Cental Budget_int'!E32</f>
        <v>6384379.9699999997</v>
      </c>
      <c r="F33" s="307">
        <f t="shared" si="0"/>
        <v>0.29709991018660709</v>
      </c>
      <c r="G33" s="316">
        <f>+'Cental Budget_int'!G32</f>
        <v>7824299.6800000006</v>
      </c>
      <c r="H33" s="307">
        <f t="shared" si="1"/>
        <v>0.29189702219735131</v>
      </c>
      <c r="I33" s="316">
        <f>+'Cental Budget_int'!I32</f>
        <v>10201238.92</v>
      </c>
      <c r="J33" s="307">
        <f t="shared" si="2"/>
        <v>0.33060795047964742</v>
      </c>
      <c r="K33" s="316">
        <f>+'Cental Budget_int'!K32</f>
        <v>10445930.57</v>
      </c>
      <c r="L33" s="307">
        <f t="shared" si="3"/>
        <v>0.35041699329084197</v>
      </c>
      <c r="M33" s="316">
        <f>+'Cental Budget_int'!M32</f>
        <v>10149691.789999999</v>
      </c>
      <c r="N33" s="307">
        <f t="shared" si="4"/>
        <v>0.32698749323453608</v>
      </c>
      <c r="O33" s="316">
        <f>+'Cental Budget_int'!O32</f>
        <v>10764704.380000001</v>
      </c>
      <c r="P33" s="307">
        <f t="shared" si="5"/>
        <v>0.33286037043908479</v>
      </c>
      <c r="Q33" s="334">
        <f>+'Cental Budget_int'!Q32</f>
        <v>9987592.2599999998</v>
      </c>
      <c r="R33" s="324">
        <f t="shared" si="6"/>
        <v>0.31716710892346772</v>
      </c>
      <c r="S33" s="334">
        <f>+'Cental Budget_int'!S32</f>
        <v>11220074.127307795</v>
      </c>
      <c r="T33" s="324">
        <f t="shared" si="7"/>
        <v>0.31902400134511788</v>
      </c>
      <c r="U33" s="334">
        <f>+'Cental Budget_int'!U32</f>
        <v>11187344.1052</v>
      </c>
      <c r="V33" s="324">
        <f t="shared" si="8"/>
        <v>0.31809337802672732</v>
      </c>
      <c r="W33" s="334">
        <f>+'Cental Budget_int'!W32</f>
        <v>-32730.022107794881</v>
      </c>
      <c r="X33" s="513" t="e">
        <f t="shared" si="9"/>
        <v>#DIV/0!</v>
      </c>
      <c r="Y33" s="223"/>
      <c r="Z33" s="223"/>
      <c r="AA33" s="223"/>
      <c r="AB33" s="223"/>
      <c r="AC33" s="223"/>
      <c r="AD33" s="223"/>
      <c r="AE33" s="223"/>
      <c r="AF33" s="223"/>
      <c r="AG33" s="223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50"/>
      <c r="BA33" s="251"/>
      <c r="BB33" s="251"/>
      <c r="BC33" s="612"/>
      <c r="BD33" s="612"/>
      <c r="BE33" s="612"/>
      <c r="BF33" s="612"/>
      <c r="BG33" s="612"/>
      <c r="BH33" s="612"/>
      <c r="BI33" s="612"/>
      <c r="BJ33" s="612"/>
      <c r="BK33" s="612"/>
      <c r="BL33" s="612"/>
      <c r="BM33" s="612"/>
      <c r="BN33" s="612"/>
      <c r="BO33" s="612"/>
      <c r="BP33" s="612"/>
      <c r="BQ33" s="612"/>
      <c r="BR33" s="612"/>
      <c r="BS33" s="612"/>
      <c r="BT33" s="612"/>
      <c r="BU33" s="612"/>
      <c r="BV33" s="612"/>
      <c r="BW33" s="612"/>
      <c r="BX33" s="612"/>
      <c r="BY33" s="612"/>
      <c r="BZ33" s="612"/>
      <c r="CA33" s="612"/>
      <c r="CB33" s="612"/>
      <c r="CC33" s="612"/>
      <c r="CD33" s="612"/>
      <c r="CE33" s="612"/>
      <c r="CF33" s="612"/>
      <c r="CG33" s="612"/>
      <c r="CH33" s="612"/>
      <c r="CI33" s="612"/>
      <c r="CJ33" s="612"/>
      <c r="CK33" s="612"/>
      <c r="CL33" s="612"/>
      <c r="CM33" s="612"/>
      <c r="CN33" s="612"/>
      <c r="CO33" s="612"/>
      <c r="CP33" s="612"/>
      <c r="CQ33" s="612"/>
      <c r="CR33" s="612"/>
      <c r="CS33" s="612"/>
      <c r="CT33" s="612"/>
      <c r="CU33" s="612"/>
      <c r="CV33" s="612"/>
      <c r="CW33" s="612"/>
      <c r="CX33" s="612"/>
      <c r="CY33" s="612"/>
      <c r="CZ33" s="612"/>
      <c r="DA33" s="612"/>
      <c r="DB33" s="612"/>
      <c r="DC33" s="612"/>
      <c r="DD33" s="612"/>
      <c r="DE33" s="612"/>
      <c r="DF33" s="612"/>
      <c r="DG33" s="612"/>
      <c r="DH33" s="612"/>
      <c r="DI33" s="612"/>
      <c r="DJ33" s="612"/>
      <c r="DK33" s="612"/>
      <c r="DL33" s="612"/>
      <c r="DM33" s="612"/>
      <c r="DN33" s="612"/>
      <c r="DO33" s="612"/>
      <c r="DP33" s="612"/>
      <c r="DQ33" s="612"/>
      <c r="DR33" s="612"/>
      <c r="DS33" s="612"/>
      <c r="DT33" s="612"/>
      <c r="DU33" s="612"/>
      <c r="DV33" s="612"/>
      <c r="DW33" s="612"/>
      <c r="DX33" s="612"/>
      <c r="DY33" s="612"/>
      <c r="DZ33" s="612"/>
      <c r="EA33" s="255"/>
      <c r="EB33" s="255"/>
      <c r="EC33" s="612"/>
      <c r="ED33" s="612"/>
      <c r="EE33" s="612"/>
      <c r="EF33" s="612"/>
      <c r="EG33" s="612"/>
      <c r="EH33" s="612"/>
      <c r="EI33" s="612"/>
      <c r="EJ33" s="612"/>
      <c r="EK33" s="612"/>
      <c r="EL33" s="612"/>
      <c r="EM33" s="612"/>
      <c r="EN33" s="612"/>
      <c r="EO33" s="612"/>
      <c r="EP33" s="612"/>
      <c r="EQ33" s="612"/>
      <c r="ER33" s="612"/>
      <c r="ES33" s="612"/>
      <c r="ET33" s="612"/>
      <c r="EU33" s="612"/>
      <c r="EV33" s="612"/>
      <c r="EW33" s="612"/>
      <c r="EX33" s="612"/>
      <c r="EY33" s="612"/>
      <c r="EZ33" s="612"/>
      <c r="FA33" s="612"/>
      <c r="FB33" s="612"/>
      <c r="FC33" s="612"/>
      <c r="FD33" s="612"/>
      <c r="FE33" s="612"/>
      <c r="FF33" s="612"/>
      <c r="FG33" s="612"/>
      <c r="FH33" s="612"/>
      <c r="FI33" s="612"/>
      <c r="FJ33" s="612"/>
      <c r="FK33" s="612"/>
      <c r="FL33" s="612"/>
      <c r="FM33" s="612"/>
      <c r="FN33" s="612"/>
      <c r="FO33" s="612"/>
      <c r="FP33" s="612"/>
      <c r="FQ33" s="612"/>
      <c r="FR33" s="612"/>
      <c r="FS33" s="612"/>
      <c r="FT33" s="612"/>
      <c r="FU33" s="612"/>
      <c r="FV33" s="612"/>
      <c r="FW33" s="612"/>
      <c r="FX33" s="612"/>
      <c r="FY33" s="612"/>
      <c r="FZ33" s="612"/>
      <c r="GA33" s="612"/>
      <c r="GB33" s="612"/>
      <c r="GC33" s="612"/>
      <c r="GD33" s="612"/>
      <c r="GE33" s="245"/>
      <c r="GF33" s="612"/>
      <c r="GG33" s="612"/>
      <c r="GH33" s="612"/>
      <c r="GI33" s="612"/>
      <c r="GJ33" s="612"/>
      <c r="GK33" s="612"/>
      <c r="GL33" s="612"/>
      <c r="GM33" s="612"/>
      <c r="GN33" s="612"/>
      <c r="GO33" s="612"/>
      <c r="GP33" s="612"/>
      <c r="GQ33" s="612"/>
      <c r="GR33" s="612"/>
      <c r="GS33" s="612"/>
      <c r="GT33" s="612"/>
      <c r="GU33" s="612"/>
      <c r="GV33" s="612"/>
      <c r="GW33" s="612"/>
      <c r="GX33" s="612"/>
      <c r="GY33" s="612"/>
      <c r="GZ33" s="612"/>
      <c r="HA33" s="612"/>
      <c r="HB33" s="612"/>
      <c r="HC33" s="612"/>
      <c r="HD33" s="612"/>
      <c r="HE33" s="612"/>
      <c r="HF33" s="612"/>
      <c r="HG33" s="612"/>
      <c r="HH33" s="612"/>
      <c r="HI33" s="612"/>
      <c r="HJ33" s="612"/>
      <c r="HK33" s="612"/>
      <c r="HL33" s="612"/>
      <c r="HM33" s="612"/>
      <c r="HN33" s="612"/>
      <c r="HO33" s="612"/>
      <c r="HP33" s="612"/>
      <c r="HQ33" s="612"/>
      <c r="HR33" s="612"/>
      <c r="HS33" s="612"/>
      <c r="HT33" s="612"/>
      <c r="HU33" s="612"/>
      <c r="HV33" s="612"/>
      <c r="HW33" s="612"/>
      <c r="HX33" s="612"/>
      <c r="HY33" s="612"/>
      <c r="HZ33" s="612"/>
      <c r="IA33" s="612"/>
      <c r="IB33" s="612"/>
      <c r="IC33" s="612"/>
      <c r="ID33" s="612"/>
      <c r="IE33" s="612"/>
      <c r="IF33" s="612"/>
      <c r="IG33" s="612"/>
      <c r="IH33" s="612"/>
      <c r="II33" s="612"/>
    </row>
    <row r="34" spans="1:243" ht="15" customHeight="1">
      <c r="A34" s="72"/>
      <c r="B34" s="72"/>
      <c r="C34" s="72"/>
      <c r="D34" s="269" t="str">
        <f>IF(MasterSheet!$A$1=1,MasterSheet!C273,MasterSheet!B273)</f>
        <v>Ostali doprinosi</v>
      </c>
      <c r="E34" s="316">
        <f>+'Cental Budget_int'!E33</f>
        <v>0</v>
      </c>
      <c r="F34" s="307">
        <f t="shared" si="0"/>
        <v>0</v>
      </c>
      <c r="G34" s="316">
        <f>+'Cental Budget_int'!G33</f>
        <v>0</v>
      </c>
      <c r="H34" s="307">
        <f t="shared" si="1"/>
        <v>0</v>
      </c>
      <c r="I34" s="316">
        <f>+'Cental Budget_int'!I33</f>
        <v>0</v>
      </c>
      <c r="J34" s="307">
        <f t="shared" si="2"/>
        <v>0</v>
      </c>
      <c r="K34" s="316">
        <f>+'Cental Budget_int'!K33</f>
        <v>0</v>
      </c>
      <c r="L34" s="307">
        <f t="shared" si="3"/>
        <v>0</v>
      </c>
      <c r="M34" s="316">
        <f>+'Cental Budget_int'!M33</f>
        <v>6215554.0999999996</v>
      </c>
      <c r="N34" s="307">
        <f t="shared" si="4"/>
        <v>0.20024336662371134</v>
      </c>
      <c r="O34" s="316">
        <f>+'Cental Budget_int'!O33</f>
        <v>8470089.0300000012</v>
      </c>
      <c r="P34" s="307">
        <f t="shared" si="5"/>
        <v>0.26190751484230057</v>
      </c>
      <c r="Q34" s="334">
        <f>+'Cental Budget_int'!Q33</f>
        <v>10022287.07</v>
      </c>
      <c r="R34" s="324">
        <f t="shared" si="6"/>
        <v>0.3182688812321372</v>
      </c>
      <c r="S34" s="334">
        <f>+'Cental Budget_int'!S33</f>
        <v>12223257.771474268</v>
      </c>
      <c r="T34" s="324">
        <f t="shared" si="7"/>
        <v>0.34754784678630274</v>
      </c>
      <c r="U34" s="334">
        <f>+'Cental Budget_int'!U33</f>
        <v>12222732.8114</v>
      </c>
      <c r="V34" s="324">
        <f t="shared" si="8"/>
        <v>0.34753292042649986</v>
      </c>
      <c r="W34" s="334">
        <f>+'Cental Budget_int'!W33</f>
        <v>-524.96007426828146</v>
      </c>
      <c r="X34" s="513" t="e">
        <f t="shared" si="9"/>
        <v>#DIV/0!</v>
      </c>
      <c r="Y34" s="223"/>
      <c r="Z34" s="223"/>
      <c r="AA34" s="223"/>
      <c r="AB34" s="223"/>
      <c r="AC34" s="223"/>
      <c r="AD34" s="223"/>
      <c r="AE34" s="223"/>
      <c r="AF34" s="223"/>
      <c r="AG34" s="223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50"/>
      <c r="BA34" s="251"/>
      <c r="BB34" s="251"/>
      <c r="BC34" s="612"/>
      <c r="BD34" s="612"/>
      <c r="BE34" s="612"/>
      <c r="BF34" s="612"/>
      <c r="BG34" s="612"/>
      <c r="BH34" s="612"/>
      <c r="BI34" s="612"/>
      <c r="BJ34" s="612"/>
      <c r="BK34" s="612"/>
      <c r="BL34" s="612"/>
      <c r="BM34" s="612"/>
      <c r="BN34" s="612"/>
      <c r="BO34" s="612"/>
      <c r="BP34" s="612"/>
      <c r="BQ34" s="612"/>
      <c r="BR34" s="612"/>
      <c r="BS34" s="612"/>
      <c r="BT34" s="612"/>
      <c r="BU34" s="612"/>
      <c r="BV34" s="612"/>
      <c r="BW34" s="612"/>
      <c r="BX34" s="612"/>
      <c r="BY34" s="612"/>
      <c r="BZ34" s="612"/>
      <c r="CA34" s="612"/>
      <c r="CB34" s="612"/>
      <c r="CC34" s="612"/>
      <c r="CD34" s="612"/>
      <c r="CE34" s="612"/>
      <c r="CF34" s="612"/>
      <c r="CG34" s="612"/>
      <c r="CH34" s="612"/>
      <c r="CI34" s="612"/>
      <c r="CJ34" s="612"/>
      <c r="CK34" s="612"/>
      <c r="CL34" s="612"/>
      <c r="CM34" s="612"/>
      <c r="CN34" s="612"/>
      <c r="CO34" s="612"/>
      <c r="CP34" s="612"/>
      <c r="CQ34" s="612"/>
      <c r="CR34" s="612"/>
      <c r="CS34" s="612"/>
      <c r="CT34" s="612"/>
      <c r="CU34" s="612"/>
      <c r="CV34" s="612"/>
      <c r="CW34" s="612"/>
      <c r="CX34" s="612"/>
      <c r="CY34" s="612"/>
      <c r="CZ34" s="612"/>
      <c r="DA34" s="612"/>
      <c r="DB34" s="612"/>
      <c r="DC34" s="612"/>
      <c r="DD34" s="612"/>
      <c r="DE34" s="612"/>
      <c r="DF34" s="612"/>
      <c r="DG34" s="612"/>
      <c r="DH34" s="612"/>
      <c r="DI34" s="612"/>
      <c r="DJ34" s="612"/>
      <c r="DK34" s="612"/>
      <c r="DL34" s="612"/>
      <c r="DM34" s="612"/>
      <c r="DN34" s="612"/>
      <c r="DO34" s="612"/>
      <c r="DP34" s="612"/>
      <c r="DQ34" s="612"/>
      <c r="DR34" s="612"/>
      <c r="DS34" s="612"/>
      <c r="DT34" s="612"/>
      <c r="DU34" s="612"/>
      <c r="DV34" s="612"/>
      <c r="DW34" s="612"/>
      <c r="DX34" s="612"/>
      <c r="DY34" s="612"/>
      <c r="DZ34" s="612"/>
      <c r="EA34" s="255"/>
      <c r="EB34" s="255"/>
      <c r="EC34" s="612"/>
      <c r="ED34" s="612"/>
      <c r="EE34" s="612"/>
      <c r="EF34" s="612"/>
      <c r="EG34" s="612"/>
      <c r="EH34" s="612"/>
      <c r="EI34" s="612"/>
      <c r="EJ34" s="612"/>
      <c r="EK34" s="612"/>
      <c r="EL34" s="612"/>
      <c r="EM34" s="612"/>
      <c r="EN34" s="612"/>
      <c r="EO34" s="612"/>
      <c r="EP34" s="612"/>
      <c r="EQ34" s="612"/>
      <c r="ER34" s="612"/>
      <c r="ES34" s="612"/>
      <c r="ET34" s="612"/>
      <c r="EU34" s="612"/>
      <c r="EV34" s="612"/>
      <c r="EW34" s="612"/>
      <c r="EX34" s="612"/>
      <c r="EY34" s="612"/>
      <c r="EZ34" s="612"/>
      <c r="FA34" s="612"/>
      <c r="FB34" s="612"/>
      <c r="FC34" s="612"/>
      <c r="FD34" s="612"/>
      <c r="FE34" s="612"/>
      <c r="FF34" s="612"/>
      <c r="FG34" s="612"/>
      <c r="FH34" s="612"/>
      <c r="FI34" s="612"/>
      <c r="FJ34" s="612"/>
      <c r="FK34" s="612"/>
      <c r="FL34" s="612"/>
      <c r="FM34" s="612"/>
      <c r="FN34" s="612"/>
      <c r="FO34" s="612"/>
      <c r="FP34" s="612"/>
      <c r="FQ34" s="612"/>
      <c r="FR34" s="612"/>
      <c r="FS34" s="612"/>
      <c r="FT34" s="612"/>
      <c r="FU34" s="612"/>
      <c r="FV34" s="612"/>
      <c r="FW34" s="612"/>
      <c r="FX34" s="612"/>
      <c r="FY34" s="612"/>
      <c r="FZ34" s="612"/>
      <c r="GA34" s="612"/>
      <c r="GB34" s="612"/>
      <c r="GC34" s="612"/>
      <c r="GD34" s="612"/>
      <c r="GE34" s="245"/>
      <c r="GF34" s="612"/>
      <c r="GG34" s="612"/>
      <c r="GH34" s="612"/>
      <c r="GI34" s="612"/>
      <c r="GJ34" s="612"/>
      <c r="GK34" s="612"/>
      <c r="GL34" s="612"/>
      <c r="GM34" s="612"/>
      <c r="GN34" s="612"/>
      <c r="GO34" s="612"/>
      <c r="GP34" s="612"/>
      <c r="GQ34" s="612"/>
      <c r="GR34" s="612"/>
      <c r="GS34" s="612"/>
      <c r="GT34" s="612"/>
      <c r="GU34" s="612"/>
      <c r="GV34" s="612"/>
      <c r="GW34" s="612"/>
      <c r="GX34" s="612"/>
      <c r="GY34" s="612"/>
      <c r="GZ34" s="612"/>
      <c r="HA34" s="612"/>
      <c r="HB34" s="612"/>
      <c r="HC34" s="612"/>
      <c r="HD34" s="612"/>
      <c r="HE34" s="612"/>
      <c r="HF34" s="612"/>
      <c r="HG34" s="612"/>
      <c r="HH34" s="612"/>
      <c r="HI34" s="612"/>
      <c r="HJ34" s="612"/>
      <c r="HK34" s="612"/>
      <c r="HL34" s="612"/>
      <c r="HM34" s="612"/>
      <c r="HN34" s="612"/>
      <c r="HO34" s="612"/>
      <c r="HP34" s="612"/>
      <c r="HQ34" s="612"/>
      <c r="HR34" s="612"/>
      <c r="HS34" s="612"/>
      <c r="HT34" s="612"/>
      <c r="HU34" s="612"/>
      <c r="HV34" s="612"/>
      <c r="HW34" s="612"/>
      <c r="HX34" s="612"/>
      <c r="HY34" s="612"/>
      <c r="HZ34" s="612"/>
      <c r="IA34" s="612"/>
      <c r="IB34" s="612"/>
      <c r="IC34" s="612"/>
      <c r="ID34" s="612"/>
      <c r="IE34" s="612"/>
      <c r="IF34" s="612"/>
      <c r="IG34" s="612"/>
      <c r="IH34" s="612"/>
      <c r="II34" s="612"/>
    </row>
    <row r="35" spans="1:243" ht="15" customHeight="1">
      <c r="A35" s="72"/>
      <c r="B35" s="72"/>
      <c r="C35" s="72"/>
      <c r="D35" s="270" t="str">
        <f>IF(MasterSheet!$A$1=1,MasterSheet!C274,MasterSheet!B274)</f>
        <v>Takse</v>
      </c>
      <c r="E35" s="318">
        <f>+'Cental Budget_int'!E34+'Local Government_int'!D35</f>
        <v>29294505.049999993</v>
      </c>
      <c r="F35" s="308">
        <f t="shared" si="0"/>
        <v>1.3632325864395733</v>
      </c>
      <c r="G35" s="318">
        <f>+'Cental Budget_int'!G34+'Local Government_int'!F35</f>
        <v>33768971.5</v>
      </c>
      <c r="H35" s="308">
        <f t="shared" si="1"/>
        <v>1.2598012124603619</v>
      </c>
      <c r="I35" s="318">
        <f>+'Cental Budget_int'!I34+'Local Government_int'!H35</f>
        <v>36088945.276364855</v>
      </c>
      <c r="J35" s="308">
        <f t="shared" si="2"/>
        <v>1.1695924707144432</v>
      </c>
      <c r="K35" s="318">
        <f>+'Cental Budget_int'!K34+'Local Government_int'!J35</f>
        <v>29028413.729999997</v>
      </c>
      <c r="L35" s="308">
        <f t="shared" si="3"/>
        <v>0.97378107111707468</v>
      </c>
      <c r="M35" s="318">
        <f>+'Cental Budget_int'!M34+'Local Government_int'!L35</f>
        <v>26284226.239999998</v>
      </c>
      <c r="N35" s="308">
        <f t="shared" si="4"/>
        <v>0.84678563917525773</v>
      </c>
      <c r="O35" s="318">
        <f>+'Cental Budget_int'!O34+'Local Government_int'!N35</f>
        <v>21981102.689999998</v>
      </c>
      <c r="P35" s="308">
        <f t="shared" si="5"/>
        <v>0.67968777643784783</v>
      </c>
      <c r="Q35" s="336">
        <f>+'Cental Budget_int'!Q34+'Local Government_int'!P35</f>
        <v>23495943.529999997</v>
      </c>
      <c r="R35" s="325">
        <f t="shared" si="6"/>
        <v>0.74613983899650671</v>
      </c>
      <c r="S35" s="336">
        <f>+'Cental Budget_int'!S34+'Local Government_int'!R35</f>
        <v>35622133.837911315</v>
      </c>
      <c r="T35" s="325">
        <f t="shared" si="7"/>
        <v>1.0128556678393892</v>
      </c>
      <c r="U35" s="336">
        <f>+'Cental Budget_int'!U34+'Local Government_int'!T35</f>
        <v>32371928.444389198</v>
      </c>
      <c r="V35" s="325">
        <f t="shared" si="8"/>
        <v>0.92044152528829115</v>
      </c>
      <c r="W35" s="336">
        <f>+'Cental Budget_int'!W34+'Local Government_int'!V35</f>
        <v>-3250205.3935221154</v>
      </c>
      <c r="X35" s="514" t="e">
        <f t="shared" si="9"/>
        <v>#DIV/0!</v>
      </c>
      <c r="Y35" s="222"/>
      <c r="Z35" s="222"/>
      <c r="AA35" s="222"/>
      <c r="AB35" s="222"/>
      <c r="AC35" s="222"/>
      <c r="AD35" s="222"/>
      <c r="AE35" s="222"/>
      <c r="AF35" s="222"/>
      <c r="AG35" s="222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50"/>
      <c r="BA35" s="249"/>
      <c r="BB35" s="249"/>
      <c r="BC35" s="612"/>
      <c r="BD35" s="612"/>
      <c r="BE35" s="612"/>
      <c r="BF35" s="612"/>
      <c r="BG35" s="612"/>
      <c r="BH35" s="612"/>
      <c r="BI35" s="612"/>
      <c r="BJ35" s="612"/>
      <c r="BK35" s="612"/>
      <c r="BL35" s="612"/>
      <c r="BM35" s="612"/>
      <c r="BN35" s="612"/>
      <c r="BO35" s="612"/>
      <c r="BP35" s="612"/>
      <c r="BQ35" s="612"/>
      <c r="BR35" s="612"/>
      <c r="BS35" s="612"/>
      <c r="BT35" s="612"/>
      <c r="BU35" s="612"/>
      <c r="BV35" s="612"/>
      <c r="BW35" s="612"/>
      <c r="BX35" s="612"/>
      <c r="BY35" s="612"/>
      <c r="BZ35" s="612"/>
      <c r="CA35" s="612"/>
      <c r="CB35" s="612"/>
      <c r="CC35" s="612"/>
      <c r="CD35" s="612"/>
      <c r="CE35" s="612"/>
      <c r="CF35" s="612"/>
      <c r="CG35" s="612"/>
      <c r="CH35" s="612"/>
      <c r="CI35" s="612"/>
      <c r="CJ35" s="612"/>
      <c r="CK35" s="612"/>
      <c r="CL35" s="612"/>
      <c r="CM35" s="612"/>
      <c r="CN35" s="612"/>
      <c r="CO35" s="612"/>
      <c r="CP35" s="612"/>
      <c r="CQ35" s="612"/>
      <c r="CR35" s="612"/>
      <c r="CS35" s="612"/>
      <c r="CT35" s="612"/>
      <c r="CU35" s="612"/>
      <c r="CV35" s="612"/>
      <c r="CW35" s="612"/>
      <c r="CX35" s="612"/>
      <c r="CY35" s="612"/>
      <c r="CZ35" s="612"/>
      <c r="DA35" s="612"/>
      <c r="DB35" s="612"/>
      <c r="DC35" s="612"/>
      <c r="DD35" s="612"/>
      <c r="DE35" s="612"/>
      <c r="DF35" s="612"/>
      <c r="DG35" s="612"/>
      <c r="DH35" s="612"/>
      <c r="DI35" s="612"/>
      <c r="DJ35" s="612"/>
      <c r="DK35" s="612"/>
      <c r="DL35" s="612"/>
      <c r="DM35" s="612"/>
      <c r="DN35" s="612"/>
      <c r="DO35" s="612"/>
      <c r="DP35" s="612"/>
      <c r="DQ35" s="612"/>
      <c r="DR35" s="612"/>
      <c r="DS35" s="612"/>
      <c r="DT35" s="612"/>
      <c r="DU35" s="612"/>
      <c r="DV35" s="612"/>
      <c r="DW35" s="612"/>
      <c r="DX35" s="612"/>
      <c r="DY35" s="612"/>
      <c r="DZ35" s="612"/>
      <c r="EA35" s="257"/>
      <c r="EB35" s="257"/>
      <c r="EC35" s="612"/>
      <c r="ED35" s="612"/>
      <c r="EE35" s="612"/>
      <c r="EF35" s="612"/>
      <c r="EG35" s="612"/>
      <c r="EH35" s="612"/>
      <c r="EI35" s="612"/>
      <c r="EJ35" s="612"/>
      <c r="EK35" s="612"/>
      <c r="EL35" s="612"/>
      <c r="EM35" s="612"/>
      <c r="EN35" s="612"/>
      <c r="EO35" s="612"/>
      <c r="EP35" s="612"/>
      <c r="EQ35" s="612"/>
      <c r="ER35" s="612"/>
      <c r="ES35" s="612"/>
      <c r="ET35" s="612"/>
      <c r="EU35" s="612"/>
      <c r="EV35" s="612"/>
      <c r="EW35" s="612"/>
      <c r="EX35" s="612"/>
      <c r="EY35" s="612"/>
      <c r="EZ35" s="612"/>
      <c r="FA35" s="612"/>
      <c r="FB35" s="612"/>
      <c r="FC35" s="612"/>
      <c r="FD35" s="612"/>
      <c r="FE35" s="612"/>
      <c r="FF35" s="612"/>
      <c r="FG35" s="612"/>
      <c r="FH35" s="612"/>
      <c r="FI35" s="612"/>
      <c r="FJ35" s="612"/>
      <c r="FK35" s="612"/>
      <c r="FL35" s="612"/>
      <c r="FM35" s="612"/>
      <c r="FN35" s="612"/>
      <c r="FO35" s="612"/>
      <c r="FP35" s="612"/>
      <c r="FQ35" s="612"/>
      <c r="FR35" s="612"/>
      <c r="FS35" s="612"/>
      <c r="FT35" s="612"/>
      <c r="FU35" s="612"/>
      <c r="FV35" s="612"/>
      <c r="FW35" s="612"/>
      <c r="FX35" s="612"/>
      <c r="FY35" s="612"/>
      <c r="FZ35" s="612"/>
      <c r="GA35" s="612"/>
      <c r="GB35" s="612"/>
      <c r="GC35" s="612"/>
      <c r="GD35" s="612"/>
      <c r="GE35" s="245"/>
      <c r="GF35" s="612"/>
      <c r="GG35" s="612"/>
      <c r="GH35" s="612"/>
      <c r="GI35" s="612"/>
      <c r="GJ35" s="612"/>
      <c r="GK35" s="612"/>
      <c r="GL35" s="612"/>
      <c r="GM35" s="612"/>
      <c r="GN35" s="612"/>
      <c r="GO35" s="612"/>
      <c r="GP35" s="612"/>
      <c r="GQ35" s="612"/>
      <c r="GR35" s="612"/>
      <c r="GS35" s="612"/>
      <c r="GT35" s="612"/>
      <c r="GU35" s="612"/>
      <c r="GV35" s="612"/>
      <c r="GW35" s="612"/>
      <c r="GX35" s="612"/>
      <c r="GY35" s="612"/>
      <c r="GZ35" s="612"/>
      <c r="HA35" s="612"/>
      <c r="HB35" s="612"/>
      <c r="HC35" s="612"/>
      <c r="HD35" s="612"/>
      <c r="HE35" s="612"/>
      <c r="HF35" s="612"/>
      <c r="HG35" s="612"/>
      <c r="HH35" s="612"/>
      <c r="HI35" s="612"/>
      <c r="HJ35" s="612"/>
      <c r="HK35" s="612"/>
      <c r="HL35" s="612"/>
      <c r="HM35" s="612"/>
      <c r="HN35" s="612"/>
      <c r="HO35" s="612"/>
      <c r="HP35" s="612"/>
      <c r="HQ35" s="612"/>
      <c r="HR35" s="612"/>
      <c r="HS35" s="612"/>
      <c r="HT35" s="612"/>
      <c r="HU35" s="612"/>
      <c r="HV35" s="612"/>
      <c r="HW35" s="612"/>
      <c r="HX35" s="612"/>
      <c r="HY35" s="612"/>
      <c r="HZ35" s="612"/>
      <c r="IA35" s="612"/>
      <c r="IB35" s="612"/>
      <c r="IC35" s="612"/>
      <c r="ID35" s="612"/>
      <c r="IE35" s="612"/>
      <c r="IF35" s="612"/>
      <c r="IG35" s="612"/>
      <c r="IH35" s="612"/>
      <c r="II35" s="612"/>
    </row>
    <row r="36" spans="1:243" ht="15" customHeight="1">
      <c r="A36" s="72"/>
      <c r="B36" s="72"/>
      <c r="C36" s="72"/>
      <c r="D36" s="270" t="str">
        <f>IF(MasterSheet!$A$1=1,MasterSheet!C275,MasterSheet!B275)</f>
        <v>Naknade</v>
      </c>
      <c r="E36" s="318">
        <f>+'Cental Budget_int'!E39+'Local Government_int'!D41</f>
        <v>57987858.799999997</v>
      </c>
      <c r="F36" s="308">
        <f t="shared" si="0"/>
        <v>2.6984903345897897</v>
      </c>
      <c r="G36" s="318">
        <f>+'Cental Budget_int'!G39+'Local Government_int'!F41</f>
        <v>122742901.39999999</v>
      </c>
      <c r="H36" s="308">
        <f t="shared" si="1"/>
        <v>4.579104696884909</v>
      </c>
      <c r="I36" s="318">
        <f>+'Cental Budget_int'!I39+'Local Government_int'!H41</f>
        <v>165758732.32866684</v>
      </c>
      <c r="J36" s="308">
        <f t="shared" si="2"/>
        <v>5.3720097332339529</v>
      </c>
      <c r="K36" s="318">
        <f>+'Cental Budget_int'!K39+'Local Government_int'!J41</f>
        <v>105581036.48</v>
      </c>
      <c r="L36" s="308">
        <f t="shared" si="3"/>
        <v>3.541799278094599</v>
      </c>
      <c r="M36" s="318">
        <f>+'Cental Budget_int'!M39+'Local Government_int'!L41</f>
        <v>101998633.47</v>
      </c>
      <c r="N36" s="308">
        <f t="shared" si="4"/>
        <v>3.2860384494201034</v>
      </c>
      <c r="O36" s="318">
        <f>+'Cental Budget_int'!O39+'Local Government_int'!N41</f>
        <v>72573801.449999988</v>
      </c>
      <c r="P36" s="308">
        <f t="shared" si="5"/>
        <v>2.2440878617810758</v>
      </c>
      <c r="Q36" s="336">
        <f>+'Cental Budget_int'!Q39+'Local Government_int'!P41</f>
        <v>73746965.810000002</v>
      </c>
      <c r="R36" s="325">
        <f t="shared" si="6"/>
        <v>2.3419169834868212</v>
      </c>
      <c r="S36" s="336">
        <f>+'Cental Budget_int'!S39+'Local Government_int'!R41</f>
        <v>54156638.432866134</v>
      </c>
      <c r="T36" s="325">
        <f t="shared" si="7"/>
        <v>1.5398532394900806</v>
      </c>
      <c r="U36" s="336">
        <f>+'Cental Budget_int'!U39+'Local Government_int'!T41</f>
        <v>55464861.370465204</v>
      </c>
      <c r="V36" s="325">
        <f t="shared" si="8"/>
        <v>1.5770503659501052</v>
      </c>
      <c r="W36" s="336">
        <f>+'Cental Budget_int'!W39+'Local Government_int'!V41</f>
        <v>1308222.9375990741</v>
      </c>
      <c r="X36" s="514" t="e">
        <f t="shared" si="9"/>
        <v>#DIV/0!</v>
      </c>
      <c r="Y36" s="222"/>
      <c r="Z36" s="222"/>
      <c r="AA36" s="222"/>
      <c r="AB36" s="222"/>
      <c r="AC36" s="222"/>
      <c r="AD36" s="222"/>
      <c r="AE36" s="222"/>
      <c r="AF36" s="222"/>
      <c r="AG36" s="222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50"/>
      <c r="BA36" s="612"/>
      <c r="BB36" s="612"/>
      <c r="BC36" s="612"/>
      <c r="BD36" s="612"/>
      <c r="BE36" s="612"/>
      <c r="BF36" s="612"/>
      <c r="BG36" s="612"/>
      <c r="BH36" s="612"/>
      <c r="BI36" s="612"/>
      <c r="BJ36" s="612"/>
      <c r="BK36" s="612"/>
      <c r="BL36" s="612"/>
      <c r="BM36" s="612"/>
      <c r="BN36" s="612"/>
      <c r="BO36" s="612"/>
      <c r="BP36" s="612"/>
      <c r="BQ36" s="612"/>
      <c r="BR36" s="612"/>
      <c r="BS36" s="612"/>
      <c r="BT36" s="612"/>
      <c r="BU36" s="612"/>
      <c r="BV36" s="612"/>
      <c r="BW36" s="612"/>
      <c r="BX36" s="612"/>
      <c r="BY36" s="612"/>
      <c r="BZ36" s="612"/>
      <c r="CA36" s="612"/>
      <c r="CB36" s="612"/>
      <c r="CC36" s="612"/>
      <c r="CD36" s="612"/>
      <c r="CE36" s="612"/>
      <c r="CF36" s="612"/>
      <c r="CG36" s="612"/>
      <c r="CH36" s="612"/>
      <c r="CI36" s="612"/>
      <c r="CJ36" s="612"/>
      <c r="CK36" s="612"/>
      <c r="CL36" s="612"/>
      <c r="CM36" s="612"/>
      <c r="CN36" s="612"/>
      <c r="CO36" s="612"/>
      <c r="CP36" s="612"/>
      <c r="CQ36" s="612"/>
      <c r="CR36" s="612"/>
      <c r="CS36" s="612"/>
      <c r="CT36" s="612"/>
      <c r="CU36" s="612"/>
      <c r="CV36" s="612"/>
      <c r="CW36" s="612"/>
      <c r="CX36" s="612"/>
      <c r="CY36" s="612"/>
      <c r="CZ36" s="612"/>
      <c r="DA36" s="612"/>
      <c r="DB36" s="612"/>
      <c r="DC36" s="612"/>
      <c r="DD36" s="612"/>
      <c r="DE36" s="612"/>
      <c r="DF36" s="612"/>
      <c r="DG36" s="612"/>
      <c r="DH36" s="612"/>
      <c r="DI36" s="612"/>
      <c r="DJ36" s="612"/>
      <c r="DK36" s="612"/>
      <c r="DL36" s="612"/>
      <c r="DM36" s="612"/>
      <c r="DN36" s="612"/>
      <c r="DO36" s="612"/>
      <c r="DP36" s="612"/>
      <c r="DQ36" s="612"/>
      <c r="DR36" s="612"/>
      <c r="DS36" s="612"/>
      <c r="DT36" s="612"/>
      <c r="DU36" s="612"/>
      <c r="DV36" s="612"/>
      <c r="DW36" s="612"/>
      <c r="DX36" s="612"/>
      <c r="DY36" s="612"/>
      <c r="DZ36" s="612"/>
      <c r="EA36" s="612"/>
      <c r="EB36" s="612"/>
      <c r="EC36" s="612"/>
      <c r="ED36" s="612"/>
      <c r="EE36" s="612"/>
      <c r="EF36" s="612"/>
      <c r="EG36" s="612"/>
      <c r="EH36" s="612"/>
      <c r="EI36" s="612"/>
      <c r="EJ36" s="612"/>
      <c r="EK36" s="612"/>
      <c r="EL36" s="612"/>
      <c r="EM36" s="612"/>
      <c r="EN36" s="612"/>
      <c r="EO36" s="612"/>
      <c r="EP36" s="612"/>
      <c r="EQ36" s="612"/>
      <c r="ER36" s="612"/>
      <c r="ES36" s="612"/>
      <c r="ET36" s="612"/>
      <c r="EU36" s="612"/>
      <c r="EV36" s="612"/>
      <c r="EW36" s="612"/>
      <c r="EX36" s="612"/>
      <c r="EY36" s="612"/>
      <c r="EZ36" s="612"/>
      <c r="FA36" s="612"/>
      <c r="FB36" s="612"/>
      <c r="FC36" s="612"/>
      <c r="FD36" s="612"/>
      <c r="FE36" s="612"/>
      <c r="FF36" s="612"/>
      <c r="FG36" s="612"/>
      <c r="FH36" s="612"/>
      <c r="FI36" s="612"/>
      <c r="FJ36" s="612"/>
      <c r="FK36" s="612"/>
      <c r="FL36" s="612"/>
      <c r="FM36" s="612"/>
      <c r="FN36" s="612"/>
      <c r="FO36" s="612"/>
      <c r="FP36" s="612"/>
      <c r="FQ36" s="612"/>
      <c r="FR36" s="612"/>
      <c r="FS36" s="612"/>
      <c r="FT36" s="612"/>
      <c r="FU36" s="612"/>
      <c r="FV36" s="612"/>
      <c r="FW36" s="612"/>
      <c r="FX36" s="612"/>
      <c r="FY36" s="612"/>
      <c r="FZ36" s="612"/>
      <c r="GA36" s="612"/>
      <c r="GB36" s="612"/>
      <c r="GC36" s="612"/>
      <c r="GD36" s="612"/>
      <c r="GE36" s="245"/>
      <c r="GF36" s="612"/>
      <c r="GG36" s="612"/>
      <c r="GH36" s="612"/>
      <c r="GI36" s="612"/>
      <c r="GJ36" s="612"/>
      <c r="GK36" s="612"/>
      <c r="GL36" s="612"/>
      <c r="GM36" s="612"/>
      <c r="GN36" s="612"/>
      <c r="GO36" s="612"/>
      <c r="GP36" s="612"/>
      <c r="GQ36" s="612"/>
      <c r="GR36" s="612"/>
      <c r="GS36" s="612"/>
      <c r="GT36" s="612"/>
      <c r="GU36" s="612"/>
      <c r="GV36" s="612"/>
      <c r="GW36" s="612"/>
      <c r="GX36" s="612"/>
      <c r="GY36" s="612"/>
      <c r="GZ36" s="612"/>
      <c r="HA36" s="612"/>
      <c r="HB36" s="612"/>
      <c r="HC36" s="612"/>
      <c r="HD36" s="612"/>
      <c r="HE36" s="612"/>
      <c r="HF36" s="612"/>
      <c r="HG36" s="612"/>
      <c r="HH36" s="612"/>
      <c r="HI36" s="612"/>
      <c r="HJ36" s="612"/>
      <c r="HK36" s="612"/>
      <c r="HL36" s="612"/>
      <c r="HM36" s="612"/>
      <c r="HN36" s="612"/>
      <c r="HO36" s="612"/>
      <c r="HP36" s="612"/>
      <c r="HQ36" s="612"/>
      <c r="HR36" s="612"/>
      <c r="HS36" s="612"/>
      <c r="HT36" s="612"/>
      <c r="HU36" s="612"/>
      <c r="HV36" s="612"/>
      <c r="HW36" s="612"/>
      <c r="HX36" s="612"/>
      <c r="HY36" s="612"/>
      <c r="HZ36" s="612"/>
      <c r="IA36" s="612"/>
      <c r="IB36" s="612"/>
      <c r="IC36" s="612"/>
      <c r="ID36" s="612"/>
      <c r="IE36" s="612"/>
      <c r="IF36" s="612"/>
      <c r="IG36" s="612"/>
      <c r="IH36" s="612"/>
      <c r="II36" s="612"/>
    </row>
    <row r="37" spans="1:243" ht="15" customHeight="1">
      <c r="A37" s="72"/>
      <c r="B37" s="72"/>
      <c r="C37" s="72"/>
      <c r="D37" s="270" t="str">
        <f>IF(MasterSheet!$A$1=1,MasterSheet!C276,MasterSheet!B276)</f>
        <v>Ostali prihodi</v>
      </c>
      <c r="E37" s="318">
        <f>+'Cental Budget_int'!E46+'Local Government_int'!D51</f>
        <v>68172708.409999996</v>
      </c>
      <c r="F37" s="308">
        <f t="shared" si="0"/>
        <v>3.1724467592721859</v>
      </c>
      <c r="G37" s="318">
        <f>+'Cental Budget_int'!G46+'Local Government_int'!F51</f>
        <v>70976416.00999999</v>
      </c>
      <c r="H37" s="308">
        <f t="shared" si="1"/>
        <v>2.6478797243051666</v>
      </c>
      <c r="I37" s="318">
        <f>+'Cental Budget_int'!I46+'Local Government_int'!H51</f>
        <v>67281484.739999995</v>
      </c>
      <c r="J37" s="308">
        <f t="shared" si="2"/>
        <v>2.1804992461757844</v>
      </c>
      <c r="K37" s="318">
        <f>+'Cental Budget_int'!K46+'Local Government_int'!J51</f>
        <v>60342355.939999998</v>
      </c>
      <c r="L37" s="308">
        <f t="shared" si="3"/>
        <v>2.0242320006709158</v>
      </c>
      <c r="M37" s="318">
        <f>+'Cental Budget_int'!M46+'Local Government_int'!L51</f>
        <v>44088288.899999999</v>
      </c>
      <c r="N37" s="308">
        <f t="shared" si="4"/>
        <v>1.4203701320876287</v>
      </c>
      <c r="O37" s="318">
        <f>+'Cental Budget_int'!O46+'Local Government_int'!N51</f>
        <v>37411485.980000004</v>
      </c>
      <c r="P37" s="308">
        <f t="shared" si="5"/>
        <v>1.1568177482993198</v>
      </c>
      <c r="Q37" s="336">
        <f>+'Cental Budget_int'!Q46+'Local Government_int'!P51</f>
        <v>48924367.209999993</v>
      </c>
      <c r="R37" s="325">
        <f t="shared" si="6"/>
        <v>1.5536477361067003</v>
      </c>
      <c r="S37" s="336">
        <f>+'Cental Budget_int'!S46+'Local Government_int'!R51</f>
        <v>42065532.058023013</v>
      </c>
      <c r="T37" s="325">
        <f t="shared" si="7"/>
        <v>1.1960628961621556</v>
      </c>
      <c r="U37" s="336">
        <f>+'Cental Budget_int'!U46+'Local Government_int'!T51</f>
        <v>43318975.255041204</v>
      </c>
      <c r="V37" s="325">
        <f t="shared" si="8"/>
        <v>1.2317024525175209</v>
      </c>
      <c r="W37" s="336">
        <f>+'Cental Budget_int'!W46+'Local Government_int'!V51</f>
        <v>1253443.1970181875</v>
      </c>
      <c r="X37" s="514" t="e">
        <f t="shared" si="9"/>
        <v>#DIV/0!</v>
      </c>
      <c r="Y37" s="222"/>
      <c r="Z37" s="222"/>
      <c r="AA37" s="222"/>
      <c r="AB37" s="222"/>
      <c r="AC37" s="222"/>
      <c r="AD37" s="222"/>
      <c r="AE37" s="222"/>
      <c r="AF37" s="222"/>
      <c r="AG37" s="222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50"/>
      <c r="BA37" s="612"/>
      <c r="BB37" s="612"/>
      <c r="BC37" s="612"/>
      <c r="BD37" s="612"/>
      <c r="BE37" s="612"/>
      <c r="BF37" s="612"/>
      <c r="BG37" s="612"/>
      <c r="BH37" s="612"/>
      <c r="BI37" s="612"/>
      <c r="BJ37" s="612"/>
      <c r="BK37" s="612"/>
      <c r="BL37" s="612"/>
      <c r="BM37" s="612"/>
      <c r="BN37" s="612"/>
      <c r="BO37" s="612"/>
      <c r="BP37" s="612"/>
      <c r="BQ37" s="612"/>
      <c r="BR37" s="612"/>
      <c r="BS37" s="612"/>
      <c r="BT37" s="612"/>
      <c r="BU37" s="612"/>
      <c r="BV37" s="612"/>
      <c r="BW37" s="612"/>
      <c r="BX37" s="612"/>
      <c r="BY37" s="612"/>
      <c r="BZ37" s="612"/>
      <c r="CA37" s="612"/>
      <c r="CB37" s="612"/>
      <c r="CC37" s="612"/>
      <c r="CD37" s="612"/>
      <c r="CE37" s="612"/>
      <c r="CF37" s="612"/>
      <c r="CG37" s="612"/>
      <c r="CH37" s="612"/>
      <c r="CI37" s="612"/>
      <c r="CJ37" s="612"/>
      <c r="CK37" s="612"/>
      <c r="CL37" s="612"/>
      <c r="CM37" s="612"/>
      <c r="CN37" s="612"/>
      <c r="CO37" s="612"/>
      <c r="CP37" s="612"/>
      <c r="CQ37" s="612"/>
      <c r="CR37" s="612"/>
      <c r="CS37" s="612"/>
      <c r="CT37" s="612"/>
      <c r="CU37" s="612"/>
      <c r="CV37" s="612"/>
      <c r="CW37" s="612"/>
      <c r="CX37" s="612"/>
      <c r="CY37" s="612"/>
      <c r="CZ37" s="612"/>
      <c r="DA37" s="612"/>
      <c r="DB37" s="612"/>
      <c r="DC37" s="612"/>
      <c r="DD37" s="612"/>
      <c r="DE37" s="612"/>
      <c r="DF37" s="612"/>
      <c r="DG37" s="612"/>
      <c r="DH37" s="612"/>
      <c r="DI37" s="612"/>
      <c r="DJ37" s="612"/>
      <c r="DK37" s="612"/>
      <c r="DL37" s="612"/>
      <c r="DM37" s="612"/>
      <c r="DN37" s="612"/>
      <c r="DO37" s="612"/>
      <c r="DP37" s="612"/>
      <c r="DQ37" s="612"/>
      <c r="DR37" s="612"/>
      <c r="DS37" s="612"/>
      <c r="DT37" s="612"/>
      <c r="DU37" s="612"/>
      <c r="DV37" s="612"/>
      <c r="DW37" s="612"/>
      <c r="DX37" s="612"/>
      <c r="DY37" s="612"/>
      <c r="DZ37" s="612"/>
      <c r="EA37" s="612"/>
      <c r="EB37" s="612"/>
      <c r="EC37" s="612"/>
      <c r="ED37" s="612"/>
      <c r="EE37" s="612"/>
      <c r="EF37" s="612"/>
      <c r="EG37" s="612"/>
      <c r="EH37" s="612"/>
      <c r="EI37" s="612"/>
      <c r="EJ37" s="612"/>
      <c r="EK37" s="612"/>
      <c r="EL37" s="612"/>
      <c r="EM37" s="612"/>
      <c r="EN37" s="612"/>
      <c r="EO37" s="612"/>
      <c r="EP37" s="612"/>
      <c r="EQ37" s="612"/>
      <c r="ER37" s="612"/>
      <c r="ES37" s="612"/>
      <c r="ET37" s="612"/>
      <c r="EU37" s="612"/>
      <c r="EV37" s="612"/>
      <c r="EW37" s="612"/>
      <c r="EX37" s="612"/>
      <c r="EY37" s="612"/>
      <c r="EZ37" s="612"/>
      <c r="FA37" s="612"/>
      <c r="FB37" s="612"/>
      <c r="FC37" s="612"/>
      <c r="FD37" s="612"/>
      <c r="FE37" s="612"/>
      <c r="FF37" s="612"/>
      <c r="FG37" s="612"/>
      <c r="FH37" s="612"/>
      <c r="FI37" s="612"/>
      <c r="FJ37" s="612"/>
      <c r="FK37" s="612"/>
      <c r="FL37" s="612"/>
      <c r="FM37" s="612"/>
      <c r="FN37" s="612"/>
      <c r="FO37" s="612"/>
      <c r="FP37" s="612"/>
      <c r="FQ37" s="612"/>
      <c r="FR37" s="612"/>
      <c r="FS37" s="612"/>
      <c r="FT37" s="612"/>
      <c r="FU37" s="612"/>
      <c r="FV37" s="612"/>
      <c r="FW37" s="612"/>
      <c r="FX37" s="612"/>
      <c r="FY37" s="612"/>
      <c r="FZ37" s="612"/>
      <c r="GA37" s="612"/>
      <c r="GB37" s="612"/>
      <c r="GC37" s="612"/>
      <c r="GD37" s="612"/>
      <c r="GE37" s="245"/>
      <c r="GF37" s="612"/>
      <c r="GG37" s="612"/>
      <c r="GH37" s="612"/>
      <c r="GI37" s="612"/>
      <c r="GJ37" s="612"/>
      <c r="GK37" s="612"/>
      <c r="GL37" s="612"/>
      <c r="GM37" s="612"/>
      <c r="GN37" s="612"/>
      <c r="GO37" s="612"/>
      <c r="GP37" s="612"/>
      <c r="GQ37" s="612"/>
      <c r="GR37" s="612"/>
      <c r="GS37" s="612"/>
      <c r="GT37" s="612"/>
      <c r="GU37" s="612"/>
      <c r="GV37" s="612"/>
      <c r="GW37" s="612"/>
      <c r="GX37" s="612"/>
      <c r="GY37" s="612"/>
      <c r="GZ37" s="612"/>
      <c r="HA37" s="612"/>
      <c r="HB37" s="612"/>
      <c r="HC37" s="612"/>
      <c r="HD37" s="612"/>
      <c r="HE37" s="612"/>
      <c r="HF37" s="612"/>
      <c r="HG37" s="612"/>
      <c r="HH37" s="612"/>
      <c r="HI37" s="612"/>
      <c r="HJ37" s="612"/>
      <c r="HK37" s="612"/>
      <c r="HL37" s="612"/>
      <c r="HM37" s="612"/>
      <c r="HN37" s="612"/>
      <c r="HO37" s="612"/>
      <c r="HP37" s="612"/>
      <c r="HQ37" s="612"/>
      <c r="HR37" s="612"/>
      <c r="HS37" s="612"/>
      <c r="HT37" s="612"/>
      <c r="HU37" s="612"/>
      <c r="HV37" s="612"/>
      <c r="HW37" s="612"/>
      <c r="HX37" s="612"/>
      <c r="HY37" s="612"/>
      <c r="HZ37" s="612"/>
      <c r="IA37" s="612"/>
      <c r="IB37" s="612"/>
      <c r="IC37" s="612"/>
      <c r="ID37" s="612"/>
      <c r="IE37" s="612"/>
      <c r="IF37" s="612"/>
      <c r="IG37" s="612"/>
      <c r="IH37" s="612"/>
      <c r="II37" s="612"/>
    </row>
    <row r="38" spans="1:243" ht="15" customHeight="1" thickBot="1">
      <c r="A38" s="72"/>
      <c r="B38" s="72"/>
      <c r="C38" s="72"/>
      <c r="D38" s="270" t="str">
        <f>IF(MasterSheet!$A$1=1,MasterSheet!C277,MasterSheet!B277)</f>
        <v>Primici od otplate kredita i sredstva prenijeta iz prethodne godine</v>
      </c>
      <c r="E38" s="318">
        <f>+'Cental Budget_int'!E51</f>
        <v>12337841.16</v>
      </c>
      <c r="F38" s="308">
        <f t="shared" si="0"/>
        <v>0.57414682674856898</v>
      </c>
      <c r="G38" s="318">
        <f>+'Cental Budget_int'!G51</f>
        <v>10241165.600000001</v>
      </c>
      <c r="H38" s="308">
        <f t="shared" si="1"/>
        <v>0.38206176459615748</v>
      </c>
      <c r="I38" s="318">
        <f>+'Cental Budget_int'!I51</f>
        <v>8998827.7799999993</v>
      </c>
      <c r="J38" s="308">
        <f t="shared" si="2"/>
        <v>0.29163947951775987</v>
      </c>
      <c r="K38" s="318">
        <f>+'Cental Budget_int'!K51</f>
        <v>54812548.920000002</v>
      </c>
      <c r="L38" s="308">
        <f t="shared" si="3"/>
        <v>1.83873025561892</v>
      </c>
      <c r="M38" s="318">
        <f>+'Cental Budget_int'!M51</f>
        <v>4969313.91</v>
      </c>
      <c r="N38" s="308">
        <f t="shared" si="4"/>
        <v>0.16009387596649485</v>
      </c>
      <c r="O38" s="318">
        <f>+'Cental Budget_int'!O51</f>
        <v>5006443.9800000004</v>
      </c>
      <c r="P38" s="308">
        <f t="shared" si="5"/>
        <v>0.15480655473098331</v>
      </c>
      <c r="Q38" s="336">
        <f>+'Cental Budget_int'!Q51</f>
        <v>5498802.5</v>
      </c>
      <c r="R38" s="325">
        <f t="shared" si="6"/>
        <v>0.17462059383931408</v>
      </c>
      <c r="S38" s="336">
        <f>+'Cental Budget_int'!S51</f>
        <v>4809060.008142584</v>
      </c>
      <c r="T38" s="325">
        <f t="shared" si="7"/>
        <v>0.13673756065233392</v>
      </c>
      <c r="U38" s="336">
        <f>+'Cental Budget_int'!U51</f>
        <v>5691260.5874999994</v>
      </c>
      <c r="V38" s="325">
        <f t="shared" si="8"/>
        <v>0.16182145543076484</v>
      </c>
      <c r="W38" s="336">
        <f>+'Cental Budget_int'!W51</f>
        <v>882200.57935741544</v>
      </c>
      <c r="X38" s="514" t="e">
        <f t="shared" si="9"/>
        <v>#DIV/0!</v>
      </c>
      <c r="Y38" s="222"/>
      <c r="Z38" s="222"/>
      <c r="AA38" s="222"/>
      <c r="AB38" s="222"/>
      <c r="AC38" s="222"/>
      <c r="AD38" s="222"/>
      <c r="AE38" s="222"/>
      <c r="AF38" s="222"/>
      <c r="AG38" s="222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50"/>
      <c r="BA38" s="612"/>
      <c r="BB38" s="612"/>
      <c r="BC38" s="612"/>
      <c r="BD38" s="612"/>
      <c r="BE38" s="612"/>
      <c r="BF38" s="612"/>
      <c r="BG38" s="612"/>
      <c r="BH38" s="612"/>
      <c r="BI38" s="612"/>
      <c r="BJ38" s="612"/>
      <c r="BK38" s="612"/>
      <c r="BL38" s="612"/>
      <c r="BM38" s="612"/>
      <c r="BN38" s="612"/>
      <c r="BO38" s="612"/>
      <c r="BP38" s="612"/>
      <c r="BQ38" s="612"/>
      <c r="BR38" s="612"/>
      <c r="BS38" s="612"/>
      <c r="BT38" s="612"/>
      <c r="BU38" s="612"/>
      <c r="BV38" s="612"/>
      <c r="BW38" s="612"/>
      <c r="BX38" s="612"/>
      <c r="BY38" s="612"/>
      <c r="BZ38" s="612"/>
      <c r="CA38" s="612"/>
      <c r="CB38" s="612"/>
      <c r="CC38" s="612"/>
      <c r="CD38" s="612"/>
      <c r="CE38" s="612"/>
      <c r="CF38" s="612"/>
      <c r="CG38" s="612"/>
      <c r="CH38" s="612"/>
      <c r="CI38" s="612"/>
      <c r="CJ38" s="612"/>
      <c r="CK38" s="612"/>
      <c r="CL38" s="612"/>
      <c r="CM38" s="612"/>
      <c r="CN38" s="612"/>
      <c r="CO38" s="612"/>
      <c r="CP38" s="612"/>
      <c r="CQ38" s="612"/>
      <c r="CR38" s="612"/>
      <c r="CS38" s="612"/>
      <c r="CT38" s="612"/>
      <c r="CU38" s="612"/>
      <c r="CV38" s="612"/>
      <c r="CW38" s="612"/>
      <c r="CX38" s="612"/>
      <c r="CY38" s="612"/>
      <c r="CZ38" s="612"/>
      <c r="DA38" s="612"/>
      <c r="DB38" s="612"/>
      <c r="DC38" s="612"/>
      <c r="DD38" s="612"/>
      <c r="DE38" s="612"/>
      <c r="DF38" s="612"/>
      <c r="DG38" s="612"/>
      <c r="DH38" s="612"/>
      <c r="DI38" s="612"/>
      <c r="DJ38" s="612"/>
      <c r="DK38" s="612"/>
      <c r="DL38" s="612"/>
      <c r="DM38" s="612"/>
      <c r="DN38" s="612"/>
      <c r="DO38" s="612"/>
      <c r="DP38" s="612"/>
      <c r="DQ38" s="612"/>
      <c r="DR38" s="612"/>
      <c r="DS38" s="612"/>
      <c r="DT38" s="612"/>
      <c r="DU38" s="612"/>
      <c r="DV38" s="612"/>
      <c r="DW38" s="612"/>
      <c r="DX38" s="612"/>
      <c r="DY38" s="612"/>
      <c r="DZ38" s="612"/>
      <c r="EA38" s="612"/>
      <c r="EB38" s="612"/>
      <c r="EC38" s="612"/>
      <c r="ED38" s="612"/>
      <c r="EE38" s="612"/>
      <c r="EF38" s="612"/>
      <c r="EG38" s="612"/>
      <c r="EH38" s="612"/>
      <c r="EI38" s="612"/>
      <c r="EJ38" s="612"/>
      <c r="EK38" s="612"/>
      <c r="EL38" s="612"/>
      <c r="EM38" s="612"/>
      <c r="EN38" s="612"/>
      <c r="EO38" s="612"/>
      <c r="EP38" s="612"/>
      <c r="EQ38" s="612"/>
      <c r="ER38" s="612"/>
      <c r="ES38" s="612"/>
      <c r="ET38" s="612"/>
      <c r="EU38" s="612"/>
      <c r="EV38" s="612"/>
      <c r="EW38" s="612"/>
      <c r="EX38" s="612"/>
      <c r="EY38" s="612"/>
      <c r="EZ38" s="612"/>
      <c r="FA38" s="612"/>
      <c r="FB38" s="612"/>
      <c r="FC38" s="612"/>
      <c r="FD38" s="612"/>
      <c r="FE38" s="612"/>
      <c r="FF38" s="612"/>
      <c r="FG38" s="612"/>
      <c r="FH38" s="612"/>
      <c r="FI38" s="612"/>
      <c r="FJ38" s="612"/>
      <c r="FK38" s="612"/>
      <c r="FL38" s="612"/>
      <c r="FM38" s="612"/>
      <c r="FN38" s="612"/>
      <c r="FO38" s="612"/>
      <c r="FP38" s="612"/>
      <c r="FQ38" s="612"/>
      <c r="FR38" s="612"/>
      <c r="FS38" s="612"/>
      <c r="FT38" s="612"/>
      <c r="FU38" s="612"/>
      <c r="FV38" s="612"/>
      <c r="FW38" s="612"/>
      <c r="FX38" s="612"/>
      <c r="FY38" s="612"/>
      <c r="FZ38" s="612"/>
      <c r="GA38" s="612"/>
      <c r="GB38" s="612"/>
      <c r="GC38" s="612"/>
      <c r="GD38" s="612"/>
      <c r="GE38" s="245"/>
      <c r="GF38" s="612"/>
      <c r="GG38" s="612"/>
      <c r="GH38" s="612"/>
      <c r="GI38" s="612"/>
      <c r="GJ38" s="612"/>
      <c r="GK38" s="612"/>
      <c r="GL38" s="612"/>
      <c r="GM38" s="612"/>
      <c r="GN38" s="612"/>
      <c r="GO38" s="612"/>
      <c r="GP38" s="612"/>
      <c r="GQ38" s="612"/>
      <c r="GR38" s="612"/>
      <c r="GS38" s="612"/>
      <c r="GT38" s="612"/>
      <c r="GU38" s="612"/>
      <c r="GV38" s="612"/>
      <c r="GW38" s="612"/>
      <c r="GX38" s="612"/>
      <c r="GY38" s="612"/>
      <c r="GZ38" s="612"/>
      <c r="HA38" s="612"/>
      <c r="HB38" s="612"/>
      <c r="HC38" s="612"/>
      <c r="HD38" s="612"/>
      <c r="HE38" s="612"/>
      <c r="HF38" s="612"/>
      <c r="HG38" s="612"/>
      <c r="HH38" s="612"/>
      <c r="HI38" s="612"/>
      <c r="HJ38" s="612"/>
      <c r="HK38" s="612"/>
      <c r="HL38" s="612"/>
      <c r="HM38" s="612"/>
      <c r="HN38" s="612"/>
      <c r="HO38" s="612"/>
      <c r="HP38" s="612"/>
      <c r="HQ38" s="612"/>
      <c r="HR38" s="612"/>
      <c r="HS38" s="612"/>
      <c r="HT38" s="612"/>
      <c r="HU38" s="612"/>
      <c r="HV38" s="612"/>
      <c r="HW38" s="612"/>
      <c r="HX38" s="612"/>
      <c r="HY38" s="612"/>
      <c r="HZ38" s="612"/>
      <c r="IA38" s="612"/>
      <c r="IB38" s="612"/>
      <c r="IC38" s="612"/>
      <c r="ID38" s="612"/>
      <c r="IE38" s="612"/>
      <c r="IF38" s="612"/>
      <c r="IG38" s="612"/>
      <c r="IH38" s="612"/>
      <c r="II38" s="612"/>
    </row>
    <row r="39" spans="1:243" ht="15" customHeight="1" thickTop="1" thickBot="1">
      <c r="A39" s="72"/>
      <c r="B39" s="72"/>
      <c r="C39" s="72"/>
      <c r="D39" s="242" t="str">
        <f>IF(MasterSheet!$A$1=1,MasterSheet!C278,MasterSheet!B278)</f>
        <v>Javna potrošnja</v>
      </c>
      <c r="E39" s="314">
        <f>+E41+E56+E62+E67+E70+E73+E74</f>
        <v>909161248.59979999</v>
      </c>
      <c r="F39" s="305">
        <f>+E39/$E$15*100</f>
        <v>42.30821576619666</v>
      </c>
      <c r="G39" s="314">
        <f>+G41+G56+G62+G67+G70+G73+G74</f>
        <v>1159264720.2100003</v>
      </c>
      <c r="H39" s="305">
        <f t="shared" si="1"/>
        <v>43.248077605297532</v>
      </c>
      <c r="I39" s="314">
        <f>+I41+I56+I62+I67+I70+I73+I74</f>
        <v>1556503812.6515002</v>
      </c>
      <c r="J39" s="305">
        <f t="shared" si="2"/>
        <v>50.444121488575973</v>
      </c>
      <c r="K39" s="314">
        <f>+K41+K56+K62+K67+K70+K73+K74</f>
        <v>1522271360.9345</v>
      </c>
      <c r="L39" s="305">
        <f t="shared" si="3"/>
        <v>51.065795402029522</v>
      </c>
      <c r="M39" s="314">
        <f>+M41+M56+M62+M67+M70+M73+M74</f>
        <v>1465411017.2600002</v>
      </c>
      <c r="N39" s="305">
        <f t="shared" si="4"/>
        <v>47.210406483891759</v>
      </c>
      <c r="O39" s="314">
        <f>+O41+O56+O62+O67+O70+O73+O74</f>
        <v>1427139760.9100001</v>
      </c>
      <c r="P39" s="305">
        <f t="shared" si="5"/>
        <v>44.129244307668522</v>
      </c>
      <c r="Q39" s="332">
        <f>+Q41+Q56+Q62+Q67+Q70+Q73+Q74</f>
        <v>1440039634.1900001</v>
      </c>
      <c r="R39" s="322">
        <f t="shared" si="6"/>
        <v>45.730061422356307</v>
      </c>
      <c r="S39" s="332">
        <f>+S41+S56+S62+S67+S70+S73+S74</f>
        <v>1375765242.6159902</v>
      </c>
      <c r="T39" s="322">
        <f t="shared" si="7"/>
        <v>39.117578692521754</v>
      </c>
      <c r="U39" s="332">
        <f>+U41+U56+U62+U67+U70+U73+U74</f>
        <v>1386043216.7285099</v>
      </c>
      <c r="V39" s="322">
        <f t="shared" si="8"/>
        <v>39.409815659042081</v>
      </c>
      <c r="W39" s="332">
        <f>+W41+W56+W62+W67+W70+W73+W74</f>
        <v>10277974.112519803</v>
      </c>
      <c r="X39" s="511" t="e">
        <f t="shared" si="9"/>
        <v>#DIV/0!</v>
      </c>
      <c r="Y39" s="222"/>
      <c r="Z39" s="222"/>
      <c r="AA39" s="222"/>
      <c r="AB39" s="222"/>
      <c r="AC39" s="222"/>
      <c r="AD39" s="222"/>
      <c r="AE39" s="222"/>
      <c r="AF39" s="222"/>
      <c r="AG39" s="222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50"/>
      <c r="BA39" s="612"/>
      <c r="BB39" s="612"/>
      <c r="BC39" s="612"/>
      <c r="BD39" s="612"/>
      <c r="BE39" s="612"/>
      <c r="BF39" s="612"/>
      <c r="BG39" s="612"/>
      <c r="BH39" s="612"/>
      <c r="BI39" s="612"/>
      <c r="BJ39" s="612"/>
      <c r="BK39" s="612"/>
      <c r="BL39" s="612"/>
      <c r="BM39" s="612"/>
      <c r="BN39" s="612"/>
      <c r="BO39" s="612"/>
      <c r="BP39" s="612"/>
      <c r="BQ39" s="612"/>
      <c r="BR39" s="612"/>
      <c r="BS39" s="612"/>
      <c r="BT39" s="612"/>
      <c r="BU39" s="612"/>
      <c r="BV39" s="612"/>
      <c r="BW39" s="612"/>
      <c r="BX39" s="612"/>
      <c r="BY39" s="612"/>
      <c r="BZ39" s="612"/>
      <c r="CA39" s="612"/>
      <c r="CB39" s="612"/>
      <c r="CC39" s="612"/>
      <c r="CD39" s="612"/>
      <c r="CE39" s="612"/>
      <c r="CF39" s="612"/>
      <c r="CG39" s="612"/>
      <c r="CH39" s="612"/>
      <c r="CI39" s="612"/>
      <c r="CJ39" s="612"/>
      <c r="CK39" s="612"/>
      <c r="CL39" s="612"/>
      <c r="CM39" s="612"/>
      <c r="CN39" s="612"/>
      <c r="CO39" s="612"/>
      <c r="CP39" s="612"/>
      <c r="CQ39" s="612"/>
      <c r="CR39" s="612"/>
      <c r="CS39" s="612"/>
      <c r="CT39" s="612"/>
      <c r="CU39" s="612"/>
      <c r="CV39" s="612"/>
      <c r="CW39" s="612"/>
      <c r="CX39" s="612"/>
      <c r="CY39" s="612"/>
      <c r="CZ39" s="612"/>
      <c r="DA39" s="612"/>
      <c r="DB39" s="612"/>
      <c r="DC39" s="612"/>
      <c r="DD39" s="612"/>
      <c r="DE39" s="612"/>
      <c r="DF39" s="612"/>
      <c r="DG39" s="612"/>
      <c r="DH39" s="612"/>
      <c r="DI39" s="612"/>
      <c r="DJ39" s="612"/>
      <c r="DK39" s="612"/>
      <c r="DL39" s="612"/>
      <c r="DM39" s="612"/>
      <c r="DN39" s="612"/>
      <c r="DO39" s="612"/>
      <c r="DP39" s="612"/>
      <c r="DQ39" s="612"/>
      <c r="DR39" s="612"/>
      <c r="DS39" s="612"/>
      <c r="DT39" s="612"/>
      <c r="DU39" s="612"/>
      <c r="DV39" s="612"/>
      <c r="DW39" s="612"/>
      <c r="DX39" s="612"/>
      <c r="DY39" s="612"/>
      <c r="DZ39" s="612"/>
      <c r="EA39" s="612"/>
      <c r="EB39" s="612"/>
      <c r="EC39" s="612"/>
      <c r="ED39" s="612"/>
      <c r="EE39" s="612"/>
      <c r="EF39" s="612"/>
      <c r="EG39" s="612"/>
      <c r="EH39" s="612"/>
      <c r="EI39" s="612"/>
      <c r="EJ39" s="612"/>
      <c r="EK39" s="612"/>
      <c r="EL39" s="612"/>
      <c r="EM39" s="612"/>
      <c r="EN39" s="612"/>
      <c r="EO39" s="612"/>
      <c r="EP39" s="612"/>
      <c r="EQ39" s="612"/>
      <c r="ER39" s="612"/>
      <c r="ES39" s="612"/>
      <c r="ET39" s="612"/>
      <c r="EU39" s="612"/>
      <c r="EV39" s="612"/>
      <c r="EW39" s="612"/>
      <c r="EX39" s="612"/>
      <c r="EY39" s="612"/>
      <c r="EZ39" s="612"/>
      <c r="FA39" s="612"/>
      <c r="FB39" s="612"/>
      <c r="FC39" s="612"/>
      <c r="FD39" s="612"/>
      <c r="FE39" s="612"/>
      <c r="FF39" s="612"/>
      <c r="FG39" s="612"/>
      <c r="FH39" s="612"/>
      <c r="FI39" s="612"/>
      <c r="FJ39" s="612"/>
      <c r="FK39" s="612"/>
      <c r="FL39" s="612"/>
      <c r="FM39" s="612"/>
      <c r="FN39" s="612"/>
      <c r="FO39" s="612"/>
      <c r="FP39" s="612"/>
      <c r="FQ39" s="612"/>
      <c r="FR39" s="612"/>
      <c r="FS39" s="612"/>
      <c r="FT39" s="612"/>
      <c r="FU39" s="612"/>
      <c r="FV39" s="612"/>
      <c r="FW39" s="612"/>
      <c r="FX39" s="612"/>
      <c r="FY39" s="612"/>
      <c r="FZ39" s="612"/>
      <c r="GA39" s="612"/>
      <c r="GB39" s="612"/>
      <c r="GC39" s="612"/>
      <c r="GD39" s="612"/>
      <c r="GE39" s="245"/>
      <c r="GF39" s="612"/>
      <c r="GG39" s="612"/>
      <c r="GH39" s="612"/>
      <c r="GI39" s="612"/>
      <c r="GJ39" s="612"/>
      <c r="GK39" s="612"/>
      <c r="GL39" s="612"/>
      <c r="GM39" s="612"/>
      <c r="GN39" s="612"/>
      <c r="GO39" s="612"/>
      <c r="GP39" s="612"/>
      <c r="GQ39" s="612"/>
      <c r="GR39" s="612"/>
      <c r="GS39" s="612"/>
      <c r="GT39" s="612"/>
      <c r="GU39" s="612"/>
      <c r="GV39" s="612"/>
      <c r="GW39" s="612"/>
      <c r="GX39" s="612"/>
      <c r="GY39" s="612"/>
      <c r="GZ39" s="612"/>
      <c r="HA39" s="612"/>
      <c r="HB39" s="612"/>
      <c r="HC39" s="612"/>
      <c r="HD39" s="612"/>
      <c r="HE39" s="612"/>
      <c r="HF39" s="612"/>
      <c r="HG39" s="612"/>
      <c r="HH39" s="612"/>
      <c r="HI39" s="612"/>
      <c r="HJ39" s="612"/>
      <c r="HK39" s="612"/>
      <c r="HL39" s="612"/>
      <c r="HM39" s="612"/>
      <c r="HN39" s="612"/>
      <c r="HO39" s="612"/>
      <c r="HP39" s="612"/>
      <c r="HQ39" s="612"/>
      <c r="HR39" s="612"/>
      <c r="HS39" s="612"/>
      <c r="HT39" s="612"/>
      <c r="HU39" s="612"/>
      <c r="HV39" s="612"/>
      <c r="HW39" s="612"/>
      <c r="HX39" s="612"/>
      <c r="HY39" s="612"/>
      <c r="HZ39" s="612"/>
      <c r="IA39" s="612"/>
      <c r="IB39" s="612"/>
      <c r="IC39" s="612"/>
      <c r="ID39" s="612"/>
      <c r="IE39" s="612"/>
      <c r="IF39" s="612"/>
      <c r="IG39" s="612"/>
      <c r="IH39" s="612"/>
      <c r="II39" s="612"/>
    </row>
    <row r="40" spans="1:243" ht="15" customHeight="1" thickTop="1" thickBot="1">
      <c r="A40" s="72"/>
      <c r="B40" s="72"/>
      <c r="C40" s="72"/>
      <c r="D40" s="242" t="str">
        <f>IF(MasterSheet!$A$1=1,MasterSheet!C279,MasterSheet!B279)</f>
        <v>Tekuća javna potrošnja</v>
      </c>
      <c r="E40" s="314">
        <f>+E39-E67</f>
        <v>852249764.93980002</v>
      </c>
      <c r="F40" s="305">
        <f t="shared" si="0"/>
        <v>39.659815018837548</v>
      </c>
      <c r="G40" s="314">
        <f>+G39-G67</f>
        <v>972002830.49000025</v>
      </c>
      <c r="H40" s="305">
        <f t="shared" si="1"/>
        <v>36.26199703376237</v>
      </c>
      <c r="I40" s="314">
        <f>+I39-I67</f>
        <v>1320781906.2115002</v>
      </c>
      <c r="J40" s="305">
        <f t="shared" si="2"/>
        <v>42.804702690287144</v>
      </c>
      <c r="K40" s="314">
        <f>+K39-K67</f>
        <v>1297571504.2944999</v>
      </c>
      <c r="L40" s="305">
        <f t="shared" si="3"/>
        <v>43.528061197400199</v>
      </c>
      <c r="M40" s="314">
        <f>+M39-M67</f>
        <v>1319010648.4500003</v>
      </c>
      <c r="N40" s="305">
        <f t="shared" si="4"/>
        <v>42.493899756765472</v>
      </c>
      <c r="O40" s="314">
        <f>+O39-O67</f>
        <v>1308554898.45</v>
      </c>
      <c r="P40" s="305">
        <f t="shared" si="5"/>
        <v>40.462427286641933</v>
      </c>
      <c r="Q40" s="332">
        <f>+Q39-Q67</f>
        <v>1332984955.8400002</v>
      </c>
      <c r="R40" s="322">
        <f t="shared" si="6"/>
        <v>42.330420953953642</v>
      </c>
      <c r="S40" s="332">
        <f>+S39-S67</f>
        <v>1280126242.6159902</v>
      </c>
      <c r="T40" s="322">
        <f t="shared" si="7"/>
        <v>36.398244032299978</v>
      </c>
      <c r="U40" s="332">
        <f>+U39-U67</f>
        <v>1288404216.7285099</v>
      </c>
      <c r="V40" s="322">
        <f t="shared" si="8"/>
        <v>36.633614351109181</v>
      </c>
      <c r="W40" s="332">
        <f>+W39-W67</f>
        <v>8277974.1125198025</v>
      </c>
      <c r="X40" s="511" t="e">
        <f t="shared" si="9"/>
        <v>#DIV/0!</v>
      </c>
      <c r="Y40" s="222"/>
      <c r="Z40" s="222"/>
      <c r="AA40" s="222"/>
      <c r="AB40" s="222"/>
      <c r="AC40" s="222"/>
      <c r="AD40" s="222"/>
      <c r="AE40" s="222"/>
      <c r="AF40" s="222"/>
      <c r="AG40" s="222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50"/>
      <c r="BA40" s="612"/>
      <c r="BB40" s="612"/>
      <c r="BC40" s="612"/>
      <c r="BD40" s="612"/>
      <c r="BE40" s="612"/>
      <c r="BF40" s="612"/>
      <c r="BG40" s="612"/>
      <c r="BH40" s="612"/>
      <c r="BI40" s="612"/>
      <c r="BJ40" s="612"/>
      <c r="BK40" s="612"/>
      <c r="BL40" s="612"/>
      <c r="BM40" s="612"/>
      <c r="BN40" s="612"/>
      <c r="BO40" s="612"/>
      <c r="BP40" s="612"/>
      <c r="BQ40" s="612"/>
      <c r="BR40" s="612"/>
      <c r="BS40" s="612"/>
      <c r="BT40" s="612"/>
      <c r="BU40" s="612"/>
      <c r="BV40" s="612"/>
      <c r="BW40" s="612"/>
      <c r="BX40" s="612"/>
      <c r="BY40" s="612"/>
      <c r="BZ40" s="612"/>
      <c r="CA40" s="612"/>
      <c r="CB40" s="612"/>
      <c r="CC40" s="612"/>
      <c r="CD40" s="612"/>
      <c r="CE40" s="612"/>
      <c r="CF40" s="612"/>
      <c r="CG40" s="612"/>
      <c r="CH40" s="612"/>
      <c r="CI40" s="612"/>
      <c r="CJ40" s="612"/>
      <c r="CK40" s="612"/>
      <c r="CL40" s="612"/>
      <c r="CM40" s="612"/>
      <c r="CN40" s="612"/>
      <c r="CO40" s="612"/>
      <c r="CP40" s="612"/>
      <c r="CQ40" s="612"/>
      <c r="CR40" s="612"/>
      <c r="CS40" s="612"/>
      <c r="CT40" s="612"/>
      <c r="CU40" s="612"/>
      <c r="CV40" s="612"/>
      <c r="CW40" s="612"/>
      <c r="CX40" s="612"/>
      <c r="CY40" s="612"/>
      <c r="CZ40" s="612"/>
      <c r="DA40" s="612"/>
      <c r="DB40" s="612"/>
      <c r="DC40" s="612"/>
      <c r="DD40" s="612"/>
      <c r="DE40" s="612"/>
      <c r="DF40" s="612"/>
      <c r="DG40" s="612"/>
      <c r="DH40" s="612"/>
      <c r="DI40" s="612"/>
      <c r="DJ40" s="612"/>
      <c r="DK40" s="612"/>
      <c r="DL40" s="612"/>
      <c r="DM40" s="612"/>
      <c r="DN40" s="612"/>
      <c r="DO40" s="612"/>
      <c r="DP40" s="612"/>
      <c r="DQ40" s="612"/>
      <c r="DR40" s="612"/>
      <c r="DS40" s="612"/>
      <c r="DT40" s="612"/>
      <c r="DU40" s="612"/>
      <c r="DV40" s="612"/>
      <c r="DW40" s="612"/>
      <c r="DX40" s="612"/>
      <c r="DY40" s="612"/>
      <c r="DZ40" s="612"/>
      <c r="EA40" s="612"/>
      <c r="EB40" s="612"/>
      <c r="EC40" s="612"/>
      <c r="ED40" s="612"/>
      <c r="EE40" s="612"/>
      <c r="EF40" s="612"/>
      <c r="EG40" s="612"/>
      <c r="EH40" s="612"/>
      <c r="EI40" s="612"/>
      <c r="EJ40" s="612"/>
      <c r="EK40" s="612"/>
      <c r="EL40" s="612"/>
      <c r="EM40" s="612"/>
      <c r="EN40" s="612"/>
      <c r="EO40" s="612"/>
      <c r="EP40" s="612"/>
      <c r="EQ40" s="612"/>
      <c r="ER40" s="612"/>
      <c r="ES40" s="612"/>
      <c r="ET40" s="612"/>
      <c r="EU40" s="612"/>
      <c r="EV40" s="612"/>
      <c r="EW40" s="612"/>
      <c r="EX40" s="612"/>
      <c r="EY40" s="612"/>
      <c r="EZ40" s="612"/>
      <c r="FA40" s="612"/>
      <c r="FB40" s="612"/>
      <c r="FC40" s="612"/>
      <c r="FD40" s="612"/>
      <c r="FE40" s="612"/>
      <c r="FF40" s="612"/>
      <c r="FG40" s="612"/>
      <c r="FH40" s="612"/>
      <c r="FI40" s="612"/>
      <c r="FJ40" s="612"/>
      <c r="FK40" s="612"/>
      <c r="FL40" s="612"/>
      <c r="FM40" s="612"/>
      <c r="FN40" s="612"/>
      <c r="FO40" s="612"/>
      <c r="FP40" s="612"/>
      <c r="FQ40" s="612"/>
      <c r="FR40" s="612"/>
      <c r="FS40" s="612"/>
      <c r="FT40" s="612"/>
      <c r="FU40" s="612"/>
      <c r="FV40" s="612"/>
      <c r="FW40" s="612"/>
      <c r="FX40" s="612"/>
      <c r="FY40" s="612"/>
      <c r="FZ40" s="612"/>
      <c r="GA40" s="612"/>
      <c r="GB40" s="612"/>
      <c r="GC40" s="612"/>
      <c r="GD40" s="612"/>
      <c r="GE40" s="245"/>
      <c r="GF40" s="612"/>
      <c r="GG40" s="258"/>
      <c r="GH40" s="612"/>
      <c r="GI40" s="612"/>
      <c r="GJ40" s="612"/>
      <c r="GK40" s="612"/>
      <c r="GL40" s="612"/>
      <c r="GM40" s="612"/>
      <c r="GN40" s="612"/>
      <c r="GO40" s="612"/>
      <c r="GP40" s="612"/>
      <c r="GQ40" s="612"/>
      <c r="GR40" s="612"/>
      <c r="GS40" s="612"/>
      <c r="GT40" s="612"/>
      <c r="GU40" s="612"/>
      <c r="GV40" s="612"/>
      <c r="GW40" s="612"/>
      <c r="GX40" s="612"/>
      <c r="GY40" s="612"/>
      <c r="GZ40" s="612"/>
      <c r="HA40" s="612"/>
      <c r="HB40" s="612"/>
      <c r="HC40" s="612"/>
      <c r="HD40" s="612"/>
      <c r="HE40" s="612"/>
      <c r="HF40" s="612"/>
      <c r="HG40" s="612"/>
      <c r="HH40" s="612"/>
      <c r="HI40" s="612"/>
      <c r="HJ40" s="612"/>
      <c r="HK40" s="612"/>
      <c r="HL40" s="612"/>
      <c r="HM40" s="612"/>
      <c r="HN40" s="612"/>
      <c r="HO40" s="612"/>
      <c r="HP40" s="612"/>
      <c r="HQ40" s="612"/>
      <c r="HR40" s="612"/>
      <c r="HS40" s="612"/>
      <c r="HT40" s="612"/>
      <c r="HU40" s="612"/>
      <c r="HV40" s="612"/>
      <c r="HW40" s="612"/>
      <c r="HX40" s="612"/>
      <c r="HY40" s="612"/>
      <c r="HZ40" s="612"/>
      <c r="IA40" s="612"/>
      <c r="IB40" s="612"/>
      <c r="IC40" s="612"/>
      <c r="ID40" s="612"/>
      <c r="IE40" s="612"/>
      <c r="IF40" s="612"/>
      <c r="IG40" s="612"/>
      <c r="IH40" s="612"/>
      <c r="II40" s="612"/>
    </row>
    <row r="41" spans="1:243" ht="15" customHeight="1" thickTop="1">
      <c r="A41" s="72"/>
      <c r="B41" s="72"/>
      <c r="C41" s="72"/>
      <c r="D41" s="273" t="str">
        <f>IF(MasterSheet!$A$1=1,MasterSheet!C280,MasterSheet!B280)</f>
        <v>Tekući izdaci</v>
      </c>
      <c r="E41" s="315">
        <f>+E42+E48+E49+E51+E52+E53+E54+E50+E55</f>
        <v>485516128.15979993</v>
      </c>
      <c r="F41" s="306">
        <f t="shared" si="0"/>
        <v>22.593705065838332</v>
      </c>
      <c r="G41" s="315">
        <f>+G42+G48+G49+G51+G52+G53+G54+G50+G55</f>
        <v>565255092.01000011</v>
      </c>
      <c r="H41" s="306">
        <f t="shared" si="1"/>
        <v>21.087673643350126</v>
      </c>
      <c r="I41" s="315">
        <f>+I42+I48+I49+I51+I52+I53+I54+I50+I55</f>
        <v>650119031.29149997</v>
      </c>
      <c r="J41" s="306">
        <f t="shared" si="2"/>
        <v>21.069452660471217</v>
      </c>
      <c r="K41" s="315">
        <f>+K42+K48+K49+K51+K52+K53+K54+K50+K55</f>
        <v>587536977.26449978</v>
      </c>
      <c r="L41" s="306">
        <f t="shared" si="3"/>
        <v>19.709392058520621</v>
      </c>
      <c r="M41" s="315">
        <f>+M42+M48+M49+M51+M52+M53+M54+M50+M55</f>
        <v>609707642.16000009</v>
      </c>
      <c r="N41" s="306">
        <f t="shared" si="4"/>
        <v>19.642643110824746</v>
      </c>
      <c r="O41" s="315">
        <f>+O42+O48+O49+O51+O52+O53+O54+O50+O55</f>
        <v>697551106.44000006</v>
      </c>
      <c r="P41" s="306">
        <f t="shared" si="5"/>
        <v>21.569298282003714</v>
      </c>
      <c r="Q41" s="333">
        <f>+Q42+Q48+Q49+Q51+Q52+Q53+Q54+Q50+Q55</f>
        <v>729677209.30000019</v>
      </c>
      <c r="R41" s="323">
        <f t="shared" si="6"/>
        <v>23.171711949825347</v>
      </c>
      <c r="S41" s="333">
        <f>+S42+S48+S49+S51+S52+S53+S54+S50+S55</f>
        <v>646271110.3450501</v>
      </c>
      <c r="T41" s="323">
        <f t="shared" si="7"/>
        <v>18.375635778932331</v>
      </c>
      <c r="U41" s="333">
        <f>+U42+U48+U49+U51+U52+U53+U54+U50+U55</f>
        <v>656143571.71035111</v>
      </c>
      <c r="V41" s="323">
        <f t="shared" si="8"/>
        <v>18.656342670183427</v>
      </c>
      <c r="W41" s="333">
        <f>+W42+W48+W49+W51+W52+W53+W54+W50+W55</f>
        <v>9872461.3653010018</v>
      </c>
      <c r="X41" s="512" t="e">
        <f t="shared" si="9"/>
        <v>#DIV/0!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50"/>
      <c r="BA41" s="612"/>
      <c r="BB41" s="612"/>
      <c r="BC41" s="612"/>
      <c r="BD41" s="612"/>
      <c r="BE41" s="612"/>
      <c r="BF41" s="612"/>
      <c r="BG41" s="612"/>
      <c r="BH41" s="612"/>
      <c r="BI41" s="612"/>
      <c r="BJ41" s="612"/>
      <c r="BK41" s="612"/>
      <c r="BL41" s="612"/>
      <c r="BM41" s="612"/>
      <c r="BN41" s="612"/>
      <c r="BO41" s="612"/>
      <c r="BP41" s="612"/>
      <c r="BQ41" s="612"/>
      <c r="BR41" s="612"/>
      <c r="BS41" s="612"/>
      <c r="BT41" s="612"/>
      <c r="BU41" s="612"/>
      <c r="BV41" s="612"/>
      <c r="BW41" s="612"/>
      <c r="BX41" s="612"/>
      <c r="BY41" s="612"/>
      <c r="BZ41" s="612"/>
      <c r="CA41" s="612"/>
      <c r="CB41" s="612"/>
      <c r="CC41" s="612"/>
      <c r="CD41" s="612"/>
      <c r="CE41" s="612"/>
      <c r="CF41" s="612"/>
      <c r="CG41" s="612"/>
      <c r="CH41" s="612"/>
      <c r="CI41" s="612"/>
      <c r="CJ41" s="612"/>
      <c r="CK41" s="612"/>
      <c r="CL41" s="612"/>
      <c r="CM41" s="612"/>
      <c r="CN41" s="612"/>
      <c r="CO41" s="612"/>
      <c r="CP41" s="612"/>
      <c r="CQ41" s="612"/>
      <c r="CR41" s="612"/>
      <c r="CS41" s="612"/>
      <c r="CT41" s="612"/>
      <c r="CU41" s="612"/>
      <c r="CV41" s="612"/>
      <c r="CW41" s="612"/>
      <c r="CX41" s="612"/>
      <c r="CY41" s="612"/>
      <c r="CZ41" s="612"/>
      <c r="DA41" s="612"/>
      <c r="DB41" s="612"/>
      <c r="DC41" s="612"/>
      <c r="DD41" s="612"/>
      <c r="DE41" s="612"/>
      <c r="DF41" s="612"/>
      <c r="DG41" s="612"/>
      <c r="DH41" s="612"/>
      <c r="DI41" s="612"/>
      <c r="DJ41" s="612"/>
      <c r="DK41" s="612"/>
      <c r="DL41" s="612"/>
      <c r="DM41" s="612"/>
      <c r="DN41" s="612"/>
      <c r="DO41" s="612"/>
      <c r="DP41" s="612"/>
      <c r="DQ41" s="612"/>
      <c r="DR41" s="612"/>
      <c r="DS41" s="612"/>
      <c r="DT41" s="612"/>
      <c r="DU41" s="612"/>
      <c r="DV41" s="612"/>
      <c r="DW41" s="612"/>
      <c r="DX41" s="612"/>
      <c r="DY41" s="612"/>
      <c r="DZ41" s="612"/>
      <c r="EA41" s="612"/>
      <c r="EB41" s="612"/>
      <c r="EC41" s="612"/>
      <c r="ED41" s="612"/>
      <c r="EE41" s="612"/>
      <c r="EF41" s="612"/>
      <c r="EG41" s="612"/>
      <c r="EH41" s="612"/>
      <c r="EI41" s="612"/>
      <c r="EJ41" s="612"/>
      <c r="EK41" s="612"/>
      <c r="EL41" s="612"/>
      <c r="EM41" s="612"/>
      <c r="EN41" s="612"/>
      <c r="EO41" s="612"/>
      <c r="EP41" s="612"/>
      <c r="EQ41" s="612"/>
      <c r="ER41" s="612"/>
      <c r="ES41" s="612"/>
      <c r="ET41" s="612"/>
      <c r="EU41" s="612"/>
      <c r="EV41" s="612"/>
      <c r="EW41" s="612"/>
      <c r="EX41" s="612"/>
      <c r="EY41" s="612"/>
      <c r="EZ41" s="612"/>
      <c r="FA41" s="612"/>
      <c r="FB41" s="612"/>
      <c r="FC41" s="612"/>
      <c r="FD41" s="612"/>
      <c r="FE41" s="612"/>
      <c r="FF41" s="612"/>
      <c r="FG41" s="612"/>
      <c r="FH41" s="612"/>
      <c r="FI41" s="612"/>
      <c r="FJ41" s="612"/>
      <c r="FK41" s="612"/>
      <c r="FL41" s="612"/>
      <c r="FM41" s="612"/>
      <c r="FN41" s="612"/>
      <c r="FO41" s="612"/>
      <c r="FP41" s="612"/>
      <c r="FQ41" s="612"/>
      <c r="FR41" s="612"/>
      <c r="FS41" s="612"/>
      <c r="FT41" s="612"/>
      <c r="FU41" s="612"/>
      <c r="FV41" s="612"/>
      <c r="FW41" s="612"/>
      <c r="FX41" s="612"/>
      <c r="FY41" s="612"/>
      <c r="FZ41" s="612"/>
      <c r="GA41" s="612"/>
      <c r="GB41" s="612"/>
      <c r="GC41" s="612"/>
      <c r="GD41" s="612"/>
      <c r="GE41" s="245"/>
      <c r="GF41" s="612"/>
      <c r="GG41" s="612"/>
      <c r="GH41" s="612"/>
      <c r="GI41" s="612"/>
      <c r="GJ41" s="612"/>
      <c r="GK41" s="612"/>
      <c r="GL41" s="612"/>
      <c r="GM41" s="612"/>
      <c r="GN41" s="612"/>
      <c r="GO41" s="612"/>
      <c r="GP41" s="612"/>
      <c r="GQ41" s="612"/>
      <c r="GR41" s="612"/>
      <c r="GS41" s="612"/>
      <c r="GT41" s="612"/>
      <c r="GU41" s="612"/>
      <c r="GV41" s="612"/>
      <c r="GW41" s="612"/>
      <c r="GX41" s="612"/>
      <c r="GY41" s="612"/>
      <c r="GZ41" s="612"/>
      <c r="HA41" s="612"/>
      <c r="HB41" s="612"/>
      <c r="HC41" s="612"/>
      <c r="HD41" s="612"/>
      <c r="HE41" s="612"/>
      <c r="HF41" s="612"/>
      <c r="HG41" s="612"/>
      <c r="HH41" s="612"/>
      <c r="HI41" s="612"/>
      <c r="HJ41" s="612"/>
      <c r="HK41" s="612"/>
      <c r="HL41" s="612"/>
      <c r="HM41" s="612"/>
      <c r="HN41" s="612"/>
      <c r="HO41" s="612"/>
      <c r="HP41" s="612"/>
      <c r="HQ41" s="612"/>
      <c r="HR41" s="612"/>
      <c r="HS41" s="612"/>
      <c r="HT41" s="612"/>
      <c r="HU41" s="612"/>
      <c r="HV41" s="612"/>
      <c r="HW41" s="612"/>
      <c r="HX41" s="612"/>
      <c r="HY41" s="612"/>
      <c r="HZ41" s="612"/>
      <c r="IA41" s="612"/>
      <c r="IB41" s="612"/>
      <c r="IC41" s="612"/>
      <c r="ID41" s="612"/>
      <c r="IE41" s="612"/>
      <c r="IF41" s="612"/>
      <c r="IG41" s="612"/>
      <c r="IH41" s="612"/>
      <c r="II41" s="612"/>
    </row>
    <row r="42" spans="1:243" ht="15" customHeight="1">
      <c r="A42" s="72"/>
      <c r="B42" s="72"/>
      <c r="C42" s="72"/>
      <c r="D42" s="272" t="str">
        <f>IF(MasterSheet!$A$1=1,MasterSheet!C281,MasterSheet!B281)</f>
        <v>Bruto zarade i doprinosi na teret poslodavca</v>
      </c>
      <c r="E42" s="318">
        <f>SUM(E43:E47)</f>
        <v>234529247.03979999</v>
      </c>
      <c r="F42" s="308">
        <f t="shared" si="0"/>
        <v>10.913920938145097</v>
      </c>
      <c r="G42" s="318">
        <f>SUM(G43:G47)</f>
        <v>287827732.79000002</v>
      </c>
      <c r="H42" s="308">
        <f t="shared" si="1"/>
        <v>10.737837447864205</v>
      </c>
      <c r="I42" s="318">
        <f>SUM(I43:I47)</f>
        <v>315099713.81999999</v>
      </c>
      <c r="J42" s="308">
        <f t="shared" si="2"/>
        <v>10.211943019834067</v>
      </c>
      <c r="K42" s="318">
        <f>SUM(K43:K47)</f>
        <v>299693656.73449975</v>
      </c>
      <c r="L42" s="308">
        <f t="shared" si="3"/>
        <v>10.05346047415296</v>
      </c>
      <c r="M42" s="318">
        <f>SUM(M43:M47)+'Local Government_int'!L61</f>
        <v>316422646.70999998</v>
      </c>
      <c r="N42" s="308">
        <f t="shared" si="4"/>
        <v>10.194028566688143</v>
      </c>
      <c r="O42" s="318">
        <f>SUM(O43:O47)</f>
        <v>403943773.61999995</v>
      </c>
      <c r="P42" s="308">
        <f t="shared" si="5"/>
        <v>12.490531033395175</v>
      </c>
      <c r="Q42" s="336">
        <f>SUM(Q43:Q47)</f>
        <v>407752568.57000005</v>
      </c>
      <c r="R42" s="325">
        <f t="shared" si="6"/>
        <v>12.948636664655448</v>
      </c>
      <c r="S42" s="336">
        <f>SUM(S43:S47)</f>
        <v>397570601.86375004</v>
      </c>
      <c r="T42" s="325">
        <f t="shared" si="7"/>
        <v>11.3042536782414</v>
      </c>
      <c r="U42" s="336">
        <f>SUM(U43:U47)</f>
        <v>398079441.66602498</v>
      </c>
      <c r="V42" s="325">
        <f t="shared" si="8"/>
        <v>11.318721685130081</v>
      </c>
      <c r="W42" s="336">
        <f>SUM(W43:W47)</f>
        <v>508839.80227500165</v>
      </c>
      <c r="X42" s="514" t="e">
        <f t="shared" si="9"/>
        <v>#DIV/0!</v>
      </c>
      <c r="Y42" s="223"/>
      <c r="Z42" s="223"/>
      <c r="AA42" s="223"/>
      <c r="AB42" s="223"/>
      <c r="AC42" s="223"/>
      <c r="AD42" s="223"/>
      <c r="AE42" s="223"/>
      <c r="AF42" s="223"/>
      <c r="AG42" s="223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50"/>
      <c r="BA42" s="612"/>
      <c r="BB42" s="612"/>
      <c r="BC42" s="612"/>
      <c r="BD42" s="612"/>
      <c r="BE42" s="612"/>
      <c r="BF42" s="612"/>
      <c r="BG42" s="612"/>
      <c r="BH42" s="612"/>
      <c r="BI42" s="612"/>
      <c r="BJ42" s="612"/>
      <c r="BK42" s="612"/>
      <c r="BL42" s="612"/>
      <c r="BM42" s="612"/>
      <c r="BN42" s="612"/>
      <c r="BO42" s="612"/>
      <c r="BP42" s="612"/>
      <c r="BQ42" s="612"/>
      <c r="BR42" s="612"/>
      <c r="BS42" s="612"/>
      <c r="BT42" s="612"/>
      <c r="BU42" s="612"/>
      <c r="BV42" s="612"/>
      <c r="BW42" s="612"/>
      <c r="BX42" s="612"/>
      <c r="BY42" s="612"/>
      <c r="BZ42" s="612"/>
      <c r="CA42" s="612"/>
      <c r="CB42" s="612"/>
      <c r="CC42" s="612"/>
      <c r="CD42" s="612"/>
      <c r="CE42" s="612"/>
      <c r="CF42" s="612"/>
      <c r="CG42" s="612"/>
      <c r="CH42" s="612"/>
      <c r="CI42" s="612"/>
      <c r="CJ42" s="612"/>
      <c r="CK42" s="612"/>
      <c r="CL42" s="612"/>
      <c r="CM42" s="612"/>
      <c r="CN42" s="612"/>
      <c r="CO42" s="612"/>
      <c r="CP42" s="612"/>
      <c r="CQ42" s="612"/>
      <c r="CR42" s="612"/>
      <c r="CS42" s="612"/>
      <c r="CT42" s="612"/>
      <c r="CU42" s="612"/>
      <c r="CV42" s="612"/>
      <c r="CW42" s="612"/>
      <c r="CX42" s="612"/>
      <c r="CY42" s="612"/>
      <c r="CZ42" s="612"/>
      <c r="DA42" s="612"/>
      <c r="DB42" s="612"/>
      <c r="DC42" s="612"/>
      <c r="DD42" s="612"/>
      <c r="DE42" s="612"/>
      <c r="DF42" s="612"/>
      <c r="DG42" s="612"/>
      <c r="DH42" s="612"/>
      <c r="DI42" s="612"/>
      <c r="DJ42" s="612"/>
      <c r="DK42" s="612"/>
      <c r="DL42" s="612"/>
      <c r="DM42" s="612"/>
      <c r="DN42" s="612"/>
      <c r="DO42" s="612"/>
      <c r="DP42" s="612"/>
      <c r="DQ42" s="612"/>
      <c r="DR42" s="612"/>
      <c r="DS42" s="612"/>
      <c r="DT42" s="612"/>
      <c r="DU42" s="612"/>
      <c r="DV42" s="612"/>
      <c r="DW42" s="612"/>
      <c r="DX42" s="612"/>
      <c r="DY42" s="612"/>
      <c r="DZ42" s="612"/>
      <c r="EA42" s="612"/>
      <c r="EB42" s="612"/>
      <c r="EC42" s="612"/>
      <c r="ED42" s="612"/>
      <c r="EE42" s="612"/>
      <c r="EF42" s="612"/>
      <c r="EG42" s="612"/>
      <c r="EH42" s="612"/>
      <c r="EI42" s="612"/>
      <c r="EJ42" s="612"/>
      <c r="EK42" s="612"/>
      <c r="EL42" s="612"/>
      <c r="EM42" s="612"/>
      <c r="EN42" s="612"/>
      <c r="EO42" s="612"/>
      <c r="EP42" s="612"/>
      <c r="EQ42" s="612"/>
      <c r="ER42" s="612"/>
      <c r="ES42" s="612"/>
      <c r="ET42" s="612"/>
      <c r="EU42" s="612"/>
      <c r="EV42" s="612"/>
      <c r="EW42" s="612"/>
      <c r="EX42" s="612"/>
      <c r="EY42" s="612"/>
      <c r="EZ42" s="612"/>
      <c r="FA42" s="612"/>
      <c r="FB42" s="612"/>
      <c r="FC42" s="612"/>
      <c r="FD42" s="612"/>
      <c r="FE42" s="612"/>
      <c r="FF42" s="612"/>
      <c r="FG42" s="612"/>
      <c r="FH42" s="612"/>
      <c r="FI42" s="612"/>
      <c r="FJ42" s="612"/>
      <c r="FK42" s="612"/>
      <c r="FL42" s="612"/>
      <c r="FM42" s="612"/>
      <c r="FN42" s="612"/>
      <c r="FO42" s="612"/>
      <c r="FP42" s="612"/>
      <c r="FQ42" s="612"/>
      <c r="FR42" s="612"/>
      <c r="FS42" s="612"/>
      <c r="FT42" s="612"/>
      <c r="FU42" s="612"/>
      <c r="FV42" s="612"/>
      <c r="FW42" s="612"/>
      <c r="FX42" s="612"/>
      <c r="FY42" s="612"/>
      <c r="FZ42" s="612"/>
      <c r="GA42" s="612"/>
      <c r="GB42" s="612"/>
      <c r="GC42" s="612"/>
      <c r="GD42" s="612"/>
      <c r="GE42" s="245"/>
      <c r="GF42" s="612"/>
      <c r="GG42" s="612"/>
      <c r="GH42" s="612"/>
      <c r="GI42" s="612"/>
      <c r="GJ42" s="612"/>
      <c r="GK42" s="612"/>
      <c r="GL42" s="612"/>
      <c r="GM42" s="612"/>
      <c r="GN42" s="612"/>
      <c r="GO42" s="612"/>
      <c r="GP42" s="612"/>
      <c r="GQ42" s="612"/>
      <c r="GR42" s="612"/>
      <c r="GS42" s="612"/>
      <c r="GT42" s="612"/>
      <c r="GU42" s="612"/>
      <c r="GV42" s="612"/>
      <c r="GW42" s="612"/>
      <c r="GX42" s="612"/>
      <c r="GY42" s="612"/>
      <c r="GZ42" s="612"/>
      <c r="HA42" s="612"/>
      <c r="HB42" s="612"/>
      <c r="HC42" s="612"/>
      <c r="HD42" s="612"/>
      <c r="HE42" s="612"/>
      <c r="HF42" s="612"/>
      <c r="HG42" s="612"/>
      <c r="HH42" s="612"/>
      <c r="HI42" s="612"/>
      <c r="HJ42" s="612"/>
      <c r="HK42" s="612"/>
      <c r="HL42" s="612"/>
      <c r="HM42" s="612"/>
      <c r="HN42" s="612"/>
      <c r="HO42" s="612"/>
      <c r="HP42" s="612"/>
      <c r="HQ42" s="612"/>
      <c r="HR42" s="612"/>
      <c r="HS42" s="612"/>
      <c r="HT42" s="612"/>
      <c r="HU42" s="612"/>
      <c r="HV42" s="612"/>
      <c r="HW42" s="612"/>
      <c r="HX42" s="612"/>
      <c r="HY42" s="612"/>
      <c r="HZ42" s="612"/>
      <c r="IA42" s="612"/>
      <c r="IB42" s="612"/>
      <c r="IC42" s="612"/>
      <c r="ID42" s="612"/>
      <c r="IE42" s="612"/>
      <c r="IF42" s="612"/>
      <c r="IG42" s="612"/>
      <c r="IH42" s="612"/>
      <c r="II42" s="612"/>
    </row>
    <row r="43" spans="1:243" ht="15" customHeight="1">
      <c r="A43" s="72"/>
      <c r="B43" s="72"/>
      <c r="C43" s="72"/>
      <c r="D43" s="271" t="str">
        <f>IF(MasterSheet!$A$1=1,MasterSheet!C282,MasterSheet!B282)</f>
        <v>Neto zarade</v>
      </c>
      <c r="E43" s="316">
        <f>+'Cental Budget_int'!E56+'Local Government_int'!D62</f>
        <v>134916451.19</v>
      </c>
      <c r="F43" s="307">
        <f t="shared" si="0"/>
        <v>6.2783959788729113</v>
      </c>
      <c r="G43" s="316">
        <f>+'Cental Budget_int'!G56+'Local Government_int'!F62</f>
        <v>166140744.63000003</v>
      </c>
      <c r="H43" s="307">
        <f t="shared" si="1"/>
        <v>6.1981251494124239</v>
      </c>
      <c r="I43" s="316">
        <f>+'Cental Budget_int'!I56+'Local Government_int'!H62</f>
        <v>183073055.25</v>
      </c>
      <c r="J43" s="307">
        <f t="shared" si="2"/>
        <v>5.9331428328364018</v>
      </c>
      <c r="K43" s="316">
        <f>+'Cental Budget_int'!K56+'Local Government_int'!J62+'Local Government_int'!J61</f>
        <v>189706127.33193398</v>
      </c>
      <c r="L43" s="307">
        <f t="shared" si="3"/>
        <v>6.3638419098267018</v>
      </c>
      <c r="M43" s="316">
        <f>+'Cental Budget_int'!M56+'Local Government_int'!L62</f>
        <v>165721016.36000001</v>
      </c>
      <c r="N43" s="307">
        <f t="shared" si="4"/>
        <v>5.3389502693298976</v>
      </c>
      <c r="O43" s="316">
        <f>+'Cental Budget_int'!O56+'Local Government_int'!N62</f>
        <v>246910327.53999999</v>
      </c>
      <c r="P43" s="307">
        <f t="shared" si="5"/>
        <v>7.6348276914038333</v>
      </c>
      <c r="Q43" s="334">
        <f>+'Cental Budget_int'!Q56+'Local Government_int'!P62</f>
        <v>248679560.72000003</v>
      </c>
      <c r="R43" s="324">
        <f t="shared" si="6"/>
        <v>7.8970962438869492</v>
      </c>
      <c r="S43" s="334">
        <f>+'Cental Budget_int'!S56+'Local Government_int'!R62</f>
        <v>241271854.66</v>
      </c>
      <c r="T43" s="324">
        <f t="shared" si="7"/>
        <v>6.860160780779073</v>
      </c>
      <c r="U43" s="334">
        <f>+'Cental Budget_int'!U56+'Local Government_int'!T62</f>
        <v>241667320.53640002</v>
      </c>
      <c r="V43" s="324">
        <f t="shared" si="8"/>
        <v>6.8714051901165769</v>
      </c>
      <c r="W43" s="334">
        <f>+'Cental Budget_int'!W56+'Local Government_int'!V62</f>
        <v>395465.87640000135</v>
      </c>
      <c r="X43" s="513" t="e">
        <f t="shared" si="9"/>
        <v>#DIV/0!</v>
      </c>
      <c r="Y43" s="223"/>
      <c r="Z43" s="223"/>
      <c r="AA43" s="223"/>
      <c r="AB43" s="223"/>
      <c r="AC43" s="223"/>
      <c r="AD43" s="223"/>
      <c r="AE43" s="223"/>
      <c r="AF43" s="223"/>
      <c r="AG43" s="223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50"/>
      <c r="BA43" s="259"/>
      <c r="BB43" s="259"/>
      <c r="BC43" s="612"/>
      <c r="BD43" s="612"/>
      <c r="BE43" s="612"/>
      <c r="BF43" s="612"/>
      <c r="BG43" s="612"/>
      <c r="BH43" s="612"/>
      <c r="BI43" s="612"/>
      <c r="BJ43" s="612"/>
      <c r="BK43" s="612"/>
      <c r="BL43" s="612"/>
      <c r="BM43" s="612"/>
      <c r="BN43" s="612"/>
      <c r="BO43" s="612"/>
      <c r="BP43" s="612"/>
      <c r="BQ43" s="612"/>
      <c r="BR43" s="612"/>
      <c r="BS43" s="612"/>
      <c r="BT43" s="612"/>
      <c r="BU43" s="612"/>
      <c r="BV43" s="612"/>
      <c r="BW43" s="612"/>
      <c r="BX43" s="612"/>
      <c r="BY43" s="612"/>
      <c r="BZ43" s="612"/>
      <c r="CA43" s="612"/>
      <c r="CB43" s="612"/>
      <c r="CC43" s="612"/>
      <c r="CD43" s="612"/>
      <c r="CE43" s="612"/>
      <c r="CF43" s="612"/>
      <c r="CG43" s="612"/>
      <c r="CH43" s="612"/>
      <c r="CI43" s="612"/>
      <c r="CJ43" s="612"/>
      <c r="CK43" s="612"/>
      <c r="CL43" s="612"/>
      <c r="CM43" s="612"/>
      <c r="CN43" s="612"/>
      <c r="CO43" s="612"/>
      <c r="CP43" s="612"/>
      <c r="CQ43" s="612"/>
      <c r="CR43" s="612"/>
      <c r="CS43" s="612"/>
      <c r="CT43" s="612"/>
      <c r="CU43" s="612"/>
      <c r="CV43" s="612"/>
      <c r="CW43" s="612"/>
      <c r="CX43" s="612"/>
      <c r="CY43" s="612"/>
      <c r="CZ43" s="612"/>
      <c r="DA43" s="612"/>
      <c r="DB43" s="612"/>
      <c r="DC43" s="612"/>
      <c r="DD43" s="612"/>
      <c r="DE43" s="612"/>
      <c r="DF43" s="612"/>
      <c r="DG43" s="612"/>
      <c r="DH43" s="612"/>
      <c r="DI43" s="612"/>
      <c r="DJ43" s="612"/>
      <c r="DK43" s="612"/>
      <c r="DL43" s="612"/>
      <c r="DM43" s="612"/>
      <c r="DN43" s="612"/>
      <c r="DO43" s="612"/>
      <c r="DP43" s="612"/>
      <c r="DQ43" s="612"/>
      <c r="DR43" s="612"/>
      <c r="DS43" s="612"/>
      <c r="DT43" s="612"/>
      <c r="DU43" s="612"/>
      <c r="DV43" s="612"/>
      <c r="DW43" s="612"/>
      <c r="DX43" s="612"/>
      <c r="DY43" s="612"/>
      <c r="DZ43" s="612"/>
      <c r="EA43" s="612"/>
      <c r="EB43" s="612"/>
      <c r="EC43" s="612"/>
      <c r="ED43" s="612"/>
      <c r="EE43" s="612"/>
      <c r="EF43" s="612"/>
      <c r="EG43" s="612"/>
      <c r="EH43" s="612"/>
      <c r="EI43" s="612"/>
      <c r="EJ43" s="612"/>
      <c r="EK43" s="260"/>
      <c r="EL43" s="260"/>
      <c r="EM43" s="260"/>
      <c r="EN43" s="612"/>
      <c r="EO43" s="612"/>
      <c r="EP43" s="612"/>
      <c r="EQ43" s="612"/>
      <c r="ER43" s="612"/>
      <c r="ES43" s="612"/>
      <c r="ET43" s="612"/>
      <c r="EU43" s="612"/>
      <c r="EV43" s="612"/>
      <c r="EW43" s="612"/>
      <c r="EX43" s="612"/>
      <c r="EY43" s="612"/>
      <c r="EZ43" s="612"/>
      <c r="FA43" s="612"/>
      <c r="FB43" s="612"/>
      <c r="FC43" s="612"/>
      <c r="FD43" s="612"/>
      <c r="FE43" s="612"/>
      <c r="FF43" s="612"/>
      <c r="FG43" s="612"/>
      <c r="FH43" s="612"/>
      <c r="FI43" s="612"/>
      <c r="FJ43" s="612"/>
      <c r="FK43" s="612"/>
      <c r="FL43" s="612"/>
      <c r="FM43" s="612"/>
      <c r="FN43" s="612"/>
      <c r="FO43" s="612"/>
      <c r="FP43" s="612"/>
      <c r="FQ43" s="612"/>
      <c r="FR43" s="612"/>
      <c r="FS43" s="612"/>
      <c r="FT43" s="612"/>
      <c r="FU43" s="612"/>
      <c r="FV43" s="612"/>
      <c r="FW43" s="612"/>
      <c r="FX43" s="612"/>
      <c r="FY43" s="612"/>
      <c r="FZ43" s="612"/>
      <c r="GA43" s="612"/>
      <c r="GB43" s="612"/>
      <c r="GC43" s="612"/>
      <c r="GD43" s="612"/>
      <c r="GE43" s="245"/>
      <c r="GF43" s="612"/>
      <c r="GG43" s="612"/>
      <c r="GH43" s="612"/>
      <c r="GI43" s="612"/>
      <c r="GJ43" s="612"/>
      <c r="GK43" s="612"/>
      <c r="GL43" s="612"/>
      <c r="GM43" s="612"/>
      <c r="GN43" s="612"/>
      <c r="GO43" s="612"/>
      <c r="GP43" s="612"/>
      <c r="GQ43" s="612"/>
      <c r="GR43" s="612"/>
      <c r="GS43" s="612"/>
      <c r="GT43" s="612"/>
      <c r="GU43" s="612"/>
      <c r="GV43" s="612"/>
      <c r="GW43" s="612"/>
      <c r="GX43" s="612"/>
      <c r="GY43" s="612"/>
      <c r="GZ43" s="612"/>
      <c r="HA43" s="612"/>
      <c r="HB43" s="612"/>
      <c r="HC43" s="612"/>
      <c r="HD43" s="612"/>
      <c r="HE43" s="612"/>
      <c r="HF43" s="612"/>
      <c r="HG43" s="612"/>
      <c r="HH43" s="612"/>
      <c r="HI43" s="612"/>
      <c r="HJ43" s="612"/>
      <c r="HK43" s="612"/>
      <c r="HL43" s="612"/>
      <c r="HM43" s="612"/>
      <c r="HN43" s="612"/>
      <c r="HO43" s="612"/>
      <c r="HP43" s="612"/>
      <c r="HQ43" s="612"/>
      <c r="HR43" s="612"/>
      <c r="HS43" s="612"/>
      <c r="HT43" s="612"/>
      <c r="HU43" s="612"/>
      <c r="HV43" s="612"/>
      <c r="HW43" s="612"/>
      <c r="HX43" s="612"/>
      <c r="HY43" s="612"/>
      <c r="HZ43" s="612"/>
      <c r="IA43" s="612"/>
      <c r="IB43" s="612"/>
      <c r="IC43" s="612"/>
      <c r="ID43" s="612"/>
      <c r="IE43" s="612"/>
      <c r="IF43" s="612"/>
      <c r="IG43" s="612"/>
      <c r="IH43" s="612"/>
      <c r="II43" s="612"/>
    </row>
    <row r="44" spans="1:243" ht="15" customHeight="1">
      <c r="A44" s="72"/>
      <c r="B44" s="72"/>
      <c r="C44" s="72"/>
      <c r="D44" s="271" t="str">
        <f>IF(MasterSheet!$A$1=1,MasterSheet!C283,MasterSheet!B283)</f>
        <v>Porez na zarade</v>
      </c>
      <c r="E44" s="316">
        <f>+'Cental Budget_int'!E57+'Local Government_int'!D63</f>
        <v>27412477.509999998</v>
      </c>
      <c r="F44" s="307">
        <f t="shared" si="0"/>
        <v>1.2756516129182371</v>
      </c>
      <c r="G44" s="316">
        <f>+'Cental Budget_int'!G57+'Local Government_int'!F63</f>
        <v>30275620.010000002</v>
      </c>
      <c r="H44" s="307">
        <f t="shared" si="1"/>
        <v>1.1294765905614625</v>
      </c>
      <c r="I44" s="316">
        <f>+'Cental Budget_int'!I57+'Local Government_int'!H63</f>
        <v>33546755.710000001</v>
      </c>
      <c r="J44" s="307">
        <f t="shared" si="2"/>
        <v>1.0872036462924553</v>
      </c>
      <c r="K44" s="316">
        <f>+'Cental Budget_int'!K57+'Local Government_int'!J63</f>
        <v>27786106.092939563</v>
      </c>
      <c r="L44" s="307">
        <f t="shared" si="3"/>
        <v>0.93210688000468167</v>
      </c>
      <c r="M44" s="316">
        <f>+'Cental Budget_int'!M57+'Local Government_int'!L63</f>
        <v>22646761.260000002</v>
      </c>
      <c r="N44" s="307">
        <f t="shared" si="4"/>
        <v>0.72959926739690728</v>
      </c>
      <c r="O44" s="316">
        <f>+'Cental Budget_int'!O57+'Local Government_int'!N63</f>
        <v>30624320.870000001</v>
      </c>
      <c r="P44" s="307">
        <f t="shared" si="5"/>
        <v>0.94694869727891162</v>
      </c>
      <c r="Q44" s="334">
        <f>+'Cental Budget_int'!Q57+'Local Government_int'!P63</f>
        <v>30921648.549999997</v>
      </c>
      <c r="R44" s="324">
        <f t="shared" si="6"/>
        <v>0.98195136710066666</v>
      </c>
      <c r="S44" s="334">
        <f>+'Cental Budget_int'!S57+'Local Government_int'!R63</f>
        <v>31123661.967500001</v>
      </c>
      <c r="T44" s="324">
        <f t="shared" si="7"/>
        <v>0.8849491602928633</v>
      </c>
      <c r="U44" s="334">
        <f>+'Cental Budget_int'!U57+'Local Government_int'!T63</f>
        <v>31147626.028250001</v>
      </c>
      <c r="V44" s="324">
        <f t="shared" si="8"/>
        <v>0.88563053819306226</v>
      </c>
      <c r="W44" s="334">
        <f>+'Cental Budget_int'!W57+'Local Government_int'!V63</f>
        <v>23964.060749999946</v>
      </c>
      <c r="X44" s="513" t="e">
        <f t="shared" si="9"/>
        <v>#DIV/0!</v>
      </c>
      <c r="Y44" s="223"/>
      <c r="Z44" s="223"/>
      <c r="AA44" s="223"/>
      <c r="AB44" s="223"/>
      <c r="AC44" s="223"/>
      <c r="AD44" s="223"/>
      <c r="AE44" s="223"/>
      <c r="AF44" s="223"/>
      <c r="AG44" s="223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50"/>
      <c r="BA44" s="259"/>
      <c r="BB44" s="259"/>
      <c r="BC44" s="612"/>
      <c r="BD44" s="612"/>
      <c r="BE44" s="612"/>
      <c r="BF44" s="612"/>
      <c r="BG44" s="612"/>
      <c r="BH44" s="612"/>
      <c r="BI44" s="612"/>
      <c r="BJ44" s="612"/>
      <c r="BK44" s="612"/>
      <c r="BL44" s="612"/>
      <c r="BM44" s="612"/>
      <c r="BN44" s="612"/>
      <c r="BO44" s="612"/>
      <c r="BP44" s="612"/>
      <c r="BQ44" s="612"/>
      <c r="BR44" s="612"/>
      <c r="BS44" s="612"/>
      <c r="BT44" s="612"/>
      <c r="BU44" s="612"/>
      <c r="BV44" s="612"/>
      <c r="BW44" s="612"/>
      <c r="BX44" s="612"/>
      <c r="BY44" s="612"/>
      <c r="BZ44" s="612"/>
      <c r="CA44" s="612"/>
      <c r="CB44" s="612"/>
      <c r="CC44" s="612"/>
      <c r="CD44" s="612"/>
      <c r="CE44" s="612"/>
      <c r="CF44" s="612"/>
      <c r="CG44" s="612"/>
      <c r="CH44" s="612"/>
      <c r="CI44" s="612"/>
      <c r="CJ44" s="612"/>
      <c r="CK44" s="612"/>
      <c r="CL44" s="612"/>
      <c r="CM44" s="612"/>
      <c r="CN44" s="612"/>
      <c r="CO44" s="612"/>
      <c r="CP44" s="612"/>
      <c r="CQ44" s="612"/>
      <c r="CR44" s="612"/>
      <c r="CS44" s="612"/>
      <c r="CT44" s="612"/>
      <c r="CU44" s="612"/>
      <c r="CV44" s="612"/>
      <c r="CW44" s="612"/>
      <c r="CX44" s="612"/>
      <c r="CY44" s="612"/>
      <c r="CZ44" s="612"/>
      <c r="DA44" s="612"/>
      <c r="DB44" s="612"/>
      <c r="DC44" s="612"/>
      <c r="DD44" s="612"/>
      <c r="DE44" s="612"/>
      <c r="DF44" s="612"/>
      <c r="DG44" s="612"/>
      <c r="DH44" s="612"/>
      <c r="DI44" s="612"/>
      <c r="DJ44" s="612"/>
      <c r="DK44" s="612"/>
      <c r="DL44" s="612"/>
      <c r="DM44" s="612"/>
      <c r="DN44" s="612"/>
      <c r="DO44" s="612"/>
      <c r="DP44" s="612"/>
      <c r="DQ44" s="612"/>
      <c r="DR44" s="612"/>
      <c r="DS44" s="612"/>
      <c r="DT44" s="612"/>
      <c r="DU44" s="612"/>
      <c r="DV44" s="612"/>
      <c r="DW44" s="612"/>
      <c r="DX44" s="612"/>
      <c r="DY44" s="612"/>
      <c r="DZ44" s="612"/>
      <c r="EA44" s="612"/>
      <c r="EB44" s="612"/>
      <c r="EC44" s="612"/>
      <c r="ED44" s="2"/>
      <c r="EE44" s="612"/>
      <c r="EF44" s="612"/>
      <c r="EG44" s="612"/>
      <c r="EH44" s="612"/>
      <c r="EI44" s="612"/>
      <c r="EJ44" s="612"/>
      <c r="EK44" s="260"/>
      <c r="EL44" s="260"/>
      <c r="EM44" s="260"/>
      <c r="EN44" s="612"/>
      <c r="EO44" s="612"/>
      <c r="EP44" s="612"/>
      <c r="EQ44" s="612"/>
      <c r="ER44" s="612"/>
      <c r="ES44" s="612"/>
      <c r="ET44" s="612"/>
      <c r="EU44" s="612"/>
      <c r="EV44" s="612"/>
      <c r="EW44" s="612"/>
      <c r="EX44" s="612"/>
      <c r="EY44" s="612"/>
      <c r="EZ44" s="612"/>
      <c r="FA44" s="612"/>
      <c r="FB44" s="612"/>
      <c r="FC44" s="612"/>
      <c r="FD44" s="612"/>
      <c r="FE44" s="612"/>
      <c r="FF44" s="612"/>
      <c r="FG44" s="612"/>
      <c r="FH44" s="612"/>
      <c r="FI44" s="612"/>
      <c r="FJ44" s="612"/>
      <c r="FK44" s="612"/>
      <c r="FL44" s="612"/>
      <c r="FM44" s="612"/>
      <c r="FN44" s="612"/>
      <c r="FO44" s="612"/>
      <c r="FP44" s="612"/>
      <c r="FQ44" s="612"/>
      <c r="FR44" s="612"/>
      <c r="FS44" s="612"/>
      <c r="FT44" s="612"/>
      <c r="FU44" s="612"/>
      <c r="FV44" s="612"/>
      <c r="FW44" s="612"/>
      <c r="FX44" s="612"/>
      <c r="FY44" s="612"/>
      <c r="FZ44" s="612"/>
      <c r="GA44" s="612"/>
      <c r="GB44" s="612"/>
      <c r="GC44" s="612"/>
      <c r="GD44" s="612"/>
      <c r="GE44" s="245"/>
      <c r="GF44" s="612"/>
      <c r="GG44" s="612"/>
      <c r="GH44" s="612"/>
      <c r="GI44" s="612"/>
      <c r="GJ44" s="612"/>
      <c r="GK44" s="612"/>
      <c r="GL44" s="612"/>
      <c r="GM44" s="612"/>
      <c r="GN44" s="612"/>
      <c r="GO44" s="612"/>
      <c r="GP44" s="612"/>
      <c r="GQ44" s="612"/>
      <c r="GR44" s="612"/>
      <c r="GS44" s="612"/>
      <c r="GT44" s="612"/>
      <c r="GU44" s="612"/>
      <c r="GV44" s="612"/>
      <c r="GW44" s="612"/>
      <c r="GX44" s="612"/>
      <c r="GY44" s="612"/>
      <c r="GZ44" s="612"/>
      <c r="HA44" s="612"/>
      <c r="HB44" s="612"/>
      <c r="HC44" s="612"/>
      <c r="HD44" s="612"/>
      <c r="HE44" s="612"/>
      <c r="HF44" s="612"/>
      <c r="HG44" s="612"/>
      <c r="HH44" s="612"/>
      <c r="HI44" s="612"/>
      <c r="HJ44" s="612"/>
      <c r="HK44" s="612"/>
      <c r="HL44" s="612"/>
      <c r="HM44" s="612"/>
      <c r="HN44" s="612"/>
      <c r="HO44" s="612"/>
      <c r="HP44" s="612"/>
      <c r="HQ44" s="612"/>
      <c r="HR44" s="612"/>
      <c r="HS44" s="612"/>
      <c r="HT44" s="612"/>
      <c r="HU44" s="612"/>
      <c r="HV44" s="612"/>
      <c r="HW44" s="612"/>
      <c r="HX44" s="612"/>
      <c r="HY44" s="612"/>
      <c r="HZ44" s="612"/>
      <c r="IA44" s="612"/>
      <c r="IB44" s="612"/>
      <c r="IC44" s="612"/>
      <c r="ID44" s="612"/>
      <c r="IE44" s="612"/>
      <c r="IF44" s="612"/>
      <c r="IG44" s="612"/>
      <c r="IH44" s="612"/>
      <c r="II44" s="612"/>
    </row>
    <row r="45" spans="1:243" ht="15" customHeight="1">
      <c r="A45" s="72"/>
      <c r="B45" s="72"/>
      <c r="C45" s="72"/>
      <c r="D45" s="271" t="str">
        <f>IF(MasterSheet!$A$1=1,MasterSheet!C284,MasterSheet!B284)</f>
        <v>Doprinosi na teret zaposlenog</v>
      </c>
      <c r="E45" s="316">
        <f>+'Cental Budget_int'!E58+'Local Government_int'!D64</f>
        <v>35241527.969999999</v>
      </c>
      <c r="F45" s="307">
        <f t="shared" si="0"/>
        <v>1.6399798952952671</v>
      </c>
      <c r="G45" s="316">
        <f>+'Cental Budget_int'!G58+'Local Government_int'!F64</f>
        <v>45211241.74000001</v>
      </c>
      <c r="H45" s="307">
        <f t="shared" si="1"/>
        <v>1.6866719544861037</v>
      </c>
      <c r="I45" s="316">
        <f>+'Cental Budget_int'!I58+'Local Government_int'!H64</f>
        <v>47856829.879999995</v>
      </c>
      <c r="J45" s="307">
        <f t="shared" si="2"/>
        <v>1.550973226600985</v>
      </c>
      <c r="K45" s="316">
        <f>+'Cental Budget_int'!K58+'Local Government_int'!J64</f>
        <v>39675992.256736048</v>
      </c>
      <c r="L45" s="307">
        <f t="shared" si="3"/>
        <v>1.33096250441919</v>
      </c>
      <c r="M45" s="316">
        <f>+'Cental Budget_int'!M58+'Local Government_int'!L64</f>
        <v>59935832.810000002</v>
      </c>
      <c r="N45" s="307">
        <f t="shared" si="4"/>
        <v>1.9309224487757732</v>
      </c>
      <c r="O45" s="316">
        <f>+'Cental Budget_int'!O58+'Local Government_int'!N64</f>
        <v>79769891.689999998</v>
      </c>
      <c r="P45" s="307">
        <f t="shared" si="5"/>
        <v>2.4666014746444032</v>
      </c>
      <c r="Q45" s="334">
        <f>+'Cental Budget_int'!Q58+'Local Government_int'!P64</f>
        <v>81032368.249999985</v>
      </c>
      <c r="R45" s="324">
        <f t="shared" si="6"/>
        <v>2.5732730469990468</v>
      </c>
      <c r="S45" s="334">
        <f>+'Cental Budget_int'!S58+'Local Government_int'!R64</f>
        <v>78874828.403750002</v>
      </c>
      <c r="T45" s="324">
        <f t="shared" si="7"/>
        <v>2.2426735400554452</v>
      </c>
      <c r="U45" s="334">
        <f>+'Cental Budget_int'!U58+'Local Government_int'!T64</f>
        <v>78932354.917025</v>
      </c>
      <c r="V45" s="324">
        <f t="shared" si="8"/>
        <v>2.2443092100376743</v>
      </c>
      <c r="W45" s="334">
        <f>+'Cental Budget_int'!W58+'Local Government_int'!V64</f>
        <v>57526.513275000267</v>
      </c>
      <c r="X45" s="513" t="e">
        <f t="shared" si="9"/>
        <v>#DIV/0!</v>
      </c>
      <c r="Y45" s="223"/>
      <c r="Z45" s="223"/>
      <c r="AA45" s="223"/>
      <c r="AB45" s="223"/>
      <c r="AC45" s="223"/>
      <c r="AD45" s="223"/>
      <c r="AE45" s="223"/>
      <c r="AF45" s="223"/>
      <c r="AG45" s="223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50"/>
      <c r="BA45" s="259"/>
      <c r="BB45" s="259"/>
      <c r="BC45" s="612"/>
      <c r="BD45" s="612"/>
      <c r="BE45" s="612"/>
      <c r="BF45" s="612"/>
      <c r="BG45" s="612"/>
      <c r="BH45" s="612"/>
      <c r="BI45" s="612"/>
      <c r="BJ45" s="612"/>
      <c r="BK45" s="612"/>
      <c r="BL45" s="612"/>
      <c r="BM45" s="612"/>
      <c r="BN45" s="612"/>
      <c r="BO45" s="612"/>
      <c r="BP45" s="612"/>
      <c r="BQ45" s="612"/>
      <c r="BR45" s="612"/>
      <c r="BS45" s="612"/>
      <c r="BT45" s="612"/>
      <c r="BU45" s="612"/>
      <c r="BV45" s="612"/>
      <c r="BW45" s="612"/>
      <c r="BX45" s="612"/>
      <c r="BY45" s="612"/>
      <c r="BZ45" s="612"/>
      <c r="CA45" s="612"/>
      <c r="CB45" s="612"/>
      <c r="CC45" s="612"/>
      <c r="CD45" s="612"/>
      <c r="CE45" s="612"/>
      <c r="CF45" s="612"/>
      <c r="CG45" s="612"/>
      <c r="CH45" s="612"/>
      <c r="CI45" s="612"/>
      <c r="CJ45" s="612"/>
      <c r="CK45" s="612"/>
      <c r="CL45" s="612"/>
      <c r="CM45" s="612"/>
      <c r="CN45" s="612"/>
      <c r="CO45" s="612"/>
      <c r="CP45" s="612"/>
      <c r="CQ45" s="612"/>
      <c r="CR45" s="612"/>
      <c r="CS45" s="612"/>
      <c r="CT45" s="612"/>
      <c r="CU45" s="612"/>
      <c r="CV45" s="612"/>
      <c r="CW45" s="612"/>
      <c r="CX45" s="612"/>
      <c r="CY45" s="612"/>
      <c r="CZ45" s="612"/>
      <c r="DA45" s="612"/>
      <c r="DB45" s="612"/>
      <c r="DC45" s="612"/>
      <c r="DD45" s="612"/>
      <c r="DE45" s="612"/>
      <c r="DF45" s="612"/>
      <c r="DG45" s="612"/>
      <c r="DH45" s="612"/>
      <c r="DI45" s="612"/>
      <c r="DJ45" s="612"/>
      <c r="DK45" s="612"/>
      <c r="DL45" s="612"/>
      <c r="DM45" s="612"/>
      <c r="DN45" s="612"/>
      <c r="DO45" s="612"/>
      <c r="DP45" s="612"/>
      <c r="DQ45" s="612"/>
      <c r="DR45" s="612"/>
      <c r="DS45" s="612"/>
      <c r="DT45" s="612"/>
      <c r="DU45" s="612"/>
      <c r="DV45" s="612"/>
      <c r="DW45" s="612"/>
      <c r="DX45" s="612"/>
      <c r="DY45" s="612"/>
      <c r="DZ45" s="612"/>
      <c r="EA45" s="612"/>
      <c r="EB45" s="612"/>
      <c r="EC45" s="612"/>
      <c r="ED45" s="612"/>
      <c r="EE45" s="612"/>
      <c r="EF45" s="612"/>
      <c r="EG45" s="612"/>
      <c r="EH45" s="612"/>
      <c r="EI45" s="612"/>
      <c r="EJ45" s="612"/>
      <c r="EK45" s="260"/>
      <c r="EL45" s="260"/>
      <c r="EM45" s="260"/>
      <c r="EN45" s="612"/>
      <c r="EO45" s="612"/>
      <c r="EP45" s="612"/>
      <c r="EQ45" s="612"/>
      <c r="ER45" s="612"/>
      <c r="ES45" s="612"/>
      <c r="ET45" s="612"/>
      <c r="EU45" s="612"/>
      <c r="EV45" s="612"/>
      <c r="EW45" s="612"/>
      <c r="EX45" s="612"/>
      <c r="EY45" s="612"/>
      <c r="EZ45" s="612"/>
      <c r="FA45" s="612"/>
      <c r="FB45" s="612"/>
      <c r="FC45" s="612"/>
      <c r="FD45" s="612"/>
      <c r="FE45" s="612"/>
      <c r="FF45" s="612"/>
      <c r="FG45" s="612"/>
      <c r="FH45" s="612"/>
      <c r="FI45" s="612"/>
      <c r="FJ45" s="612"/>
      <c r="FK45" s="612"/>
      <c r="FL45" s="612"/>
      <c r="FM45" s="612"/>
      <c r="FN45" s="612"/>
      <c r="FO45" s="612"/>
      <c r="FP45" s="612"/>
      <c r="FQ45" s="612"/>
      <c r="FR45" s="612"/>
      <c r="FS45" s="612"/>
      <c r="FT45" s="612"/>
      <c r="FU45" s="612"/>
      <c r="FV45" s="612"/>
      <c r="FW45" s="612"/>
      <c r="FX45" s="612"/>
      <c r="FY45" s="612"/>
      <c r="FZ45" s="612"/>
      <c r="GA45" s="612"/>
      <c r="GB45" s="612"/>
      <c r="GC45" s="612"/>
      <c r="GD45" s="612"/>
      <c r="GE45" s="245"/>
      <c r="GF45" s="612"/>
      <c r="GG45" s="612"/>
      <c r="GH45" s="612"/>
      <c r="GI45" s="612"/>
      <c r="GJ45" s="612"/>
      <c r="GK45" s="612"/>
      <c r="GL45" s="612"/>
      <c r="GM45" s="612"/>
      <c r="GN45" s="612"/>
      <c r="GO45" s="612"/>
      <c r="GP45" s="612"/>
      <c r="GQ45" s="612"/>
      <c r="GR45" s="612"/>
      <c r="GS45" s="612"/>
      <c r="GT45" s="612"/>
      <c r="GU45" s="612"/>
      <c r="GV45" s="612"/>
      <c r="GW45" s="612"/>
      <c r="GX45" s="612"/>
      <c r="GY45" s="612"/>
      <c r="GZ45" s="612"/>
      <c r="HA45" s="612"/>
      <c r="HB45" s="612"/>
      <c r="HC45" s="612"/>
      <c r="HD45" s="612"/>
      <c r="HE45" s="612"/>
      <c r="HF45" s="612"/>
      <c r="HG45" s="612"/>
      <c r="HH45" s="612"/>
      <c r="HI45" s="612"/>
      <c r="HJ45" s="612"/>
      <c r="HK45" s="612"/>
      <c r="HL45" s="612"/>
      <c r="HM45" s="612"/>
      <c r="HN45" s="612"/>
      <c r="HO45" s="612"/>
      <c r="HP45" s="612"/>
      <c r="HQ45" s="612"/>
      <c r="HR45" s="612"/>
      <c r="HS45" s="612"/>
      <c r="HT45" s="612"/>
      <c r="HU45" s="612"/>
      <c r="HV45" s="612"/>
      <c r="HW45" s="612"/>
      <c r="HX45" s="612"/>
      <c r="HY45" s="612"/>
      <c r="HZ45" s="612"/>
      <c r="IA45" s="612"/>
      <c r="IB45" s="612"/>
      <c r="IC45" s="612"/>
      <c r="ID45" s="612"/>
      <c r="IE45" s="612"/>
      <c r="IF45" s="612"/>
      <c r="IG45" s="612"/>
      <c r="IH45" s="612"/>
      <c r="II45" s="612"/>
    </row>
    <row r="46" spans="1:243" ht="15" customHeight="1">
      <c r="A46" s="72"/>
      <c r="B46" s="72"/>
      <c r="C46" s="72"/>
      <c r="D46" s="271" t="str">
        <f>IF(MasterSheet!$A$1=1,MasterSheet!C285,MasterSheet!B285)</f>
        <v>Doprinosi na teret poslodavca</v>
      </c>
      <c r="E46" s="316">
        <f>+'Cental Budget_int'!E59+'Local Government_int'!D65</f>
        <v>32666770.049799997</v>
      </c>
      <c r="F46" s="307">
        <f t="shared" si="0"/>
        <v>1.52016241099167</v>
      </c>
      <c r="G46" s="316">
        <f>+'Cental Budget_int'!G59+'Local Government_int'!F65</f>
        <v>41792523.730000004</v>
      </c>
      <c r="H46" s="307">
        <f t="shared" si="1"/>
        <v>1.5591316444693157</v>
      </c>
      <c r="I46" s="316">
        <f>+'Cental Budget_int'!I59+'Local Government_int'!H65</f>
        <v>45905782.490000002</v>
      </c>
      <c r="J46" s="307">
        <f t="shared" si="2"/>
        <v>1.4877424970832254</v>
      </c>
      <c r="K46" s="316">
        <f>+'Cental Budget_int'!K59+'Local Government_int'!J65</f>
        <v>38622888.658217676</v>
      </c>
      <c r="L46" s="307">
        <f t="shared" si="3"/>
        <v>1.2956353122515154</v>
      </c>
      <c r="M46" s="316">
        <f>+'Cental Budget_int'!M59+'Local Government_int'!L65</f>
        <v>32139632.719999999</v>
      </c>
      <c r="N46" s="307">
        <f t="shared" si="4"/>
        <v>1.0354263118556699</v>
      </c>
      <c r="O46" s="316">
        <f>+'Cental Budget_int'!O59+'Local Government_int'!N65</f>
        <v>42311333.369999997</v>
      </c>
      <c r="P46" s="307">
        <f t="shared" si="5"/>
        <v>1.3083281808905378</v>
      </c>
      <c r="Q46" s="334">
        <f>+'Cental Budget_int'!Q59+'Local Government_int'!P65</f>
        <v>42714348.300000004</v>
      </c>
      <c r="R46" s="324">
        <f t="shared" si="6"/>
        <v>1.3564416735471581</v>
      </c>
      <c r="S46" s="334">
        <f>+'Cental Budget_int'!S59+'Local Government_int'!R65</f>
        <v>41779242.094999999</v>
      </c>
      <c r="T46" s="324">
        <f t="shared" si="7"/>
        <v>1.1879227209269263</v>
      </c>
      <c r="U46" s="334">
        <f>+'Cental Budget_int'!U59+'Local Government_int'!T65</f>
        <v>41806839.3059</v>
      </c>
      <c r="V46" s="324">
        <f t="shared" si="8"/>
        <v>1.1887074013619561</v>
      </c>
      <c r="W46" s="334">
        <f>+'Cental Budget_int'!W59+'Local Government_int'!V65</f>
        <v>27597.210900000064</v>
      </c>
      <c r="X46" s="513" t="e">
        <f t="shared" si="9"/>
        <v>#DIV/0!</v>
      </c>
      <c r="Y46" s="223"/>
      <c r="Z46" s="223"/>
      <c r="AA46" s="223"/>
      <c r="AB46" s="223"/>
      <c r="AC46" s="223"/>
      <c r="AD46" s="223"/>
      <c r="AE46" s="223"/>
      <c r="AF46" s="223"/>
      <c r="AG46" s="223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50"/>
      <c r="BA46" s="259"/>
      <c r="BB46" s="259"/>
      <c r="BC46" s="612"/>
      <c r="BD46" s="612"/>
      <c r="BE46" s="612"/>
      <c r="BF46" s="612"/>
      <c r="BG46" s="612"/>
      <c r="BH46" s="612"/>
      <c r="BI46" s="612"/>
      <c r="BJ46" s="612"/>
      <c r="BK46" s="612"/>
      <c r="BL46" s="612"/>
      <c r="BM46" s="612"/>
      <c r="BN46" s="612"/>
      <c r="BO46" s="612"/>
      <c r="BP46" s="612"/>
      <c r="BQ46" s="612"/>
      <c r="BR46" s="612"/>
      <c r="BS46" s="612"/>
      <c r="BT46" s="612"/>
      <c r="BU46" s="612"/>
      <c r="BV46" s="612"/>
      <c r="BW46" s="612"/>
      <c r="BX46" s="612"/>
      <c r="BY46" s="612"/>
      <c r="BZ46" s="612"/>
      <c r="CA46" s="612"/>
      <c r="CB46" s="612"/>
      <c r="CC46" s="612"/>
      <c r="CD46" s="612"/>
      <c r="CE46" s="612"/>
      <c r="CF46" s="612"/>
      <c r="CG46" s="612"/>
      <c r="CH46" s="612"/>
      <c r="CI46" s="612"/>
      <c r="CJ46" s="612"/>
      <c r="CK46" s="612"/>
      <c r="CL46" s="612"/>
      <c r="CM46" s="612"/>
      <c r="CN46" s="612"/>
      <c r="CO46" s="612"/>
      <c r="CP46" s="612"/>
      <c r="CQ46" s="612"/>
      <c r="CR46" s="612"/>
      <c r="CS46" s="612"/>
      <c r="CT46" s="612"/>
      <c r="CU46" s="612"/>
      <c r="CV46" s="612"/>
      <c r="CW46" s="612"/>
      <c r="CX46" s="612"/>
      <c r="CY46" s="612"/>
      <c r="CZ46" s="612"/>
      <c r="DA46" s="612"/>
      <c r="DB46" s="612"/>
      <c r="DC46" s="612"/>
      <c r="DD46" s="612"/>
      <c r="DE46" s="612"/>
      <c r="DF46" s="612"/>
      <c r="DG46" s="612"/>
      <c r="DH46" s="612"/>
      <c r="DI46" s="612"/>
      <c r="DJ46" s="612"/>
      <c r="DK46" s="612"/>
      <c r="DL46" s="612"/>
      <c r="DM46" s="612"/>
      <c r="DN46" s="612"/>
      <c r="DO46" s="612"/>
      <c r="DP46" s="612"/>
      <c r="DQ46" s="612"/>
      <c r="DR46" s="612"/>
      <c r="DS46" s="612"/>
      <c r="DT46" s="612"/>
      <c r="DU46" s="612"/>
      <c r="DV46" s="612"/>
      <c r="DW46" s="612"/>
      <c r="DX46" s="612"/>
      <c r="DY46" s="612"/>
      <c r="DZ46" s="612"/>
      <c r="EA46" s="612"/>
      <c r="EB46" s="612"/>
      <c r="EC46" s="612"/>
      <c r="ED46" s="612"/>
      <c r="EE46" s="612"/>
      <c r="EF46" s="612"/>
      <c r="EG46" s="612"/>
      <c r="EH46" s="612"/>
      <c r="EI46" s="612"/>
      <c r="EJ46" s="612"/>
      <c r="EK46" s="260"/>
      <c r="EL46" s="260"/>
      <c r="EM46" s="260"/>
      <c r="EN46" s="612"/>
      <c r="EO46" s="612"/>
      <c r="EP46" s="612"/>
      <c r="EQ46" s="612"/>
      <c r="ER46" s="612"/>
      <c r="ES46" s="612"/>
      <c r="ET46" s="612"/>
      <c r="EU46" s="612"/>
      <c r="EV46" s="612"/>
      <c r="EW46" s="612"/>
      <c r="EX46" s="612"/>
      <c r="EY46" s="612"/>
      <c r="EZ46" s="612"/>
      <c r="FA46" s="612"/>
      <c r="FB46" s="612"/>
      <c r="FC46" s="612"/>
      <c r="FD46" s="612"/>
      <c r="FE46" s="612"/>
      <c r="FF46" s="612"/>
      <c r="FG46" s="612"/>
      <c r="FH46" s="612"/>
      <c r="FI46" s="612"/>
      <c r="FJ46" s="612"/>
      <c r="FK46" s="612"/>
      <c r="FL46" s="612"/>
      <c r="FM46" s="612"/>
      <c r="FN46" s="612"/>
      <c r="FO46" s="612"/>
      <c r="FP46" s="612"/>
      <c r="FQ46" s="612"/>
      <c r="FR46" s="612"/>
      <c r="FS46" s="612"/>
      <c r="FT46" s="612"/>
      <c r="FU46" s="612"/>
      <c r="FV46" s="612"/>
      <c r="FW46" s="612"/>
      <c r="FX46" s="612"/>
      <c r="FY46" s="612"/>
      <c r="FZ46" s="612"/>
      <c r="GA46" s="612"/>
      <c r="GB46" s="612"/>
      <c r="GC46" s="612"/>
      <c r="GD46" s="612"/>
      <c r="GE46" s="245"/>
      <c r="GF46" s="612"/>
      <c r="GG46" s="612"/>
      <c r="GH46" s="612"/>
      <c r="GI46" s="612"/>
      <c r="GJ46" s="612"/>
      <c r="GK46" s="612"/>
      <c r="GL46" s="612"/>
      <c r="GM46" s="612"/>
      <c r="GN46" s="612"/>
      <c r="GO46" s="612"/>
      <c r="GP46" s="612"/>
      <c r="GQ46" s="612"/>
      <c r="GR46" s="612"/>
      <c r="GS46" s="612"/>
      <c r="GT46" s="612"/>
      <c r="GU46" s="612"/>
      <c r="GV46" s="612"/>
      <c r="GW46" s="612"/>
      <c r="GX46" s="612"/>
      <c r="GY46" s="612"/>
      <c r="GZ46" s="612"/>
      <c r="HA46" s="612"/>
      <c r="HB46" s="612"/>
      <c r="HC46" s="612"/>
      <c r="HD46" s="612"/>
      <c r="HE46" s="612"/>
      <c r="HF46" s="612"/>
      <c r="HG46" s="612"/>
      <c r="HH46" s="612"/>
      <c r="HI46" s="612"/>
      <c r="HJ46" s="612"/>
      <c r="HK46" s="612"/>
      <c r="HL46" s="612"/>
      <c r="HM46" s="612"/>
      <c r="HN46" s="612"/>
      <c r="HO46" s="612"/>
      <c r="HP46" s="612"/>
      <c r="HQ46" s="612"/>
      <c r="HR46" s="612"/>
      <c r="HS46" s="612"/>
      <c r="HT46" s="612"/>
      <c r="HU46" s="612"/>
      <c r="HV46" s="612"/>
      <c r="HW46" s="612"/>
      <c r="HX46" s="612"/>
      <c r="HY46" s="612"/>
      <c r="HZ46" s="612"/>
      <c r="IA46" s="612"/>
      <c r="IB46" s="612"/>
      <c r="IC46" s="612"/>
      <c r="ID46" s="612"/>
      <c r="IE46" s="612"/>
      <c r="IF46" s="612"/>
      <c r="IG46" s="612"/>
      <c r="IH46" s="612"/>
      <c r="II46" s="612"/>
    </row>
    <row r="47" spans="1:243" ht="15" customHeight="1">
      <c r="A47" s="72"/>
      <c r="B47" s="72"/>
      <c r="C47" s="72"/>
      <c r="D47" s="271" t="str">
        <f>IF(MasterSheet!$A$1=1,MasterSheet!C286,MasterSheet!B286)</f>
        <v>Opštinski prirez</v>
      </c>
      <c r="E47" s="316">
        <f>+'Cental Budget_int'!E60+'Local Government_int'!D66</f>
        <v>4292020.32</v>
      </c>
      <c r="F47" s="307">
        <f t="shared" si="0"/>
        <v>0.19973104006701103</v>
      </c>
      <c r="G47" s="316">
        <f>+'Cental Budget_int'!G60+'Local Government_int'!F66</f>
        <v>4407602.68</v>
      </c>
      <c r="H47" s="307">
        <f t="shared" si="1"/>
        <v>0.16443210893490021</v>
      </c>
      <c r="I47" s="316">
        <f>+'Cental Budget_int'!I60+'Local Government_int'!H66</f>
        <v>4717290.49</v>
      </c>
      <c r="J47" s="307">
        <f t="shared" si="2"/>
        <v>0.15288081702100079</v>
      </c>
      <c r="K47" s="316">
        <f>+'Cental Budget_int'!K60+'Local Government_int'!J66</f>
        <v>3902542.3946725391</v>
      </c>
      <c r="L47" s="307">
        <f t="shared" si="3"/>
        <v>0.13091386765087348</v>
      </c>
      <c r="M47" s="316">
        <f>+'Cental Budget_int'!M60+'Local Government_int'!L66</f>
        <v>3219403.56</v>
      </c>
      <c r="N47" s="307">
        <f t="shared" si="4"/>
        <v>0.10371789819587629</v>
      </c>
      <c r="O47" s="316">
        <f>+'Cental Budget_int'!O60+'Local Government_int'!N66</f>
        <v>4327900.1500000004</v>
      </c>
      <c r="P47" s="307">
        <f t="shared" si="5"/>
        <v>0.1338249891774892</v>
      </c>
      <c r="Q47" s="334">
        <f>+'Cental Budget_int'!Q60+'Local Government_int'!P66</f>
        <v>4404642.75</v>
      </c>
      <c r="R47" s="324">
        <f t="shared" si="6"/>
        <v>0.13987433312162592</v>
      </c>
      <c r="S47" s="334">
        <f>+'Cental Budget_int'!S60+'Local Government_int'!R66</f>
        <v>4521014.7375000007</v>
      </c>
      <c r="T47" s="324">
        <f t="shared" si="7"/>
        <v>0.12854747618709128</v>
      </c>
      <c r="U47" s="334">
        <f>+'Cental Budget_int'!U60+'Local Government_int'!T66</f>
        <v>4525300.8784500007</v>
      </c>
      <c r="V47" s="324">
        <f t="shared" si="8"/>
        <v>0.12866934542081321</v>
      </c>
      <c r="W47" s="334">
        <f>+'Cental Budget_int'!W60+'Local Government_int'!V66</f>
        <v>4286.1409500000009</v>
      </c>
      <c r="X47" s="513" t="e">
        <f t="shared" si="9"/>
        <v>#DIV/0!</v>
      </c>
      <c r="Y47" s="223"/>
      <c r="Z47" s="223"/>
      <c r="AA47" s="223"/>
      <c r="AB47" s="223"/>
      <c r="AC47" s="223"/>
      <c r="AD47" s="223"/>
      <c r="AE47" s="223"/>
      <c r="AF47" s="223"/>
      <c r="AG47" s="223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50"/>
      <c r="BA47" s="259"/>
      <c r="BB47" s="259"/>
      <c r="BC47" s="612"/>
      <c r="BD47" s="612"/>
      <c r="BE47" s="612"/>
      <c r="BF47" s="612"/>
      <c r="BG47" s="612"/>
      <c r="BH47" s="612"/>
      <c r="BI47" s="612"/>
      <c r="BJ47" s="612"/>
      <c r="BK47" s="612"/>
      <c r="BL47" s="612"/>
      <c r="BM47" s="612"/>
      <c r="BN47" s="612"/>
      <c r="BO47" s="612"/>
      <c r="BP47" s="612"/>
      <c r="BQ47" s="612"/>
      <c r="BR47" s="612"/>
      <c r="BS47" s="612"/>
      <c r="BT47" s="612"/>
      <c r="BU47" s="612"/>
      <c r="BV47" s="612"/>
      <c r="BW47" s="612"/>
      <c r="BX47" s="612"/>
      <c r="BY47" s="612"/>
      <c r="BZ47" s="612"/>
      <c r="CA47" s="612"/>
      <c r="CB47" s="612"/>
      <c r="CC47" s="612"/>
      <c r="CD47" s="612"/>
      <c r="CE47" s="612"/>
      <c r="CF47" s="612"/>
      <c r="CG47" s="612"/>
      <c r="CH47" s="612"/>
      <c r="CI47" s="612"/>
      <c r="CJ47" s="612"/>
      <c r="CK47" s="612"/>
      <c r="CL47" s="612"/>
      <c r="CM47" s="612"/>
      <c r="CN47" s="612"/>
      <c r="CO47" s="612"/>
      <c r="CP47" s="612"/>
      <c r="CQ47" s="612"/>
      <c r="CR47" s="612"/>
      <c r="CS47" s="612"/>
      <c r="CT47" s="612"/>
      <c r="CU47" s="612"/>
      <c r="CV47" s="612"/>
      <c r="CW47" s="612"/>
      <c r="CX47" s="612"/>
      <c r="CY47" s="612"/>
      <c r="CZ47" s="612"/>
      <c r="DA47" s="612"/>
      <c r="DB47" s="612"/>
      <c r="DC47" s="612"/>
      <c r="DD47" s="612"/>
      <c r="DE47" s="612"/>
      <c r="DF47" s="612"/>
      <c r="DG47" s="612"/>
      <c r="DH47" s="612"/>
      <c r="DI47" s="612"/>
      <c r="DJ47" s="612"/>
      <c r="DK47" s="612"/>
      <c r="DL47" s="612"/>
      <c r="DM47" s="612"/>
      <c r="DN47" s="612"/>
      <c r="DO47" s="612"/>
      <c r="DP47" s="612"/>
      <c r="DQ47" s="612"/>
      <c r="DR47" s="612"/>
      <c r="DS47" s="612"/>
      <c r="DT47" s="612"/>
      <c r="DU47" s="612"/>
      <c r="DV47" s="612"/>
      <c r="DW47" s="612"/>
      <c r="DX47" s="612"/>
      <c r="DY47" s="612"/>
      <c r="DZ47" s="612"/>
      <c r="EA47" s="612"/>
      <c r="EB47" s="612"/>
      <c r="EC47" s="612"/>
      <c r="ED47" s="612"/>
      <c r="EE47" s="612"/>
      <c r="EF47" s="612"/>
      <c r="EG47" s="612"/>
      <c r="EH47" s="612"/>
      <c r="EI47" s="612"/>
      <c r="EJ47" s="612"/>
      <c r="EK47" s="612"/>
      <c r="EL47" s="612"/>
      <c r="EM47" s="612"/>
      <c r="EN47" s="612"/>
      <c r="EO47" s="612"/>
      <c r="EP47" s="612"/>
      <c r="EQ47" s="612"/>
      <c r="ER47" s="612"/>
      <c r="ES47" s="612"/>
      <c r="ET47" s="612"/>
      <c r="EU47" s="612"/>
      <c r="EV47" s="612"/>
      <c r="EW47" s="612"/>
      <c r="EX47" s="612"/>
      <c r="EY47" s="612"/>
      <c r="EZ47" s="612"/>
      <c r="FA47" s="612"/>
      <c r="FB47" s="612"/>
      <c r="FC47" s="612"/>
      <c r="FD47" s="612"/>
      <c r="FE47" s="612"/>
      <c r="FF47" s="612"/>
      <c r="FG47" s="612"/>
      <c r="FH47" s="612"/>
      <c r="FI47" s="612"/>
      <c r="FJ47" s="612"/>
      <c r="FK47" s="612"/>
      <c r="FL47" s="612"/>
      <c r="FM47" s="612"/>
      <c r="FN47" s="612"/>
      <c r="FO47" s="612"/>
      <c r="FP47" s="612"/>
      <c r="FQ47" s="612"/>
      <c r="FR47" s="612"/>
      <c r="FS47" s="612"/>
      <c r="FT47" s="612"/>
      <c r="FU47" s="612"/>
      <c r="FV47" s="612"/>
      <c r="FW47" s="612"/>
      <c r="FX47" s="612"/>
      <c r="FY47" s="612"/>
      <c r="FZ47" s="612"/>
      <c r="GA47" s="612"/>
      <c r="GB47" s="612"/>
      <c r="GC47" s="612"/>
      <c r="GD47" s="612"/>
      <c r="GE47" s="245"/>
      <c r="GF47" s="612"/>
      <c r="GG47" s="612"/>
      <c r="GH47" s="612"/>
      <c r="GI47" s="612"/>
      <c r="GJ47" s="612"/>
      <c r="GK47" s="612"/>
      <c r="GL47" s="612"/>
      <c r="GM47" s="612"/>
      <c r="GN47" s="612"/>
      <c r="GO47" s="612"/>
      <c r="GP47" s="612"/>
      <c r="GQ47" s="612"/>
      <c r="GR47" s="612"/>
      <c r="GS47" s="612"/>
      <c r="GT47" s="612"/>
      <c r="GU47" s="612"/>
      <c r="GV47" s="612"/>
      <c r="GW47" s="612"/>
      <c r="GX47" s="612"/>
      <c r="GY47" s="612"/>
      <c r="GZ47" s="612"/>
      <c r="HA47" s="612"/>
      <c r="HB47" s="612"/>
      <c r="HC47" s="612"/>
      <c r="HD47" s="612"/>
      <c r="HE47" s="612"/>
      <c r="HF47" s="612"/>
      <c r="HG47" s="612"/>
      <c r="HH47" s="612"/>
      <c r="HI47" s="612"/>
      <c r="HJ47" s="612"/>
      <c r="HK47" s="612"/>
      <c r="HL47" s="612"/>
      <c r="HM47" s="612"/>
      <c r="HN47" s="612"/>
      <c r="HO47" s="612"/>
      <c r="HP47" s="612"/>
      <c r="HQ47" s="612"/>
      <c r="HR47" s="612"/>
      <c r="HS47" s="612"/>
      <c r="HT47" s="612"/>
      <c r="HU47" s="612"/>
      <c r="HV47" s="612"/>
      <c r="HW47" s="612"/>
      <c r="HX47" s="612"/>
      <c r="HY47" s="612"/>
      <c r="HZ47" s="612"/>
      <c r="IA47" s="612"/>
      <c r="IB47" s="612"/>
      <c r="IC47" s="612"/>
      <c r="ID47" s="612"/>
      <c r="IE47" s="612"/>
      <c r="IF47" s="612"/>
      <c r="IG47" s="612"/>
      <c r="IH47" s="612"/>
      <c r="II47" s="612"/>
    </row>
    <row r="48" spans="1:243" ht="15" customHeight="1">
      <c r="A48" s="72"/>
      <c r="B48" s="72"/>
      <c r="C48" s="72"/>
      <c r="D48" s="272" t="str">
        <f>IF(MasterSheet!$A$1=1,MasterSheet!C287,MasterSheet!B287)</f>
        <v>Ostala lična primanja</v>
      </c>
      <c r="E48" s="318">
        <f>+'Cental Budget_int'!E61+'Local Government_int'!D67</f>
        <v>19829561.809999999</v>
      </c>
      <c r="F48" s="308">
        <f t="shared" si="0"/>
        <v>0.92277731909348959</v>
      </c>
      <c r="G48" s="318">
        <f>+'Cental Budget_int'!G61+'Local Government_int'!F67</f>
        <v>33667814.479999997</v>
      </c>
      <c r="H48" s="308">
        <f t="shared" si="1"/>
        <v>1.2560274008580488</v>
      </c>
      <c r="I48" s="318">
        <f>+'Cental Budget_int'!I61+'Local Government_int'!H67</f>
        <v>28819351.150000002</v>
      </c>
      <c r="J48" s="308">
        <f t="shared" si="2"/>
        <v>0.93399504634430908</v>
      </c>
      <c r="K48" s="318">
        <f>+'Cental Budget_int'!K61+'Local Government_int'!J67</f>
        <v>27672695.609999999</v>
      </c>
      <c r="L48" s="308">
        <f t="shared" si="3"/>
        <v>0.92830243575981219</v>
      </c>
      <c r="M48" s="318">
        <f>+'Cental Budget_int'!M61+'Local Government_int'!L67</f>
        <v>24555767.040000003</v>
      </c>
      <c r="N48" s="308">
        <f t="shared" si="4"/>
        <v>0.79110074226804128</v>
      </c>
      <c r="O48" s="318">
        <f>+'Cental Budget_int'!O61+'Local Government_int'!N67</f>
        <v>20176987.59</v>
      </c>
      <c r="P48" s="308">
        <f t="shared" si="5"/>
        <v>0.62390190445269011</v>
      </c>
      <c r="Q48" s="336">
        <f>+'Cental Budget_int'!Q61+'Local Government_int'!P67</f>
        <v>13271350.060000001</v>
      </c>
      <c r="R48" s="325">
        <f t="shared" si="6"/>
        <v>0.42144649285487457</v>
      </c>
      <c r="S48" s="336">
        <f>+'Cental Budget_int'!S61+'Local Government_int'!R67</f>
        <v>13282295.5625</v>
      </c>
      <c r="T48" s="325">
        <f t="shared" si="7"/>
        <v>0.37765981127381293</v>
      </c>
      <c r="U48" s="336">
        <f>+'Cental Budget_int'!U61+'Local Government_int'!T67</f>
        <v>13838395.425550001</v>
      </c>
      <c r="V48" s="325">
        <f t="shared" si="8"/>
        <v>0.39347157877594541</v>
      </c>
      <c r="W48" s="336">
        <f>+'Cental Budget_int'!W61+'Local Government_int'!V67</f>
        <v>556099.86305000028</v>
      </c>
      <c r="X48" s="514" t="e">
        <f t="shared" si="9"/>
        <v>#DIV/0!</v>
      </c>
      <c r="Y48" s="223"/>
      <c r="Z48" s="223"/>
      <c r="AA48" s="223"/>
      <c r="AB48" s="223"/>
      <c r="AC48" s="223"/>
      <c r="AD48" s="223"/>
      <c r="AE48" s="223"/>
      <c r="AF48" s="223"/>
      <c r="AG48" s="223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50"/>
      <c r="BA48" s="160"/>
      <c r="BB48" s="160"/>
      <c r="BC48" s="612"/>
      <c r="BD48" s="612"/>
      <c r="BE48" s="612"/>
      <c r="BF48" s="612"/>
      <c r="BG48" s="612"/>
      <c r="BH48" s="612"/>
      <c r="BI48" s="612"/>
      <c r="BJ48" s="612"/>
      <c r="BK48" s="612"/>
      <c r="BL48" s="612"/>
      <c r="BM48" s="612"/>
      <c r="BN48" s="612"/>
      <c r="BO48" s="612"/>
      <c r="BP48" s="612"/>
      <c r="BQ48" s="612"/>
      <c r="BR48" s="612"/>
      <c r="BS48" s="612"/>
      <c r="BT48" s="612"/>
      <c r="BU48" s="612"/>
      <c r="BV48" s="612"/>
      <c r="BW48" s="612"/>
      <c r="BX48" s="612"/>
      <c r="BY48" s="612"/>
      <c r="BZ48" s="612"/>
      <c r="CA48" s="612"/>
      <c r="CB48" s="612"/>
      <c r="CC48" s="612"/>
      <c r="CD48" s="612"/>
      <c r="CE48" s="612"/>
      <c r="CF48" s="612"/>
      <c r="CG48" s="612"/>
      <c r="CH48" s="612"/>
      <c r="CI48" s="612"/>
      <c r="CJ48" s="612"/>
      <c r="CK48" s="612"/>
      <c r="CL48" s="612"/>
      <c r="CM48" s="612"/>
      <c r="CN48" s="612"/>
      <c r="CO48" s="612"/>
      <c r="CP48" s="612"/>
      <c r="CQ48" s="612"/>
      <c r="CR48" s="612"/>
      <c r="CS48" s="612"/>
      <c r="CT48" s="612"/>
      <c r="CU48" s="612"/>
      <c r="CV48" s="612"/>
      <c r="CW48" s="612"/>
      <c r="CX48" s="612"/>
      <c r="CY48" s="612"/>
      <c r="CZ48" s="612"/>
      <c r="DA48" s="612"/>
      <c r="DB48" s="612"/>
      <c r="DC48" s="612"/>
      <c r="DD48" s="612"/>
      <c r="DE48" s="612"/>
      <c r="DF48" s="612"/>
      <c r="DG48" s="612"/>
      <c r="DH48" s="612"/>
      <c r="DI48" s="612"/>
      <c r="DJ48" s="612"/>
      <c r="DK48" s="612"/>
      <c r="DL48" s="612"/>
      <c r="DM48" s="612"/>
      <c r="DN48" s="612"/>
      <c r="DO48" s="612"/>
      <c r="DP48" s="612"/>
      <c r="DQ48" s="612"/>
      <c r="DR48" s="612"/>
      <c r="DS48" s="612"/>
      <c r="DT48" s="612"/>
      <c r="DU48" s="612"/>
      <c r="DV48" s="612"/>
      <c r="DW48" s="612"/>
      <c r="DX48" s="612"/>
      <c r="DY48" s="612"/>
      <c r="DZ48" s="612"/>
      <c r="EA48" s="612"/>
      <c r="EB48" s="612"/>
      <c r="EC48" s="612"/>
      <c r="ED48" s="612"/>
      <c r="EE48" s="612"/>
      <c r="EF48" s="612"/>
      <c r="EG48" s="612"/>
      <c r="EH48" s="612"/>
      <c r="EI48" s="612"/>
      <c r="EJ48" s="612"/>
      <c r="EK48" s="612"/>
      <c r="EL48" s="612"/>
      <c r="EM48" s="612"/>
      <c r="EN48" s="612"/>
      <c r="EO48" s="612"/>
      <c r="EP48" s="612"/>
      <c r="EQ48" s="612"/>
      <c r="ER48" s="612"/>
      <c r="ES48" s="612"/>
      <c r="ET48" s="612"/>
      <c r="EU48" s="612"/>
      <c r="EV48" s="612"/>
      <c r="EW48" s="612"/>
      <c r="EX48" s="612"/>
      <c r="EY48" s="612"/>
      <c r="EZ48" s="612"/>
      <c r="FA48" s="612"/>
      <c r="FB48" s="612"/>
      <c r="FC48" s="612"/>
      <c r="FD48" s="612"/>
      <c r="FE48" s="612"/>
      <c r="FF48" s="612"/>
      <c r="FG48" s="612"/>
      <c r="FH48" s="612"/>
      <c r="FI48" s="612"/>
      <c r="FJ48" s="612"/>
      <c r="FK48" s="612"/>
      <c r="FL48" s="612"/>
      <c r="FM48" s="612"/>
      <c r="FN48" s="612"/>
      <c r="FO48" s="612"/>
      <c r="FP48" s="612"/>
      <c r="FQ48" s="612"/>
      <c r="FR48" s="612"/>
      <c r="FS48" s="612"/>
      <c r="FT48" s="612"/>
      <c r="FU48" s="612"/>
      <c r="FV48" s="612"/>
      <c r="FW48" s="612"/>
      <c r="FX48" s="612"/>
      <c r="FY48" s="612"/>
      <c r="FZ48" s="612"/>
      <c r="GA48" s="612"/>
      <c r="GB48" s="612"/>
      <c r="GC48" s="612"/>
      <c r="GD48" s="612"/>
      <c r="GE48" s="245"/>
      <c r="GF48" s="612"/>
      <c r="GG48" s="612"/>
      <c r="GH48" s="612"/>
      <c r="GI48" s="612"/>
      <c r="GJ48" s="612"/>
      <c r="GK48" s="612"/>
      <c r="GL48" s="612"/>
      <c r="GM48" s="612"/>
      <c r="GN48" s="612"/>
      <c r="GO48" s="612"/>
      <c r="GP48" s="612"/>
      <c r="GQ48" s="612"/>
      <c r="GR48" s="612"/>
      <c r="GS48" s="612"/>
      <c r="GT48" s="612"/>
      <c r="GU48" s="612"/>
      <c r="GV48" s="612"/>
      <c r="GW48" s="612"/>
      <c r="GX48" s="612"/>
      <c r="GY48" s="612"/>
      <c r="GZ48" s="612"/>
      <c r="HA48" s="612"/>
      <c r="HB48" s="612"/>
      <c r="HC48" s="612"/>
      <c r="HD48" s="612"/>
      <c r="HE48" s="612"/>
      <c r="HF48" s="612"/>
      <c r="HG48" s="612"/>
      <c r="HH48" s="612"/>
      <c r="HI48" s="612"/>
      <c r="HJ48" s="612"/>
      <c r="HK48" s="612"/>
      <c r="HL48" s="612"/>
      <c r="HM48" s="612"/>
      <c r="HN48" s="612"/>
      <c r="HO48" s="612"/>
      <c r="HP48" s="612"/>
      <c r="HQ48" s="612"/>
      <c r="HR48" s="612"/>
      <c r="HS48" s="612"/>
      <c r="HT48" s="612"/>
      <c r="HU48" s="612"/>
      <c r="HV48" s="612"/>
      <c r="HW48" s="612"/>
      <c r="HX48" s="612"/>
      <c r="HY48" s="612"/>
      <c r="HZ48" s="612"/>
      <c r="IA48" s="612"/>
      <c r="IB48" s="612"/>
      <c r="IC48" s="612"/>
      <c r="ID48" s="612"/>
      <c r="IE48" s="612"/>
      <c r="IF48" s="612"/>
      <c r="IG48" s="612"/>
      <c r="IH48" s="612"/>
      <c r="II48" s="612"/>
    </row>
    <row r="49" spans="1:243" ht="15" customHeight="1">
      <c r="A49" s="72"/>
      <c r="B49" s="72"/>
      <c r="C49" s="72"/>
      <c r="D49" s="272" t="str">
        <f>IF(MasterSheet!$A$1=1,MasterSheet!C288,MasterSheet!B288)</f>
        <v>Rashodi za materijal i usluge</v>
      </c>
      <c r="E49" s="318">
        <f>+'Cental Budget_int'!E62+'Local Government_int'!D68</f>
        <v>127227787.62</v>
      </c>
      <c r="F49" s="308">
        <f t="shared" si="0"/>
        <v>5.9206006617339106</v>
      </c>
      <c r="G49" s="318">
        <f>+'Cental Budget_int'!G62+'Local Government_int'!F68</f>
        <v>158458815.82000002</v>
      </c>
      <c r="H49" s="308">
        <f t="shared" si="1"/>
        <v>5.9115394821861598</v>
      </c>
      <c r="I49" s="318">
        <f>+'Cental Budget_int'!I62+'Local Government_int'!H68</f>
        <v>137718934.25</v>
      </c>
      <c r="J49" s="308">
        <f t="shared" si="2"/>
        <v>4.4632789165802444</v>
      </c>
      <c r="K49" s="318">
        <f>+'Cental Budget_int'!K62+'Local Government_int'!J68</f>
        <v>129954349.67999999</v>
      </c>
      <c r="L49" s="308">
        <f t="shared" si="3"/>
        <v>4.3594213243877888</v>
      </c>
      <c r="M49" s="318">
        <f>+'Cental Budget_int'!M62+'Local Government_int'!L68</f>
        <v>130523384.09</v>
      </c>
      <c r="N49" s="308">
        <f t="shared" si="4"/>
        <v>4.2050059307345364</v>
      </c>
      <c r="O49" s="318">
        <f>+'Cental Budget_int'!O62+'Local Government_int'!N68</f>
        <v>119842683.82999998</v>
      </c>
      <c r="P49" s="308">
        <f t="shared" si="5"/>
        <v>3.7057106935683355</v>
      </c>
      <c r="Q49" s="336">
        <f>+'Cental Budget_int'!Q62+'Local Government_int'!P68</f>
        <v>167223306.44999999</v>
      </c>
      <c r="R49" s="325">
        <f t="shared" si="6"/>
        <v>5.3103622245157194</v>
      </c>
      <c r="S49" s="336">
        <f>+'Cental Budget_int'!S62+'Local Government_int'!R68</f>
        <v>96656483.638300002</v>
      </c>
      <c r="T49" s="325">
        <f t="shared" si="7"/>
        <v>2.7482651020272959</v>
      </c>
      <c r="U49" s="336">
        <f>+'Cental Budget_int'!U62+'Local Government_int'!T68</f>
        <v>98449932.359866008</v>
      </c>
      <c r="V49" s="325">
        <f t="shared" si="8"/>
        <v>2.7992588103459202</v>
      </c>
      <c r="W49" s="336">
        <f>+'Cental Budget_int'!W62+'Local Government_int'!V68</f>
        <v>1793448.721566001</v>
      </c>
      <c r="X49" s="514" t="e">
        <f t="shared" si="9"/>
        <v>#DIV/0!</v>
      </c>
      <c r="Y49" s="223"/>
      <c r="Z49" s="223"/>
      <c r="AA49" s="223"/>
      <c r="AB49" s="223"/>
      <c r="AC49" s="223"/>
      <c r="AD49" s="223"/>
      <c r="AE49" s="223"/>
      <c r="AF49" s="223"/>
      <c r="AG49" s="223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50"/>
      <c r="BA49" s="160"/>
      <c r="BB49" s="160"/>
      <c r="BC49" s="612"/>
      <c r="BD49" s="612"/>
      <c r="BE49" s="612"/>
      <c r="BF49" s="612"/>
      <c r="BG49" s="612"/>
      <c r="BH49" s="612"/>
      <c r="BI49" s="612"/>
      <c r="BJ49" s="612"/>
      <c r="BK49" s="612"/>
      <c r="BL49" s="612"/>
      <c r="BM49" s="612"/>
      <c r="BN49" s="612"/>
      <c r="BO49" s="612"/>
      <c r="BP49" s="612"/>
      <c r="BQ49" s="612"/>
      <c r="BR49" s="612"/>
      <c r="BS49" s="612"/>
      <c r="BT49" s="612"/>
      <c r="BU49" s="612"/>
      <c r="BV49" s="612"/>
      <c r="BW49" s="612"/>
      <c r="BX49" s="612"/>
      <c r="BY49" s="612"/>
      <c r="BZ49" s="612"/>
      <c r="CA49" s="612"/>
      <c r="CB49" s="612"/>
      <c r="CC49" s="612"/>
      <c r="CD49" s="612"/>
      <c r="CE49" s="612"/>
      <c r="CF49" s="612"/>
      <c r="CG49" s="612"/>
      <c r="CH49" s="612"/>
      <c r="CI49" s="612"/>
      <c r="CJ49" s="612"/>
      <c r="CK49" s="612"/>
      <c r="CL49" s="612"/>
      <c r="CM49" s="612"/>
      <c r="CN49" s="612"/>
      <c r="CO49" s="612"/>
      <c r="CP49" s="612"/>
      <c r="CQ49" s="612"/>
      <c r="CR49" s="612"/>
      <c r="CS49" s="612"/>
      <c r="CT49" s="612"/>
      <c r="CU49" s="612"/>
      <c r="CV49" s="612"/>
      <c r="CW49" s="612"/>
      <c r="CX49" s="612"/>
      <c r="CY49" s="612"/>
      <c r="CZ49" s="612"/>
      <c r="DA49" s="612"/>
      <c r="DB49" s="612"/>
      <c r="DC49" s="612"/>
      <c r="DD49" s="612"/>
      <c r="DE49" s="612"/>
      <c r="DF49" s="612"/>
      <c r="DG49" s="612"/>
      <c r="DH49" s="612"/>
      <c r="DI49" s="612"/>
      <c r="DJ49" s="612"/>
      <c r="DK49" s="612"/>
      <c r="DL49" s="612"/>
      <c r="DM49" s="612"/>
      <c r="DN49" s="612"/>
      <c r="DO49" s="612"/>
      <c r="DP49" s="612"/>
      <c r="DQ49" s="612"/>
      <c r="DR49" s="612"/>
      <c r="DS49" s="612"/>
      <c r="DT49" s="612"/>
      <c r="DU49" s="612"/>
      <c r="DV49" s="612"/>
      <c r="DW49" s="612"/>
      <c r="DX49" s="612"/>
      <c r="DY49" s="612"/>
      <c r="DZ49" s="612"/>
      <c r="EA49" s="612"/>
      <c r="EB49" s="612"/>
      <c r="EC49" s="612"/>
      <c r="ED49" s="612"/>
      <c r="EE49" s="612"/>
      <c r="EF49" s="612"/>
      <c r="EG49" s="612"/>
      <c r="EH49" s="612"/>
      <c r="EI49" s="612"/>
      <c r="EJ49" s="612"/>
      <c r="EK49" s="612"/>
      <c r="EL49" s="612"/>
      <c r="EM49" s="612"/>
      <c r="EN49" s="612"/>
      <c r="EO49" s="612"/>
      <c r="EP49" s="612"/>
      <c r="EQ49" s="612"/>
      <c r="ER49" s="612"/>
      <c r="ES49" s="612"/>
      <c r="ET49" s="612"/>
      <c r="EU49" s="612"/>
      <c r="EV49" s="612"/>
      <c r="EW49" s="612"/>
      <c r="EX49" s="612"/>
      <c r="EY49" s="612"/>
      <c r="EZ49" s="612"/>
      <c r="FA49" s="612"/>
      <c r="FB49" s="612"/>
      <c r="FC49" s="612"/>
      <c r="FD49" s="612"/>
      <c r="FE49" s="612"/>
      <c r="FF49" s="612"/>
      <c r="FG49" s="612"/>
      <c r="FH49" s="612"/>
      <c r="FI49" s="612"/>
      <c r="FJ49" s="612"/>
      <c r="FK49" s="612"/>
      <c r="FL49" s="612"/>
      <c r="FM49" s="612"/>
      <c r="FN49" s="612"/>
      <c r="FO49" s="612"/>
      <c r="FP49" s="612"/>
      <c r="FQ49" s="612"/>
      <c r="FR49" s="612"/>
      <c r="FS49" s="612"/>
      <c r="FT49" s="612"/>
      <c r="FU49" s="612"/>
      <c r="FV49" s="612"/>
      <c r="FW49" s="612"/>
      <c r="FX49" s="612"/>
      <c r="FY49" s="612"/>
      <c r="FZ49" s="612"/>
      <c r="GA49" s="612"/>
      <c r="GB49" s="612"/>
      <c r="GC49" s="612"/>
      <c r="GD49" s="612"/>
      <c r="GE49" s="245"/>
      <c r="GF49" s="612"/>
      <c r="GG49" s="612"/>
      <c r="GH49" s="612"/>
      <c r="GI49" s="612"/>
      <c r="GJ49" s="612"/>
      <c r="GK49" s="612"/>
      <c r="GL49" s="612"/>
      <c r="GM49" s="612"/>
      <c r="GN49" s="612"/>
      <c r="GO49" s="612"/>
      <c r="GP49" s="612"/>
      <c r="GQ49" s="612"/>
      <c r="GR49" s="612"/>
      <c r="GS49" s="612"/>
      <c r="GT49" s="612"/>
      <c r="GU49" s="612"/>
      <c r="GV49" s="612"/>
      <c r="GW49" s="612"/>
      <c r="GX49" s="612"/>
      <c r="GY49" s="612"/>
      <c r="GZ49" s="612"/>
      <c r="HA49" s="612"/>
      <c r="HB49" s="612"/>
      <c r="HC49" s="612"/>
      <c r="HD49" s="612"/>
      <c r="HE49" s="612"/>
      <c r="HF49" s="612"/>
      <c r="HG49" s="612"/>
      <c r="HH49" s="612"/>
      <c r="HI49" s="612"/>
      <c r="HJ49" s="612"/>
      <c r="HK49" s="612"/>
      <c r="HL49" s="612"/>
      <c r="HM49" s="612"/>
      <c r="HN49" s="612"/>
      <c r="HO49" s="612"/>
      <c r="HP49" s="612"/>
      <c r="HQ49" s="612"/>
      <c r="HR49" s="612"/>
      <c r="HS49" s="612"/>
      <c r="HT49" s="612"/>
      <c r="HU49" s="612"/>
      <c r="HV49" s="612"/>
      <c r="HW49" s="612"/>
      <c r="HX49" s="612"/>
      <c r="HY49" s="612"/>
      <c r="HZ49" s="612"/>
      <c r="IA49" s="612"/>
      <c r="IB49" s="612"/>
      <c r="IC49" s="612"/>
      <c r="ID49" s="612"/>
      <c r="IE49" s="612"/>
      <c r="IF49" s="612"/>
      <c r="IG49" s="612"/>
      <c r="IH49" s="612"/>
      <c r="II49" s="612"/>
    </row>
    <row r="50" spans="1:243" ht="15" customHeight="1">
      <c r="A50" s="72"/>
      <c r="B50" s="72"/>
      <c r="C50" s="72"/>
      <c r="D50" s="272" t="str">
        <f>IF(MasterSheet!$A$1=1,MasterSheet!C289,MasterSheet!B289)</f>
        <v>Tekuće održavanje</v>
      </c>
      <c r="E50" s="318">
        <f>+'Cental Budget_int'!E63+'Local Government_int'!D69</f>
        <v>25094049.890000001</v>
      </c>
      <c r="F50" s="308">
        <f t="shared" si="0"/>
        <v>1.1677625710828796</v>
      </c>
      <c r="G50" s="318">
        <f>+'Cental Budget_int'!G63+'Local Government_int'!F69</f>
        <v>30124521.010000005</v>
      </c>
      <c r="H50" s="308">
        <f t="shared" si="1"/>
        <v>1.1238396198470437</v>
      </c>
      <c r="I50" s="318">
        <f>+'Cental Budget_int'!I63+'Local Government_int'!H69</f>
        <v>29890496.960000001</v>
      </c>
      <c r="J50" s="308">
        <f t="shared" si="2"/>
        <v>0.96870939071817475</v>
      </c>
      <c r="K50" s="318">
        <f>+'Cental Budget_int'!K63+'Local Government_int'!J69</f>
        <v>9992826.3900000006</v>
      </c>
      <c r="L50" s="308">
        <f t="shared" si="3"/>
        <v>0.33521725561891985</v>
      </c>
      <c r="M50" s="318">
        <f>+'Cental Budget_int'!M63+'Local Government_int'!L69</f>
        <v>32845189.850000001</v>
      </c>
      <c r="N50" s="308">
        <f t="shared" si="4"/>
        <v>1.0581568894974227</v>
      </c>
      <c r="O50" s="318">
        <f>+'Cental Budget_int'!O63+'Local Government_int'!N69</f>
        <v>28163758.149999999</v>
      </c>
      <c r="P50" s="308">
        <f t="shared" si="5"/>
        <v>0.87086450680272098</v>
      </c>
      <c r="Q50" s="336">
        <f>+'Cental Budget_int'!Q63+'Local Government_int'!P69</f>
        <v>27394609.409999996</v>
      </c>
      <c r="R50" s="325">
        <f t="shared" si="6"/>
        <v>0.86994631343283568</v>
      </c>
      <c r="S50" s="336">
        <f>+'Cental Budget_int'!S63+'Local Government_int'!R69</f>
        <v>25164558.760000002</v>
      </c>
      <c r="T50" s="325">
        <f t="shared" si="7"/>
        <v>0.71551204890531706</v>
      </c>
      <c r="U50" s="336">
        <f>+'Cental Budget_int'!U63+'Local Government_int'!T69</f>
        <v>25258516.334200002</v>
      </c>
      <c r="V50" s="325">
        <f t="shared" si="8"/>
        <v>0.71818357504122832</v>
      </c>
      <c r="W50" s="336">
        <f>+'Cental Budget_int'!W63+'Local Government_int'!V69</f>
        <v>93957.574199999683</v>
      </c>
      <c r="X50" s="514" t="e">
        <f t="shared" si="9"/>
        <v>#DIV/0!</v>
      </c>
      <c r="Y50" s="223"/>
      <c r="Z50" s="223"/>
      <c r="AA50" s="223"/>
      <c r="AB50" s="223"/>
      <c r="AC50" s="223"/>
      <c r="AD50" s="223"/>
      <c r="AE50" s="223"/>
      <c r="AF50" s="223"/>
      <c r="AG50" s="223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50"/>
      <c r="BA50" s="160"/>
      <c r="BB50" s="160"/>
      <c r="BC50" s="612"/>
      <c r="BD50" s="612"/>
      <c r="BE50" s="612"/>
      <c r="BF50" s="612"/>
      <c r="BG50" s="612"/>
      <c r="BH50" s="612"/>
      <c r="BI50" s="612"/>
      <c r="BJ50" s="612"/>
      <c r="BK50" s="612"/>
      <c r="BL50" s="612"/>
      <c r="BM50" s="612"/>
      <c r="BN50" s="612"/>
      <c r="BO50" s="612"/>
      <c r="BP50" s="612"/>
      <c r="BQ50" s="612"/>
      <c r="BR50" s="612"/>
      <c r="BS50" s="612"/>
      <c r="BT50" s="612"/>
      <c r="BU50" s="612"/>
      <c r="BV50" s="612"/>
      <c r="BW50" s="612"/>
      <c r="BX50" s="612"/>
      <c r="BY50" s="612"/>
      <c r="BZ50" s="612"/>
      <c r="CA50" s="612"/>
      <c r="CB50" s="612"/>
      <c r="CC50" s="612"/>
      <c r="CD50" s="612"/>
      <c r="CE50" s="612"/>
      <c r="CF50" s="612"/>
      <c r="CG50" s="612"/>
      <c r="CH50" s="612"/>
      <c r="CI50" s="612"/>
      <c r="CJ50" s="612"/>
      <c r="CK50" s="612"/>
      <c r="CL50" s="612"/>
      <c r="CM50" s="612"/>
      <c r="CN50" s="612"/>
      <c r="CO50" s="612"/>
      <c r="CP50" s="612"/>
      <c r="CQ50" s="612"/>
      <c r="CR50" s="612"/>
      <c r="CS50" s="612"/>
      <c r="CT50" s="612"/>
      <c r="CU50" s="612"/>
      <c r="CV50" s="612"/>
      <c r="CW50" s="612"/>
      <c r="CX50" s="612"/>
      <c r="CY50" s="612"/>
      <c r="CZ50" s="612"/>
      <c r="DA50" s="612"/>
      <c r="DB50" s="612"/>
      <c r="DC50" s="612"/>
      <c r="DD50" s="612"/>
      <c r="DE50" s="612"/>
      <c r="DF50" s="612"/>
      <c r="DG50" s="612"/>
      <c r="DH50" s="612"/>
      <c r="DI50" s="612"/>
      <c r="DJ50" s="612"/>
      <c r="DK50" s="612"/>
      <c r="DL50" s="612"/>
      <c r="DM50" s="612"/>
      <c r="DN50" s="612"/>
      <c r="DO50" s="612"/>
      <c r="DP50" s="612"/>
      <c r="DQ50" s="612"/>
      <c r="DR50" s="612"/>
      <c r="DS50" s="612"/>
      <c r="DT50" s="612"/>
      <c r="DU50" s="612"/>
      <c r="DV50" s="612"/>
      <c r="DW50" s="612"/>
      <c r="DX50" s="612"/>
      <c r="DY50" s="612"/>
      <c r="DZ50" s="612"/>
      <c r="EA50" s="612"/>
      <c r="EB50" s="612"/>
      <c r="EC50" s="612"/>
      <c r="ED50" s="250"/>
      <c r="EE50" s="612"/>
      <c r="EF50" s="612"/>
      <c r="EG50" s="612"/>
      <c r="EH50" s="612"/>
      <c r="EI50" s="612"/>
      <c r="EJ50" s="612"/>
      <c r="EK50" s="612"/>
      <c r="EL50" s="612"/>
      <c r="EM50" s="612"/>
      <c r="EN50" s="612"/>
      <c r="EO50" s="612"/>
      <c r="EP50" s="612"/>
      <c r="EQ50" s="612"/>
      <c r="ER50" s="612"/>
      <c r="ES50" s="612"/>
      <c r="ET50" s="612"/>
      <c r="EU50" s="612"/>
      <c r="EV50" s="612"/>
      <c r="EW50" s="612"/>
      <c r="EX50" s="612"/>
      <c r="EY50" s="612"/>
      <c r="EZ50" s="612"/>
      <c r="FA50" s="612"/>
      <c r="FB50" s="612"/>
      <c r="FC50" s="612"/>
      <c r="FD50" s="612"/>
      <c r="FE50" s="612"/>
      <c r="FF50" s="612"/>
      <c r="FG50" s="612"/>
      <c r="FH50" s="612"/>
      <c r="FI50" s="612"/>
      <c r="FJ50" s="612"/>
      <c r="FK50" s="612"/>
      <c r="FL50" s="612"/>
      <c r="FM50" s="612"/>
      <c r="FN50" s="612"/>
      <c r="FO50" s="612"/>
      <c r="FP50" s="612"/>
      <c r="FQ50" s="612"/>
      <c r="FR50" s="612"/>
      <c r="FS50" s="612"/>
      <c r="FT50" s="612"/>
      <c r="FU50" s="612"/>
      <c r="FV50" s="612"/>
      <c r="FW50" s="612"/>
      <c r="FX50" s="612"/>
      <c r="FY50" s="612"/>
      <c r="FZ50" s="612"/>
      <c r="GA50" s="612"/>
      <c r="GB50" s="612"/>
      <c r="GC50" s="612"/>
      <c r="GD50" s="612"/>
      <c r="GE50" s="245"/>
      <c r="GF50" s="612"/>
      <c r="GG50" s="612"/>
      <c r="GH50" s="612"/>
      <c r="GI50" s="612"/>
      <c r="GJ50" s="612"/>
      <c r="GK50" s="612"/>
      <c r="GL50" s="612"/>
      <c r="GM50" s="612"/>
      <c r="GN50" s="612"/>
      <c r="GO50" s="612"/>
      <c r="GP50" s="612"/>
      <c r="GQ50" s="612"/>
      <c r="GR50" s="612"/>
      <c r="GS50" s="612"/>
      <c r="GT50" s="612"/>
      <c r="GU50" s="612"/>
      <c r="GV50" s="612"/>
      <c r="GW50" s="612"/>
      <c r="GX50" s="612"/>
      <c r="GY50" s="612"/>
      <c r="GZ50" s="612"/>
      <c r="HA50" s="612"/>
      <c r="HB50" s="612"/>
      <c r="HC50" s="612"/>
      <c r="HD50" s="612"/>
      <c r="HE50" s="612"/>
      <c r="HF50" s="612"/>
      <c r="HG50" s="612"/>
      <c r="HH50" s="612"/>
      <c r="HI50" s="612"/>
      <c r="HJ50" s="612"/>
      <c r="HK50" s="612"/>
      <c r="HL50" s="612"/>
      <c r="HM50" s="612"/>
      <c r="HN50" s="612"/>
      <c r="HO50" s="612"/>
      <c r="HP50" s="612"/>
      <c r="HQ50" s="612"/>
      <c r="HR50" s="612"/>
      <c r="HS50" s="612"/>
      <c r="HT50" s="612"/>
      <c r="HU50" s="612"/>
      <c r="HV50" s="612"/>
      <c r="HW50" s="612"/>
      <c r="HX50" s="612"/>
      <c r="HY50" s="612"/>
      <c r="HZ50" s="612"/>
      <c r="IA50" s="612"/>
      <c r="IB50" s="612"/>
      <c r="IC50" s="612"/>
      <c r="ID50" s="612"/>
      <c r="IE50" s="612"/>
      <c r="IF50" s="612"/>
      <c r="IG50" s="612"/>
      <c r="IH50" s="612"/>
      <c r="II50" s="612"/>
    </row>
    <row r="51" spans="1:243" ht="15" customHeight="1">
      <c r="A51" s="72"/>
      <c r="B51" s="72"/>
      <c r="C51" s="72"/>
      <c r="D51" s="272" t="str">
        <f>IF(MasterSheet!$A$1=1,MasterSheet!C290,MasterSheet!B290)</f>
        <v>Kamate</v>
      </c>
      <c r="E51" s="318">
        <f>+'Cental Budget_int'!E64+'Local Government_int'!D70</f>
        <v>23854663.5</v>
      </c>
      <c r="F51" s="308">
        <f t="shared" si="0"/>
        <v>1.1100871841407232</v>
      </c>
      <c r="G51" s="318">
        <f>+'Cental Budget_int'!G64+'Local Government_int'!F70</f>
        <v>27935103.170000002</v>
      </c>
      <c r="H51" s="308">
        <f t="shared" si="1"/>
        <v>1.0421601630292856</v>
      </c>
      <c r="I51" s="318">
        <f>+'Cental Budget_int'!I64+'Local Government_int'!H70</f>
        <v>23805692.059999999</v>
      </c>
      <c r="J51" s="308">
        <f t="shared" si="2"/>
        <v>0.77150933562354151</v>
      </c>
      <c r="K51" s="318">
        <f>+'Cental Budget_int'!K64+'Local Government_int'!J70</f>
        <v>25522738.039999999</v>
      </c>
      <c r="L51" s="308">
        <f t="shared" si="3"/>
        <v>0.85618041060046957</v>
      </c>
      <c r="M51" s="318">
        <f>+'Cental Budget_int'!M64+'Local Government_int'!L70</f>
        <v>31406278.469999999</v>
      </c>
      <c r="N51" s="308">
        <f t="shared" si="4"/>
        <v>1.0118002084407216</v>
      </c>
      <c r="O51" s="318">
        <f>+'Cental Budget_int'!O64+'Local Government_int'!N70</f>
        <v>47603265.710000001</v>
      </c>
      <c r="P51" s="308">
        <f t="shared" si="5"/>
        <v>1.4719624523809525</v>
      </c>
      <c r="Q51" s="336">
        <f>+'Cental Budget_int'!Q64+'Local Government_int'!P70</f>
        <v>59720316.740000002</v>
      </c>
      <c r="R51" s="325">
        <f t="shared" si="6"/>
        <v>1.8964851298825025</v>
      </c>
      <c r="S51" s="336">
        <f>+'Cental Budget_int'!S64+'Local Government_int'!R70</f>
        <v>74323562.745000005</v>
      </c>
      <c r="T51" s="325">
        <f t="shared" si="7"/>
        <v>2.1132659296275236</v>
      </c>
      <c r="U51" s="336">
        <f>+'Cental Budget_int'!U64+'Local Government_int'!T70</f>
        <v>74401961.8539</v>
      </c>
      <c r="V51" s="325">
        <f t="shared" si="8"/>
        <v>2.1154950768808645</v>
      </c>
      <c r="W51" s="336">
        <f>+'Cental Budget_int'!W64+'Local Government_int'!V70</f>
        <v>78399.108899999876</v>
      </c>
      <c r="X51" s="514" t="e">
        <f t="shared" si="9"/>
        <v>#DIV/0!</v>
      </c>
      <c r="Y51" s="223"/>
      <c r="Z51" s="223"/>
      <c r="AA51" s="223"/>
      <c r="AB51" s="223"/>
      <c r="AC51" s="223"/>
      <c r="AD51" s="223"/>
      <c r="AE51" s="223"/>
      <c r="AF51" s="223"/>
      <c r="AG51" s="223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50"/>
      <c r="BA51" s="160"/>
      <c r="BB51" s="160"/>
      <c r="BC51" s="612"/>
      <c r="BD51" s="612"/>
      <c r="BE51" s="612"/>
      <c r="BF51" s="612"/>
      <c r="BG51" s="612"/>
      <c r="BH51" s="612"/>
      <c r="BI51" s="612"/>
      <c r="BJ51" s="612"/>
      <c r="BK51" s="612"/>
      <c r="BL51" s="612"/>
      <c r="BM51" s="612"/>
      <c r="BN51" s="612"/>
      <c r="BO51" s="612"/>
      <c r="BP51" s="612"/>
      <c r="BQ51" s="612"/>
      <c r="BR51" s="612"/>
      <c r="BS51" s="612"/>
      <c r="BT51" s="612"/>
      <c r="BU51" s="612"/>
      <c r="BV51" s="612"/>
      <c r="BW51" s="612"/>
      <c r="BX51" s="612"/>
      <c r="BY51" s="612"/>
      <c r="BZ51" s="612"/>
      <c r="CA51" s="612"/>
      <c r="CB51" s="612"/>
      <c r="CC51" s="612"/>
      <c r="CD51" s="612"/>
      <c r="CE51" s="612"/>
      <c r="CF51" s="612"/>
      <c r="CG51" s="612"/>
      <c r="CH51" s="612"/>
      <c r="CI51" s="612"/>
      <c r="CJ51" s="612"/>
      <c r="CK51" s="612"/>
      <c r="CL51" s="612"/>
      <c r="CM51" s="612"/>
      <c r="CN51" s="612"/>
      <c r="CO51" s="612"/>
      <c r="CP51" s="612"/>
      <c r="CQ51" s="612"/>
      <c r="CR51" s="612"/>
      <c r="CS51" s="612"/>
      <c r="CT51" s="612"/>
      <c r="CU51" s="612"/>
      <c r="CV51" s="612"/>
      <c r="CW51" s="612"/>
      <c r="CX51" s="612"/>
      <c r="CY51" s="612"/>
      <c r="CZ51" s="612"/>
      <c r="DA51" s="612"/>
      <c r="DB51" s="612"/>
      <c r="DC51" s="612"/>
      <c r="DD51" s="612"/>
      <c r="DE51" s="612"/>
      <c r="DF51" s="612"/>
      <c r="DG51" s="612"/>
      <c r="DH51" s="612"/>
      <c r="DI51" s="612"/>
      <c r="DJ51" s="612"/>
      <c r="DK51" s="612"/>
      <c r="DL51" s="612"/>
      <c r="DM51" s="612"/>
      <c r="DN51" s="612"/>
      <c r="DO51" s="612"/>
      <c r="DP51" s="612"/>
      <c r="DQ51" s="612"/>
      <c r="DR51" s="612"/>
      <c r="DS51" s="612"/>
      <c r="DT51" s="612"/>
      <c r="DU51" s="612"/>
      <c r="DV51" s="612"/>
      <c r="DW51" s="612"/>
      <c r="DX51" s="612"/>
      <c r="DY51" s="612"/>
      <c r="DZ51" s="612"/>
      <c r="EA51" s="612"/>
      <c r="EB51" s="612"/>
      <c r="EC51" s="612"/>
      <c r="ED51" s="612"/>
      <c r="EE51" s="612"/>
      <c r="EF51" s="612"/>
      <c r="EG51" s="612"/>
      <c r="EH51" s="612"/>
      <c r="EI51" s="612"/>
      <c r="EJ51" s="612"/>
      <c r="EK51" s="612"/>
      <c r="EL51" s="612"/>
      <c r="EM51" s="612"/>
      <c r="EN51" s="612"/>
      <c r="EO51" s="612"/>
      <c r="EP51" s="612"/>
      <c r="EQ51" s="612"/>
      <c r="ER51" s="612"/>
      <c r="ES51" s="612"/>
      <c r="ET51" s="612"/>
      <c r="EU51" s="612"/>
      <c r="EV51" s="612"/>
      <c r="EW51" s="612"/>
      <c r="EX51" s="612"/>
      <c r="EY51" s="612"/>
      <c r="EZ51" s="612"/>
      <c r="FA51" s="612"/>
      <c r="FB51" s="612"/>
      <c r="FC51" s="612"/>
      <c r="FD51" s="612"/>
      <c r="FE51" s="612"/>
      <c r="FF51" s="612"/>
      <c r="FG51" s="612"/>
      <c r="FH51" s="612"/>
      <c r="FI51" s="612"/>
      <c r="FJ51" s="612"/>
      <c r="FK51" s="612"/>
      <c r="FL51" s="612"/>
      <c r="FM51" s="612"/>
      <c r="FN51" s="612"/>
      <c r="FO51" s="612"/>
      <c r="FP51" s="612"/>
      <c r="FQ51" s="612"/>
      <c r="FR51" s="612"/>
      <c r="FS51" s="612"/>
      <c r="FT51" s="612"/>
      <c r="FU51" s="612"/>
      <c r="FV51" s="612"/>
      <c r="FW51" s="612"/>
      <c r="FX51" s="612"/>
      <c r="FY51" s="612"/>
      <c r="FZ51" s="612"/>
      <c r="GA51" s="612"/>
      <c r="GB51" s="612"/>
      <c r="GC51" s="612"/>
      <c r="GD51" s="612"/>
      <c r="GE51" s="245"/>
      <c r="GF51" s="612"/>
      <c r="GG51" s="612"/>
      <c r="GH51" s="612"/>
      <c r="GI51" s="612"/>
      <c r="GJ51" s="612"/>
      <c r="GK51" s="612"/>
      <c r="GL51" s="612"/>
      <c r="GM51" s="612"/>
      <c r="GN51" s="612"/>
      <c r="GO51" s="612"/>
      <c r="GP51" s="612"/>
      <c r="GQ51" s="612"/>
      <c r="GR51" s="612"/>
      <c r="GS51" s="612"/>
      <c r="GT51" s="612"/>
      <c r="GU51" s="612"/>
      <c r="GV51" s="612"/>
      <c r="GW51" s="612"/>
      <c r="GX51" s="612"/>
      <c r="GY51" s="612"/>
      <c r="GZ51" s="612"/>
      <c r="HA51" s="612"/>
      <c r="HB51" s="612"/>
      <c r="HC51" s="612"/>
      <c r="HD51" s="612"/>
      <c r="HE51" s="612"/>
      <c r="HF51" s="612"/>
      <c r="HG51" s="612"/>
      <c r="HH51" s="612"/>
      <c r="HI51" s="612"/>
      <c r="HJ51" s="612"/>
      <c r="HK51" s="612"/>
      <c r="HL51" s="612"/>
      <c r="HM51" s="612"/>
      <c r="HN51" s="612"/>
      <c r="HO51" s="612"/>
      <c r="HP51" s="612"/>
      <c r="HQ51" s="612"/>
      <c r="HR51" s="612"/>
      <c r="HS51" s="612"/>
      <c r="HT51" s="612"/>
      <c r="HU51" s="612"/>
      <c r="HV51" s="612"/>
      <c r="HW51" s="612"/>
      <c r="HX51" s="612"/>
      <c r="HY51" s="612"/>
      <c r="HZ51" s="612"/>
      <c r="IA51" s="612"/>
      <c r="IB51" s="612"/>
      <c r="IC51" s="612"/>
      <c r="ID51" s="612"/>
      <c r="IE51" s="612"/>
      <c r="IF51" s="612"/>
      <c r="IG51" s="612"/>
      <c r="IH51" s="612"/>
      <c r="II51" s="612"/>
    </row>
    <row r="52" spans="1:243" ht="15" customHeight="1">
      <c r="A52" s="72"/>
      <c r="B52" s="72"/>
      <c r="C52" s="72"/>
      <c r="D52" s="272" t="str">
        <f>IF(MasterSheet!$A$1=1,MasterSheet!C291,MasterSheet!B291)</f>
        <v>Renta</v>
      </c>
      <c r="E52" s="318">
        <f>+'Cental Budget_int'!E65+'Local Government_int'!D71</f>
        <v>3086664.4299999997</v>
      </c>
      <c r="F52" s="308">
        <f t="shared" si="0"/>
        <v>0.1436392773046675</v>
      </c>
      <c r="G52" s="318">
        <f>+'Cental Budget_int'!G65+'Local Government_int'!F71</f>
        <v>5609104.4100000001</v>
      </c>
      <c r="H52" s="308">
        <f t="shared" si="1"/>
        <v>0.20925590039171799</v>
      </c>
      <c r="I52" s="318">
        <f>+'Cental Budget_int'!I65+'Local Government_int'!H71</f>
        <v>9174277.0500000007</v>
      </c>
      <c r="J52" s="308">
        <f t="shared" si="2"/>
        <v>0.29732554608504025</v>
      </c>
      <c r="K52" s="318">
        <f>+'Cental Budget_int'!K65+'Local Government_int'!J71</f>
        <v>8768055.8200000003</v>
      </c>
      <c r="L52" s="308">
        <f t="shared" si="3"/>
        <v>0.29413135927541095</v>
      </c>
      <c r="M52" s="318">
        <f>+'Cental Budget_int'!M65+'Local Government_int'!L71</f>
        <v>8585830.7100000009</v>
      </c>
      <c r="N52" s="308">
        <f t="shared" si="4"/>
        <v>0.27660537081185571</v>
      </c>
      <c r="O52" s="318">
        <f>+'Cental Budget_int'!O65+'Local Government_int'!N71</f>
        <v>7707257.9000000004</v>
      </c>
      <c r="P52" s="308">
        <f t="shared" si="5"/>
        <v>0.23831966295609153</v>
      </c>
      <c r="Q52" s="336">
        <f>+'Cental Budget_int'!Q65+'Local Government_int'!P71</f>
        <v>7427422.7800000003</v>
      </c>
      <c r="R52" s="325">
        <f t="shared" si="6"/>
        <v>0.23586607748491586</v>
      </c>
      <c r="S52" s="336">
        <f>+'Cental Budget_int'!S65+'Local Government_int'!R71</f>
        <v>8237492.2550000008</v>
      </c>
      <c r="T52" s="325">
        <f t="shared" si="7"/>
        <v>0.23421928504407169</v>
      </c>
      <c r="U52" s="336">
        <f>+'Cental Budget_int'!U65+'Local Government_int'!T71</f>
        <v>8244727.3121000007</v>
      </c>
      <c r="V52" s="325">
        <f t="shared" si="8"/>
        <v>0.23442500176570946</v>
      </c>
      <c r="W52" s="336">
        <f>+'Cental Budget_int'!W65+'Local Government_int'!V71</f>
        <v>7235.0571000000346</v>
      </c>
      <c r="X52" s="514" t="e">
        <f t="shared" si="9"/>
        <v>#DIV/0!</v>
      </c>
      <c r="Y52" s="223"/>
      <c r="Z52" s="223"/>
      <c r="AA52" s="223"/>
      <c r="AB52" s="223"/>
      <c r="AC52" s="223"/>
      <c r="AD52" s="223"/>
      <c r="AE52" s="223"/>
      <c r="AF52" s="223"/>
      <c r="AG52" s="223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50"/>
      <c r="BA52" s="160"/>
      <c r="BB52" s="160"/>
      <c r="BC52" s="612"/>
      <c r="BD52" s="612"/>
      <c r="BE52" s="612"/>
      <c r="BF52" s="612"/>
      <c r="BG52" s="612"/>
      <c r="BH52" s="612"/>
      <c r="BI52" s="612"/>
      <c r="BJ52" s="612"/>
      <c r="BK52" s="612"/>
      <c r="BL52" s="612"/>
      <c r="BM52" s="612"/>
      <c r="BN52" s="612"/>
      <c r="BO52" s="612"/>
      <c r="BP52" s="612"/>
      <c r="BQ52" s="612"/>
      <c r="BR52" s="612"/>
      <c r="BS52" s="612"/>
      <c r="BT52" s="612"/>
      <c r="BU52" s="612"/>
      <c r="BV52" s="612"/>
      <c r="BW52" s="612"/>
      <c r="BX52" s="612"/>
      <c r="BY52" s="612"/>
      <c r="BZ52" s="612"/>
      <c r="CA52" s="612"/>
      <c r="CB52" s="612"/>
      <c r="CC52" s="612"/>
      <c r="CD52" s="612"/>
      <c r="CE52" s="612"/>
      <c r="CF52" s="612"/>
      <c r="CG52" s="612"/>
      <c r="CH52" s="612"/>
      <c r="CI52" s="612"/>
      <c r="CJ52" s="612"/>
      <c r="CK52" s="612"/>
      <c r="CL52" s="612"/>
      <c r="CM52" s="612"/>
      <c r="CN52" s="612"/>
      <c r="CO52" s="612"/>
      <c r="CP52" s="612"/>
      <c r="CQ52" s="612"/>
      <c r="CR52" s="612"/>
      <c r="CS52" s="612"/>
      <c r="CT52" s="612"/>
      <c r="CU52" s="612"/>
      <c r="CV52" s="612"/>
      <c r="CW52" s="612"/>
      <c r="CX52" s="612"/>
      <c r="CY52" s="612"/>
      <c r="CZ52" s="612"/>
      <c r="DA52" s="612"/>
      <c r="DB52" s="612"/>
      <c r="DC52" s="612"/>
      <c r="DD52" s="612"/>
      <c r="DE52" s="612"/>
      <c r="DF52" s="612"/>
      <c r="DG52" s="612"/>
      <c r="DH52" s="612"/>
      <c r="DI52" s="612"/>
      <c r="DJ52" s="612"/>
      <c r="DK52" s="612"/>
      <c r="DL52" s="612"/>
      <c r="DM52" s="612"/>
      <c r="DN52" s="612"/>
      <c r="DO52" s="612"/>
      <c r="DP52" s="612"/>
      <c r="DQ52" s="612"/>
      <c r="DR52" s="612"/>
      <c r="DS52" s="612"/>
      <c r="DT52" s="612"/>
      <c r="DU52" s="612"/>
      <c r="DV52" s="612"/>
      <c r="DW52" s="612"/>
      <c r="DX52" s="612"/>
      <c r="DY52" s="612"/>
      <c r="DZ52" s="612"/>
      <c r="EA52" s="612"/>
      <c r="EB52" s="612"/>
      <c r="EC52" s="612"/>
      <c r="ED52" s="612"/>
      <c r="EE52" s="612"/>
      <c r="EF52" s="612"/>
      <c r="EG52" s="612"/>
      <c r="EH52" s="612"/>
      <c r="EI52" s="612"/>
      <c r="EJ52" s="612"/>
      <c r="EK52" s="261"/>
      <c r="EL52" s="612"/>
      <c r="EM52" s="612"/>
      <c r="EN52" s="612"/>
      <c r="EO52" s="612"/>
      <c r="EP52" s="612"/>
      <c r="EQ52" s="612"/>
      <c r="ER52" s="612"/>
      <c r="ES52" s="612"/>
      <c r="ET52" s="612"/>
      <c r="EU52" s="612"/>
      <c r="EV52" s="612"/>
      <c r="EW52" s="612"/>
      <c r="EX52" s="612"/>
      <c r="EY52" s="612"/>
      <c r="EZ52" s="612"/>
      <c r="FA52" s="612"/>
      <c r="FB52" s="612"/>
      <c r="FC52" s="612"/>
      <c r="FD52" s="612"/>
      <c r="FE52" s="612"/>
      <c r="FF52" s="612"/>
      <c r="FG52" s="612"/>
      <c r="FH52" s="612"/>
      <c r="FI52" s="612"/>
      <c r="FJ52" s="612"/>
      <c r="FK52" s="612"/>
      <c r="FL52" s="612"/>
      <c r="FM52" s="612"/>
      <c r="FN52" s="612"/>
      <c r="FO52" s="612"/>
      <c r="FP52" s="612"/>
      <c r="FQ52" s="612"/>
      <c r="FR52" s="612"/>
      <c r="FS52" s="612"/>
      <c r="FT52" s="612"/>
      <c r="FU52" s="612"/>
      <c r="FV52" s="612"/>
      <c r="FW52" s="612"/>
      <c r="FX52" s="612"/>
      <c r="FY52" s="612"/>
      <c r="FZ52" s="612"/>
      <c r="GA52" s="612"/>
      <c r="GB52" s="612"/>
      <c r="GC52" s="612"/>
      <c r="GD52" s="612"/>
      <c r="GE52" s="245"/>
      <c r="GF52" s="612"/>
      <c r="GG52" s="612"/>
      <c r="GH52" s="612"/>
      <c r="GI52" s="612"/>
      <c r="GJ52" s="612"/>
      <c r="GK52" s="612"/>
      <c r="GL52" s="612"/>
      <c r="GM52" s="612"/>
      <c r="GN52" s="612"/>
      <c r="GO52" s="612"/>
      <c r="GP52" s="612"/>
      <c r="GQ52" s="612"/>
      <c r="GR52" s="612"/>
      <c r="GS52" s="612"/>
      <c r="GT52" s="612"/>
      <c r="GU52" s="612"/>
      <c r="GV52" s="612"/>
      <c r="GW52" s="612"/>
      <c r="GX52" s="612"/>
      <c r="GY52" s="612"/>
      <c r="GZ52" s="612"/>
      <c r="HA52" s="612"/>
      <c r="HB52" s="612"/>
      <c r="HC52" s="612"/>
      <c r="HD52" s="612"/>
      <c r="HE52" s="612"/>
      <c r="HF52" s="612"/>
      <c r="HG52" s="612"/>
      <c r="HH52" s="612"/>
      <c r="HI52" s="612"/>
      <c r="HJ52" s="612"/>
      <c r="HK52" s="612"/>
      <c r="HL52" s="612"/>
      <c r="HM52" s="612"/>
      <c r="HN52" s="612"/>
      <c r="HO52" s="612"/>
      <c r="HP52" s="612"/>
      <c r="HQ52" s="612"/>
      <c r="HR52" s="612"/>
      <c r="HS52" s="612"/>
      <c r="HT52" s="612"/>
      <c r="HU52" s="612"/>
      <c r="HV52" s="612"/>
      <c r="HW52" s="612"/>
      <c r="HX52" s="612"/>
      <c r="HY52" s="612"/>
      <c r="HZ52" s="612"/>
      <c r="IA52" s="612"/>
      <c r="IB52" s="612"/>
      <c r="IC52" s="612"/>
      <c r="ID52" s="612"/>
      <c r="IE52" s="612"/>
      <c r="IF52" s="612"/>
      <c r="IG52" s="612"/>
      <c r="IH52" s="612"/>
      <c r="II52" s="612"/>
    </row>
    <row r="53" spans="1:243" ht="15" customHeight="1">
      <c r="A53" s="72"/>
      <c r="B53" s="72"/>
      <c r="C53" s="72"/>
      <c r="D53" s="272" t="str">
        <f>IF(MasterSheet!$A$1=1,MasterSheet!C292,MasterSheet!B292)</f>
        <v>Subvencije</v>
      </c>
      <c r="E53" s="318">
        <f>+'Cental Budget_int'!E66+'Local Government_int'!D72</f>
        <v>6607753.2799999993</v>
      </c>
      <c r="F53" s="308">
        <f t="shared" si="0"/>
        <v>0.30749468472241609</v>
      </c>
      <c r="G53" s="318">
        <f>+'Cental Budget_int'!G66+'Local Government_int'!F72</f>
        <v>13869941.18</v>
      </c>
      <c r="H53" s="308">
        <f t="shared" si="1"/>
        <v>0.51743858160790901</v>
      </c>
      <c r="I53" s="318">
        <f>+'Cental Budget_int'!I66+'Local Government_int'!H72</f>
        <v>20139971.149999999</v>
      </c>
      <c r="J53" s="308">
        <f t="shared" si="2"/>
        <v>0.65270842461757839</v>
      </c>
      <c r="K53" s="318">
        <f>+'Cental Budget_int'!K66+'Local Government_int'!J72</f>
        <v>50956109.699999996</v>
      </c>
      <c r="L53" s="308">
        <f t="shared" si="3"/>
        <v>1.7093629553840992</v>
      </c>
      <c r="M53" s="318">
        <f>+'Cental Budget_int'!M66+'Local Government_int'!L72</f>
        <v>39785362.68</v>
      </c>
      <c r="N53" s="308">
        <f t="shared" si="4"/>
        <v>1.2817449317010308</v>
      </c>
      <c r="O53" s="318">
        <f>+'Cental Budget_int'!O66+'Local Government_int'!N72</f>
        <v>46353356.520000003</v>
      </c>
      <c r="P53" s="308">
        <f t="shared" si="5"/>
        <v>1.433313435992579</v>
      </c>
      <c r="Q53" s="336">
        <f>+'Cental Budget_int'!Q66+'Local Government_int'!P72</f>
        <v>26607621.800000001</v>
      </c>
      <c r="R53" s="325">
        <f t="shared" si="6"/>
        <v>0.84495464591933955</v>
      </c>
      <c r="S53" s="336">
        <f>+'Cental Budget_int'!S66+'Local Government_int'!R72</f>
        <v>14931490.1335</v>
      </c>
      <c r="T53" s="325">
        <f t="shared" si="7"/>
        <v>0.42455189461188508</v>
      </c>
      <c r="U53" s="336">
        <f>+'Cental Budget_int'!U66+'Local Government_int'!T72</f>
        <v>15945519.936170001</v>
      </c>
      <c r="V53" s="325">
        <f t="shared" si="8"/>
        <v>0.45338413239038955</v>
      </c>
      <c r="W53" s="336">
        <f>+'Cental Budget_int'!W66+'Local Government_int'!V72</f>
        <v>1014029.80267</v>
      </c>
      <c r="X53" s="514" t="e">
        <f t="shared" si="9"/>
        <v>#DIV/0!</v>
      </c>
      <c r="Y53" s="223"/>
      <c r="Z53" s="223"/>
      <c r="AA53" s="223"/>
      <c r="AB53" s="223"/>
      <c r="AC53" s="223"/>
      <c r="AD53" s="223"/>
      <c r="AE53" s="223"/>
      <c r="AF53" s="223"/>
      <c r="AG53" s="223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50"/>
      <c r="BA53" s="160"/>
      <c r="BB53" s="160"/>
      <c r="BC53" s="612"/>
      <c r="BD53" s="612"/>
      <c r="BE53" s="612"/>
      <c r="BF53" s="612"/>
      <c r="BG53" s="612"/>
      <c r="BH53" s="612"/>
      <c r="BI53" s="612"/>
      <c r="BJ53" s="612"/>
      <c r="BK53" s="612"/>
      <c r="BL53" s="612"/>
      <c r="BM53" s="612"/>
      <c r="BN53" s="612"/>
      <c r="BO53" s="612"/>
      <c r="BP53" s="612"/>
      <c r="BQ53" s="612"/>
      <c r="BR53" s="612"/>
      <c r="BS53" s="612"/>
      <c r="BT53" s="612"/>
      <c r="BU53" s="612"/>
      <c r="BV53" s="612"/>
      <c r="BW53" s="612"/>
      <c r="BX53" s="612"/>
      <c r="BY53" s="612"/>
      <c r="BZ53" s="612"/>
      <c r="CA53" s="612"/>
      <c r="CB53" s="612"/>
      <c r="CC53" s="612"/>
      <c r="CD53" s="612"/>
      <c r="CE53" s="612"/>
      <c r="CF53" s="612"/>
      <c r="CG53" s="612"/>
      <c r="CH53" s="612"/>
      <c r="CI53" s="612"/>
      <c r="CJ53" s="612"/>
      <c r="CK53" s="612"/>
      <c r="CL53" s="612"/>
      <c r="CM53" s="612"/>
      <c r="CN53" s="612"/>
      <c r="CO53" s="612"/>
      <c r="CP53" s="612"/>
      <c r="CQ53" s="612"/>
      <c r="CR53" s="612"/>
      <c r="CS53" s="612"/>
      <c r="CT53" s="612"/>
      <c r="CU53" s="612"/>
      <c r="CV53" s="612"/>
      <c r="CW53" s="612"/>
      <c r="CX53" s="612"/>
      <c r="CY53" s="612"/>
      <c r="CZ53" s="612"/>
      <c r="DA53" s="612"/>
      <c r="DB53" s="612"/>
      <c r="DC53" s="612"/>
      <c r="DD53" s="612"/>
      <c r="DE53" s="612"/>
      <c r="DF53" s="612"/>
      <c r="DG53" s="612"/>
      <c r="DH53" s="612"/>
      <c r="DI53" s="612"/>
      <c r="DJ53" s="612"/>
      <c r="DK53" s="612"/>
      <c r="DL53" s="612"/>
      <c r="DM53" s="612"/>
      <c r="DN53" s="612"/>
      <c r="DO53" s="612"/>
      <c r="DP53" s="612"/>
      <c r="DQ53" s="612"/>
      <c r="DR53" s="612"/>
      <c r="DS53" s="612"/>
      <c r="DT53" s="612"/>
      <c r="DU53" s="612"/>
      <c r="DV53" s="612"/>
      <c r="DW53" s="612"/>
      <c r="DX53" s="612"/>
      <c r="DY53" s="612"/>
      <c r="DZ53" s="612"/>
      <c r="EA53" s="612"/>
      <c r="EB53" s="612"/>
      <c r="EC53" s="612"/>
      <c r="ED53" s="612"/>
      <c r="EE53" s="612"/>
      <c r="EF53" s="612"/>
      <c r="EG53" s="612"/>
      <c r="EH53" s="612"/>
      <c r="EI53" s="612"/>
      <c r="EJ53" s="612"/>
      <c r="EK53" s="612"/>
      <c r="EL53" s="612"/>
      <c r="EM53" s="612"/>
      <c r="EN53" s="612"/>
      <c r="EO53" s="612"/>
      <c r="EP53" s="612"/>
      <c r="EQ53" s="612"/>
      <c r="ER53" s="612"/>
      <c r="ES53" s="612"/>
      <c r="ET53" s="612"/>
      <c r="EU53" s="612"/>
      <c r="EV53" s="612"/>
      <c r="EW53" s="612"/>
      <c r="EX53" s="612"/>
      <c r="EY53" s="612"/>
      <c r="EZ53" s="612"/>
      <c r="FA53" s="612"/>
      <c r="FB53" s="612"/>
      <c r="FC53" s="612"/>
      <c r="FD53" s="612"/>
      <c r="FE53" s="612"/>
      <c r="FF53" s="612"/>
      <c r="FG53" s="612"/>
      <c r="FH53" s="612"/>
      <c r="FI53" s="612"/>
      <c r="FJ53" s="612"/>
      <c r="FK53" s="612"/>
      <c r="FL53" s="612"/>
      <c r="FM53" s="612"/>
      <c r="FN53" s="612"/>
      <c r="FO53" s="612"/>
      <c r="FP53" s="612"/>
      <c r="FQ53" s="612"/>
      <c r="FR53" s="612"/>
      <c r="FS53" s="612"/>
      <c r="FT53" s="612"/>
      <c r="FU53" s="612"/>
      <c r="FV53" s="612"/>
      <c r="FW53" s="612"/>
      <c r="FX53" s="612"/>
      <c r="FY53" s="612"/>
      <c r="FZ53" s="612"/>
      <c r="GA53" s="612"/>
      <c r="GB53" s="612"/>
      <c r="GC53" s="612"/>
      <c r="GD53" s="612"/>
      <c r="GE53" s="245"/>
      <c r="GF53" s="612"/>
      <c r="GG53" s="612"/>
      <c r="GH53" s="612"/>
      <c r="GI53" s="612"/>
      <c r="GJ53" s="612"/>
      <c r="GK53" s="612"/>
      <c r="GL53" s="612"/>
      <c r="GM53" s="612"/>
      <c r="GN53" s="612"/>
      <c r="GO53" s="612"/>
      <c r="GP53" s="612"/>
      <c r="GQ53" s="612"/>
      <c r="GR53" s="612"/>
      <c r="GS53" s="612"/>
      <c r="GT53" s="612"/>
      <c r="GU53" s="612"/>
      <c r="GV53" s="612"/>
      <c r="GW53" s="612"/>
      <c r="GX53" s="612"/>
      <c r="GY53" s="612"/>
      <c r="GZ53" s="612"/>
      <c r="HA53" s="612"/>
      <c r="HB53" s="612"/>
      <c r="HC53" s="612"/>
      <c r="HD53" s="612"/>
      <c r="HE53" s="612"/>
      <c r="HF53" s="612"/>
      <c r="HG53" s="612"/>
      <c r="HH53" s="612"/>
      <c r="HI53" s="612"/>
      <c r="HJ53" s="612"/>
      <c r="HK53" s="612"/>
      <c r="HL53" s="612"/>
      <c r="HM53" s="612"/>
      <c r="HN53" s="612"/>
      <c r="HO53" s="612"/>
      <c r="HP53" s="612"/>
      <c r="HQ53" s="612"/>
      <c r="HR53" s="612"/>
      <c r="HS53" s="612"/>
      <c r="HT53" s="612"/>
      <c r="HU53" s="612"/>
      <c r="HV53" s="612"/>
      <c r="HW53" s="612"/>
      <c r="HX53" s="612"/>
      <c r="HY53" s="612"/>
      <c r="HZ53" s="612"/>
      <c r="IA53" s="612"/>
      <c r="IB53" s="612"/>
      <c r="IC53" s="612"/>
      <c r="ID53" s="612"/>
      <c r="IE53" s="612"/>
      <c r="IF53" s="612"/>
      <c r="IG53" s="612"/>
      <c r="IH53" s="612"/>
      <c r="II53" s="612"/>
    </row>
    <row r="54" spans="1:243" ht="15" customHeight="1">
      <c r="A54" s="72"/>
      <c r="B54" s="72"/>
      <c r="C54" s="72"/>
      <c r="D54" s="272" t="str">
        <f>IF(MasterSheet!$A$1=1,MasterSheet!C293,MasterSheet!B293)</f>
        <v>Ostali izdaci</v>
      </c>
      <c r="E54" s="318">
        <f>+'Cental Budget_int'!E67+'Local Government_int'!D73</f>
        <v>5144565.45</v>
      </c>
      <c r="F54" s="308">
        <f t="shared" si="0"/>
        <v>0.23940460002792127</v>
      </c>
      <c r="G54" s="318">
        <f>+'Cental Budget_int'!G67+'Local Government_int'!F73</f>
        <v>7762059.1499999994</v>
      </c>
      <c r="H54" s="308">
        <f t="shared" si="1"/>
        <v>0.28957504756575264</v>
      </c>
      <c r="I54" s="318">
        <f>+'Cental Budget_int'!I67+'Local Government_int'!H73</f>
        <v>10304571.941500001</v>
      </c>
      <c r="J54" s="308">
        <f t="shared" si="2"/>
        <v>0.33395682983860514</v>
      </c>
      <c r="K54" s="318">
        <f>+'Cental Budget_int'!K67+'Local Government_int'!J73</f>
        <v>8465091.3699999992</v>
      </c>
      <c r="L54" s="308">
        <f t="shared" si="3"/>
        <v>0.28396817745722908</v>
      </c>
      <c r="M54" s="318">
        <f>+'Cental Budget_int'!M67+'Local Government_int'!L73</f>
        <v>6211302.6600000001</v>
      </c>
      <c r="N54" s="308">
        <f t="shared" si="4"/>
        <v>0.20010640012886599</v>
      </c>
      <c r="O54" s="318">
        <f>+'Cental Budget_int'!O67+'Local Government_int'!N73</f>
        <v>6749030.8300000001</v>
      </c>
      <c r="P54" s="308">
        <f t="shared" si="5"/>
        <v>0.20868988342609771</v>
      </c>
      <c r="Q54" s="336">
        <f>+'Cental Budget_int'!Q67+'Local Government_int'!P73</f>
        <v>6888973.7100000009</v>
      </c>
      <c r="R54" s="325">
        <f t="shared" si="6"/>
        <v>0.21876702794537953</v>
      </c>
      <c r="S54" s="336">
        <f>+'Cental Budget_int'!S67+'Local Government_int'!R73</f>
        <v>6784477.5370000014</v>
      </c>
      <c r="T54" s="325">
        <f t="shared" si="7"/>
        <v>0.19290524700028439</v>
      </c>
      <c r="U54" s="336">
        <f>+'Cental Budget_int'!U67+'Local Government_int'!T73</f>
        <v>6804928.9725400014</v>
      </c>
      <c r="V54" s="325">
        <f t="shared" si="8"/>
        <v>0.19348674929030427</v>
      </c>
      <c r="W54" s="336">
        <f>+'Cental Budget_int'!W67+'Local Government_int'!V73</f>
        <v>20451.435539999977</v>
      </c>
      <c r="X54" s="514" t="e">
        <f t="shared" si="9"/>
        <v>#DIV/0!</v>
      </c>
      <c r="Y54" s="223"/>
      <c r="Z54" s="223"/>
      <c r="AA54" s="223"/>
      <c r="AB54" s="223"/>
      <c r="AC54" s="223"/>
      <c r="AD54" s="223"/>
      <c r="AE54" s="223"/>
      <c r="AF54" s="223"/>
      <c r="AG54" s="223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50"/>
      <c r="BA54" s="160"/>
      <c r="BB54" s="160"/>
      <c r="BC54" s="612"/>
      <c r="BD54" s="612"/>
      <c r="BE54" s="612"/>
      <c r="BF54" s="612"/>
      <c r="BG54" s="612"/>
      <c r="BH54" s="612"/>
      <c r="BI54" s="612"/>
      <c r="BJ54" s="612"/>
      <c r="BK54" s="612"/>
      <c r="BL54" s="612"/>
      <c r="BM54" s="612"/>
      <c r="BN54" s="612"/>
      <c r="BO54" s="612"/>
      <c r="BP54" s="612"/>
      <c r="BQ54" s="612"/>
      <c r="BR54" s="612"/>
      <c r="BS54" s="612"/>
      <c r="BT54" s="612"/>
      <c r="BU54" s="612"/>
      <c r="BV54" s="612"/>
      <c r="BW54" s="612"/>
      <c r="BX54" s="612"/>
      <c r="BY54" s="612"/>
      <c r="BZ54" s="612"/>
      <c r="CA54" s="612"/>
      <c r="CB54" s="612"/>
      <c r="CC54" s="612"/>
      <c r="CD54" s="612"/>
      <c r="CE54" s="612"/>
      <c r="CF54" s="612"/>
      <c r="CG54" s="612"/>
      <c r="CH54" s="612"/>
      <c r="CI54" s="612"/>
      <c r="CJ54" s="612"/>
      <c r="CK54" s="612"/>
      <c r="CL54" s="612"/>
      <c r="CM54" s="612"/>
      <c r="CN54" s="612"/>
      <c r="CO54" s="612"/>
      <c r="CP54" s="612"/>
      <c r="CQ54" s="612"/>
      <c r="CR54" s="612"/>
      <c r="CS54" s="612"/>
      <c r="CT54" s="612"/>
      <c r="CU54" s="612"/>
      <c r="CV54" s="612"/>
      <c r="CW54" s="612"/>
      <c r="CX54" s="612"/>
      <c r="CY54" s="612"/>
      <c r="CZ54" s="612"/>
      <c r="DA54" s="612"/>
      <c r="DB54" s="612"/>
      <c r="DC54" s="612"/>
      <c r="DD54" s="612"/>
      <c r="DE54" s="612"/>
      <c r="DF54" s="612"/>
      <c r="DG54" s="612"/>
      <c r="DH54" s="612"/>
      <c r="DI54" s="612"/>
      <c r="DJ54" s="612"/>
      <c r="DK54" s="612"/>
      <c r="DL54" s="612"/>
      <c r="DM54" s="612"/>
      <c r="DN54" s="612"/>
      <c r="DO54" s="612"/>
      <c r="DP54" s="612"/>
      <c r="DQ54" s="612"/>
      <c r="DR54" s="612"/>
      <c r="DS54" s="612"/>
      <c r="DT54" s="612"/>
      <c r="DU54" s="612"/>
      <c r="DV54" s="612"/>
      <c r="DW54" s="612"/>
      <c r="DX54" s="612"/>
      <c r="DY54" s="612"/>
      <c r="DZ54" s="612"/>
      <c r="EA54" s="612"/>
      <c r="EB54" s="612"/>
      <c r="EC54" s="612"/>
      <c r="ED54" s="612"/>
      <c r="EE54" s="612"/>
      <c r="EF54" s="612"/>
      <c r="EG54" s="612"/>
      <c r="EH54" s="612"/>
      <c r="EI54" s="612"/>
      <c r="EJ54" s="612"/>
      <c r="EK54" s="612"/>
      <c r="EL54" s="612"/>
      <c r="EM54" s="612"/>
      <c r="EN54" s="612"/>
      <c r="EO54" s="612"/>
      <c r="EP54" s="612"/>
      <c r="EQ54" s="612"/>
      <c r="ER54" s="612"/>
      <c r="ES54" s="612"/>
      <c r="ET54" s="612"/>
      <c r="EU54" s="612"/>
      <c r="EV54" s="612"/>
      <c r="EW54" s="612"/>
      <c r="EX54" s="612"/>
      <c r="EY54" s="612"/>
      <c r="EZ54" s="612"/>
      <c r="FA54" s="612"/>
      <c r="FB54" s="612"/>
      <c r="FC54" s="612"/>
      <c r="FD54" s="612"/>
      <c r="FE54" s="612"/>
      <c r="FF54" s="612"/>
      <c r="FG54" s="612"/>
      <c r="FH54" s="612"/>
      <c r="FI54" s="612"/>
      <c r="FJ54" s="612"/>
      <c r="FK54" s="612"/>
      <c r="FL54" s="612"/>
      <c r="FM54" s="612"/>
      <c r="FN54" s="612"/>
      <c r="FO54" s="612"/>
      <c r="FP54" s="612"/>
      <c r="FQ54" s="612"/>
      <c r="FR54" s="612"/>
      <c r="FS54" s="612"/>
      <c r="FT54" s="612"/>
      <c r="FU54" s="612"/>
      <c r="FV54" s="612"/>
      <c r="FW54" s="612"/>
      <c r="FX54" s="612"/>
      <c r="FY54" s="612"/>
      <c r="FZ54" s="612"/>
      <c r="GA54" s="612"/>
      <c r="GB54" s="612"/>
      <c r="GC54" s="612"/>
      <c r="GD54" s="612"/>
      <c r="GE54" s="245"/>
      <c r="GF54" s="612"/>
      <c r="GG54" s="50"/>
      <c r="GH54" s="612"/>
      <c r="GI54" s="612"/>
      <c r="GJ54" s="612"/>
      <c r="GK54" s="612"/>
      <c r="GL54" s="612"/>
      <c r="GM54" s="612"/>
      <c r="GN54" s="612"/>
      <c r="GO54" s="612"/>
      <c r="GP54" s="612"/>
      <c r="GQ54" s="612"/>
      <c r="GR54" s="612"/>
      <c r="GS54" s="612"/>
      <c r="GT54" s="612"/>
      <c r="GU54" s="612"/>
      <c r="GV54" s="612"/>
      <c r="GW54" s="612"/>
      <c r="GX54" s="612"/>
      <c r="GY54" s="612"/>
      <c r="GZ54" s="612"/>
      <c r="HA54" s="612"/>
      <c r="HB54" s="612"/>
      <c r="HC54" s="612"/>
      <c r="HD54" s="612"/>
      <c r="HE54" s="612"/>
      <c r="HF54" s="612"/>
      <c r="HG54" s="612"/>
      <c r="HH54" s="612"/>
      <c r="HI54" s="612"/>
      <c r="HJ54" s="612"/>
      <c r="HK54" s="612"/>
      <c r="HL54" s="612"/>
      <c r="HM54" s="612"/>
      <c r="HN54" s="612"/>
      <c r="HO54" s="612"/>
      <c r="HP54" s="612"/>
      <c r="HQ54" s="612"/>
      <c r="HR54" s="612"/>
      <c r="HS54" s="612"/>
      <c r="HT54" s="612"/>
      <c r="HU54" s="612"/>
      <c r="HV54" s="612"/>
      <c r="HW54" s="612"/>
      <c r="HX54" s="612"/>
      <c r="HY54" s="612"/>
      <c r="HZ54" s="612"/>
      <c r="IA54" s="612"/>
      <c r="IB54" s="612"/>
      <c r="IC54" s="612"/>
      <c r="ID54" s="612"/>
      <c r="IE54" s="612"/>
      <c r="IF54" s="612"/>
      <c r="IG54" s="612"/>
      <c r="IH54" s="612"/>
      <c r="II54" s="612"/>
    </row>
    <row r="55" spans="1:243" s="69" customFormat="1" ht="15" customHeight="1">
      <c r="A55" s="72"/>
      <c r="B55" s="72"/>
      <c r="C55" s="72"/>
      <c r="D55" s="272" t="str">
        <f>IF(MasterSheet!$A$1=1,MasterSheet!C294,MasterSheet!B294)</f>
        <v>Kapitalni izdaci Tekućeg budžeta i Državnih fondova</v>
      </c>
      <c r="E55" s="190">
        <f>+'Cental Budget_int'!E68</f>
        <v>40141835.139999993</v>
      </c>
      <c r="F55" s="308">
        <f t="shared" si="0"/>
        <v>1.8680178295872305</v>
      </c>
      <c r="G55" s="190">
        <f>+'Cental Budget_int'!G68</f>
        <v>0</v>
      </c>
      <c r="H55" s="308">
        <f t="shared" si="1"/>
        <v>0</v>
      </c>
      <c r="I55" s="190">
        <f>+'Cental Budget_int'!I68</f>
        <v>75166022.909999996</v>
      </c>
      <c r="J55" s="308">
        <f t="shared" si="2"/>
        <v>2.4360261508296603</v>
      </c>
      <c r="K55" s="190">
        <f>+'Cental Budget_int'!K68</f>
        <v>26511453.920000002</v>
      </c>
      <c r="L55" s="308">
        <f t="shared" si="3"/>
        <v>0.88934766588393155</v>
      </c>
      <c r="M55" s="190">
        <f>+'Cental Budget_int'!M68</f>
        <v>19371879.949999999</v>
      </c>
      <c r="N55" s="308">
        <f t="shared" si="4"/>
        <v>0.62409407055412369</v>
      </c>
      <c r="O55" s="190">
        <f>+'Cental Budget_int'!O68</f>
        <v>17010992.290000129</v>
      </c>
      <c r="P55" s="308">
        <f t="shared" si="5"/>
        <v>0.52600470902907015</v>
      </c>
      <c r="Q55" s="584">
        <f>+'Cental Budget_int'!Q68</f>
        <v>13391039.780000195</v>
      </c>
      <c r="R55" s="325">
        <f t="shared" si="6"/>
        <v>0.42524737313433458</v>
      </c>
      <c r="S55" s="584">
        <f>+'Cental Budget_int'!S68</f>
        <v>9320147.8499999996</v>
      </c>
      <c r="T55" s="325">
        <f t="shared" si="7"/>
        <v>0.26500278220073925</v>
      </c>
      <c r="U55" s="584">
        <f>+'Cental Budget_int'!U68</f>
        <v>15120147.85</v>
      </c>
      <c r="V55" s="325">
        <f t="shared" si="8"/>
        <v>0.42991606056297976</v>
      </c>
      <c r="W55" s="584">
        <f>+'Cental Budget_int'!W68</f>
        <v>5800000</v>
      </c>
      <c r="X55" s="514" t="e">
        <f t="shared" si="9"/>
        <v>#DIV/0!</v>
      </c>
      <c r="Y55" s="223"/>
      <c r="Z55" s="223"/>
      <c r="AA55" s="223"/>
      <c r="AB55" s="223"/>
      <c r="AC55" s="223"/>
      <c r="AD55" s="223"/>
      <c r="AE55" s="223"/>
      <c r="AF55" s="223"/>
      <c r="AG55" s="223"/>
      <c r="AH55" s="223"/>
      <c r="AI55" s="223"/>
      <c r="AJ55" s="223"/>
      <c r="AK55" s="223"/>
      <c r="AL55" s="223"/>
      <c r="AM55" s="223"/>
      <c r="AN55" s="223"/>
      <c r="AO55" s="223"/>
      <c r="AP55" s="223"/>
      <c r="AQ55" s="223"/>
      <c r="AR55" s="223"/>
      <c r="AS55" s="223"/>
      <c r="AT55" s="223"/>
      <c r="AU55" s="223"/>
      <c r="AV55" s="223"/>
      <c r="AW55" s="223"/>
      <c r="AX55" s="223"/>
      <c r="AY55" s="223"/>
      <c r="AZ55" s="441"/>
      <c r="BA55" s="267"/>
      <c r="BB55" s="267"/>
      <c r="BC55" s="70"/>
      <c r="BD55" s="70"/>
      <c r="BE55" s="70"/>
      <c r="BF55" s="70"/>
      <c r="BG55" s="70"/>
      <c r="BH55" s="70"/>
      <c r="BI55" s="70"/>
      <c r="BJ55" s="70"/>
      <c r="BK55" s="70"/>
      <c r="BL55" s="70"/>
      <c r="BM55" s="70"/>
      <c r="BN55" s="70"/>
      <c r="BO55" s="70"/>
      <c r="BP55" s="70"/>
      <c r="BQ55" s="70"/>
      <c r="BR55" s="70"/>
      <c r="BS55" s="70"/>
      <c r="BT55" s="70"/>
      <c r="BU55" s="70"/>
      <c r="BV55" s="70"/>
      <c r="BW55" s="70"/>
      <c r="BX55" s="70"/>
      <c r="BY55" s="70"/>
      <c r="BZ55" s="70"/>
      <c r="CA55" s="70"/>
      <c r="CB55" s="70"/>
      <c r="CC55" s="70"/>
      <c r="CD55" s="70"/>
      <c r="CE55" s="70"/>
      <c r="CF55" s="70"/>
      <c r="CG55" s="70"/>
      <c r="CH55" s="70"/>
      <c r="CI55" s="70"/>
      <c r="CJ55" s="70"/>
      <c r="CK55" s="70"/>
      <c r="CL55" s="70"/>
      <c r="CM55" s="70"/>
      <c r="CN55" s="70"/>
      <c r="CO55" s="70"/>
      <c r="CP55" s="70"/>
      <c r="CQ55" s="70"/>
      <c r="CR55" s="70"/>
      <c r="CS55" s="70"/>
      <c r="CT55" s="70"/>
      <c r="CU55" s="70"/>
      <c r="CV55" s="70"/>
      <c r="CW55" s="70"/>
      <c r="CX55" s="70"/>
      <c r="CY55" s="70"/>
      <c r="CZ55" s="70"/>
      <c r="DA55" s="70"/>
      <c r="DB55" s="70"/>
      <c r="DC55" s="70"/>
      <c r="DD55" s="70"/>
      <c r="DE55" s="70"/>
      <c r="DF55" s="70"/>
      <c r="DG55" s="70"/>
      <c r="DH55" s="70"/>
      <c r="DI55" s="70"/>
      <c r="DJ55" s="70"/>
      <c r="DK55" s="70"/>
      <c r="DL55" s="70"/>
      <c r="DM55" s="70"/>
      <c r="DN55" s="70"/>
      <c r="DO55" s="70"/>
      <c r="DP55" s="70"/>
      <c r="DQ55" s="70"/>
      <c r="DR55" s="70"/>
      <c r="DS55" s="70"/>
      <c r="DT55" s="70"/>
      <c r="DU55" s="70"/>
      <c r="DV55" s="70"/>
      <c r="DW55" s="70"/>
      <c r="DX55" s="70"/>
      <c r="DY55" s="70"/>
      <c r="DZ55" s="70"/>
      <c r="EA55" s="70"/>
      <c r="EB55" s="70"/>
      <c r="EC55" s="70"/>
      <c r="ED55" s="70"/>
      <c r="EE55" s="70"/>
      <c r="EF55" s="70"/>
      <c r="EG55" s="70"/>
      <c r="EH55" s="70"/>
      <c r="EI55" s="70"/>
      <c r="EJ55" s="70"/>
      <c r="EK55" s="70"/>
      <c r="EL55" s="70"/>
      <c r="EM55" s="70"/>
      <c r="EN55" s="70"/>
      <c r="EO55" s="70"/>
      <c r="EP55" s="70"/>
      <c r="EQ55" s="70"/>
      <c r="ER55" s="70"/>
      <c r="ES55" s="70"/>
      <c r="ET55" s="70"/>
      <c r="EU55" s="70"/>
      <c r="EV55" s="70"/>
      <c r="EW55" s="70"/>
      <c r="EX55" s="70"/>
      <c r="EY55" s="70"/>
      <c r="EZ55" s="70"/>
      <c r="FA55" s="70"/>
      <c r="FB55" s="70"/>
      <c r="FC55" s="70"/>
      <c r="FD55" s="70"/>
      <c r="FE55" s="70"/>
      <c r="FF55" s="70"/>
      <c r="FG55" s="70"/>
      <c r="FH55" s="70"/>
      <c r="FI55" s="70"/>
      <c r="FJ55" s="70"/>
      <c r="FK55" s="70"/>
      <c r="FL55" s="70"/>
      <c r="FM55" s="70"/>
      <c r="FN55" s="70"/>
      <c r="FO55" s="70"/>
      <c r="FP55" s="70"/>
      <c r="FQ55" s="70"/>
      <c r="FR55" s="70"/>
      <c r="FS55" s="70"/>
      <c r="FT55" s="70"/>
      <c r="FU55" s="70"/>
      <c r="FV55" s="70"/>
      <c r="FW55" s="70"/>
      <c r="FX55" s="70"/>
      <c r="FY55" s="70"/>
      <c r="FZ55" s="70"/>
      <c r="GA55" s="70"/>
      <c r="GB55" s="70"/>
      <c r="GC55" s="70"/>
      <c r="GD55" s="70"/>
      <c r="GE55" s="585"/>
      <c r="GF55" s="70"/>
      <c r="GG55" s="441"/>
      <c r="GH55" s="70"/>
      <c r="GI55" s="70"/>
      <c r="GJ55" s="70"/>
      <c r="GK55" s="70"/>
      <c r="GL55" s="70"/>
      <c r="GM55" s="70"/>
      <c r="GN55" s="70"/>
      <c r="GO55" s="70"/>
      <c r="GP55" s="70"/>
      <c r="GQ55" s="70"/>
      <c r="GR55" s="70"/>
      <c r="GS55" s="70"/>
      <c r="GT55" s="70"/>
      <c r="GU55" s="70"/>
      <c r="GV55" s="70"/>
      <c r="GW55" s="70"/>
      <c r="GX55" s="70"/>
      <c r="GY55" s="70"/>
      <c r="GZ55" s="70"/>
      <c r="HA55" s="70"/>
      <c r="HB55" s="70"/>
      <c r="HC55" s="70"/>
      <c r="HD55" s="70"/>
      <c r="HE55" s="70"/>
      <c r="HF55" s="70"/>
      <c r="HG55" s="70"/>
      <c r="HH55" s="70"/>
      <c r="HI55" s="70"/>
      <c r="HJ55" s="70"/>
      <c r="HK55" s="70"/>
      <c r="HL55" s="70"/>
      <c r="HM55" s="70"/>
      <c r="HN55" s="70"/>
      <c r="HO55" s="70"/>
      <c r="HP55" s="70"/>
      <c r="HQ55" s="70"/>
      <c r="HR55" s="70"/>
      <c r="HS55" s="70"/>
      <c r="HT55" s="70"/>
      <c r="HU55" s="70"/>
      <c r="HV55" s="70"/>
      <c r="HW55" s="70"/>
      <c r="HX55" s="70"/>
      <c r="HY55" s="70"/>
      <c r="HZ55" s="70"/>
      <c r="IA55" s="70"/>
      <c r="IB55" s="70"/>
      <c r="IC55" s="70"/>
      <c r="ID55" s="70"/>
      <c r="IE55" s="70"/>
      <c r="IF55" s="70"/>
      <c r="IG55" s="70"/>
      <c r="IH55" s="70"/>
      <c r="II55" s="70"/>
    </row>
    <row r="56" spans="1:243" ht="15" customHeight="1">
      <c r="A56" s="72"/>
      <c r="B56" s="72"/>
      <c r="C56" s="72"/>
      <c r="D56" s="272" t="str">
        <f>IF(MasterSheet!$A$1=1,MasterSheet!C295,MasterSheet!B295)</f>
        <v>Transferi za socijalnu zaštitu</v>
      </c>
      <c r="E56" s="318">
        <f>SUM(E57:E61)</f>
        <v>260053753.81</v>
      </c>
      <c r="F56" s="308">
        <f t="shared" si="0"/>
        <v>12.101715008143701</v>
      </c>
      <c r="G56" s="318">
        <f>SUM(G57:G61)</f>
        <v>298776100.27000004</v>
      </c>
      <c r="H56" s="308">
        <f t="shared" si="1"/>
        <v>11.146282420070884</v>
      </c>
      <c r="I56" s="318">
        <f>SUM(I57:I61)</f>
        <v>350415078.49000001</v>
      </c>
      <c r="J56" s="308">
        <f t="shared" si="2"/>
        <v>11.356464820132226</v>
      </c>
      <c r="K56" s="318">
        <f>SUM(K57:K61)</f>
        <v>413071406.82000005</v>
      </c>
      <c r="L56" s="308">
        <f t="shared" si="3"/>
        <v>13.85680666957397</v>
      </c>
      <c r="M56" s="318">
        <f>SUM(M57:M61)</f>
        <v>423588492.50000012</v>
      </c>
      <c r="N56" s="308">
        <f t="shared" si="4"/>
        <v>13.646536485180416</v>
      </c>
      <c r="O56" s="318">
        <f>SUM(O57:O61)</f>
        <v>455524083.13999999</v>
      </c>
      <c r="P56" s="308">
        <f t="shared" si="5"/>
        <v>14.085469484848485</v>
      </c>
      <c r="Q56" s="336">
        <f>SUM(Q57:Q61)</f>
        <v>482086881.83999997</v>
      </c>
      <c r="R56" s="325">
        <f t="shared" si="6"/>
        <v>15.30920552048269</v>
      </c>
      <c r="S56" s="336">
        <f>SUM(S57:S61)</f>
        <v>498262405.93500006</v>
      </c>
      <c r="T56" s="325">
        <f t="shared" si="7"/>
        <v>14.167256352999718</v>
      </c>
      <c r="U56" s="336">
        <f>SUM(U57:U61)</f>
        <v>492270199.51170003</v>
      </c>
      <c r="V56" s="325">
        <f t="shared" si="8"/>
        <v>13.996878007156669</v>
      </c>
      <c r="W56" s="336">
        <f>SUM(W57:W61)</f>
        <v>-5992206.4232999999</v>
      </c>
      <c r="X56" s="514" t="e">
        <f t="shared" si="9"/>
        <v>#DIV/0!</v>
      </c>
      <c r="Y56" s="222"/>
      <c r="Z56" s="222"/>
      <c r="AA56" s="222"/>
      <c r="AB56" s="222"/>
      <c r="AC56" s="222"/>
      <c r="AD56" s="222"/>
      <c r="AE56" s="222"/>
      <c r="AF56" s="222"/>
      <c r="AG56" s="222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50"/>
      <c r="BA56" s="249"/>
      <c r="BB56" s="249"/>
      <c r="BC56" s="612"/>
      <c r="BD56" s="612"/>
      <c r="BE56" s="612"/>
      <c r="BF56" s="612"/>
      <c r="BG56" s="612"/>
      <c r="BH56" s="612"/>
      <c r="BI56" s="612"/>
      <c r="BJ56" s="612"/>
      <c r="BK56" s="612"/>
      <c r="BL56" s="612"/>
      <c r="BM56" s="612"/>
      <c r="BN56" s="612"/>
      <c r="BO56" s="612"/>
      <c r="BP56" s="612"/>
      <c r="BQ56" s="612"/>
      <c r="BR56" s="612"/>
      <c r="BS56" s="612"/>
      <c r="BT56" s="612"/>
      <c r="BU56" s="612"/>
      <c r="BV56" s="612"/>
      <c r="BW56" s="612"/>
      <c r="BX56" s="612"/>
      <c r="BY56" s="612"/>
      <c r="BZ56" s="612"/>
      <c r="CA56" s="612"/>
      <c r="CB56" s="612"/>
      <c r="CC56" s="612"/>
      <c r="CD56" s="612"/>
      <c r="CE56" s="612"/>
      <c r="CF56" s="612"/>
      <c r="CG56" s="612"/>
      <c r="CH56" s="612"/>
      <c r="CI56" s="612"/>
      <c r="CJ56" s="612"/>
      <c r="CK56" s="612"/>
      <c r="CL56" s="612"/>
      <c r="CM56" s="612"/>
      <c r="CN56" s="612"/>
      <c r="CO56" s="612"/>
      <c r="CP56" s="612"/>
      <c r="CQ56" s="612"/>
      <c r="CR56" s="612"/>
      <c r="CS56" s="612"/>
      <c r="CT56" s="612"/>
      <c r="CU56" s="612"/>
      <c r="CV56" s="612"/>
      <c r="CW56" s="612"/>
      <c r="CX56" s="612"/>
      <c r="CY56" s="612"/>
      <c r="CZ56" s="612"/>
      <c r="DA56" s="612"/>
      <c r="DB56" s="612"/>
      <c r="DC56" s="612"/>
      <c r="DD56" s="612"/>
      <c r="DE56" s="612"/>
      <c r="DF56" s="612"/>
      <c r="DG56" s="612"/>
      <c r="DH56" s="612"/>
      <c r="DI56" s="612"/>
      <c r="DJ56" s="612"/>
      <c r="DK56" s="612"/>
      <c r="DL56" s="612"/>
      <c r="DM56" s="612"/>
      <c r="DN56" s="612"/>
      <c r="DO56" s="612"/>
      <c r="DP56" s="612"/>
      <c r="DQ56" s="612"/>
      <c r="DR56" s="612"/>
      <c r="DS56" s="612"/>
      <c r="DT56" s="612"/>
      <c r="DU56" s="612"/>
      <c r="DV56" s="612"/>
      <c r="DW56" s="612"/>
      <c r="DX56" s="612"/>
      <c r="DY56" s="612"/>
      <c r="DZ56" s="612"/>
      <c r="EA56" s="612"/>
      <c r="EB56" s="612"/>
      <c r="EC56" s="612"/>
      <c r="ED56" s="612"/>
      <c r="EE56" s="612"/>
      <c r="EF56" s="612"/>
      <c r="EG56" s="612"/>
      <c r="EH56" s="612"/>
      <c r="EI56" s="612"/>
      <c r="EJ56" s="612"/>
      <c r="EK56" s="612"/>
      <c r="EL56" s="612"/>
      <c r="EM56" s="612"/>
      <c r="EN56" s="612"/>
      <c r="EO56" s="612"/>
      <c r="EP56" s="612"/>
      <c r="EQ56" s="612"/>
      <c r="ER56" s="612"/>
      <c r="ES56" s="612"/>
      <c r="ET56" s="612"/>
      <c r="EU56" s="612"/>
      <c r="EV56" s="612"/>
      <c r="EW56" s="612"/>
      <c r="EX56" s="612"/>
      <c r="EY56" s="612"/>
      <c r="EZ56" s="612"/>
      <c r="FA56" s="612"/>
      <c r="FB56" s="612"/>
      <c r="FC56" s="612"/>
      <c r="FD56" s="612"/>
      <c r="FE56" s="612"/>
      <c r="FF56" s="612"/>
      <c r="FG56" s="612"/>
      <c r="FH56" s="612"/>
      <c r="FI56" s="612"/>
      <c r="FJ56" s="612"/>
      <c r="FK56" s="612"/>
      <c r="FL56" s="612"/>
      <c r="FM56" s="612"/>
      <c r="FN56" s="612"/>
      <c r="FO56" s="612"/>
      <c r="FP56" s="612"/>
      <c r="FQ56" s="612"/>
      <c r="FR56" s="612"/>
      <c r="FS56" s="612"/>
      <c r="FT56" s="612"/>
      <c r="FU56" s="248"/>
      <c r="FV56" s="612"/>
      <c r="FW56" s="612"/>
      <c r="FX56" s="612"/>
      <c r="FY56" s="612"/>
      <c r="FZ56" s="612"/>
      <c r="GA56" s="612"/>
      <c r="GB56" s="612"/>
      <c r="GC56" s="612"/>
      <c r="GD56" s="612"/>
      <c r="GE56" s="245"/>
      <c r="GF56" s="612"/>
      <c r="GG56" s="612"/>
      <c r="GH56" s="612"/>
      <c r="GI56" s="612"/>
      <c r="GJ56" s="612"/>
      <c r="GK56" s="612"/>
      <c r="GL56" s="612"/>
      <c r="GM56" s="612"/>
      <c r="GN56" s="612"/>
      <c r="GO56" s="612"/>
      <c r="GP56" s="612"/>
      <c r="GQ56" s="612"/>
      <c r="GR56" s="612"/>
      <c r="GS56" s="612"/>
      <c r="GT56" s="612"/>
      <c r="GU56" s="612"/>
      <c r="GV56" s="612"/>
      <c r="GW56" s="612"/>
      <c r="GX56" s="612"/>
      <c r="GY56" s="612"/>
      <c r="GZ56" s="612"/>
      <c r="HA56" s="612"/>
      <c r="HB56" s="612"/>
      <c r="HC56" s="612"/>
      <c r="HD56" s="612"/>
      <c r="HE56" s="612"/>
      <c r="HF56" s="612"/>
      <c r="HG56" s="612"/>
      <c r="HH56" s="612"/>
      <c r="HI56" s="612"/>
      <c r="HJ56" s="612"/>
      <c r="HK56" s="612"/>
      <c r="HL56" s="612"/>
      <c r="HM56" s="612"/>
      <c r="HN56" s="612"/>
      <c r="HO56" s="612"/>
      <c r="HP56" s="612"/>
      <c r="HQ56" s="612"/>
      <c r="HR56" s="612"/>
      <c r="HS56" s="612"/>
      <c r="HT56" s="612"/>
      <c r="HU56" s="612"/>
      <c r="HV56" s="612"/>
      <c r="HW56" s="612"/>
      <c r="HX56" s="612"/>
      <c r="HY56" s="612"/>
      <c r="HZ56" s="612"/>
      <c r="IA56" s="612"/>
      <c r="IB56" s="612"/>
      <c r="IC56" s="612"/>
      <c r="ID56" s="612"/>
      <c r="IE56" s="612"/>
      <c r="IF56" s="612"/>
      <c r="IG56" s="612"/>
      <c r="IH56" s="612"/>
      <c r="II56" s="612"/>
    </row>
    <row r="57" spans="1:243" ht="15" customHeight="1">
      <c r="A57" s="72"/>
      <c r="B57" s="72"/>
      <c r="C57" s="72"/>
      <c r="D57" s="271" t="str">
        <f>IF(MasterSheet!$A$1=1,MasterSheet!C296,MasterSheet!B296)</f>
        <v>Prava iz oblasti socijalne zaštite</v>
      </c>
      <c r="E57" s="316">
        <f>+'Cental Budget_int'!E70+'Local Government_int'!D75</f>
        <v>34330192.07</v>
      </c>
      <c r="F57" s="307">
        <f t="shared" si="0"/>
        <v>1.597570481176416</v>
      </c>
      <c r="G57" s="316">
        <f>+'Cental Budget_int'!G70+'Local Government_int'!F75</f>
        <v>39383527.090000004</v>
      </c>
      <c r="H57" s="307">
        <f t="shared" si="1"/>
        <v>1.4692604771497857</v>
      </c>
      <c r="I57" s="316">
        <f>+'Cental Budget_int'!I70+'Local Government_int'!H75</f>
        <v>45905462.160000004</v>
      </c>
      <c r="J57" s="307">
        <f t="shared" si="2"/>
        <v>1.4877321156339125</v>
      </c>
      <c r="K57" s="316">
        <f>+'Cental Budget_int'!K70+'Local Government_int'!J75</f>
        <v>47456540.350000001</v>
      </c>
      <c r="L57" s="307">
        <f t="shared" si="3"/>
        <v>1.5919671368668231</v>
      </c>
      <c r="M57" s="316">
        <f>+'Cental Budget_int'!M70+'Local Government_int'!L75</f>
        <v>51591720.359999999</v>
      </c>
      <c r="N57" s="307">
        <f t="shared" si="4"/>
        <v>1.6621043930412371</v>
      </c>
      <c r="O57" s="316">
        <f>+'Cental Budget_int'!O70+'Local Government_int'!N75</f>
        <v>60092767.540000007</v>
      </c>
      <c r="P57" s="307">
        <f t="shared" si="5"/>
        <v>1.858156077303649</v>
      </c>
      <c r="Q57" s="334">
        <f>+'Cental Budget_int'!Q70+'Local Government_int'!P75</f>
        <v>65641911.829999998</v>
      </c>
      <c r="R57" s="324">
        <f t="shared" si="6"/>
        <v>2.0845319730073038</v>
      </c>
      <c r="S57" s="334">
        <f>+'Cental Budget_int'!S70+'Local Government_int'!R75</f>
        <v>61398678.835000001</v>
      </c>
      <c r="T57" s="324">
        <f t="shared" si="7"/>
        <v>1.7457685196189936</v>
      </c>
      <c r="U57" s="334">
        <f>+'Cental Budget_int'!U70+'Local Government_int'!T75</f>
        <v>67406472.411699995</v>
      </c>
      <c r="V57" s="324">
        <f t="shared" si="8"/>
        <v>1.91659006004265</v>
      </c>
      <c r="W57" s="334">
        <f>+'Cental Budget_int'!W70+'Local Government_int'!V75</f>
        <v>6007793.5767000001</v>
      </c>
      <c r="X57" s="513" t="e">
        <f t="shared" si="9"/>
        <v>#DIV/0!</v>
      </c>
      <c r="Y57" s="223"/>
      <c r="Z57" s="223"/>
      <c r="AA57" s="223"/>
      <c r="AB57" s="223"/>
      <c r="AC57" s="223"/>
      <c r="AD57" s="223"/>
      <c r="AE57" s="223"/>
      <c r="AF57" s="223"/>
      <c r="AG57" s="223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50"/>
      <c r="BA57" s="160"/>
      <c r="BB57" s="160"/>
      <c r="BC57" s="612"/>
      <c r="BD57" s="612"/>
      <c r="BE57" s="612"/>
      <c r="BF57" s="612"/>
      <c r="BG57" s="612"/>
      <c r="BH57" s="612"/>
      <c r="BI57" s="612"/>
      <c r="BJ57" s="612"/>
      <c r="BK57" s="612"/>
      <c r="BL57" s="612"/>
      <c r="BM57" s="612"/>
      <c r="BN57" s="612"/>
      <c r="BO57" s="612"/>
      <c r="BP57" s="612"/>
      <c r="BQ57" s="612"/>
      <c r="BR57" s="612"/>
      <c r="BS57" s="612"/>
      <c r="BT57" s="612"/>
      <c r="BU57" s="612"/>
      <c r="BV57" s="612"/>
      <c r="BW57" s="612"/>
      <c r="BX57" s="612"/>
      <c r="BY57" s="612"/>
      <c r="BZ57" s="612"/>
      <c r="CA57" s="612"/>
      <c r="CB57" s="612"/>
      <c r="CC57" s="612"/>
      <c r="CD57" s="612"/>
      <c r="CE57" s="612"/>
      <c r="CF57" s="612"/>
      <c r="CG57" s="612"/>
      <c r="CH57" s="612"/>
      <c r="CI57" s="612"/>
      <c r="CJ57" s="612"/>
      <c r="CK57" s="612"/>
      <c r="CL57" s="612"/>
      <c r="CM57" s="612"/>
      <c r="CN57" s="612"/>
      <c r="CO57" s="612"/>
      <c r="CP57" s="612"/>
      <c r="CQ57" s="612"/>
      <c r="CR57" s="612"/>
      <c r="CS57" s="612"/>
      <c r="CT57" s="612"/>
      <c r="CU57" s="612"/>
      <c r="CV57" s="612"/>
      <c r="CW57" s="612"/>
      <c r="CX57" s="612"/>
      <c r="CY57" s="612"/>
      <c r="CZ57" s="612"/>
      <c r="DA57" s="612"/>
      <c r="DB57" s="612"/>
      <c r="DC57" s="612"/>
      <c r="DD57" s="612"/>
      <c r="DE57" s="612"/>
      <c r="DF57" s="612"/>
      <c r="DG57" s="612"/>
      <c r="DH57" s="612"/>
      <c r="DI57" s="612"/>
      <c r="DJ57" s="612"/>
      <c r="DK57" s="612"/>
      <c r="DL57" s="612"/>
      <c r="DM57" s="612"/>
      <c r="DN57" s="612"/>
      <c r="DO57" s="612"/>
      <c r="DP57" s="612"/>
      <c r="DQ57" s="612"/>
      <c r="DR57" s="612"/>
      <c r="DS57" s="612"/>
      <c r="DT57" s="612"/>
      <c r="DU57" s="612"/>
      <c r="DV57" s="612"/>
      <c r="DW57" s="612"/>
      <c r="DX57" s="612"/>
      <c r="DY57" s="612"/>
      <c r="DZ57" s="612"/>
      <c r="EA57" s="612"/>
      <c r="EB57" s="612"/>
      <c r="EC57" s="612"/>
      <c r="ED57" s="612"/>
      <c r="EE57" s="612"/>
      <c r="EF57" s="612"/>
      <c r="EG57" s="612"/>
      <c r="EH57" s="612"/>
      <c r="EI57" s="612"/>
      <c r="EJ57" s="612"/>
      <c r="EK57" s="612"/>
      <c r="EL57" s="612"/>
      <c r="EM57" s="612"/>
      <c r="EN57" s="612"/>
      <c r="EO57" s="612"/>
      <c r="EP57" s="612"/>
      <c r="EQ57" s="612"/>
      <c r="ER57" s="612"/>
      <c r="ES57" s="612"/>
      <c r="ET57" s="612"/>
      <c r="EU57" s="612"/>
      <c r="EV57" s="612"/>
      <c r="EW57" s="612"/>
      <c r="EX57" s="612"/>
      <c r="EY57" s="612"/>
      <c r="EZ57" s="612"/>
      <c r="FA57" s="612"/>
      <c r="FB57" s="612"/>
      <c r="FC57" s="612"/>
      <c r="FD57" s="612"/>
      <c r="FE57" s="612"/>
      <c r="FF57" s="612"/>
      <c r="FG57" s="612"/>
      <c r="FH57" s="612"/>
      <c r="FI57" s="612"/>
      <c r="FJ57" s="612"/>
      <c r="FK57" s="612"/>
      <c r="FL57" s="612"/>
      <c r="FM57" s="612"/>
      <c r="FN57" s="612"/>
      <c r="FO57" s="612"/>
      <c r="FP57" s="612"/>
      <c r="FQ57" s="612"/>
      <c r="FR57" s="612"/>
      <c r="FS57" s="612"/>
      <c r="FT57" s="612"/>
      <c r="FU57" s="612"/>
      <c r="FV57" s="612"/>
      <c r="FW57" s="612"/>
      <c r="FX57" s="612"/>
      <c r="FY57" s="612"/>
      <c r="FZ57" s="612"/>
      <c r="GA57" s="612"/>
      <c r="GB57" s="612"/>
      <c r="GC57" s="612"/>
      <c r="GD57" s="612"/>
      <c r="GE57" s="245"/>
      <c r="GF57" s="612"/>
      <c r="GG57" s="612"/>
      <c r="GH57" s="612"/>
      <c r="GI57" s="612"/>
      <c r="GJ57" s="612"/>
      <c r="GK57" s="612"/>
      <c r="GL57" s="612"/>
      <c r="GM57" s="612"/>
      <c r="GN57" s="612"/>
      <c r="GO57" s="612"/>
      <c r="GP57" s="612"/>
      <c r="GQ57" s="612"/>
      <c r="GR57" s="612"/>
      <c r="GS57" s="612"/>
      <c r="GT57" s="612"/>
      <c r="GU57" s="612"/>
      <c r="GV57" s="612"/>
      <c r="GW57" s="612"/>
      <c r="GX57" s="612"/>
      <c r="GY57" s="612"/>
      <c r="GZ57" s="612"/>
      <c r="HA57" s="612"/>
      <c r="HB57" s="612"/>
      <c r="HC57" s="612"/>
      <c r="HD57" s="612"/>
      <c r="HE57" s="612"/>
      <c r="HF57" s="612"/>
      <c r="HG57" s="612"/>
      <c r="HH57" s="612"/>
      <c r="HI57" s="612"/>
      <c r="HJ57" s="612"/>
      <c r="HK57" s="612"/>
      <c r="HL57" s="612"/>
      <c r="HM57" s="612"/>
      <c r="HN57" s="612"/>
      <c r="HO57" s="612"/>
      <c r="HP57" s="612"/>
      <c r="HQ57" s="612"/>
      <c r="HR57" s="612"/>
      <c r="HS57" s="612"/>
      <c r="HT57" s="612"/>
      <c r="HU57" s="612"/>
      <c r="HV57" s="612"/>
      <c r="HW57" s="612"/>
      <c r="HX57" s="612"/>
      <c r="HY57" s="612"/>
      <c r="HZ57" s="612"/>
      <c r="IA57" s="612"/>
      <c r="IB57" s="612"/>
      <c r="IC57" s="612"/>
      <c r="ID57" s="612"/>
      <c r="IE57" s="612"/>
      <c r="IF57" s="612"/>
      <c r="IG57" s="612"/>
      <c r="IH57" s="612"/>
      <c r="II57" s="612"/>
    </row>
    <row r="58" spans="1:243" ht="15" customHeight="1">
      <c r="A58" s="72"/>
      <c r="B58" s="72"/>
      <c r="C58" s="72"/>
      <c r="D58" s="271" t="str">
        <f>IF(MasterSheet!$A$1=1,MasterSheet!C297,MasterSheet!B297)</f>
        <v>Sredstva za tehnološke viškove</v>
      </c>
      <c r="E58" s="316">
        <f>+'Cental Budget_int'!E71+'Local Government_int'!D76</f>
        <v>9827053.3399999999</v>
      </c>
      <c r="F58" s="307">
        <f t="shared" si="0"/>
        <v>0.45730621899576529</v>
      </c>
      <c r="G58" s="316">
        <f>+'Cental Budget_int'!G71+'Local Government_int'!F76</f>
        <v>11489125.32</v>
      </c>
      <c r="H58" s="307">
        <f t="shared" si="1"/>
        <v>0.42861873978735315</v>
      </c>
      <c r="I58" s="316">
        <f>+'Cental Budget_int'!I71+'Local Government_int'!H76</f>
        <v>30282109.969999999</v>
      </c>
      <c r="J58" s="307">
        <f t="shared" si="2"/>
        <v>0.98140102313974587</v>
      </c>
      <c r="K58" s="316">
        <f>+'Cental Budget_int'!K71+'Local Government_int'!J76</f>
        <v>19963527.059999999</v>
      </c>
      <c r="L58" s="307">
        <f t="shared" si="3"/>
        <v>0.66969228648104651</v>
      </c>
      <c r="M58" s="316">
        <f>+'Cental Budget_int'!M71+'Local Government_int'!L76</f>
        <v>20513795.120000001</v>
      </c>
      <c r="N58" s="307">
        <f t="shared" si="4"/>
        <v>0.66088257474226808</v>
      </c>
      <c r="O58" s="316">
        <f>+'Cental Budget_int'!O71+'Local Government_int'!N76</f>
        <v>17323007.039999999</v>
      </c>
      <c r="P58" s="307">
        <f t="shared" si="5"/>
        <v>0.5356526604823747</v>
      </c>
      <c r="Q58" s="334">
        <f>+'Cental Budget_int'!Q71+'Local Government_int'!P76</f>
        <v>16130418.140000001</v>
      </c>
      <c r="R58" s="324">
        <f t="shared" si="6"/>
        <v>0.51223938202604002</v>
      </c>
      <c r="S58" s="334">
        <f>+'Cental Budget_int'!S71+'Local Government_int'!R76</f>
        <v>15360050</v>
      </c>
      <c r="T58" s="324">
        <f t="shared" si="7"/>
        <v>0.43673727608757468</v>
      </c>
      <c r="U58" s="334">
        <f>+'Cental Budget_int'!U71+'Local Government_int'!T76</f>
        <v>15360050</v>
      </c>
      <c r="V58" s="324">
        <f t="shared" si="8"/>
        <v>0.43673727608757468</v>
      </c>
      <c r="W58" s="334">
        <f>+'Cental Budget_int'!W71+'Local Government_int'!V76</f>
        <v>0</v>
      </c>
      <c r="X58" s="513" t="e">
        <f t="shared" si="9"/>
        <v>#DIV/0!</v>
      </c>
      <c r="Y58" s="223"/>
      <c r="Z58" s="223"/>
      <c r="AA58" s="223"/>
      <c r="AB58" s="223"/>
      <c r="AC58" s="223"/>
      <c r="AD58" s="223"/>
      <c r="AE58" s="223"/>
      <c r="AF58" s="223"/>
      <c r="AG58" s="223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50"/>
      <c r="BA58" s="160"/>
      <c r="BB58" s="160"/>
      <c r="BC58" s="612"/>
      <c r="BD58" s="612"/>
      <c r="BE58" s="612"/>
      <c r="BF58" s="612"/>
      <c r="BG58" s="612"/>
      <c r="BH58" s="612"/>
      <c r="BI58" s="612"/>
      <c r="BJ58" s="612"/>
      <c r="BK58" s="612"/>
      <c r="BL58" s="612"/>
      <c r="BM58" s="612"/>
      <c r="BN58" s="612"/>
      <c r="BO58" s="612"/>
      <c r="BP58" s="612"/>
      <c r="BQ58" s="612"/>
      <c r="BR58" s="612"/>
      <c r="BS58" s="612"/>
      <c r="BT58" s="612"/>
      <c r="BU58" s="612"/>
      <c r="BV58" s="612"/>
      <c r="BW58" s="612"/>
      <c r="BX58" s="612"/>
      <c r="BY58" s="612"/>
      <c r="BZ58" s="612"/>
      <c r="CA58" s="612"/>
      <c r="CB58" s="612"/>
      <c r="CC58" s="612"/>
      <c r="CD58" s="612"/>
      <c r="CE58" s="612"/>
      <c r="CF58" s="612"/>
      <c r="CG58" s="612"/>
      <c r="CH58" s="612"/>
      <c r="CI58" s="612"/>
      <c r="CJ58" s="612"/>
      <c r="CK58" s="612"/>
      <c r="CL58" s="612"/>
      <c r="CM58" s="612"/>
      <c r="CN58" s="612"/>
      <c r="CO58" s="612"/>
      <c r="CP58" s="612"/>
      <c r="CQ58" s="612"/>
      <c r="CR58" s="612"/>
      <c r="CS58" s="612"/>
      <c r="CT58" s="612"/>
      <c r="CU58" s="612"/>
      <c r="CV58" s="612"/>
      <c r="CW58" s="612"/>
      <c r="CX58" s="612"/>
      <c r="CY58" s="612"/>
      <c r="CZ58" s="612"/>
      <c r="DA58" s="612"/>
      <c r="DB58" s="612"/>
      <c r="DC58" s="612"/>
      <c r="DD58" s="612"/>
      <c r="DE58" s="612"/>
      <c r="DF58" s="612"/>
      <c r="DG58" s="612"/>
      <c r="DH58" s="612"/>
      <c r="DI58" s="612"/>
      <c r="DJ58" s="612"/>
      <c r="DK58" s="612"/>
      <c r="DL58" s="612"/>
      <c r="DM58" s="612"/>
      <c r="DN58" s="612"/>
      <c r="DO58" s="612"/>
      <c r="DP58" s="612"/>
      <c r="DQ58" s="612"/>
      <c r="DR58" s="612"/>
      <c r="DS58" s="612"/>
      <c r="DT58" s="612"/>
      <c r="DU58" s="612"/>
      <c r="DV58" s="612"/>
      <c r="DW58" s="612"/>
      <c r="DX58" s="612"/>
      <c r="DY58" s="612"/>
      <c r="DZ58" s="612"/>
      <c r="EA58" s="612"/>
      <c r="EB58" s="612"/>
      <c r="EC58" s="612"/>
      <c r="ED58" s="612"/>
      <c r="EE58" s="612"/>
      <c r="EF58" s="612"/>
      <c r="EG58" s="612"/>
      <c r="EH58" s="612"/>
      <c r="EI58" s="612"/>
      <c r="EJ58" s="612"/>
      <c r="EK58" s="612"/>
      <c r="EL58" s="612"/>
      <c r="EM58" s="612"/>
      <c r="EN58" s="612"/>
      <c r="EO58" s="612"/>
      <c r="EP58" s="612"/>
      <c r="EQ58" s="612"/>
      <c r="ER58" s="612"/>
      <c r="ES58" s="612"/>
      <c r="ET58" s="612"/>
      <c r="EU58" s="612"/>
      <c r="EV58" s="612"/>
      <c r="EW58" s="612"/>
      <c r="EX58" s="612"/>
      <c r="EY58" s="612"/>
      <c r="EZ58" s="612"/>
      <c r="FA58" s="612"/>
      <c r="FB58" s="612"/>
      <c r="FC58" s="612"/>
      <c r="FD58" s="612"/>
      <c r="FE58" s="612"/>
      <c r="FF58" s="612"/>
      <c r="FG58" s="612"/>
      <c r="FH58" s="612"/>
      <c r="FI58" s="612"/>
      <c r="FJ58" s="612"/>
      <c r="FK58" s="612"/>
      <c r="FL58" s="612"/>
      <c r="FM58" s="612"/>
      <c r="FN58" s="612"/>
      <c r="FO58" s="612"/>
      <c r="FP58" s="612"/>
      <c r="FQ58" s="612"/>
      <c r="FR58" s="612"/>
      <c r="FS58" s="612"/>
      <c r="FT58" s="612"/>
      <c r="FU58" s="612"/>
      <c r="FV58" s="612"/>
      <c r="FW58" s="612"/>
      <c r="FX58" s="612"/>
      <c r="FY58" s="612"/>
      <c r="FZ58" s="612"/>
      <c r="GA58" s="612"/>
      <c r="GB58" s="612"/>
      <c r="GC58" s="612"/>
      <c r="GD58" s="612"/>
      <c r="GE58" s="245"/>
      <c r="GF58" s="612"/>
      <c r="GG58" s="612"/>
      <c r="GH58" s="612"/>
      <c r="GI58" s="612"/>
      <c r="GJ58" s="612"/>
      <c r="GK58" s="612"/>
      <c r="GL58" s="612"/>
      <c r="GM58" s="612"/>
      <c r="GN58" s="612"/>
      <c r="GO58" s="612"/>
      <c r="GP58" s="612"/>
      <c r="GQ58" s="612"/>
      <c r="GR58" s="612"/>
      <c r="GS58" s="612"/>
      <c r="GT58" s="612"/>
      <c r="GU58" s="612"/>
      <c r="GV58" s="612"/>
      <c r="GW58" s="612"/>
      <c r="GX58" s="612"/>
      <c r="GY58" s="612"/>
      <c r="GZ58" s="612"/>
      <c r="HA58" s="612"/>
      <c r="HB58" s="612"/>
      <c r="HC58" s="612"/>
      <c r="HD58" s="612"/>
      <c r="HE58" s="612"/>
      <c r="HF58" s="612"/>
      <c r="HG58" s="612"/>
      <c r="HH58" s="612"/>
      <c r="HI58" s="612"/>
      <c r="HJ58" s="612"/>
      <c r="HK58" s="612"/>
      <c r="HL58" s="612"/>
      <c r="HM58" s="612"/>
      <c r="HN58" s="612"/>
      <c r="HO58" s="612"/>
      <c r="HP58" s="612"/>
      <c r="HQ58" s="612"/>
      <c r="HR58" s="612"/>
      <c r="HS58" s="612"/>
      <c r="HT58" s="612"/>
      <c r="HU58" s="612"/>
      <c r="HV58" s="612"/>
      <c r="HW58" s="612"/>
      <c r="HX58" s="612"/>
      <c r="HY58" s="612"/>
      <c r="HZ58" s="612"/>
      <c r="IA58" s="612"/>
      <c r="IB58" s="612"/>
      <c r="IC58" s="612"/>
      <c r="ID58" s="612"/>
      <c r="IE58" s="612"/>
      <c r="IF58" s="612"/>
      <c r="IG58" s="612"/>
      <c r="IH58" s="612"/>
      <c r="II58" s="612"/>
    </row>
    <row r="59" spans="1:243" ht="15" customHeight="1">
      <c r="A59" s="72"/>
      <c r="B59" s="72"/>
      <c r="C59" s="72"/>
      <c r="D59" s="271" t="str">
        <f>IF(MasterSheet!$A$1=1,MasterSheet!C298,MasterSheet!B298)</f>
        <v>Prava iz oblasti penzijskog i invalidskog osiguranja</v>
      </c>
      <c r="E59" s="316">
        <f>+'Cental Budget_int'!E72+'Local Government_int'!D77</f>
        <v>199416686.40000001</v>
      </c>
      <c r="F59" s="307">
        <f t="shared" si="0"/>
        <v>9.2799425938852451</v>
      </c>
      <c r="G59" s="316">
        <f>+'Cental Budget_int'!G72+'Local Government_int'!F77</f>
        <v>228365332.86000001</v>
      </c>
      <c r="H59" s="307">
        <f t="shared" si="1"/>
        <v>8.5195050498041418</v>
      </c>
      <c r="I59" s="316">
        <f>+'Cental Budget_int'!I72+'Local Government_int'!H77</f>
        <v>250935783.35999998</v>
      </c>
      <c r="J59" s="307">
        <f t="shared" si="2"/>
        <v>8.1324793673839775</v>
      </c>
      <c r="K59" s="316">
        <f>+'Cental Budget_int'!K72+'Local Government_int'!J77</f>
        <v>323500545.41000003</v>
      </c>
      <c r="L59" s="307">
        <f t="shared" si="3"/>
        <v>10.852081362294532</v>
      </c>
      <c r="M59" s="316">
        <f>+'Cental Budget_int'!M72+'Local Government_int'!L77</f>
        <v>330972340.54000008</v>
      </c>
      <c r="N59" s="307">
        <f t="shared" si="4"/>
        <v>10.66276870296392</v>
      </c>
      <c r="O59" s="316">
        <f>+'Cental Budget_int'!O72+'Local Government_int'!N77</f>
        <v>356875323.42000002</v>
      </c>
      <c r="P59" s="307">
        <f t="shared" si="5"/>
        <v>11.035105857142858</v>
      </c>
      <c r="Q59" s="334">
        <f>+'Cental Budget_int'!Q72+'Local Government_int'!P77</f>
        <v>378962096.58999997</v>
      </c>
      <c r="R59" s="324">
        <f t="shared" si="6"/>
        <v>12.034363181644967</v>
      </c>
      <c r="S59" s="334">
        <f>+'Cental Budget_int'!S72+'Local Government_int'!R77</f>
        <v>400903677.10000002</v>
      </c>
      <c r="T59" s="324">
        <f t="shared" si="7"/>
        <v>11.399024085868639</v>
      </c>
      <c r="U59" s="334">
        <f>+'Cental Budget_int'!U72+'Local Government_int'!T77</f>
        <v>388903677.10000002</v>
      </c>
      <c r="V59" s="324">
        <f t="shared" si="8"/>
        <v>11.057824199601935</v>
      </c>
      <c r="W59" s="334">
        <f>+'Cental Budget_int'!W72+'Local Government_int'!V77</f>
        <v>-12000000</v>
      </c>
      <c r="X59" s="513" t="e">
        <f t="shared" si="9"/>
        <v>#DIV/0!</v>
      </c>
      <c r="Y59" s="223"/>
      <c r="Z59" s="223"/>
      <c r="AA59" s="223"/>
      <c r="AB59" s="223"/>
      <c r="AC59" s="223"/>
      <c r="AD59" s="223"/>
      <c r="AE59" s="223"/>
      <c r="AF59" s="223"/>
      <c r="AG59" s="223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50"/>
      <c r="BA59" s="160"/>
      <c r="BB59" s="160"/>
      <c r="BC59" s="612"/>
      <c r="BD59" s="612"/>
      <c r="BE59" s="612"/>
      <c r="BF59" s="612"/>
      <c r="BG59" s="612"/>
      <c r="BH59" s="612"/>
      <c r="BI59" s="612"/>
      <c r="BJ59" s="612"/>
      <c r="BK59" s="612"/>
      <c r="BL59" s="612"/>
      <c r="BM59" s="612"/>
      <c r="BN59" s="612"/>
      <c r="BO59" s="612"/>
      <c r="BP59" s="612"/>
      <c r="BQ59" s="612"/>
      <c r="BR59" s="612"/>
      <c r="BS59" s="612"/>
      <c r="BT59" s="612"/>
      <c r="BU59" s="612"/>
      <c r="BV59" s="612"/>
      <c r="BW59" s="612"/>
      <c r="BX59" s="612"/>
      <c r="BY59" s="612"/>
      <c r="BZ59" s="612"/>
      <c r="CA59" s="612"/>
      <c r="CB59" s="612"/>
      <c r="CC59" s="612"/>
      <c r="CD59" s="612"/>
      <c r="CE59" s="612"/>
      <c r="CF59" s="612"/>
      <c r="CG59" s="612"/>
      <c r="CH59" s="612"/>
      <c r="CI59" s="612"/>
      <c r="CJ59" s="612"/>
      <c r="CK59" s="612"/>
      <c r="CL59" s="612"/>
      <c r="CM59" s="612"/>
      <c r="CN59" s="612"/>
      <c r="CO59" s="612"/>
      <c r="CP59" s="612"/>
      <c r="CQ59" s="612"/>
      <c r="CR59" s="612"/>
      <c r="CS59" s="612"/>
      <c r="CT59" s="612"/>
      <c r="CU59" s="612"/>
      <c r="CV59" s="612"/>
      <c r="CW59" s="612"/>
      <c r="CX59" s="612"/>
      <c r="CY59" s="612"/>
      <c r="CZ59" s="612"/>
      <c r="DA59" s="612"/>
      <c r="DB59" s="612"/>
      <c r="DC59" s="612"/>
      <c r="DD59" s="612"/>
      <c r="DE59" s="612"/>
      <c r="DF59" s="612"/>
      <c r="DG59" s="612"/>
      <c r="DH59" s="612"/>
      <c r="DI59" s="612"/>
      <c r="DJ59" s="612"/>
      <c r="DK59" s="612"/>
      <c r="DL59" s="612"/>
      <c r="DM59" s="612"/>
      <c r="DN59" s="612"/>
      <c r="DO59" s="612"/>
      <c r="DP59" s="612"/>
      <c r="DQ59" s="612"/>
      <c r="DR59" s="612"/>
      <c r="DS59" s="612"/>
      <c r="DT59" s="612"/>
      <c r="DU59" s="612"/>
      <c r="DV59" s="612"/>
      <c r="DW59" s="612"/>
      <c r="DX59" s="612"/>
      <c r="DY59" s="612"/>
      <c r="DZ59" s="612"/>
      <c r="EA59" s="612"/>
      <c r="EB59" s="612"/>
      <c r="EC59" s="612"/>
      <c r="ED59" s="612"/>
      <c r="EE59" s="612"/>
      <c r="EF59" s="612"/>
      <c r="EG59" s="612"/>
      <c r="EH59" s="612"/>
      <c r="EI59" s="612"/>
      <c r="EJ59" s="612"/>
      <c r="EK59" s="612"/>
      <c r="EL59" s="612"/>
      <c r="EM59" s="612"/>
      <c r="EN59" s="612"/>
      <c r="EO59" s="612"/>
      <c r="EP59" s="612"/>
      <c r="EQ59" s="612"/>
      <c r="ER59" s="612"/>
      <c r="ES59" s="612"/>
      <c r="ET59" s="612"/>
      <c r="EU59" s="612"/>
      <c r="EV59" s="612"/>
      <c r="EW59" s="612"/>
      <c r="EX59" s="612"/>
      <c r="EY59" s="612"/>
      <c r="EZ59" s="612"/>
      <c r="FA59" s="612"/>
      <c r="FB59" s="612"/>
      <c r="FC59" s="612"/>
      <c r="FD59" s="612"/>
      <c r="FE59" s="612"/>
      <c r="FF59" s="612"/>
      <c r="FG59" s="612"/>
      <c r="FH59" s="612"/>
      <c r="FI59" s="612"/>
      <c r="FJ59" s="612"/>
      <c r="FK59" s="612"/>
      <c r="FL59" s="612"/>
      <c r="FM59" s="612"/>
      <c r="FN59" s="612"/>
      <c r="FO59" s="612"/>
      <c r="FP59" s="612"/>
      <c r="FQ59" s="612"/>
      <c r="FR59" s="612"/>
      <c r="FS59" s="612"/>
      <c r="FT59" s="612"/>
      <c r="FU59" s="612"/>
      <c r="FV59" s="612"/>
      <c r="FW59" s="612"/>
      <c r="FX59" s="612"/>
      <c r="FY59" s="612"/>
      <c r="FZ59" s="612"/>
      <c r="GA59" s="612"/>
      <c r="GB59" s="612"/>
      <c r="GC59" s="612"/>
      <c r="GD59" s="612"/>
      <c r="GE59" s="245"/>
      <c r="GF59" s="612"/>
      <c r="GG59" s="612"/>
      <c r="GH59" s="612"/>
      <c r="GI59" s="612"/>
      <c r="GJ59" s="612"/>
      <c r="GK59" s="612"/>
      <c r="GL59" s="612"/>
      <c r="GM59" s="612"/>
      <c r="GN59" s="612"/>
      <c r="GO59" s="612"/>
      <c r="GP59" s="612"/>
      <c r="GQ59" s="612"/>
      <c r="GR59" s="612"/>
      <c r="GS59" s="612"/>
      <c r="GT59" s="612"/>
      <c r="GU59" s="612"/>
      <c r="GV59" s="612"/>
      <c r="GW59" s="612"/>
      <c r="GX59" s="612"/>
      <c r="GY59" s="612"/>
      <c r="GZ59" s="612"/>
      <c r="HA59" s="612"/>
      <c r="HB59" s="612"/>
      <c r="HC59" s="612"/>
      <c r="HD59" s="612"/>
      <c r="HE59" s="612"/>
      <c r="HF59" s="612"/>
      <c r="HG59" s="612"/>
      <c r="HH59" s="612"/>
      <c r="HI59" s="612"/>
      <c r="HJ59" s="612"/>
      <c r="HK59" s="612"/>
      <c r="HL59" s="612"/>
      <c r="HM59" s="612"/>
      <c r="HN59" s="612"/>
      <c r="HO59" s="612"/>
      <c r="HP59" s="612"/>
      <c r="HQ59" s="612"/>
      <c r="HR59" s="612"/>
      <c r="HS59" s="612"/>
      <c r="HT59" s="612"/>
      <c r="HU59" s="612"/>
      <c r="HV59" s="612"/>
      <c r="HW59" s="612"/>
      <c r="HX59" s="612"/>
      <c r="HY59" s="612"/>
      <c r="HZ59" s="612"/>
      <c r="IA59" s="612"/>
      <c r="IB59" s="612"/>
      <c r="IC59" s="612"/>
      <c r="ID59" s="612"/>
      <c r="IE59" s="612"/>
      <c r="IF59" s="612"/>
      <c r="IG59" s="612"/>
      <c r="IH59" s="612"/>
      <c r="II59" s="612"/>
    </row>
    <row r="60" spans="1:243" ht="15" customHeight="1">
      <c r="A60" s="72"/>
      <c r="B60" s="72"/>
      <c r="C60" s="72"/>
      <c r="D60" s="271" t="str">
        <f>IF(MasterSheet!$A$1=1,MasterSheet!C299,MasterSheet!B299)</f>
        <v>Ostala prava iz oblasti zdravstvene zaštite</v>
      </c>
      <c r="E60" s="316">
        <f>+'Cental Budget_int'!E73+'Local Government_int'!D78</f>
        <v>10828245</v>
      </c>
      <c r="F60" s="307">
        <f t="shared" si="0"/>
        <v>0.50389711014937877</v>
      </c>
      <c r="G60" s="316">
        <f>+'Cental Budget_int'!G73+'Local Government_int'!F78</f>
        <v>12762198</v>
      </c>
      <c r="H60" s="307">
        <f t="shared" si="1"/>
        <v>0.47611259093452718</v>
      </c>
      <c r="I60" s="316">
        <f>+'Cental Budget_int'!I73+'Local Government_int'!H78</f>
        <v>15724080</v>
      </c>
      <c r="J60" s="307">
        <f t="shared" si="2"/>
        <v>0.50959554057557688</v>
      </c>
      <c r="K60" s="316">
        <f>+'Cental Budget_int'!K73+'Local Government_int'!J78</f>
        <v>14442818</v>
      </c>
      <c r="L60" s="307">
        <f t="shared" si="3"/>
        <v>0.48449573968466958</v>
      </c>
      <c r="M60" s="316">
        <f>+'Cental Budget_int'!M73+'Local Government_int'!L78</f>
        <v>12638749.91</v>
      </c>
      <c r="N60" s="307">
        <f t="shared" si="4"/>
        <v>0.40717622132731957</v>
      </c>
      <c r="O60" s="316">
        <f>+'Cental Budget_int'!O73+'Local Government_int'!N78</f>
        <v>12978814.83</v>
      </c>
      <c r="P60" s="307">
        <f t="shared" si="5"/>
        <v>0.40132389703153987</v>
      </c>
      <c r="Q60" s="334">
        <f>+'Cental Budget_int'!Q73+'Local Government_int'!P78</f>
        <v>13497405.869999999</v>
      </c>
      <c r="R60" s="324">
        <f t="shared" si="6"/>
        <v>0.42862514671324226</v>
      </c>
      <c r="S60" s="334">
        <f>+'Cental Budget_int'!S73+'Local Government_int'!R78</f>
        <v>13600000</v>
      </c>
      <c r="T60" s="324">
        <f t="shared" si="7"/>
        <v>0.38669320443559851</v>
      </c>
      <c r="U60" s="334">
        <f>+'Cental Budget_int'!U73+'Local Government_int'!T78</f>
        <v>13600000</v>
      </c>
      <c r="V60" s="324">
        <f t="shared" si="8"/>
        <v>0.38669320443559851</v>
      </c>
      <c r="W60" s="334">
        <f>+'Cental Budget_int'!W73+'Local Government_int'!V78</f>
        <v>0</v>
      </c>
      <c r="X60" s="513" t="e">
        <f t="shared" si="9"/>
        <v>#DIV/0!</v>
      </c>
      <c r="Y60" s="223"/>
      <c r="Z60" s="223"/>
      <c r="AA60" s="223"/>
      <c r="AB60" s="223"/>
      <c r="AC60" s="223"/>
      <c r="AD60" s="223"/>
      <c r="AE60" s="223"/>
      <c r="AF60" s="223"/>
      <c r="AG60" s="223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50"/>
      <c r="BA60" s="160"/>
      <c r="BB60" s="160"/>
      <c r="BC60" s="612"/>
      <c r="BD60" s="612"/>
      <c r="BE60" s="612"/>
      <c r="BF60" s="612"/>
      <c r="BG60" s="612"/>
      <c r="BH60" s="612"/>
      <c r="BI60" s="612"/>
      <c r="BJ60" s="612"/>
      <c r="BK60" s="612"/>
      <c r="BL60" s="612"/>
      <c r="BM60" s="612"/>
      <c r="BN60" s="612"/>
      <c r="BO60" s="612"/>
      <c r="BP60" s="612"/>
      <c r="BQ60" s="612"/>
      <c r="BR60" s="612"/>
      <c r="BS60" s="612"/>
      <c r="BT60" s="612"/>
      <c r="BU60" s="612"/>
      <c r="BV60" s="612"/>
      <c r="BW60" s="612"/>
      <c r="BX60" s="612"/>
      <c r="BY60" s="612"/>
      <c r="BZ60" s="612"/>
      <c r="CA60" s="612"/>
      <c r="CB60" s="612"/>
      <c r="CC60" s="612"/>
      <c r="CD60" s="612"/>
      <c r="CE60" s="612"/>
      <c r="CF60" s="612"/>
      <c r="CG60" s="612"/>
      <c r="CH60" s="612"/>
      <c r="CI60" s="612"/>
      <c r="CJ60" s="612"/>
      <c r="CK60" s="612"/>
      <c r="CL60" s="612"/>
      <c r="CM60" s="612"/>
      <c r="CN60" s="612"/>
      <c r="CO60" s="612"/>
      <c r="CP60" s="612"/>
      <c r="CQ60" s="612"/>
      <c r="CR60" s="612"/>
      <c r="CS60" s="612"/>
      <c r="CT60" s="612"/>
      <c r="CU60" s="612"/>
      <c r="CV60" s="612"/>
      <c r="CW60" s="612"/>
      <c r="CX60" s="612"/>
      <c r="CY60" s="612"/>
      <c r="CZ60" s="612"/>
      <c r="DA60" s="612"/>
      <c r="DB60" s="612"/>
      <c r="DC60" s="612"/>
      <c r="DD60" s="612"/>
      <c r="DE60" s="612"/>
      <c r="DF60" s="612"/>
      <c r="DG60" s="612"/>
      <c r="DH60" s="612"/>
      <c r="DI60" s="612"/>
      <c r="DJ60" s="612"/>
      <c r="DK60" s="612"/>
      <c r="DL60" s="612"/>
      <c r="DM60" s="612"/>
      <c r="DN60" s="612"/>
      <c r="DO60" s="612"/>
      <c r="DP60" s="612"/>
      <c r="DQ60" s="612"/>
      <c r="DR60" s="612"/>
      <c r="DS60" s="612"/>
      <c r="DT60" s="612"/>
      <c r="DU60" s="612"/>
      <c r="DV60" s="612"/>
      <c r="DW60" s="612"/>
      <c r="DX60" s="612"/>
      <c r="DY60" s="612"/>
      <c r="DZ60" s="612"/>
      <c r="EA60" s="612"/>
      <c r="EB60" s="612"/>
      <c r="EC60" s="612"/>
      <c r="ED60" s="612"/>
      <c r="EE60" s="612"/>
      <c r="EF60" s="612"/>
      <c r="EG60" s="612"/>
      <c r="EH60" s="612"/>
      <c r="EI60" s="612"/>
      <c r="EJ60" s="612"/>
      <c r="EK60" s="612"/>
      <c r="EL60" s="612"/>
      <c r="EM60" s="612"/>
      <c r="EN60" s="612"/>
      <c r="EO60" s="612"/>
      <c r="EP60" s="612"/>
      <c r="EQ60" s="612"/>
      <c r="ER60" s="612"/>
      <c r="ES60" s="612"/>
      <c r="ET60" s="612"/>
      <c r="EU60" s="612"/>
      <c r="EV60" s="612"/>
      <c r="EW60" s="612"/>
      <c r="EX60" s="612"/>
      <c r="EY60" s="612"/>
      <c r="EZ60" s="612"/>
      <c r="FA60" s="612"/>
      <c r="FB60" s="612"/>
      <c r="FC60" s="612"/>
      <c r="FD60" s="612"/>
      <c r="FE60" s="612"/>
      <c r="FF60" s="612"/>
      <c r="FG60" s="612"/>
      <c r="FH60" s="612"/>
      <c r="FI60" s="612"/>
      <c r="FJ60" s="612"/>
      <c r="FK60" s="612"/>
      <c r="FL60" s="612"/>
      <c r="FM60" s="612"/>
      <c r="FN60" s="612"/>
      <c r="FO60" s="612"/>
      <c r="FP60" s="612"/>
      <c r="FQ60" s="612"/>
      <c r="FR60" s="612"/>
      <c r="FS60" s="612"/>
      <c r="FT60" s="612"/>
      <c r="FU60" s="612"/>
      <c r="FV60" s="612"/>
      <c r="FW60" s="612"/>
      <c r="FX60" s="612"/>
      <c r="FY60" s="612"/>
      <c r="FZ60" s="612"/>
      <c r="GA60" s="612"/>
      <c r="GB60" s="612"/>
      <c r="GC60" s="612"/>
      <c r="GD60" s="612"/>
      <c r="GE60" s="245"/>
      <c r="GF60" s="612"/>
      <c r="GG60" s="612"/>
      <c r="GH60" s="612"/>
      <c r="GI60" s="612"/>
      <c r="GJ60" s="612"/>
      <c r="GK60" s="612"/>
      <c r="GL60" s="612"/>
      <c r="GM60" s="612"/>
      <c r="GN60" s="612"/>
      <c r="GO60" s="612"/>
      <c r="GP60" s="612"/>
      <c r="GQ60" s="612"/>
      <c r="GR60" s="612"/>
      <c r="GS60" s="612"/>
      <c r="GT60" s="612"/>
      <c r="GU60" s="612"/>
      <c r="GV60" s="612"/>
      <c r="GW60" s="612"/>
      <c r="GX60" s="612"/>
      <c r="GY60" s="612"/>
      <c r="GZ60" s="612"/>
      <c r="HA60" s="612"/>
      <c r="HB60" s="612"/>
      <c r="HC60" s="612"/>
      <c r="HD60" s="612"/>
      <c r="HE60" s="612"/>
      <c r="HF60" s="612"/>
      <c r="HG60" s="612"/>
      <c r="HH60" s="612"/>
      <c r="HI60" s="612"/>
      <c r="HJ60" s="612"/>
      <c r="HK60" s="612"/>
      <c r="HL60" s="612"/>
      <c r="HM60" s="612"/>
      <c r="HN60" s="612"/>
      <c r="HO60" s="612"/>
      <c r="HP60" s="612"/>
      <c r="HQ60" s="612"/>
      <c r="HR60" s="612"/>
      <c r="HS60" s="612"/>
      <c r="HT60" s="612"/>
      <c r="HU60" s="612"/>
      <c r="HV60" s="612"/>
      <c r="HW60" s="612"/>
      <c r="HX60" s="612"/>
      <c r="HY60" s="612"/>
      <c r="HZ60" s="612"/>
      <c r="IA60" s="612"/>
      <c r="IB60" s="612"/>
      <c r="IC60" s="612"/>
      <c r="ID60" s="612"/>
      <c r="IE60" s="612"/>
      <c r="IF60" s="612"/>
      <c r="IG60" s="612"/>
      <c r="IH60" s="612"/>
      <c r="II60" s="612"/>
    </row>
    <row r="61" spans="1:243" ht="15" customHeight="1">
      <c r="A61" s="72"/>
      <c r="B61" s="72"/>
      <c r="C61" s="72"/>
      <c r="D61" s="271" t="str">
        <f>IF(MasterSheet!$A$1=1,MasterSheet!C300,MasterSheet!B300)</f>
        <v>Ostala prava iz oblasti zdravstvenog osiguranja</v>
      </c>
      <c r="E61" s="316">
        <f>+'Cental Budget_int'!E74+'Local Government_int'!D79</f>
        <v>5651577</v>
      </c>
      <c r="F61" s="307">
        <f t="shared" si="0"/>
        <v>0.26299860393689795</v>
      </c>
      <c r="G61" s="316">
        <f>+'Cental Budget_int'!G74+'Local Government_int'!F79</f>
        <v>6775917</v>
      </c>
      <c r="H61" s="307">
        <f t="shared" si="1"/>
        <v>0.25278556239507555</v>
      </c>
      <c r="I61" s="316">
        <f>+'Cental Budget_int'!I74+'Local Government_int'!H79</f>
        <v>7567643</v>
      </c>
      <c r="J61" s="307">
        <f t="shared" si="2"/>
        <v>0.24525677339901478</v>
      </c>
      <c r="K61" s="316">
        <f>+'Cental Budget_int'!K74+'Local Government_int'!J79</f>
        <v>7707976</v>
      </c>
      <c r="L61" s="307">
        <f t="shared" si="3"/>
        <v>0.258570144246897</v>
      </c>
      <c r="M61" s="316">
        <f>+'Cental Budget_int'!M74+'Local Government_int'!L79</f>
        <v>7871886.5700000003</v>
      </c>
      <c r="N61" s="307">
        <f t="shared" si="4"/>
        <v>0.25360459310567013</v>
      </c>
      <c r="O61" s="316">
        <f>+'Cental Budget_int'!O74+'Local Government_int'!N79</f>
        <v>8254170.3099999996</v>
      </c>
      <c r="P61" s="307">
        <f t="shared" si="5"/>
        <v>0.25523099288806428</v>
      </c>
      <c r="Q61" s="334">
        <f>+'Cental Budget_int'!Q74+'Local Government_int'!P79</f>
        <v>7855049.4100000001</v>
      </c>
      <c r="R61" s="324">
        <f t="shared" si="6"/>
        <v>0.24944583709114004</v>
      </c>
      <c r="S61" s="334">
        <f>+'Cental Budget_int'!S74+'Local Government_int'!R79</f>
        <v>7000000</v>
      </c>
      <c r="T61" s="324">
        <f t="shared" si="7"/>
        <v>0.199033266988911</v>
      </c>
      <c r="U61" s="334">
        <f>+'Cental Budget_int'!U74+'Local Government_int'!T79</f>
        <v>7000000</v>
      </c>
      <c r="V61" s="324">
        <f t="shared" si="8"/>
        <v>0.199033266988911</v>
      </c>
      <c r="W61" s="334">
        <f>+'Cental Budget_int'!W74+'Local Government_int'!V79</f>
        <v>0</v>
      </c>
      <c r="X61" s="513" t="e">
        <f t="shared" si="9"/>
        <v>#DIV/0!</v>
      </c>
      <c r="Y61" s="223"/>
      <c r="Z61" s="223"/>
      <c r="AA61" s="223"/>
      <c r="AB61" s="223"/>
      <c r="AC61" s="223"/>
      <c r="AD61" s="223"/>
      <c r="AE61" s="223"/>
      <c r="AF61" s="223"/>
      <c r="AG61" s="223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50"/>
      <c r="BA61" s="160"/>
      <c r="BB61" s="160"/>
      <c r="BC61" s="612"/>
      <c r="BD61" s="612"/>
      <c r="BE61" s="612"/>
      <c r="BF61" s="612"/>
      <c r="BG61" s="612"/>
      <c r="BH61" s="612"/>
      <c r="BI61" s="612"/>
      <c r="BJ61" s="612"/>
      <c r="BK61" s="612"/>
      <c r="BL61" s="612"/>
      <c r="BM61" s="612"/>
      <c r="BN61" s="612"/>
      <c r="BO61" s="612"/>
      <c r="BP61" s="612"/>
      <c r="BQ61" s="612"/>
      <c r="BR61" s="612"/>
      <c r="BS61" s="612"/>
      <c r="BT61" s="612"/>
      <c r="BU61" s="612"/>
      <c r="BV61" s="612"/>
      <c r="BW61" s="612"/>
      <c r="BX61" s="612"/>
      <c r="BY61" s="612"/>
      <c r="BZ61" s="612"/>
      <c r="CA61" s="612"/>
      <c r="CB61" s="612"/>
      <c r="CC61" s="612"/>
      <c r="CD61" s="612"/>
      <c r="CE61" s="612"/>
      <c r="CF61" s="612"/>
      <c r="CG61" s="612"/>
      <c r="CH61" s="612"/>
      <c r="CI61" s="612"/>
      <c r="CJ61" s="612"/>
      <c r="CK61" s="612"/>
      <c r="CL61" s="612"/>
      <c r="CM61" s="612"/>
      <c r="CN61" s="612"/>
      <c r="CO61" s="612"/>
      <c r="CP61" s="612"/>
      <c r="CQ61" s="612"/>
      <c r="CR61" s="612"/>
      <c r="CS61" s="612"/>
      <c r="CT61" s="612"/>
      <c r="CU61" s="612"/>
      <c r="CV61" s="612"/>
      <c r="CW61" s="612"/>
      <c r="CX61" s="612"/>
      <c r="CY61" s="612"/>
      <c r="CZ61" s="612"/>
      <c r="DA61" s="612"/>
      <c r="DB61" s="612"/>
      <c r="DC61" s="612"/>
      <c r="DD61" s="612"/>
      <c r="DE61" s="612"/>
      <c r="DF61" s="612"/>
      <c r="DG61" s="612"/>
      <c r="DH61" s="612"/>
      <c r="DI61" s="612"/>
      <c r="DJ61" s="612"/>
      <c r="DK61" s="612"/>
      <c r="DL61" s="612"/>
      <c r="DM61" s="612"/>
      <c r="DN61" s="612"/>
      <c r="DO61" s="612"/>
      <c r="DP61" s="612"/>
      <c r="DQ61" s="612"/>
      <c r="DR61" s="612"/>
      <c r="DS61" s="612"/>
      <c r="DT61" s="612"/>
      <c r="DU61" s="612"/>
      <c r="DV61" s="612"/>
      <c r="DW61" s="612"/>
      <c r="DX61" s="612"/>
      <c r="DY61" s="612"/>
      <c r="DZ61" s="612"/>
      <c r="EA61" s="612"/>
      <c r="EB61" s="612"/>
      <c r="EC61" s="612"/>
      <c r="ED61" s="612"/>
      <c r="EE61" s="612"/>
      <c r="EF61" s="612"/>
      <c r="EG61" s="612"/>
      <c r="EH61" s="612"/>
      <c r="EI61" s="612"/>
      <c r="EJ61" s="612"/>
      <c r="EK61" s="612"/>
      <c r="EL61" s="612"/>
      <c r="EM61" s="612"/>
      <c r="EN61" s="612"/>
      <c r="EO61" s="612"/>
      <c r="EP61" s="612"/>
      <c r="EQ61" s="612"/>
      <c r="ER61" s="612"/>
      <c r="ES61" s="612"/>
      <c r="ET61" s="612"/>
      <c r="EU61" s="612"/>
      <c r="EV61" s="612"/>
      <c r="EW61" s="612"/>
      <c r="EX61" s="612"/>
      <c r="EY61" s="612"/>
      <c r="EZ61" s="612"/>
      <c r="FA61" s="612"/>
      <c r="FB61" s="612"/>
      <c r="FC61" s="612"/>
      <c r="FD61" s="612"/>
      <c r="FE61" s="612"/>
      <c r="FF61" s="612"/>
      <c r="FG61" s="612"/>
      <c r="FH61" s="612"/>
      <c r="FI61" s="612"/>
      <c r="FJ61" s="612"/>
      <c r="FK61" s="612"/>
      <c r="FL61" s="612"/>
      <c r="FM61" s="612"/>
      <c r="FN61" s="612"/>
      <c r="FO61" s="612"/>
      <c r="FP61" s="612"/>
      <c r="FQ61" s="612"/>
      <c r="FR61" s="612"/>
      <c r="FS61" s="612"/>
      <c r="FT61" s="612"/>
      <c r="FU61" s="612"/>
      <c r="FV61" s="612"/>
      <c r="FW61" s="612"/>
      <c r="FX61" s="612"/>
      <c r="FY61" s="612"/>
      <c r="FZ61" s="612"/>
      <c r="GA61" s="612"/>
      <c r="GB61" s="612"/>
      <c r="GC61" s="612"/>
      <c r="GD61" s="612"/>
      <c r="GE61" s="245"/>
      <c r="GF61" s="612"/>
      <c r="GG61" s="612"/>
      <c r="GH61" s="612"/>
      <c r="GI61" s="612"/>
      <c r="GJ61" s="612"/>
      <c r="GK61" s="612"/>
      <c r="GL61" s="612"/>
      <c r="GM61" s="612"/>
      <c r="GN61" s="612"/>
      <c r="GO61" s="612"/>
      <c r="GP61" s="612"/>
      <c r="GQ61" s="612"/>
      <c r="GR61" s="612"/>
      <c r="GS61" s="612"/>
      <c r="GT61" s="612"/>
      <c r="GU61" s="612"/>
      <c r="GV61" s="612"/>
      <c r="GW61" s="612"/>
      <c r="GX61" s="612"/>
      <c r="GY61" s="612"/>
      <c r="GZ61" s="612"/>
      <c r="HA61" s="612"/>
      <c r="HB61" s="612"/>
      <c r="HC61" s="612"/>
      <c r="HD61" s="612"/>
      <c r="HE61" s="612"/>
      <c r="HF61" s="612"/>
      <c r="HG61" s="612"/>
      <c r="HH61" s="612"/>
      <c r="HI61" s="612"/>
      <c r="HJ61" s="612"/>
      <c r="HK61" s="612"/>
      <c r="HL61" s="612"/>
      <c r="HM61" s="612"/>
      <c r="HN61" s="612"/>
      <c r="HO61" s="612"/>
      <c r="HP61" s="612"/>
      <c r="HQ61" s="612"/>
      <c r="HR61" s="612"/>
      <c r="HS61" s="612"/>
      <c r="HT61" s="612"/>
      <c r="HU61" s="612"/>
      <c r="HV61" s="612"/>
      <c r="HW61" s="612"/>
      <c r="HX61" s="612"/>
      <c r="HY61" s="612"/>
      <c r="HZ61" s="612"/>
      <c r="IA61" s="612"/>
      <c r="IB61" s="612"/>
      <c r="IC61" s="612"/>
      <c r="ID61" s="612"/>
      <c r="IE61" s="612"/>
      <c r="IF61" s="612"/>
      <c r="IG61" s="612"/>
      <c r="IH61" s="612"/>
      <c r="II61" s="612"/>
    </row>
    <row r="62" spans="1:243" ht="15" customHeight="1">
      <c r="A62" s="72"/>
      <c r="B62" s="72"/>
      <c r="C62" s="72"/>
      <c r="D62" s="272" t="str">
        <f>IF(MasterSheet!$A$1=1,MasterSheet!C301,MasterSheet!B301)</f>
        <v>Transferi instit. pojed. NVO i javnom sektoru</v>
      </c>
      <c r="E62" s="318">
        <f>SUM(E63:E66)</f>
        <v>58051126.109999999</v>
      </c>
      <c r="F62" s="308">
        <f t="shared" si="0"/>
        <v>2.7014345064916934</v>
      </c>
      <c r="G62" s="318">
        <f>SUM(G63:G66)</f>
        <v>81160839.179999992</v>
      </c>
      <c r="H62" s="308">
        <f t="shared" si="1"/>
        <v>3.0278246289871289</v>
      </c>
      <c r="I62" s="318">
        <f>SUM(I63:I66)</f>
        <v>237546077.30000001</v>
      </c>
      <c r="J62" s="308">
        <f t="shared" si="2"/>
        <v>7.6985376361161526</v>
      </c>
      <c r="K62" s="318">
        <f>SUM(K63:K66)</f>
        <v>235061743.41</v>
      </c>
      <c r="L62" s="308">
        <f>+K62/$K$15*100</f>
        <v>7.8853318822542775</v>
      </c>
      <c r="M62" s="318">
        <f>SUM(M63:M66)</f>
        <v>203065334.32000002</v>
      </c>
      <c r="N62" s="308">
        <f t="shared" si="4"/>
        <v>6.542053296391753</v>
      </c>
      <c r="O62" s="318">
        <f>SUM(O63:O66)</f>
        <v>112817813.70999999</v>
      </c>
      <c r="P62" s="308">
        <f t="shared" si="5"/>
        <v>3.4884914567099563</v>
      </c>
      <c r="Q62" s="336">
        <f>SUM(Q63:Q66)</f>
        <v>63605735.049999997</v>
      </c>
      <c r="R62" s="325">
        <f t="shared" si="6"/>
        <v>2.0198709129882504</v>
      </c>
      <c r="S62" s="336">
        <f>SUM(S63:S66)</f>
        <v>121006737.80294</v>
      </c>
      <c r="T62" s="325">
        <f t="shared" si="7"/>
        <v>3.4406237646556725</v>
      </c>
      <c r="U62" s="336">
        <f>SUM(U63:U66)</f>
        <v>125194258.59439881</v>
      </c>
      <c r="V62" s="325">
        <f t="shared" si="8"/>
        <v>3.5596888994711064</v>
      </c>
      <c r="W62" s="336">
        <f>SUM(W63:W66)</f>
        <v>4187520.7914588</v>
      </c>
      <c r="X62" s="514" t="e">
        <f t="shared" si="9"/>
        <v>#DIV/0!</v>
      </c>
      <c r="Y62" s="222"/>
      <c r="Z62" s="222"/>
      <c r="AA62" s="222"/>
      <c r="AB62" s="222"/>
      <c r="AC62" s="222"/>
      <c r="AD62" s="222"/>
      <c r="AE62" s="222"/>
      <c r="AF62" s="222"/>
      <c r="AG62" s="222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50"/>
      <c r="BA62" s="249"/>
      <c r="BB62" s="249"/>
      <c r="BC62" s="612"/>
      <c r="BD62" s="612"/>
      <c r="BE62" s="612"/>
      <c r="BF62" s="612"/>
      <c r="BG62" s="612"/>
      <c r="BH62" s="612"/>
      <c r="BI62" s="612"/>
      <c r="BJ62" s="612"/>
      <c r="BK62" s="612"/>
      <c r="BL62" s="612"/>
      <c r="BM62" s="612"/>
      <c r="BN62" s="612"/>
      <c r="BO62" s="612"/>
      <c r="BP62" s="612"/>
      <c r="BQ62" s="612"/>
      <c r="BR62" s="612"/>
      <c r="BS62" s="612"/>
      <c r="BT62" s="612"/>
      <c r="BU62" s="612"/>
      <c r="BV62" s="612"/>
      <c r="BW62" s="612"/>
      <c r="BX62" s="612"/>
      <c r="BY62" s="612"/>
      <c r="BZ62" s="612"/>
      <c r="CA62" s="612"/>
      <c r="CB62" s="612"/>
      <c r="CC62" s="612"/>
      <c r="CD62" s="612"/>
      <c r="CE62" s="612"/>
      <c r="CF62" s="612"/>
      <c r="CG62" s="612"/>
      <c r="CH62" s="612"/>
      <c r="CI62" s="612"/>
      <c r="CJ62" s="612"/>
      <c r="CK62" s="612"/>
      <c r="CL62" s="612"/>
      <c r="CM62" s="612"/>
      <c r="CN62" s="612"/>
      <c r="CO62" s="612"/>
      <c r="CP62" s="612"/>
      <c r="CQ62" s="612"/>
      <c r="CR62" s="612"/>
      <c r="CS62" s="612"/>
      <c r="CT62" s="612"/>
      <c r="CU62" s="612"/>
      <c r="CV62" s="612"/>
      <c r="CW62" s="612"/>
      <c r="CX62" s="612"/>
      <c r="CY62" s="612"/>
      <c r="CZ62" s="612"/>
      <c r="DA62" s="612"/>
      <c r="DB62" s="612"/>
      <c r="DC62" s="612"/>
      <c r="DD62" s="612"/>
      <c r="DE62" s="612"/>
      <c r="DF62" s="612"/>
      <c r="DG62" s="612"/>
      <c r="DH62" s="612"/>
      <c r="DI62" s="612"/>
      <c r="DJ62" s="612"/>
      <c r="DK62" s="612"/>
      <c r="DL62" s="612"/>
      <c r="DM62" s="612"/>
      <c r="DN62" s="612"/>
      <c r="DO62" s="612"/>
      <c r="DP62" s="612"/>
      <c r="DQ62" s="612"/>
      <c r="DR62" s="612"/>
      <c r="DS62" s="612"/>
      <c r="DT62" s="612"/>
      <c r="DU62" s="612"/>
      <c r="DV62" s="612"/>
      <c r="DW62" s="612"/>
      <c r="DX62" s="612"/>
      <c r="DY62" s="612"/>
      <c r="DZ62" s="612"/>
      <c r="EA62" s="612"/>
      <c r="EB62" s="612"/>
      <c r="EC62" s="612"/>
      <c r="ED62" s="612"/>
      <c r="EE62" s="612"/>
      <c r="EF62" s="612"/>
      <c r="EG62" s="612"/>
      <c r="EH62" s="612"/>
      <c r="EI62" s="612"/>
      <c r="EJ62" s="612"/>
      <c r="EK62" s="612"/>
      <c r="EL62" s="612"/>
      <c r="EM62" s="612"/>
      <c r="EN62" s="612"/>
      <c r="EO62" s="612"/>
      <c r="EP62" s="612"/>
      <c r="EQ62" s="612"/>
      <c r="ER62" s="612"/>
      <c r="ES62" s="612"/>
      <c r="ET62" s="612"/>
      <c r="EU62" s="612"/>
      <c r="EV62" s="612"/>
      <c r="EW62" s="612"/>
      <c r="EX62" s="612"/>
      <c r="EY62" s="612"/>
      <c r="EZ62" s="612"/>
      <c r="FA62" s="612"/>
      <c r="FB62" s="612"/>
      <c r="FC62" s="612"/>
      <c r="FD62" s="612"/>
      <c r="FE62" s="612"/>
      <c r="FF62" s="612"/>
      <c r="FG62" s="612"/>
      <c r="FH62" s="612"/>
      <c r="FI62" s="612"/>
      <c r="FJ62" s="612"/>
      <c r="FK62" s="612"/>
      <c r="FL62" s="612"/>
      <c r="FM62" s="612"/>
      <c r="FN62" s="612"/>
      <c r="FO62" s="612"/>
      <c r="FP62" s="612"/>
      <c r="FQ62" s="612"/>
      <c r="FR62" s="612"/>
      <c r="FS62" s="612"/>
      <c r="FT62" s="612"/>
      <c r="FU62" s="248"/>
      <c r="FV62" s="612"/>
      <c r="FW62" s="248"/>
      <c r="FX62" s="612"/>
      <c r="FY62" s="612"/>
      <c r="FZ62" s="612"/>
      <c r="GA62" s="612"/>
      <c r="GB62" s="612"/>
      <c r="GC62" s="612"/>
      <c r="GD62" s="612"/>
      <c r="GE62" s="245"/>
      <c r="GF62" s="612"/>
      <c r="GG62" s="612"/>
      <c r="GH62" s="612"/>
      <c r="GI62" s="612"/>
      <c r="GJ62" s="612"/>
      <c r="GK62" s="612"/>
      <c r="GL62" s="612"/>
      <c r="GM62" s="612"/>
      <c r="GN62" s="612"/>
      <c r="GO62" s="612"/>
      <c r="GP62" s="612"/>
      <c r="GQ62" s="612"/>
      <c r="GR62" s="612"/>
      <c r="GS62" s="612"/>
      <c r="GT62" s="612"/>
      <c r="GU62" s="612"/>
      <c r="GV62" s="612"/>
      <c r="GW62" s="612"/>
      <c r="GX62" s="612"/>
      <c r="GY62" s="612"/>
      <c r="GZ62" s="612"/>
      <c r="HA62" s="612"/>
      <c r="HB62" s="612"/>
      <c r="HC62" s="612"/>
      <c r="HD62" s="612"/>
      <c r="HE62" s="612"/>
      <c r="HF62" s="612"/>
      <c r="HG62" s="612"/>
      <c r="HH62" s="612"/>
      <c r="HI62" s="612"/>
      <c r="HJ62" s="612"/>
      <c r="HK62" s="612"/>
      <c r="HL62" s="612"/>
      <c r="HM62" s="612"/>
      <c r="HN62" s="612"/>
      <c r="HO62" s="612"/>
      <c r="HP62" s="612"/>
      <c r="HQ62" s="612"/>
      <c r="HR62" s="612"/>
      <c r="HS62" s="612"/>
      <c r="HT62" s="612"/>
      <c r="HU62" s="612"/>
      <c r="HV62" s="612"/>
      <c r="HW62" s="612"/>
      <c r="HX62" s="612"/>
      <c r="HY62" s="612"/>
      <c r="HZ62" s="612"/>
      <c r="IA62" s="612"/>
      <c r="IB62" s="612"/>
      <c r="IC62" s="612"/>
      <c r="ID62" s="612"/>
      <c r="IE62" s="612"/>
      <c r="IF62" s="612"/>
      <c r="IG62" s="612"/>
      <c r="IH62" s="612"/>
      <c r="II62" s="612"/>
    </row>
    <row r="63" spans="1:243" ht="15" customHeight="1">
      <c r="A63" s="72"/>
      <c r="B63" s="72"/>
      <c r="C63" s="72"/>
      <c r="D63" s="271" t="str">
        <f>IF(MasterSheet!$A$1=1,MasterSheet!C302,MasterSheet!B302)</f>
        <v>Transferi javnim institucijama</v>
      </c>
      <c r="E63" s="316">
        <f>+'Cental Budget_int'!E76+'Local Government_int'!D81</f>
        <v>29175316.68</v>
      </c>
      <c r="F63" s="307">
        <f t="shared" si="0"/>
        <v>1.3576861035878822</v>
      </c>
      <c r="G63" s="316">
        <f>+'Cental Budget_int'!G76+'Local Government_int'!F81</f>
        <v>38491216.419999994</v>
      </c>
      <c r="H63" s="307">
        <f t="shared" si="1"/>
        <v>1.4359715135235962</v>
      </c>
      <c r="I63" s="316">
        <f>+'Cental Budget_int'!I76+'Local Government_int'!H81</f>
        <v>194749070.12</v>
      </c>
      <c r="J63" s="307">
        <f t="shared" si="2"/>
        <v>6.3115462185636506</v>
      </c>
      <c r="K63" s="316">
        <f>+'Cental Budget_int'!K76+'Local Government_int'!J81</f>
        <v>235061743.41</v>
      </c>
      <c r="L63" s="307">
        <f t="shared" si="3"/>
        <v>7.8853318822542775</v>
      </c>
      <c r="M63" s="316">
        <f>+'Cental Budget_int'!M76+'Local Government_int'!L81</f>
        <v>183111612.11000001</v>
      </c>
      <c r="N63" s="307">
        <f t="shared" si="4"/>
        <v>5.8992143076675259</v>
      </c>
      <c r="O63" s="316">
        <f>+'Cental Budget_int'!O76+'Local Government_int'!N81</f>
        <v>76423029.519999996</v>
      </c>
      <c r="P63" s="307">
        <f t="shared" si="5"/>
        <v>2.3631116116264685</v>
      </c>
      <c r="Q63" s="334">
        <f>+'Cental Budget_int'!Q76+'Local Government_int'!P81</f>
        <v>23769288.869999997</v>
      </c>
      <c r="R63" s="324">
        <f t="shared" si="6"/>
        <v>0.75482022451571917</v>
      </c>
      <c r="S63" s="334">
        <f>+'Cental Budget_int'!S76+'Local Government_int'!R81</f>
        <v>81068892.652999997</v>
      </c>
      <c r="T63" s="324">
        <f t="shared" si="7"/>
        <v>2.3050580794142737</v>
      </c>
      <c r="U63" s="334">
        <f>+'Cental Budget_int'!U76+'Local Government_int'!T81</f>
        <v>84876741.06505999</v>
      </c>
      <c r="V63" s="324">
        <f t="shared" si="8"/>
        <v>2.4133278665072502</v>
      </c>
      <c r="W63" s="334">
        <f>+'Cental Budget_int'!W76+'Local Government_int'!V81</f>
        <v>3807848.41206</v>
      </c>
      <c r="X63" s="513" t="e">
        <f t="shared" si="9"/>
        <v>#DIV/0!</v>
      </c>
      <c r="Y63" s="223"/>
      <c r="Z63" s="223"/>
      <c r="AA63" s="223"/>
      <c r="AB63" s="223"/>
      <c r="AC63" s="223"/>
      <c r="AD63" s="223"/>
      <c r="AE63" s="223"/>
      <c r="AF63" s="223"/>
      <c r="AG63" s="223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50"/>
      <c r="BA63" s="160"/>
      <c r="BB63" s="160"/>
      <c r="BC63" s="612"/>
      <c r="BD63" s="612"/>
      <c r="BE63" s="612"/>
      <c r="BF63" s="612"/>
      <c r="BG63" s="612"/>
      <c r="BH63" s="612"/>
      <c r="BI63" s="612"/>
      <c r="BJ63" s="612"/>
      <c r="BK63" s="612"/>
      <c r="BL63" s="612"/>
      <c r="BM63" s="612"/>
      <c r="BN63" s="612"/>
      <c r="BO63" s="612"/>
      <c r="BP63" s="612"/>
      <c r="BQ63" s="612"/>
      <c r="BR63" s="612"/>
      <c r="BS63" s="612"/>
      <c r="BT63" s="612"/>
      <c r="BU63" s="612"/>
      <c r="BV63" s="612"/>
      <c r="BW63" s="612"/>
      <c r="BX63" s="612"/>
      <c r="BY63" s="612"/>
      <c r="BZ63" s="612"/>
      <c r="CA63" s="612"/>
      <c r="CB63" s="612"/>
      <c r="CC63" s="612"/>
      <c r="CD63" s="612"/>
      <c r="CE63" s="612"/>
      <c r="CF63" s="612"/>
      <c r="CG63" s="612"/>
      <c r="CH63" s="612"/>
      <c r="CI63" s="612"/>
      <c r="CJ63" s="612"/>
      <c r="CK63" s="612"/>
      <c r="CL63" s="612"/>
      <c r="CM63" s="612"/>
      <c r="CN63" s="612"/>
      <c r="CO63" s="612"/>
      <c r="CP63" s="612"/>
      <c r="CQ63" s="612"/>
      <c r="CR63" s="612"/>
      <c r="CS63" s="612"/>
      <c r="CT63" s="612"/>
      <c r="CU63" s="612"/>
      <c r="CV63" s="612"/>
      <c r="CW63" s="612"/>
      <c r="CX63" s="612"/>
      <c r="CY63" s="612"/>
      <c r="CZ63" s="612"/>
      <c r="DA63" s="612"/>
      <c r="DB63" s="612"/>
      <c r="DC63" s="612"/>
      <c r="DD63" s="612"/>
      <c r="DE63" s="612"/>
      <c r="DF63" s="612"/>
      <c r="DG63" s="612"/>
      <c r="DH63" s="612"/>
      <c r="DI63" s="612"/>
      <c r="DJ63" s="612"/>
      <c r="DK63" s="612"/>
      <c r="DL63" s="612"/>
      <c r="DM63" s="612"/>
      <c r="DN63" s="612"/>
      <c r="DO63" s="612"/>
      <c r="DP63" s="612"/>
      <c r="DQ63" s="612"/>
      <c r="DR63" s="612"/>
      <c r="DS63" s="612"/>
      <c r="DT63" s="612"/>
      <c r="DU63" s="612"/>
      <c r="DV63" s="612"/>
      <c r="DW63" s="612"/>
      <c r="DX63" s="612"/>
      <c r="DY63" s="612"/>
      <c r="DZ63" s="612"/>
      <c r="EA63" s="612"/>
      <c r="EB63" s="612"/>
      <c r="EC63" s="612"/>
      <c r="ED63" s="612"/>
      <c r="EE63" s="612"/>
      <c r="EF63" s="612"/>
      <c r="EG63" s="612"/>
      <c r="EH63" s="612"/>
      <c r="EI63" s="612"/>
      <c r="EJ63" s="612"/>
      <c r="EK63" s="612"/>
      <c r="EL63" s="612"/>
      <c r="EM63" s="612"/>
      <c r="EN63" s="612"/>
      <c r="EO63" s="612"/>
      <c r="EP63" s="612"/>
      <c r="EQ63" s="612"/>
      <c r="ER63" s="612"/>
      <c r="ES63" s="612"/>
      <c r="ET63" s="612"/>
      <c r="EU63" s="612"/>
      <c r="EV63" s="612"/>
      <c r="EW63" s="612"/>
      <c r="EX63" s="612"/>
      <c r="EY63" s="612"/>
      <c r="EZ63" s="612"/>
      <c r="FA63" s="612"/>
      <c r="FB63" s="612"/>
      <c r="FC63" s="612"/>
      <c r="FD63" s="612"/>
      <c r="FE63" s="612"/>
      <c r="FF63" s="612"/>
      <c r="FG63" s="612"/>
      <c r="FH63" s="612"/>
      <c r="FI63" s="612"/>
      <c r="FJ63" s="612"/>
      <c r="FK63" s="612"/>
      <c r="FL63" s="612"/>
      <c r="FM63" s="612"/>
      <c r="FN63" s="612"/>
      <c r="FO63" s="612"/>
      <c r="FP63" s="612"/>
      <c r="FQ63" s="612"/>
      <c r="FR63" s="612"/>
      <c r="FS63" s="612"/>
      <c r="FT63" s="612"/>
      <c r="FU63" s="248"/>
      <c r="FV63" s="612"/>
      <c r="FW63" s="612"/>
      <c r="FX63" s="612"/>
      <c r="FY63" s="612"/>
      <c r="FZ63" s="612"/>
      <c r="GA63" s="612"/>
      <c r="GB63" s="612"/>
      <c r="GC63" s="612"/>
      <c r="GD63" s="612"/>
      <c r="GE63" s="245"/>
      <c r="GF63" s="612"/>
      <c r="GG63" s="612"/>
      <c r="GH63" s="612"/>
      <c r="GI63" s="612"/>
      <c r="GJ63" s="612"/>
      <c r="GK63" s="612"/>
      <c r="GL63" s="612"/>
      <c r="GM63" s="612"/>
      <c r="GN63" s="612"/>
      <c r="GO63" s="612"/>
      <c r="GP63" s="612"/>
      <c r="GQ63" s="612"/>
      <c r="GR63" s="612"/>
      <c r="GS63" s="612"/>
      <c r="GT63" s="612"/>
      <c r="GU63" s="612"/>
      <c r="GV63" s="612"/>
      <c r="GW63" s="612"/>
      <c r="GX63" s="612"/>
      <c r="GY63" s="612"/>
      <c r="GZ63" s="612"/>
      <c r="HA63" s="612"/>
      <c r="HB63" s="612"/>
      <c r="HC63" s="612"/>
      <c r="HD63" s="612"/>
      <c r="HE63" s="612"/>
      <c r="HF63" s="612"/>
      <c r="HG63" s="612"/>
      <c r="HH63" s="612"/>
      <c r="HI63" s="612"/>
      <c r="HJ63" s="612"/>
      <c r="HK63" s="612"/>
      <c r="HL63" s="612"/>
      <c r="HM63" s="612"/>
      <c r="HN63" s="612"/>
      <c r="HO63" s="612"/>
      <c r="HP63" s="612"/>
      <c r="HQ63" s="612"/>
      <c r="HR63" s="612"/>
      <c r="HS63" s="612"/>
      <c r="HT63" s="612"/>
      <c r="HU63" s="612"/>
      <c r="HV63" s="612"/>
      <c r="HW63" s="612"/>
      <c r="HX63" s="612"/>
      <c r="HY63" s="612"/>
      <c r="HZ63" s="612"/>
      <c r="IA63" s="612"/>
      <c r="IB63" s="612"/>
      <c r="IC63" s="612"/>
      <c r="ID63" s="612"/>
      <c r="IE63" s="612"/>
      <c r="IF63" s="612"/>
      <c r="IG63" s="612"/>
      <c r="IH63" s="612"/>
      <c r="II63" s="612"/>
    </row>
    <row r="64" spans="1:243" ht="15" customHeight="1">
      <c r="A64" s="72"/>
      <c r="B64" s="72"/>
      <c r="C64" s="72"/>
      <c r="D64" s="271" t="str">
        <f>IF(MasterSheet!$A$1=1,MasterSheet!C303,MasterSheet!B303)</f>
        <v>Transferi nevladinim organizacijama</v>
      </c>
      <c r="E64" s="316">
        <f>+'Cental Budget_int'!E77+'Local Government_int'!D82</f>
        <v>6820983.5</v>
      </c>
      <c r="F64" s="307">
        <f t="shared" si="0"/>
        <v>0.31741744613523198</v>
      </c>
      <c r="G64" s="316">
        <f>+'Cental Budget_int'!G77+'Local Government_int'!F82</f>
        <v>10479150.579999998</v>
      </c>
      <c r="H64" s="307">
        <f t="shared" si="1"/>
        <v>0.39094014474911393</v>
      </c>
      <c r="I64" s="316">
        <f>+'Cental Budget_int'!I77+'Local Government_int'!H82</f>
        <v>12055087.970000001</v>
      </c>
      <c r="J64" s="307">
        <f t="shared" si="2"/>
        <v>0.39068861712470832</v>
      </c>
      <c r="K64" s="316">
        <f>+'Cental Budget_int'!K77+'Local Government_int'!J82</f>
        <v>0</v>
      </c>
      <c r="L64" s="307">
        <f t="shared" si="3"/>
        <v>0</v>
      </c>
      <c r="M64" s="316">
        <f>+'Cental Budget_int'!M77+'Local Government_int'!L82</f>
        <v>4286887.0199999996</v>
      </c>
      <c r="N64" s="307">
        <f t="shared" si="4"/>
        <v>0.13810847358247422</v>
      </c>
      <c r="O64" s="316">
        <f>+'Cental Budget_int'!O77+'Local Government_int'!N82</f>
        <v>6619408.7699999996</v>
      </c>
      <c r="P64" s="307">
        <f t="shared" si="5"/>
        <v>0.204681780148423</v>
      </c>
      <c r="Q64" s="334">
        <f>+'Cental Budget_int'!Q77+'Local Government_int'!P82</f>
        <v>6597732.5999999996</v>
      </c>
      <c r="R64" s="324">
        <f t="shared" si="6"/>
        <v>0.20951834233089869</v>
      </c>
      <c r="S64" s="334">
        <f>+'Cental Budget_int'!S77+'Local Government_int'!R82</f>
        <v>4399081.4514999995</v>
      </c>
      <c r="T64" s="324">
        <f t="shared" si="7"/>
        <v>0.12508050757748079</v>
      </c>
      <c r="U64" s="334">
        <f>+'Cental Budget_int'!U77+'Local Government_int'!T82</f>
        <v>4436370.55693</v>
      </c>
      <c r="V64" s="324">
        <f t="shared" si="8"/>
        <v>0.12614076078845607</v>
      </c>
      <c r="W64" s="334">
        <f>+'Cental Budget_int'!W77+'Local Government_int'!V82</f>
        <v>37289.105429999996</v>
      </c>
      <c r="X64" s="513" t="e">
        <f t="shared" si="9"/>
        <v>#DIV/0!</v>
      </c>
      <c r="Y64" s="223"/>
      <c r="Z64" s="223"/>
      <c r="AA64" s="223"/>
      <c r="AB64" s="223"/>
      <c r="AC64" s="223"/>
      <c r="AD64" s="223"/>
      <c r="AE64" s="223"/>
      <c r="AF64" s="223"/>
      <c r="AG64" s="223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50"/>
      <c r="BA64" s="160"/>
      <c r="BB64" s="160"/>
      <c r="BC64" s="612"/>
      <c r="BD64" s="612"/>
      <c r="BE64" s="612"/>
      <c r="BF64" s="612"/>
      <c r="BG64" s="612"/>
      <c r="BH64" s="612"/>
      <c r="BI64" s="612"/>
      <c r="BJ64" s="612"/>
      <c r="BK64" s="612"/>
      <c r="BL64" s="612"/>
      <c r="BM64" s="612"/>
      <c r="BN64" s="612"/>
      <c r="BO64" s="612"/>
      <c r="BP64" s="612"/>
      <c r="BQ64" s="612"/>
      <c r="BR64" s="612"/>
      <c r="BS64" s="612"/>
      <c r="BT64" s="612"/>
      <c r="BU64" s="612"/>
      <c r="BV64" s="612"/>
      <c r="BW64" s="612"/>
      <c r="BX64" s="612"/>
      <c r="BY64" s="612"/>
      <c r="BZ64" s="612"/>
      <c r="CA64" s="612"/>
      <c r="CB64" s="612"/>
      <c r="CC64" s="612"/>
      <c r="CD64" s="612"/>
      <c r="CE64" s="612"/>
      <c r="CF64" s="612"/>
      <c r="CG64" s="612"/>
      <c r="CH64" s="612"/>
      <c r="CI64" s="612"/>
      <c r="CJ64" s="612"/>
      <c r="CK64" s="612"/>
      <c r="CL64" s="612"/>
      <c r="CM64" s="612"/>
      <c r="CN64" s="612"/>
      <c r="CO64" s="612"/>
      <c r="CP64" s="612"/>
      <c r="CQ64" s="612"/>
      <c r="CR64" s="612"/>
      <c r="CS64" s="612"/>
      <c r="CT64" s="612"/>
      <c r="CU64" s="612"/>
      <c r="CV64" s="612"/>
      <c r="CW64" s="612"/>
      <c r="CX64" s="612"/>
      <c r="CY64" s="612"/>
      <c r="CZ64" s="612"/>
      <c r="DA64" s="612"/>
      <c r="DB64" s="612"/>
      <c r="DC64" s="612"/>
      <c r="DD64" s="612"/>
      <c r="DE64" s="612"/>
      <c r="DF64" s="612"/>
      <c r="DG64" s="612"/>
      <c r="DH64" s="612"/>
      <c r="DI64" s="612"/>
      <c r="DJ64" s="612"/>
      <c r="DK64" s="612"/>
      <c r="DL64" s="612"/>
      <c r="DM64" s="612"/>
      <c r="DN64" s="612"/>
      <c r="DO64" s="612"/>
      <c r="DP64" s="612"/>
      <c r="DQ64" s="612"/>
      <c r="DR64" s="612"/>
      <c r="DS64" s="612"/>
      <c r="DT64" s="612"/>
      <c r="DU64" s="612"/>
      <c r="DV64" s="612"/>
      <c r="DW64" s="612"/>
      <c r="DX64" s="612"/>
      <c r="DY64" s="612"/>
      <c r="DZ64" s="612"/>
      <c r="EA64" s="612"/>
      <c r="EB64" s="612"/>
      <c r="EC64" s="612"/>
      <c r="ED64" s="612"/>
      <c r="EE64" s="612"/>
      <c r="EF64" s="612"/>
      <c r="EG64" s="612"/>
      <c r="EH64" s="612"/>
      <c r="EI64" s="612"/>
      <c r="EJ64" s="612"/>
      <c r="EK64" s="612"/>
      <c r="EL64" s="612"/>
      <c r="EM64" s="612"/>
      <c r="EN64" s="612"/>
      <c r="EO64" s="612"/>
      <c r="EP64" s="612"/>
      <c r="EQ64" s="612"/>
      <c r="ER64" s="612"/>
      <c r="ES64" s="612"/>
      <c r="ET64" s="612"/>
      <c r="EU64" s="612"/>
      <c r="EV64" s="612"/>
      <c r="EW64" s="612"/>
      <c r="EX64" s="612"/>
      <c r="EY64" s="612"/>
      <c r="EZ64" s="612"/>
      <c r="FA64" s="612"/>
      <c r="FB64" s="612"/>
      <c r="FC64" s="612"/>
      <c r="FD64" s="612"/>
      <c r="FE64" s="612"/>
      <c r="FF64" s="612"/>
      <c r="FG64" s="612"/>
      <c r="FH64" s="612"/>
      <c r="FI64" s="612"/>
      <c r="FJ64" s="612"/>
      <c r="FK64" s="612"/>
      <c r="FL64" s="612"/>
      <c r="FM64" s="612"/>
      <c r="FN64" s="612"/>
      <c r="FO64" s="612"/>
      <c r="FP64" s="612"/>
      <c r="FQ64" s="612"/>
      <c r="FR64" s="612"/>
      <c r="FS64" s="612"/>
      <c r="FT64" s="612"/>
      <c r="FU64" s="248"/>
      <c r="FV64" s="612"/>
      <c r="FW64" s="612"/>
      <c r="FX64" s="612"/>
      <c r="FY64" s="612"/>
      <c r="FZ64" s="612"/>
      <c r="GA64" s="612"/>
      <c r="GB64" s="612"/>
      <c r="GC64" s="612"/>
      <c r="GD64" s="612"/>
      <c r="GE64" s="245"/>
      <c r="GF64" s="612"/>
      <c r="GG64" s="612"/>
      <c r="GH64" s="612"/>
      <c r="GI64" s="612"/>
      <c r="GJ64" s="612"/>
      <c r="GK64" s="612"/>
      <c r="GL64" s="612"/>
      <c r="GM64" s="612"/>
      <c r="GN64" s="612"/>
      <c r="GO64" s="612"/>
      <c r="GP64" s="612"/>
      <c r="GQ64" s="612"/>
      <c r="GR64" s="612"/>
      <c r="GS64" s="612"/>
      <c r="GT64" s="612"/>
      <c r="GU64" s="612"/>
      <c r="GV64" s="612"/>
      <c r="GW64" s="612"/>
      <c r="GX64" s="612"/>
      <c r="GY64" s="612"/>
      <c r="GZ64" s="612"/>
      <c r="HA64" s="612"/>
      <c r="HB64" s="612"/>
      <c r="HC64" s="612"/>
      <c r="HD64" s="612"/>
      <c r="HE64" s="612"/>
      <c r="HF64" s="612"/>
      <c r="HG64" s="612"/>
      <c r="HH64" s="612"/>
      <c r="HI64" s="612"/>
      <c r="HJ64" s="612"/>
      <c r="HK64" s="612"/>
      <c r="HL64" s="612"/>
      <c r="HM64" s="612"/>
      <c r="HN64" s="612"/>
      <c r="HO64" s="612"/>
      <c r="HP64" s="612"/>
      <c r="HQ64" s="612"/>
      <c r="HR64" s="612"/>
      <c r="HS64" s="612"/>
      <c r="HT64" s="612"/>
      <c r="HU64" s="612"/>
      <c r="HV64" s="612"/>
      <c r="HW64" s="612"/>
      <c r="HX64" s="612"/>
      <c r="HY64" s="612"/>
      <c r="HZ64" s="612"/>
      <c r="IA64" s="612"/>
      <c r="IB64" s="612"/>
      <c r="IC64" s="612"/>
      <c r="ID64" s="612"/>
      <c r="IE64" s="612"/>
      <c r="IF64" s="612"/>
      <c r="IG64" s="612"/>
      <c r="IH64" s="612"/>
      <c r="II64" s="612"/>
    </row>
    <row r="65" spans="1:243" ht="15" customHeight="1">
      <c r="A65" s="72"/>
      <c r="B65" s="72"/>
      <c r="C65" s="72"/>
      <c r="D65" s="271" t="str">
        <f>IF(MasterSheet!$A$1=1,MasterSheet!C304,MasterSheet!B304)</f>
        <v>Transferi javnim preduzećima</v>
      </c>
      <c r="E65" s="316">
        <f>+'Cental Budget_int'!E80+'Local Government_int'!D85</f>
        <v>0</v>
      </c>
      <c r="F65" s="307">
        <f t="shared" si="0"/>
        <v>0</v>
      </c>
      <c r="G65" s="316">
        <f>+'Cental Budget_int'!G80+'Local Government_int'!F85</f>
        <v>12680070.1</v>
      </c>
      <c r="H65" s="307">
        <f t="shared" si="1"/>
        <v>0.47304868867748556</v>
      </c>
      <c r="I65" s="316">
        <f>+'Cental Budget_int'!I80+'Local Government_int'!H85</f>
        <v>9714146.5899999999</v>
      </c>
      <c r="J65" s="307">
        <f t="shared" si="2"/>
        <v>0.31482196623023073</v>
      </c>
      <c r="K65" s="316">
        <f>+'Cental Budget_int'!K80+'Local Government_int'!J85</f>
        <v>0</v>
      </c>
      <c r="L65" s="307">
        <f t="shared" si="3"/>
        <v>0</v>
      </c>
      <c r="M65" s="316">
        <f>+'Cental Budget_int'!M80+'Local Government_int'!L85</f>
        <v>0</v>
      </c>
      <c r="N65" s="307">
        <f t="shared" si="4"/>
        <v>0</v>
      </c>
      <c r="O65" s="316">
        <f>+'Cental Budget_int'!O80+'Local Government_int'!N85</f>
        <v>13724659.619999999</v>
      </c>
      <c r="P65" s="307">
        <f t="shared" si="5"/>
        <v>0.42438650649350645</v>
      </c>
      <c r="Q65" s="334">
        <f>+'Cental Budget_int'!Q80+'Local Government_int'!P85</f>
        <v>17753503.809999999</v>
      </c>
      <c r="R65" s="324">
        <f t="shared" si="6"/>
        <v>0.56378227405525561</v>
      </c>
      <c r="S65" s="334">
        <f>+'Cental Budget_int'!S80+'Local Government_int'!R85</f>
        <v>14226410.242440004</v>
      </c>
      <c r="T65" s="324">
        <f t="shared" si="7"/>
        <v>0.40450412972533417</v>
      </c>
      <c r="U65" s="334">
        <f>+'Cental Budget_int'!U80+'Local Government_int'!T85</f>
        <v>14510938.447288804</v>
      </c>
      <c r="V65" s="324">
        <f t="shared" si="8"/>
        <v>0.41259421231984084</v>
      </c>
      <c r="W65" s="334">
        <f>+'Cental Budget_int'!W80+'Local Government_int'!V85</f>
        <v>284528.20484879985</v>
      </c>
      <c r="X65" s="513" t="e">
        <f t="shared" si="9"/>
        <v>#DIV/0!</v>
      </c>
      <c r="Y65" s="223"/>
      <c r="Z65" s="223"/>
      <c r="AA65" s="223"/>
      <c r="AB65" s="223"/>
      <c r="AC65" s="223"/>
      <c r="AD65" s="223"/>
      <c r="AE65" s="223"/>
      <c r="AF65" s="223"/>
      <c r="AG65" s="223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50"/>
      <c r="BA65" s="160"/>
      <c r="BB65" s="160"/>
      <c r="BC65" s="612"/>
      <c r="BD65" s="612"/>
      <c r="BE65" s="612"/>
      <c r="BF65" s="612"/>
      <c r="BG65" s="612"/>
      <c r="BH65" s="612"/>
      <c r="BI65" s="612"/>
      <c r="BJ65" s="612"/>
      <c r="BK65" s="612"/>
      <c r="BL65" s="612"/>
      <c r="BM65" s="612"/>
      <c r="BN65" s="612"/>
      <c r="BO65" s="612"/>
      <c r="BP65" s="612"/>
      <c r="BQ65" s="612"/>
      <c r="BR65" s="612"/>
      <c r="BS65" s="612"/>
      <c r="BT65" s="612"/>
      <c r="BU65" s="612"/>
      <c r="BV65" s="612"/>
      <c r="BW65" s="612"/>
      <c r="BX65" s="612"/>
      <c r="BY65" s="612"/>
      <c r="BZ65" s="612"/>
      <c r="CA65" s="612"/>
      <c r="CB65" s="612"/>
      <c r="CC65" s="612"/>
      <c r="CD65" s="612"/>
      <c r="CE65" s="612"/>
      <c r="CF65" s="612"/>
      <c r="CG65" s="612"/>
      <c r="CH65" s="612"/>
      <c r="CI65" s="612"/>
      <c r="CJ65" s="612"/>
      <c r="CK65" s="612"/>
      <c r="CL65" s="612"/>
      <c r="CM65" s="612"/>
      <c r="CN65" s="612"/>
      <c r="CO65" s="612"/>
      <c r="CP65" s="612"/>
      <c r="CQ65" s="612"/>
      <c r="CR65" s="612"/>
      <c r="CS65" s="612"/>
      <c r="CT65" s="612"/>
      <c r="CU65" s="612"/>
      <c r="CV65" s="612"/>
      <c r="CW65" s="612"/>
      <c r="CX65" s="612"/>
      <c r="CY65" s="612"/>
      <c r="CZ65" s="612"/>
      <c r="DA65" s="612"/>
      <c r="DB65" s="612"/>
      <c r="DC65" s="612"/>
      <c r="DD65" s="612"/>
      <c r="DE65" s="612"/>
      <c r="DF65" s="612"/>
      <c r="DG65" s="612"/>
      <c r="DH65" s="612"/>
      <c r="DI65" s="612"/>
      <c r="DJ65" s="612"/>
      <c r="DK65" s="612"/>
      <c r="DL65" s="612"/>
      <c r="DM65" s="612"/>
      <c r="DN65" s="612"/>
      <c r="DO65" s="612"/>
      <c r="DP65" s="612"/>
      <c r="DQ65" s="612"/>
      <c r="DR65" s="612"/>
      <c r="DS65" s="612"/>
      <c r="DT65" s="612"/>
      <c r="DU65" s="612"/>
      <c r="DV65" s="612"/>
      <c r="DW65" s="612"/>
      <c r="DX65" s="612"/>
      <c r="DY65" s="612"/>
      <c r="DZ65" s="612"/>
      <c r="EA65" s="612"/>
      <c r="EB65" s="612"/>
      <c r="EC65" s="612"/>
      <c r="ED65" s="612"/>
      <c r="EE65" s="612"/>
      <c r="EF65" s="612"/>
      <c r="EG65" s="612"/>
      <c r="EH65" s="612"/>
      <c r="EI65" s="612"/>
      <c r="EJ65" s="612"/>
      <c r="EK65" s="612"/>
      <c r="EL65" s="612"/>
      <c r="EM65" s="612"/>
      <c r="EN65" s="612"/>
      <c r="EO65" s="612"/>
      <c r="EP65" s="612"/>
      <c r="EQ65" s="612"/>
      <c r="ER65" s="612"/>
      <c r="ES65" s="612"/>
      <c r="ET65" s="612"/>
      <c r="EU65" s="612"/>
      <c r="EV65" s="612"/>
      <c r="EW65" s="612"/>
      <c r="EX65" s="612"/>
      <c r="EY65" s="612"/>
      <c r="EZ65" s="612"/>
      <c r="FA65" s="612"/>
      <c r="FB65" s="612"/>
      <c r="FC65" s="612"/>
      <c r="FD65" s="612"/>
      <c r="FE65" s="612"/>
      <c r="FF65" s="612"/>
      <c r="FG65" s="612"/>
      <c r="FH65" s="612"/>
      <c r="FI65" s="612"/>
      <c r="FJ65" s="612"/>
      <c r="FK65" s="612"/>
      <c r="FL65" s="612"/>
      <c r="FM65" s="612"/>
      <c r="FN65" s="612"/>
      <c r="FO65" s="612"/>
      <c r="FP65" s="612"/>
      <c r="FQ65" s="612"/>
      <c r="FR65" s="612"/>
      <c r="FS65" s="612"/>
      <c r="FT65" s="612"/>
      <c r="FU65" s="248"/>
      <c r="FV65" s="612"/>
      <c r="FW65" s="612"/>
      <c r="FX65" s="612"/>
      <c r="FY65" s="612"/>
      <c r="FZ65" s="612"/>
      <c r="GA65" s="612"/>
      <c r="GB65" s="612"/>
      <c r="GC65" s="612"/>
      <c r="GD65" s="612"/>
      <c r="GE65" s="245"/>
      <c r="GF65" s="612"/>
      <c r="GG65" s="612"/>
      <c r="GH65" s="612"/>
      <c r="GI65" s="612"/>
      <c r="GJ65" s="612"/>
      <c r="GK65" s="612"/>
      <c r="GL65" s="612"/>
      <c r="GM65" s="612"/>
      <c r="GN65" s="612"/>
      <c r="GO65" s="612"/>
      <c r="GP65" s="612"/>
      <c r="GQ65" s="612"/>
      <c r="GR65" s="612"/>
      <c r="GS65" s="612"/>
      <c r="GT65" s="612"/>
      <c r="GU65" s="612"/>
      <c r="GV65" s="612"/>
      <c r="GW65" s="612"/>
      <c r="GX65" s="612"/>
      <c r="GY65" s="612"/>
      <c r="GZ65" s="612"/>
      <c r="HA65" s="612"/>
      <c r="HB65" s="612"/>
      <c r="HC65" s="612"/>
      <c r="HD65" s="612"/>
      <c r="HE65" s="612"/>
      <c r="HF65" s="612"/>
      <c r="HG65" s="612"/>
      <c r="HH65" s="612"/>
      <c r="HI65" s="612"/>
      <c r="HJ65" s="612"/>
      <c r="HK65" s="612"/>
      <c r="HL65" s="612"/>
      <c r="HM65" s="612"/>
      <c r="HN65" s="612"/>
      <c r="HO65" s="612"/>
      <c r="HP65" s="612"/>
      <c r="HQ65" s="612"/>
      <c r="HR65" s="612"/>
      <c r="HS65" s="612"/>
      <c r="HT65" s="612"/>
      <c r="HU65" s="612"/>
      <c r="HV65" s="612"/>
      <c r="HW65" s="612"/>
      <c r="HX65" s="612"/>
      <c r="HY65" s="612"/>
      <c r="HZ65" s="612"/>
      <c r="IA65" s="612"/>
      <c r="IB65" s="612"/>
      <c r="IC65" s="612"/>
      <c r="ID65" s="612"/>
      <c r="IE65" s="612"/>
      <c r="IF65" s="612"/>
      <c r="IG65" s="612"/>
      <c r="IH65" s="612"/>
      <c r="II65" s="612"/>
    </row>
    <row r="66" spans="1:243" ht="15" customHeight="1" thickBot="1">
      <c r="A66" s="72"/>
      <c r="B66" s="72"/>
      <c r="C66" s="72"/>
      <c r="D66" s="233" t="str">
        <f>IF(MasterSheet!$A$1=1,MasterSheet!C305,MasterSheet!B305)</f>
        <v>Transferi pojedincima</v>
      </c>
      <c r="E66" s="316">
        <f>+'Cental Budget_int'!E78+'Local Government_int'!D83</f>
        <v>22054825.93</v>
      </c>
      <c r="F66" s="307">
        <f t="shared" si="0"/>
        <v>1.0263309567685792</v>
      </c>
      <c r="G66" s="316">
        <f>+'Cental Budget_int'!G78+'Local Government_int'!F83</f>
        <v>19510402.080000002</v>
      </c>
      <c r="H66" s="307">
        <f t="shared" si="1"/>
        <v>0.72786428203693354</v>
      </c>
      <c r="I66" s="316">
        <f>+'Cental Budget_int'!I78+'Local Government_int'!H83</f>
        <v>21027772.620000001</v>
      </c>
      <c r="J66" s="307">
        <f t="shared" si="2"/>
        <v>0.68148083419756289</v>
      </c>
      <c r="K66" s="316">
        <f>+'Cental Budget_int'!K78+'Local Government_int'!J83</f>
        <v>0</v>
      </c>
      <c r="L66" s="307">
        <f t="shared" si="3"/>
        <v>0</v>
      </c>
      <c r="M66" s="316">
        <f>+'Cental Budget_int'!M78+'Local Government_int'!L83</f>
        <v>15666835.189999999</v>
      </c>
      <c r="N66" s="307">
        <f t="shared" si="4"/>
        <v>0.50473051514175249</v>
      </c>
      <c r="O66" s="316">
        <f>+'Cental Budget_int'!O78+'Local Government_int'!N83</f>
        <v>16050715.800000001</v>
      </c>
      <c r="P66" s="307">
        <f t="shared" si="5"/>
        <v>0.49631155844155844</v>
      </c>
      <c r="Q66" s="334">
        <f>+'Cental Budget_int'!Q78+'Local Government_int'!P83</f>
        <v>15485209.77</v>
      </c>
      <c r="R66" s="324">
        <f t="shared" si="6"/>
        <v>0.49175007208637661</v>
      </c>
      <c r="S66" s="334">
        <f>+'Cental Budget_int'!S78+'Local Government_int'!R83</f>
        <v>21312353.456</v>
      </c>
      <c r="T66" s="324">
        <f t="shared" si="7"/>
        <v>0.60598104793858409</v>
      </c>
      <c r="U66" s="334">
        <f>+'Cental Budget_int'!U78+'Local Government_int'!T83</f>
        <v>21370208.525120001</v>
      </c>
      <c r="V66" s="324">
        <f t="shared" si="8"/>
        <v>0.60762605985555884</v>
      </c>
      <c r="W66" s="334">
        <f>+'Cental Budget_int'!W78+'Local Government_int'!V83</f>
        <v>57855.069120000117</v>
      </c>
      <c r="X66" s="513" t="e">
        <f t="shared" si="9"/>
        <v>#DIV/0!</v>
      </c>
      <c r="Y66" s="223"/>
      <c r="Z66" s="223"/>
      <c r="AA66" s="223"/>
      <c r="AB66" s="223"/>
      <c r="AC66" s="223"/>
      <c r="AD66" s="223"/>
      <c r="AE66" s="223"/>
      <c r="AF66" s="223"/>
      <c r="AG66" s="223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50"/>
      <c r="BA66" s="160"/>
      <c r="BB66" s="160"/>
      <c r="BC66" s="612"/>
      <c r="BD66" s="612"/>
      <c r="BE66" s="612"/>
      <c r="BF66" s="612"/>
      <c r="BG66" s="612"/>
      <c r="BH66" s="612"/>
      <c r="BI66" s="612"/>
      <c r="BJ66" s="612"/>
      <c r="BK66" s="612"/>
      <c r="BL66" s="612"/>
      <c r="BM66" s="612"/>
      <c r="BN66" s="612"/>
      <c r="BO66" s="612"/>
      <c r="BP66" s="612"/>
      <c r="BQ66" s="612"/>
      <c r="BR66" s="612"/>
      <c r="BS66" s="612"/>
      <c r="BT66" s="612"/>
      <c r="BU66" s="612"/>
      <c r="BV66" s="612"/>
      <c r="BW66" s="612"/>
      <c r="BX66" s="612"/>
      <c r="BY66" s="612"/>
      <c r="BZ66" s="612"/>
      <c r="CA66" s="612"/>
      <c r="CB66" s="612"/>
      <c r="CC66" s="612"/>
      <c r="CD66" s="612"/>
      <c r="CE66" s="612"/>
      <c r="CF66" s="612"/>
      <c r="CG66" s="612"/>
      <c r="CH66" s="612"/>
      <c r="CI66" s="612"/>
      <c r="CJ66" s="612"/>
      <c r="CK66" s="612"/>
      <c r="CL66" s="612"/>
      <c r="CM66" s="612"/>
      <c r="CN66" s="612"/>
      <c r="CO66" s="612"/>
      <c r="CP66" s="612"/>
      <c r="CQ66" s="612"/>
      <c r="CR66" s="612"/>
      <c r="CS66" s="612"/>
      <c r="CT66" s="612"/>
      <c r="CU66" s="612"/>
      <c r="CV66" s="612"/>
      <c r="CW66" s="612"/>
      <c r="CX66" s="612"/>
      <c r="CY66" s="612"/>
      <c r="CZ66" s="612"/>
      <c r="DA66" s="612"/>
      <c r="DB66" s="612"/>
      <c r="DC66" s="612"/>
      <c r="DD66" s="612"/>
      <c r="DE66" s="612"/>
      <c r="DF66" s="612"/>
      <c r="DG66" s="612"/>
      <c r="DH66" s="612"/>
      <c r="DI66" s="612"/>
      <c r="DJ66" s="612"/>
      <c r="DK66" s="612"/>
      <c r="DL66" s="612"/>
      <c r="DM66" s="612"/>
      <c r="DN66" s="612"/>
      <c r="DO66" s="612"/>
      <c r="DP66" s="612"/>
      <c r="DQ66" s="612"/>
      <c r="DR66" s="612"/>
      <c r="DS66" s="612"/>
      <c r="DT66" s="612"/>
      <c r="DU66" s="612"/>
      <c r="DV66" s="612"/>
      <c r="DW66" s="612"/>
      <c r="DX66" s="612"/>
      <c r="DY66" s="612"/>
      <c r="DZ66" s="612"/>
      <c r="EA66" s="612"/>
      <c r="EB66" s="612"/>
      <c r="EC66" s="612"/>
      <c r="ED66" s="612"/>
      <c r="EE66" s="612"/>
      <c r="EF66" s="612"/>
      <c r="EG66" s="612"/>
      <c r="EH66" s="612"/>
      <c r="EI66" s="612"/>
      <c r="EJ66" s="612"/>
      <c r="EK66" s="612"/>
      <c r="EL66" s="612"/>
      <c r="EM66" s="612"/>
      <c r="EN66" s="612"/>
      <c r="EO66" s="612"/>
      <c r="EP66" s="612"/>
      <c r="EQ66" s="612"/>
      <c r="ER66" s="612"/>
      <c r="ES66" s="612"/>
      <c r="ET66" s="612"/>
      <c r="EU66" s="612"/>
      <c r="EV66" s="612"/>
      <c r="EW66" s="612"/>
      <c r="EX66" s="612"/>
      <c r="EY66" s="612"/>
      <c r="EZ66" s="612"/>
      <c r="FA66" s="612"/>
      <c r="FB66" s="612"/>
      <c r="FC66" s="612"/>
      <c r="FD66" s="612"/>
      <c r="FE66" s="612"/>
      <c r="FF66" s="612"/>
      <c r="FG66" s="612"/>
      <c r="FH66" s="612"/>
      <c r="FI66" s="612"/>
      <c r="FJ66" s="612"/>
      <c r="FK66" s="612"/>
      <c r="FL66" s="612"/>
      <c r="FM66" s="612"/>
      <c r="FN66" s="612"/>
      <c r="FO66" s="612"/>
      <c r="FP66" s="612"/>
      <c r="FQ66" s="612"/>
      <c r="FR66" s="612"/>
      <c r="FS66" s="612"/>
      <c r="FT66" s="612"/>
      <c r="FU66" s="248"/>
      <c r="FV66" s="612"/>
      <c r="FW66" s="612"/>
      <c r="FX66" s="612"/>
      <c r="FY66" s="612"/>
      <c r="FZ66" s="612"/>
      <c r="GA66" s="612"/>
      <c r="GB66" s="612"/>
      <c r="GC66" s="612"/>
      <c r="GD66" s="612"/>
      <c r="GE66" s="245"/>
      <c r="GF66" s="612"/>
      <c r="GG66" s="612"/>
      <c r="GH66" s="612"/>
      <c r="GI66" s="612"/>
      <c r="GJ66" s="612"/>
      <c r="GK66" s="612"/>
      <c r="GL66" s="612"/>
      <c r="GM66" s="612"/>
      <c r="GN66" s="612"/>
      <c r="GO66" s="612"/>
      <c r="GP66" s="612"/>
      <c r="GQ66" s="612"/>
      <c r="GR66" s="612"/>
      <c r="GS66" s="612"/>
      <c r="GT66" s="612"/>
      <c r="GU66" s="612"/>
      <c r="GV66" s="612"/>
      <c r="GW66" s="612"/>
      <c r="GX66" s="612"/>
      <c r="GY66" s="612"/>
      <c r="GZ66" s="612"/>
      <c r="HA66" s="612"/>
      <c r="HB66" s="612"/>
      <c r="HC66" s="612"/>
      <c r="HD66" s="612"/>
      <c r="HE66" s="612"/>
      <c r="HF66" s="612"/>
      <c r="HG66" s="612"/>
      <c r="HH66" s="612"/>
      <c r="HI66" s="612"/>
      <c r="HJ66" s="612"/>
      <c r="HK66" s="612"/>
      <c r="HL66" s="612"/>
      <c r="HM66" s="612"/>
      <c r="HN66" s="612"/>
      <c r="HO66" s="612"/>
      <c r="HP66" s="612"/>
      <c r="HQ66" s="612"/>
      <c r="HR66" s="612"/>
      <c r="HS66" s="612"/>
      <c r="HT66" s="612"/>
      <c r="HU66" s="612"/>
      <c r="HV66" s="612"/>
      <c r="HW66" s="612"/>
      <c r="HX66" s="612"/>
      <c r="HY66" s="612"/>
      <c r="HZ66" s="612"/>
      <c r="IA66" s="612"/>
      <c r="IB66" s="612"/>
      <c r="IC66" s="612"/>
      <c r="ID66" s="612"/>
      <c r="IE66" s="612"/>
      <c r="IF66" s="612"/>
      <c r="IG66" s="612"/>
      <c r="IH66" s="612"/>
      <c r="II66" s="612"/>
    </row>
    <row r="67" spans="1:243" ht="15" customHeight="1" thickTop="1" thickBot="1">
      <c r="A67" s="72"/>
      <c r="B67" s="72"/>
      <c r="C67" s="72"/>
      <c r="D67" s="241" t="str">
        <f>IF(MasterSheet!$A$1=1,MasterSheet!C306,MasterSheet!B306)</f>
        <v>Kapitalni izdaci</v>
      </c>
      <c r="E67" s="314">
        <f>+E68+E69</f>
        <v>56911483.659999996</v>
      </c>
      <c r="F67" s="305">
        <f t="shared" si="0"/>
        <v>2.6484007473591138</v>
      </c>
      <c r="G67" s="314">
        <f>+G68+G69</f>
        <v>187261889.72000003</v>
      </c>
      <c r="H67" s="305">
        <f t="shared" si="1"/>
        <v>6.9860805715351626</v>
      </c>
      <c r="I67" s="314">
        <f>+I68+I69</f>
        <v>235721906.43999994</v>
      </c>
      <c r="J67" s="305">
        <f t="shared" si="2"/>
        <v>7.6394187982888235</v>
      </c>
      <c r="K67" s="314">
        <f>+K68+K69</f>
        <v>224699856.63999999</v>
      </c>
      <c r="L67" s="305">
        <f t="shared" si="3"/>
        <v>7.5377342046293192</v>
      </c>
      <c r="M67" s="314">
        <f>+M68+M69</f>
        <v>146400368.81</v>
      </c>
      <c r="N67" s="305">
        <f t="shared" si="4"/>
        <v>4.7165067271262888</v>
      </c>
      <c r="O67" s="314">
        <f>+O68+O69</f>
        <v>118584862.46000001</v>
      </c>
      <c r="P67" s="305">
        <f t="shared" si="5"/>
        <v>3.6668170210265929</v>
      </c>
      <c r="Q67" s="332">
        <f>+Q68+Q69</f>
        <v>107054678.34999999</v>
      </c>
      <c r="R67" s="322">
        <f t="shared" si="6"/>
        <v>3.3996404684026675</v>
      </c>
      <c r="S67" s="332">
        <f>+S68+S69</f>
        <v>95639000</v>
      </c>
      <c r="T67" s="322">
        <f t="shared" si="7"/>
        <v>2.7193346602217798</v>
      </c>
      <c r="U67" s="332">
        <f>+U68+U69</f>
        <v>97639000</v>
      </c>
      <c r="V67" s="322">
        <f t="shared" si="8"/>
        <v>2.7762013079328973</v>
      </c>
      <c r="W67" s="332">
        <f>+W68+W69</f>
        <v>2000000</v>
      </c>
      <c r="X67" s="511" t="e">
        <f t="shared" si="9"/>
        <v>#DIV/0!</v>
      </c>
      <c r="Y67" s="222"/>
      <c r="Z67" s="222"/>
      <c r="AA67" s="222"/>
      <c r="AB67" s="222"/>
      <c r="AC67" s="222"/>
      <c r="AD67" s="222"/>
      <c r="AE67" s="222"/>
      <c r="AF67" s="222"/>
      <c r="AG67" s="222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50"/>
      <c r="BA67" s="160"/>
      <c r="BB67" s="160"/>
      <c r="BC67" s="612"/>
      <c r="BD67" s="612"/>
      <c r="BE67" s="612"/>
      <c r="BF67" s="612"/>
      <c r="BG67" s="612"/>
      <c r="BH67" s="612"/>
      <c r="BI67" s="612"/>
      <c r="BJ67" s="612"/>
      <c r="BK67" s="612"/>
      <c r="BL67" s="612"/>
      <c r="BM67" s="612"/>
      <c r="BN67" s="612"/>
      <c r="BO67" s="612"/>
      <c r="BP67" s="612"/>
      <c r="BQ67" s="612"/>
      <c r="BR67" s="612"/>
      <c r="BS67" s="612"/>
      <c r="BT67" s="612"/>
      <c r="BU67" s="612"/>
      <c r="BV67" s="612"/>
      <c r="BW67" s="612"/>
      <c r="BX67" s="612"/>
      <c r="BY67" s="612"/>
      <c r="BZ67" s="612"/>
      <c r="CA67" s="612"/>
      <c r="CB67" s="612"/>
      <c r="CC67" s="612"/>
      <c r="CD67" s="612"/>
      <c r="CE67" s="612"/>
      <c r="CF67" s="612"/>
      <c r="CG67" s="612"/>
      <c r="CH67" s="612"/>
      <c r="CI67" s="612"/>
      <c r="CJ67" s="612"/>
      <c r="CK67" s="612"/>
      <c r="CL67" s="612"/>
      <c r="CM67" s="612"/>
      <c r="CN67" s="612"/>
      <c r="CO67" s="612"/>
      <c r="CP67" s="612"/>
      <c r="CQ67" s="612"/>
      <c r="CR67" s="612"/>
      <c r="CS67" s="612"/>
      <c r="CT67" s="612"/>
      <c r="CU67" s="612"/>
      <c r="CV67" s="612"/>
      <c r="CW67" s="612"/>
      <c r="CX67" s="612"/>
      <c r="CY67" s="612"/>
      <c r="CZ67" s="612"/>
      <c r="DA67" s="612"/>
      <c r="DB67" s="612"/>
      <c r="DC67" s="612"/>
      <c r="DD67" s="612"/>
      <c r="DE67" s="612"/>
      <c r="DF67" s="612"/>
      <c r="DG67" s="612"/>
      <c r="DH67" s="612"/>
      <c r="DI67" s="612"/>
      <c r="DJ67" s="612"/>
      <c r="DK67" s="612"/>
      <c r="DL67" s="612"/>
      <c r="DM67" s="612"/>
      <c r="DN67" s="612"/>
      <c r="DO67" s="612"/>
      <c r="DP67" s="612"/>
      <c r="DQ67" s="612"/>
      <c r="DR67" s="612"/>
      <c r="DS67" s="612"/>
      <c r="DT67" s="612"/>
      <c r="DU67" s="612"/>
      <c r="DV67" s="612"/>
      <c r="DW67" s="612"/>
      <c r="DX67" s="612"/>
      <c r="DY67" s="612"/>
      <c r="DZ67" s="612"/>
      <c r="EA67" s="612"/>
      <c r="EB67" s="612"/>
      <c r="EC67" s="612"/>
      <c r="ED67" s="612"/>
      <c r="EE67" s="612"/>
      <c r="EF67" s="612"/>
      <c r="EG67" s="612"/>
      <c r="EH67" s="612"/>
      <c r="EI67" s="612"/>
      <c r="EJ67" s="612"/>
      <c r="EK67" s="612"/>
      <c r="EL67" s="612"/>
      <c r="EM67" s="612"/>
      <c r="EN67" s="612"/>
      <c r="EO67" s="612"/>
      <c r="EP67" s="612"/>
      <c r="EQ67" s="612"/>
      <c r="ER67" s="612"/>
      <c r="ES67" s="612"/>
      <c r="ET67" s="612"/>
      <c r="EU67" s="612"/>
      <c r="EV67" s="612"/>
      <c r="EW67" s="612"/>
      <c r="EX67" s="612"/>
      <c r="EY67" s="612"/>
      <c r="EZ67" s="612"/>
      <c r="FA67" s="612"/>
      <c r="FB67" s="612"/>
      <c r="FC67" s="612"/>
      <c r="FD67" s="612"/>
      <c r="FE67" s="612"/>
      <c r="FF67" s="612"/>
      <c r="FG67" s="612"/>
      <c r="FH67" s="612"/>
      <c r="FI67" s="612"/>
      <c r="FJ67" s="612"/>
      <c r="FK67" s="612"/>
      <c r="FL67" s="612"/>
      <c r="FM67" s="612"/>
      <c r="FN67" s="612"/>
      <c r="FO67" s="612"/>
      <c r="FP67" s="612"/>
      <c r="FQ67" s="612"/>
      <c r="FR67" s="612"/>
      <c r="FS67" s="612"/>
      <c r="FT67" s="612"/>
      <c r="FU67" s="612"/>
      <c r="FV67" s="612"/>
      <c r="FW67" s="612"/>
      <c r="FX67" s="612"/>
      <c r="FY67" s="612"/>
      <c r="FZ67" s="612"/>
      <c r="GA67" s="612"/>
      <c r="GB67" s="612"/>
      <c r="GC67" s="612"/>
      <c r="GD67" s="612"/>
      <c r="GE67" s="245"/>
      <c r="GF67" s="612"/>
      <c r="GG67" s="612"/>
      <c r="GH67" s="612"/>
      <c r="GI67" s="612"/>
      <c r="GJ67" s="612"/>
      <c r="GK67" s="612"/>
      <c r="GL67" s="612"/>
      <c r="GM67" s="612"/>
      <c r="GN67" s="612"/>
      <c r="GO67" s="612"/>
      <c r="GP67" s="612"/>
      <c r="GQ67" s="612"/>
      <c r="GR67" s="612"/>
      <c r="GS67" s="612"/>
      <c r="GT67" s="612"/>
      <c r="GU67" s="612"/>
      <c r="GV67" s="612"/>
      <c r="GW67" s="612"/>
      <c r="GX67" s="612"/>
      <c r="GY67" s="612"/>
      <c r="GZ67" s="612"/>
      <c r="HA67" s="612"/>
      <c r="HB67" s="612"/>
      <c r="HC67" s="612"/>
      <c r="HD67" s="612"/>
      <c r="HE67" s="612"/>
      <c r="HF67" s="612"/>
      <c r="HG67" s="612"/>
      <c r="HH67" s="612"/>
      <c r="HI67" s="612"/>
      <c r="HJ67" s="612"/>
      <c r="HK67" s="612"/>
      <c r="HL67" s="612"/>
      <c r="HM67" s="612"/>
      <c r="HN67" s="612"/>
      <c r="HO67" s="612"/>
      <c r="HP67" s="612"/>
      <c r="HQ67" s="612"/>
      <c r="HR67" s="612"/>
      <c r="HS67" s="612"/>
      <c r="HT67" s="612"/>
      <c r="HU67" s="612"/>
      <c r="HV67" s="612"/>
      <c r="HW67" s="612"/>
      <c r="HX67" s="612"/>
      <c r="HY67" s="612"/>
      <c r="HZ67" s="612"/>
      <c r="IA67" s="612"/>
      <c r="IB67" s="612"/>
      <c r="IC67" s="612"/>
      <c r="ID67" s="612"/>
      <c r="IE67" s="612"/>
      <c r="IF67" s="612"/>
      <c r="IG67" s="612"/>
      <c r="IH67" s="612"/>
      <c r="II67" s="612"/>
    </row>
    <row r="68" spans="1:243" ht="15" customHeight="1" thickTop="1">
      <c r="A68" s="72"/>
      <c r="B68" s="72"/>
      <c r="C68" s="72"/>
      <c r="D68" s="274" t="str">
        <f>IF(MasterSheet!$A$1=1,MasterSheet!C307,MasterSheet!B307)</f>
        <v>Kapitalni budžet CG</v>
      </c>
      <c r="E68" s="319"/>
      <c r="F68" s="309">
        <f t="shared" si="0"/>
        <v>0</v>
      </c>
      <c r="G68" s="319">
        <f>+'Cental Budget_int'!G81</f>
        <v>82459238.990000024</v>
      </c>
      <c r="H68" s="309">
        <f t="shared" si="1"/>
        <v>3.076263346017535</v>
      </c>
      <c r="I68" s="319">
        <f>+'Cental Budget_int'!I81</f>
        <v>73370859.459999993</v>
      </c>
      <c r="J68" s="309">
        <f t="shared" si="2"/>
        <v>2.3778474027741763</v>
      </c>
      <c r="K68" s="319">
        <f>+'Cental Budget_int'!K81</f>
        <v>112364696.64</v>
      </c>
      <c r="L68" s="309">
        <f t="shared" si="3"/>
        <v>3.7693625172760821</v>
      </c>
      <c r="M68" s="319">
        <f>+'Cental Budget_int'!M81</f>
        <v>63250368.810000002</v>
      </c>
      <c r="N68" s="309">
        <f t="shared" si="4"/>
        <v>2.0377051807345361</v>
      </c>
      <c r="O68" s="319">
        <f>+'Cental Budget_int'!O81</f>
        <v>67115187.969999999</v>
      </c>
      <c r="P68" s="309">
        <f t="shared" si="5"/>
        <v>2.0752995661719229</v>
      </c>
      <c r="Q68" s="338">
        <f>+'Cental Budget_int'!Q81</f>
        <v>58737973.279999994</v>
      </c>
      <c r="R68" s="326">
        <f t="shared" si="6"/>
        <v>1.8652897199110827</v>
      </c>
      <c r="S68" s="338">
        <f>+'Cental Budget_int'!S81</f>
        <v>65639000</v>
      </c>
      <c r="T68" s="326">
        <f t="shared" si="7"/>
        <v>1.8663349445550186</v>
      </c>
      <c r="U68" s="338">
        <f>+'Cental Budget_int'!U81</f>
        <v>65639000</v>
      </c>
      <c r="V68" s="326">
        <f t="shared" si="8"/>
        <v>1.8663349445550186</v>
      </c>
      <c r="W68" s="338">
        <f>+'Cental Budget_int'!W81</f>
        <v>0</v>
      </c>
      <c r="X68" s="515" t="e">
        <f t="shared" si="9"/>
        <v>#DIV/0!</v>
      </c>
      <c r="Y68" s="223"/>
      <c r="Z68" s="223"/>
      <c r="AA68" s="223"/>
      <c r="AB68" s="223"/>
      <c r="AC68" s="223"/>
      <c r="AD68" s="223"/>
      <c r="AE68" s="223"/>
      <c r="AF68" s="223"/>
      <c r="AG68" s="223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50"/>
      <c r="BA68" s="249"/>
      <c r="BB68" s="249"/>
      <c r="BC68" s="612"/>
      <c r="BD68" s="612"/>
      <c r="BE68" s="612"/>
      <c r="BF68" s="612"/>
      <c r="BG68" s="612"/>
      <c r="BH68" s="612"/>
      <c r="BI68" s="612"/>
      <c r="BJ68" s="612"/>
      <c r="BK68" s="612"/>
      <c r="BL68" s="612"/>
      <c r="BM68" s="612"/>
      <c r="BN68" s="612"/>
      <c r="BO68" s="612"/>
      <c r="BP68" s="612"/>
      <c r="BQ68" s="612"/>
      <c r="BR68" s="612"/>
      <c r="BS68" s="612"/>
      <c r="BT68" s="612"/>
      <c r="BU68" s="612"/>
      <c r="BV68" s="612"/>
      <c r="BW68" s="612"/>
      <c r="BX68" s="612"/>
      <c r="BY68" s="612"/>
      <c r="BZ68" s="612"/>
      <c r="CA68" s="612"/>
      <c r="CB68" s="612"/>
      <c r="CC68" s="612"/>
      <c r="CD68" s="612"/>
      <c r="CE68" s="612"/>
      <c r="CF68" s="612"/>
      <c r="CG68" s="612"/>
      <c r="CH68" s="612"/>
      <c r="CI68" s="612"/>
      <c r="CJ68" s="612"/>
      <c r="CK68" s="612"/>
      <c r="CL68" s="612"/>
      <c r="CM68" s="612"/>
      <c r="CN68" s="612"/>
      <c r="CO68" s="612"/>
      <c r="CP68" s="612"/>
      <c r="CQ68" s="612"/>
      <c r="CR68" s="612"/>
      <c r="CS68" s="612"/>
      <c r="CT68" s="612"/>
      <c r="CU68" s="612"/>
      <c r="CV68" s="612"/>
      <c r="CW68" s="612"/>
      <c r="CX68" s="612"/>
      <c r="CY68" s="612"/>
      <c r="CZ68" s="612"/>
      <c r="DA68" s="612"/>
      <c r="DB68" s="612"/>
      <c r="DC68" s="612"/>
      <c r="DD68" s="612"/>
      <c r="DE68" s="612"/>
      <c r="DF68" s="612"/>
      <c r="DG68" s="612"/>
      <c r="DH68" s="612"/>
      <c r="DI68" s="612"/>
      <c r="DJ68" s="612"/>
      <c r="DK68" s="612"/>
      <c r="DL68" s="612"/>
      <c r="DM68" s="612"/>
      <c r="DN68" s="612"/>
      <c r="DO68" s="612"/>
      <c r="DP68" s="612"/>
      <c r="DQ68" s="612"/>
      <c r="DR68" s="612"/>
      <c r="DS68" s="612"/>
      <c r="DT68" s="612"/>
      <c r="DU68" s="612"/>
      <c r="DV68" s="612"/>
      <c r="DW68" s="612"/>
      <c r="DX68" s="612"/>
      <c r="DY68" s="612"/>
      <c r="DZ68" s="612"/>
      <c r="EA68" s="612"/>
      <c r="EB68" s="612"/>
      <c r="EC68" s="612"/>
      <c r="ED68" s="612"/>
      <c r="EE68" s="612"/>
      <c r="EF68" s="612"/>
      <c r="EG68" s="612"/>
      <c r="EH68" s="612"/>
      <c r="EI68" s="612"/>
      <c r="EJ68" s="612"/>
      <c r="EK68" s="612"/>
      <c r="EL68" s="612"/>
      <c r="EM68" s="612"/>
      <c r="EN68" s="612"/>
      <c r="EO68" s="612"/>
      <c r="EP68" s="612"/>
      <c r="EQ68" s="612"/>
      <c r="ER68" s="612"/>
      <c r="ES68" s="612"/>
      <c r="ET68" s="612"/>
      <c r="EU68" s="612"/>
      <c r="EV68" s="612"/>
      <c r="EW68" s="612"/>
      <c r="EX68" s="612"/>
      <c r="EY68" s="612"/>
      <c r="EZ68" s="612"/>
      <c r="FA68" s="612"/>
      <c r="FB68" s="612"/>
      <c r="FC68" s="612"/>
      <c r="FD68" s="612"/>
      <c r="FE68" s="612"/>
      <c r="FF68" s="612"/>
      <c r="FG68" s="612"/>
      <c r="FH68" s="612"/>
      <c r="FI68" s="612"/>
      <c r="FJ68" s="612"/>
      <c r="FK68" s="612"/>
      <c r="FL68" s="612"/>
      <c r="FM68" s="612"/>
      <c r="FN68" s="612"/>
      <c r="FO68" s="612"/>
      <c r="FP68" s="612"/>
      <c r="FQ68" s="612"/>
      <c r="FR68" s="612"/>
      <c r="FS68" s="612"/>
      <c r="FT68" s="612"/>
      <c r="FU68" s="612"/>
      <c r="FV68" s="612"/>
      <c r="FW68" s="612"/>
      <c r="FX68" s="612"/>
      <c r="FY68" s="612"/>
      <c r="FZ68" s="612"/>
      <c r="GA68" s="612"/>
      <c r="GB68" s="612"/>
      <c r="GC68" s="612"/>
      <c r="GD68" s="612"/>
      <c r="GE68" s="245"/>
      <c r="GF68" s="612"/>
      <c r="GG68" s="612"/>
      <c r="GH68" s="612"/>
      <c r="GI68" s="612"/>
      <c r="GJ68" s="612"/>
      <c r="GK68" s="612"/>
      <c r="GL68" s="612"/>
      <c r="GM68" s="612"/>
      <c r="GN68" s="612"/>
      <c r="GO68" s="612"/>
      <c r="GP68" s="612"/>
      <c r="GQ68" s="612"/>
      <c r="GR68" s="612"/>
      <c r="GS68" s="612"/>
      <c r="GT68" s="612"/>
      <c r="GU68" s="612"/>
      <c r="GV68" s="612"/>
      <c r="GW68" s="612"/>
      <c r="GX68" s="612"/>
      <c r="GY68" s="612"/>
      <c r="GZ68" s="612"/>
      <c r="HA68" s="612"/>
      <c r="HB68" s="612"/>
      <c r="HC68" s="612"/>
      <c r="HD68" s="612"/>
      <c r="HE68" s="612"/>
      <c r="HF68" s="612"/>
      <c r="HG68" s="612"/>
      <c r="HH68" s="612"/>
      <c r="HI68" s="612"/>
      <c r="HJ68" s="612"/>
      <c r="HK68" s="612"/>
      <c r="HL68" s="612"/>
      <c r="HM68" s="612"/>
      <c r="HN68" s="612"/>
      <c r="HO68" s="612"/>
      <c r="HP68" s="612"/>
      <c r="HQ68" s="612"/>
      <c r="HR68" s="612"/>
      <c r="HS68" s="612"/>
      <c r="HT68" s="612"/>
      <c r="HU68" s="612"/>
      <c r="HV68" s="612"/>
      <c r="HW68" s="612"/>
      <c r="HX68" s="612"/>
      <c r="HY68" s="612"/>
      <c r="HZ68" s="612"/>
      <c r="IA68" s="612"/>
      <c r="IB68" s="612"/>
      <c r="IC68" s="612"/>
      <c r="ID68" s="612"/>
      <c r="IE68" s="612"/>
      <c r="IF68" s="612"/>
      <c r="IG68" s="612"/>
      <c r="IH68" s="612"/>
      <c r="II68" s="612"/>
    </row>
    <row r="69" spans="1:243" ht="15" customHeight="1">
      <c r="A69" s="72"/>
      <c r="B69" s="72"/>
      <c r="C69" s="72"/>
      <c r="D69" s="275" t="str">
        <f>IF(MasterSheet!$A$1=1,MasterSheet!C308,MasterSheet!B308)</f>
        <v>Kapitalni budžet lokalne samouprave</v>
      </c>
      <c r="E69" s="186">
        <f>+'Local Government_int'!D86</f>
        <v>56911483.659999996</v>
      </c>
      <c r="F69" s="307">
        <f t="shared" si="0"/>
        <v>2.6484007473591138</v>
      </c>
      <c r="G69" s="186">
        <f>+'Local Government_int'!F86</f>
        <v>104802650.73</v>
      </c>
      <c r="H69" s="307">
        <f t="shared" si="1"/>
        <v>3.9098172255176276</v>
      </c>
      <c r="I69" s="186">
        <f>+'Local Government_int'!H86</f>
        <v>162351046.97999996</v>
      </c>
      <c r="J69" s="307">
        <f t="shared" si="2"/>
        <v>5.2615713955146468</v>
      </c>
      <c r="K69" s="186">
        <f>+'Local Government_int'!J86</f>
        <v>112335160</v>
      </c>
      <c r="L69" s="307">
        <f t="shared" si="3"/>
        <v>3.7683716873532371</v>
      </c>
      <c r="M69" s="186">
        <f>+'Local Government_int'!L86</f>
        <v>83150000</v>
      </c>
      <c r="N69" s="307">
        <f t="shared" si="4"/>
        <v>2.6788015463917523</v>
      </c>
      <c r="O69" s="186">
        <f>+'Local Government_int'!N86</f>
        <v>51469674.490000002</v>
      </c>
      <c r="P69" s="307">
        <f t="shared" si="5"/>
        <v>1.5915174548546691</v>
      </c>
      <c r="Q69" s="337">
        <f>+'Local Government_int'!P86</f>
        <v>48316705.07</v>
      </c>
      <c r="R69" s="324">
        <f t="shared" si="6"/>
        <v>1.5343507484915846</v>
      </c>
      <c r="S69" s="337">
        <f>+'Local Government_int'!R86</f>
        <v>30000000</v>
      </c>
      <c r="T69" s="324">
        <f t="shared" si="7"/>
        <v>0.85299971566676136</v>
      </c>
      <c r="U69" s="337">
        <f>+'Local Government_int'!T86</f>
        <v>32000000</v>
      </c>
      <c r="V69" s="324">
        <f t="shared" si="8"/>
        <v>0.90986636337787885</v>
      </c>
      <c r="W69" s="337">
        <f>+'Local Government_int'!V86</f>
        <v>2000000</v>
      </c>
      <c r="X69" s="513" t="e">
        <f t="shared" si="9"/>
        <v>#DIV/0!</v>
      </c>
      <c r="Y69" s="223"/>
      <c r="Z69" s="223"/>
      <c r="AA69" s="223"/>
      <c r="AB69" s="223"/>
      <c r="AC69" s="223"/>
      <c r="AD69" s="223"/>
      <c r="AE69" s="223"/>
      <c r="AF69" s="223"/>
      <c r="AG69" s="223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50"/>
      <c r="BA69" s="249"/>
      <c r="BB69" s="249"/>
      <c r="BC69" s="612"/>
      <c r="BD69" s="612"/>
      <c r="BE69" s="612"/>
      <c r="BF69" s="612"/>
      <c r="BG69" s="612"/>
      <c r="BH69" s="612"/>
      <c r="BI69" s="612"/>
      <c r="BJ69" s="612"/>
      <c r="BK69" s="612"/>
      <c r="BL69" s="612"/>
      <c r="BM69" s="612"/>
      <c r="BN69" s="612"/>
      <c r="BO69" s="612"/>
      <c r="BP69" s="612"/>
      <c r="BQ69" s="612"/>
      <c r="BR69" s="612"/>
      <c r="BS69" s="612"/>
      <c r="BT69" s="612"/>
      <c r="BU69" s="612"/>
      <c r="BV69" s="612"/>
      <c r="BW69" s="612"/>
      <c r="BX69" s="612"/>
      <c r="BY69" s="612"/>
      <c r="BZ69" s="612"/>
      <c r="CA69" s="612"/>
      <c r="CB69" s="612"/>
      <c r="CC69" s="612"/>
      <c r="CD69" s="612"/>
      <c r="CE69" s="612"/>
      <c r="CF69" s="612"/>
      <c r="CG69" s="612"/>
      <c r="CH69" s="612"/>
      <c r="CI69" s="612"/>
      <c r="CJ69" s="612"/>
      <c r="CK69" s="612"/>
      <c r="CL69" s="612"/>
      <c r="CM69" s="612"/>
      <c r="CN69" s="612"/>
      <c r="CO69" s="612"/>
      <c r="CP69" s="612"/>
      <c r="CQ69" s="612"/>
      <c r="CR69" s="612"/>
      <c r="CS69" s="612"/>
      <c r="CT69" s="612"/>
      <c r="CU69" s="612"/>
      <c r="CV69" s="612"/>
      <c r="CW69" s="612"/>
      <c r="CX69" s="612"/>
      <c r="CY69" s="612"/>
      <c r="CZ69" s="612"/>
      <c r="DA69" s="612"/>
      <c r="DB69" s="612"/>
      <c r="DC69" s="612"/>
      <c r="DD69" s="612"/>
      <c r="DE69" s="612"/>
      <c r="DF69" s="612"/>
      <c r="DG69" s="612"/>
      <c r="DH69" s="612"/>
      <c r="DI69" s="612"/>
      <c r="DJ69" s="612"/>
      <c r="DK69" s="612"/>
      <c r="DL69" s="612"/>
      <c r="DM69" s="612"/>
      <c r="DN69" s="612"/>
      <c r="DO69" s="612"/>
      <c r="DP69" s="612"/>
      <c r="DQ69" s="612"/>
      <c r="DR69" s="612"/>
      <c r="DS69" s="612"/>
      <c r="DT69" s="612"/>
      <c r="DU69" s="612"/>
      <c r="DV69" s="612"/>
      <c r="DW69" s="612"/>
      <c r="DX69" s="612"/>
      <c r="DY69" s="612"/>
      <c r="DZ69" s="612"/>
      <c r="EA69" s="612"/>
      <c r="EB69" s="612"/>
      <c r="EC69" s="612"/>
      <c r="ED69" s="612"/>
      <c r="EE69" s="612"/>
      <c r="EF69" s="612"/>
      <c r="EG69" s="612"/>
      <c r="EH69" s="612"/>
      <c r="EI69" s="612"/>
      <c r="EJ69" s="612"/>
      <c r="EK69" s="612"/>
      <c r="EL69" s="612"/>
      <c r="EM69" s="612"/>
      <c r="EN69" s="612"/>
      <c r="EO69" s="612"/>
      <c r="EP69" s="612"/>
      <c r="EQ69" s="612"/>
      <c r="ER69" s="612"/>
      <c r="ES69" s="612"/>
      <c r="ET69" s="612"/>
      <c r="EU69" s="612"/>
      <c r="EV69" s="612"/>
      <c r="EW69" s="612"/>
      <c r="EX69" s="612"/>
      <c r="EY69" s="612"/>
      <c r="EZ69" s="612"/>
      <c r="FA69" s="612"/>
      <c r="FB69" s="612"/>
      <c r="FC69" s="612"/>
      <c r="FD69" s="612"/>
      <c r="FE69" s="612"/>
      <c r="FF69" s="612"/>
      <c r="FG69" s="612"/>
      <c r="FH69" s="612"/>
      <c r="FI69" s="612"/>
      <c r="FJ69" s="612"/>
      <c r="FK69" s="612"/>
      <c r="FL69" s="612"/>
      <c r="FM69" s="612"/>
      <c r="FN69" s="612"/>
      <c r="FO69" s="612"/>
      <c r="FP69" s="612"/>
      <c r="FQ69" s="612"/>
      <c r="FR69" s="612"/>
      <c r="FS69" s="612"/>
      <c r="FT69" s="612"/>
      <c r="FU69" s="612"/>
      <c r="FV69" s="612"/>
      <c r="FW69" s="612"/>
      <c r="FX69" s="612"/>
      <c r="FY69" s="612"/>
      <c r="FZ69" s="612"/>
      <c r="GA69" s="612"/>
      <c r="GB69" s="612"/>
      <c r="GC69" s="612"/>
      <c r="GD69" s="612"/>
      <c r="GE69" s="245"/>
      <c r="GF69" s="612"/>
      <c r="GG69" s="612"/>
      <c r="GH69" s="612"/>
      <c r="GI69" s="612"/>
      <c r="GJ69" s="612"/>
      <c r="GK69" s="612"/>
      <c r="GL69" s="612"/>
      <c r="GM69" s="612"/>
      <c r="GN69" s="612"/>
      <c r="GO69" s="612"/>
      <c r="GP69" s="612"/>
      <c r="GQ69" s="612"/>
      <c r="GR69" s="612"/>
      <c r="GS69" s="612"/>
      <c r="GT69" s="612"/>
      <c r="GU69" s="612"/>
      <c r="GV69" s="612"/>
      <c r="GW69" s="612"/>
      <c r="GX69" s="612"/>
      <c r="GY69" s="612"/>
      <c r="GZ69" s="612"/>
      <c r="HA69" s="612"/>
      <c r="HB69" s="612"/>
      <c r="HC69" s="612"/>
      <c r="HD69" s="612"/>
      <c r="HE69" s="612"/>
      <c r="HF69" s="612"/>
      <c r="HG69" s="612"/>
      <c r="HH69" s="612"/>
      <c r="HI69" s="612"/>
      <c r="HJ69" s="612"/>
      <c r="HK69" s="612"/>
      <c r="HL69" s="612"/>
      <c r="HM69" s="612"/>
      <c r="HN69" s="612"/>
      <c r="HO69" s="612"/>
      <c r="HP69" s="612"/>
      <c r="HQ69" s="612"/>
      <c r="HR69" s="612"/>
      <c r="HS69" s="612"/>
      <c r="HT69" s="612"/>
      <c r="HU69" s="612"/>
      <c r="HV69" s="612"/>
      <c r="HW69" s="612"/>
      <c r="HX69" s="612"/>
      <c r="HY69" s="612"/>
      <c r="HZ69" s="612"/>
      <c r="IA69" s="612"/>
      <c r="IB69" s="612"/>
      <c r="IC69" s="612"/>
      <c r="ID69" s="612"/>
      <c r="IE69" s="612"/>
      <c r="IF69" s="612"/>
      <c r="IG69" s="612"/>
      <c r="IH69" s="612"/>
      <c r="II69" s="612"/>
    </row>
    <row r="70" spans="1:243" ht="15" customHeight="1">
      <c r="A70" s="72"/>
      <c r="B70" s="72"/>
      <c r="C70" s="72"/>
      <c r="D70" s="272" t="str">
        <f>IF(MasterSheet!$A$1=1,MasterSheet!C309,MasterSheet!B309)</f>
        <v>Pozajmice i krediti</v>
      </c>
      <c r="E70" s="318">
        <f>+'Cental Budget_int'!E82+'Local Government_int'!D87</f>
        <v>16541430.840000002</v>
      </c>
      <c r="F70" s="308">
        <f t="shared" si="0"/>
        <v>0.76976270836241811</v>
      </c>
      <c r="G70" s="318">
        <f>+'Cental Budget_int'!G82+'Local Government_int'!F87</f>
        <v>7862016.04</v>
      </c>
      <c r="H70" s="308">
        <f t="shared" si="1"/>
        <v>0.29330408655101664</v>
      </c>
      <c r="I70" s="318">
        <f>+'Cental Budget_int'!I82+'Local Government_int'!H87</f>
        <v>63513658.890000001</v>
      </c>
      <c r="J70" s="308">
        <f t="shared" si="2"/>
        <v>2.0583892562224526</v>
      </c>
      <c r="K70" s="318">
        <f>+'Cental Budget_int'!K82+'Local Government_int'!J87</f>
        <v>18262430.710000001</v>
      </c>
      <c r="L70" s="308">
        <f t="shared" si="3"/>
        <v>0.6126276655484737</v>
      </c>
      <c r="M70" s="318">
        <f>+'Cental Budget_int'!M82+'Local Government_int'!L87</f>
        <v>5044638.38</v>
      </c>
      <c r="N70" s="308">
        <f t="shared" si="4"/>
        <v>0.16252056636597939</v>
      </c>
      <c r="O70" s="318">
        <f>+'Cental Budget_int'!O82+'Local Government_int'!N87</f>
        <v>4233950.1899999995</v>
      </c>
      <c r="P70" s="308">
        <f t="shared" si="5"/>
        <v>0.13091991929499072</v>
      </c>
      <c r="Q70" s="336">
        <f>+'Cental Budget_int'!Q82+'Local Government_int'!P87</f>
        <v>2964872.96</v>
      </c>
      <c r="R70" s="325">
        <f t="shared" si="6"/>
        <v>9.4152840901873605E-2</v>
      </c>
      <c r="S70" s="336">
        <f>+'Cental Budget_int'!S82+'Local Government_int'!R87</f>
        <v>3725826.3164999997</v>
      </c>
      <c r="T70" s="325">
        <f t="shared" si="7"/>
        <v>0.10593762628660791</v>
      </c>
      <c r="U70" s="336">
        <f>+'Cental Budget_int'!U82+'Local Government_int'!T87</f>
        <v>3865942.84283</v>
      </c>
      <c r="V70" s="325">
        <f t="shared" si="8"/>
        <v>0.10992160485726471</v>
      </c>
      <c r="W70" s="336">
        <f>+'Cental Budget_int'!W82+'Local Government_int'!V87</f>
        <v>140116.52633000002</v>
      </c>
      <c r="X70" s="514" t="e">
        <f t="shared" si="9"/>
        <v>#DIV/0!</v>
      </c>
      <c r="Y70" s="222"/>
      <c r="Z70" s="222"/>
      <c r="AA70" s="222"/>
      <c r="AB70" s="222"/>
      <c r="AC70" s="222"/>
      <c r="AD70" s="222"/>
      <c r="AE70" s="222"/>
      <c r="AF70" s="222"/>
      <c r="AG70" s="222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50"/>
      <c r="BA70" s="249"/>
      <c r="BB70" s="249"/>
      <c r="BC70" s="612"/>
      <c r="BD70" s="612"/>
      <c r="BE70" s="612"/>
      <c r="BF70" s="612"/>
      <c r="BG70" s="612"/>
      <c r="BH70" s="612"/>
      <c r="BI70" s="612"/>
      <c r="BJ70" s="612"/>
      <c r="BK70" s="612"/>
      <c r="BL70" s="612"/>
      <c r="BM70" s="612"/>
      <c r="BN70" s="612"/>
      <c r="BO70" s="612"/>
      <c r="BP70" s="612"/>
      <c r="BQ70" s="612"/>
      <c r="BR70" s="612"/>
      <c r="BS70" s="612"/>
      <c r="BT70" s="612"/>
      <c r="BU70" s="612"/>
      <c r="BV70" s="612"/>
      <c r="BW70" s="612"/>
      <c r="BX70" s="612"/>
      <c r="BY70" s="612"/>
      <c r="BZ70" s="612"/>
      <c r="CA70" s="612"/>
      <c r="CB70" s="612"/>
      <c r="CC70" s="612"/>
      <c r="CD70" s="612"/>
      <c r="CE70" s="612"/>
      <c r="CF70" s="612"/>
      <c r="CG70" s="612"/>
      <c r="CH70" s="612"/>
      <c r="CI70" s="612"/>
      <c r="CJ70" s="612"/>
      <c r="CK70" s="612"/>
      <c r="CL70" s="612"/>
      <c r="CM70" s="612"/>
      <c r="CN70" s="612"/>
      <c r="CO70" s="612"/>
      <c r="CP70" s="612"/>
      <c r="CQ70" s="612"/>
      <c r="CR70" s="612"/>
      <c r="CS70" s="612"/>
      <c r="CT70" s="612"/>
      <c r="CU70" s="612"/>
      <c r="CV70" s="612"/>
      <c r="CW70" s="612"/>
      <c r="CX70" s="612"/>
      <c r="CY70" s="612"/>
      <c r="CZ70" s="612"/>
      <c r="DA70" s="612"/>
      <c r="DB70" s="612"/>
      <c r="DC70" s="612"/>
      <c r="DD70" s="612"/>
      <c r="DE70" s="612"/>
      <c r="DF70" s="612"/>
      <c r="DG70" s="612"/>
      <c r="DH70" s="612"/>
      <c r="DI70" s="612"/>
      <c r="DJ70" s="612"/>
      <c r="DK70" s="612"/>
      <c r="DL70" s="612"/>
      <c r="DM70" s="612"/>
      <c r="DN70" s="612"/>
      <c r="DO70" s="612"/>
      <c r="DP70" s="612"/>
      <c r="DQ70" s="612"/>
      <c r="DR70" s="612"/>
      <c r="DS70" s="612"/>
      <c r="DT70" s="612"/>
      <c r="DU70" s="612"/>
      <c r="DV70" s="612"/>
      <c r="DW70" s="612"/>
      <c r="DX70" s="612"/>
      <c r="DY70" s="612"/>
      <c r="DZ70" s="612"/>
      <c r="EA70" s="612"/>
      <c r="EB70" s="612"/>
      <c r="EC70" s="612"/>
      <c r="ED70" s="612"/>
      <c r="EE70" s="612"/>
      <c r="EF70" s="612"/>
      <c r="EG70" s="612"/>
      <c r="EH70" s="612"/>
      <c r="EI70" s="612"/>
      <c r="EJ70" s="612"/>
      <c r="EK70" s="612"/>
      <c r="EL70" s="612"/>
      <c r="EM70" s="612"/>
      <c r="EN70" s="612"/>
      <c r="EO70" s="612"/>
      <c r="EP70" s="612"/>
      <c r="EQ70" s="612"/>
      <c r="ER70" s="612"/>
      <c r="ES70" s="612"/>
      <c r="ET70" s="612"/>
      <c r="EU70" s="612"/>
      <c r="EV70" s="612"/>
      <c r="EW70" s="612"/>
      <c r="EX70" s="612"/>
      <c r="EY70" s="612"/>
      <c r="EZ70" s="612"/>
      <c r="FA70" s="612"/>
      <c r="FB70" s="612"/>
      <c r="FC70" s="612"/>
      <c r="FD70" s="612"/>
      <c r="FE70" s="612"/>
      <c r="FF70" s="612"/>
      <c r="FG70" s="612"/>
      <c r="FH70" s="612"/>
      <c r="FI70" s="612"/>
      <c r="FJ70" s="612"/>
      <c r="FK70" s="612"/>
      <c r="FL70" s="612"/>
      <c r="FM70" s="612"/>
      <c r="FN70" s="612"/>
      <c r="FO70" s="612"/>
      <c r="FP70" s="612"/>
      <c r="FQ70" s="612"/>
      <c r="FR70" s="612"/>
      <c r="FS70" s="612"/>
      <c r="FT70" s="612"/>
      <c r="FU70" s="612"/>
      <c r="FV70" s="612"/>
      <c r="FW70" s="612"/>
      <c r="FX70" s="612"/>
      <c r="FY70" s="612"/>
      <c r="FZ70" s="612"/>
      <c r="GA70" s="612"/>
      <c r="GB70" s="612"/>
      <c r="GC70" s="612"/>
      <c r="GD70" s="612"/>
      <c r="GE70" s="245"/>
      <c r="GF70" s="612"/>
      <c r="GG70" s="612"/>
      <c r="GH70" s="612"/>
      <c r="GI70" s="612"/>
      <c r="GJ70" s="612"/>
      <c r="GK70" s="612"/>
      <c r="GL70" s="612"/>
      <c r="GM70" s="612"/>
      <c r="GN70" s="612"/>
      <c r="GO70" s="612"/>
      <c r="GP70" s="612"/>
      <c r="GQ70" s="612"/>
      <c r="GR70" s="612"/>
      <c r="GS70" s="612"/>
      <c r="GT70" s="612"/>
      <c r="GU70" s="612"/>
      <c r="GV70" s="612"/>
      <c r="GW70" s="612"/>
      <c r="GX70" s="612"/>
      <c r="GY70" s="612"/>
      <c r="GZ70" s="612"/>
      <c r="HA70" s="612"/>
      <c r="HB70" s="612"/>
      <c r="HC70" s="612"/>
      <c r="HD70" s="612"/>
      <c r="HE70" s="612"/>
      <c r="HF70" s="612"/>
      <c r="HG70" s="612"/>
      <c r="HH70" s="612"/>
      <c r="HI70" s="612"/>
      <c r="HJ70" s="612"/>
      <c r="HK70" s="612"/>
      <c r="HL70" s="612"/>
      <c r="HM70" s="612"/>
      <c r="HN70" s="612"/>
      <c r="HO70" s="612"/>
      <c r="HP70" s="612"/>
      <c r="HQ70" s="612"/>
      <c r="HR70" s="612"/>
      <c r="HS70" s="612"/>
      <c r="HT70" s="612"/>
      <c r="HU70" s="612"/>
      <c r="HV70" s="612"/>
      <c r="HW70" s="612"/>
      <c r="HX70" s="612"/>
      <c r="HY70" s="612"/>
      <c r="HZ70" s="612"/>
      <c r="IA70" s="612"/>
      <c r="IB70" s="612"/>
      <c r="IC70" s="612"/>
      <c r="ID70" s="612"/>
      <c r="IE70" s="612"/>
      <c r="IF70" s="612"/>
      <c r="IG70" s="612"/>
      <c r="IH70" s="612"/>
      <c r="II70" s="612"/>
    </row>
    <row r="71" spans="1:243" ht="15" hidden="1" customHeight="1">
      <c r="A71" s="72"/>
      <c r="B71" s="72"/>
      <c r="C71" s="72"/>
      <c r="D71" s="272" t="str">
        <f>IF(MasterSheet!$A$1=1,MasterSheet!C310,MasterSheet!B310)</f>
        <v>Otplata garancija</v>
      </c>
      <c r="E71" s="318"/>
      <c r="F71" s="308">
        <f t="shared" si="0"/>
        <v>0</v>
      </c>
      <c r="G71" s="318"/>
      <c r="H71" s="308">
        <f t="shared" si="1"/>
        <v>0</v>
      </c>
      <c r="I71" s="318"/>
      <c r="J71" s="308">
        <f t="shared" si="2"/>
        <v>0</v>
      </c>
      <c r="K71" s="318"/>
      <c r="L71" s="308">
        <f t="shared" si="3"/>
        <v>0</v>
      </c>
      <c r="M71" s="318"/>
      <c r="N71" s="308">
        <f t="shared" si="4"/>
        <v>0</v>
      </c>
      <c r="O71" s="318"/>
      <c r="P71" s="308">
        <f t="shared" si="5"/>
        <v>0</v>
      </c>
      <c r="Q71" s="336"/>
      <c r="R71" s="325">
        <f t="shared" si="6"/>
        <v>0</v>
      </c>
      <c r="S71" s="336"/>
      <c r="T71" s="325">
        <f t="shared" si="7"/>
        <v>0</v>
      </c>
      <c r="U71" s="336"/>
      <c r="V71" s="325">
        <f t="shared" si="8"/>
        <v>0</v>
      </c>
      <c r="W71" s="336"/>
      <c r="X71" s="514" t="e">
        <f t="shared" si="9"/>
        <v>#DIV/0!</v>
      </c>
      <c r="Y71" s="222"/>
      <c r="Z71" s="222"/>
      <c r="AA71" s="222"/>
      <c r="AB71" s="222"/>
      <c r="AC71" s="222"/>
      <c r="AD71" s="222"/>
      <c r="AE71" s="222"/>
      <c r="AF71" s="222"/>
      <c r="AG71" s="222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50"/>
      <c r="BA71" s="249"/>
      <c r="BB71" s="249"/>
      <c r="BC71" s="612"/>
      <c r="BD71" s="612"/>
      <c r="BE71" s="612"/>
      <c r="BF71" s="612"/>
      <c r="BG71" s="612"/>
      <c r="BH71" s="612"/>
      <c r="BI71" s="612"/>
      <c r="BJ71" s="612"/>
      <c r="BK71" s="612"/>
      <c r="BL71" s="612"/>
      <c r="BM71" s="612"/>
      <c r="BN71" s="612"/>
      <c r="BO71" s="612"/>
      <c r="BP71" s="612"/>
      <c r="BQ71" s="612"/>
      <c r="BR71" s="612"/>
      <c r="BS71" s="612"/>
      <c r="BT71" s="612"/>
      <c r="BU71" s="612"/>
      <c r="BV71" s="612"/>
      <c r="BW71" s="612"/>
      <c r="BX71" s="612"/>
      <c r="BY71" s="612"/>
      <c r="BZ71" s="612"/>
      <c r="CA71" s="612"/>
      <c r="CB71" s="612"/>
      <c r="CC71" s="612"/>
      <c r="CD71" s="612"/>
      <c r="CE71" s="612"/>
      <c r="CF71" s="612"/>
      <c r="CG71" s="612"/>
      <c r="CH71" s="612"/>
      <c r="CI71" s="612"/>
      <c r="CJ71" s="612"/>
      <c r="CK71" s="612"/>
      <c r="CL71" s="612"/>
      <c r="CM71" s="612"/>
      <c r="CN71" s="612"/>
      <c r="CO71" s="612"/>
      <c r="CP71" s="612"/>
      <c r="CQ71" s="612"/>
      <c r="CR71" s="612"/>
      <c r="CS71" s="612"/>
      <c r="CT71" s="612"/>
      <c r="CU71" s="612"/>
      <c r="CV71" s="612"/>
      <c r="CW71" s="612"/>
      <c r="CX71" s="612"/>
      <c r="CY71" s="612"/>
      <c r="CZ71" s="612"/>
      <c r="DA71" s="612"/>
      <c r="DB71" s="612"/>
      <c r="DC71" s="612"/>
      <c r="DD71" s="612"/>
      <c r="DE71" s="612"/>
      <c r="DF71" s="612"/>
      <c r="DG71" s="612"/>
      <c r="DH71" s="612"/>
      <c r="DI71" s="612"/>
      <c r="DJ71" s="612"/>
      <c r="DK71" s="612"/>
      <c r="DL71" s="612"/>
      <c r="DM71" s="612"/>
      <c r="DN71" s="612"/>
      <c r="DO71" s="612"/>
      <c r="DP71" s="612"/>
      <c r="DQ71" s="612"/>
      <c r="DR71" s="612"/>
      <c r="DS71" s="612"/>
      <c r="DT71" s="612"/>
      <c r="DU71" s="612"/>
      <c r="DV71" s="612"/>
      <c r="DW71" s="612"/>
      <c r="DX71" s="612"/>
      <c r="DY71" s="612"/>
      <c r="DZ71" s="612"/>
      <c r="EA71" s="612"/>
      <c r="EB71" s="612"/>
      <c r="EC71" s="612"/>
      <c r="ED71" s="612"/>
      <c r="EE71" s="612"/>
      <c r="EF71" s="612"/>
      <c r="EG71" s="612"/>
      <c r="EH71" s="612"/>
      <c r="EI71" s="612"/>
      <c r="EJ71" s="612"/>
      <c r="EK71" s="612"/>
      <c r="EL71" s="612"/>
      <c r="EM71" s="612"/>
      <c r="EN71" s="612"/>
      <c r="EO71" s="612"/>
      <c r="EP71" s="612"/>
      <c r="EQ71" s="612"/>
      <c r="ER71" s="612"/>
      <c r="ES71" s="612"/>
      <c r="ET71" s="612"/>
      <c r="EU71" s="612"/>
      <c r="EV71" s="612"/>
      <c r="EW71" s="612"/>
      <c r="EX71" s="612"/>
      <c r="EY71" s="612"/>
      <c r="EZ71" s="612"/>
      <c r="FA71" s="612"/>
      <c r="FB71" s="612"/>
      <c r="FC71" s="612"/>
      <c r="FD71" s="612"/>
      <c r="FE71" s="612"/>
      <c r="FF71" s="612"/>
      <c r="FG71" s="612"/>
      <c r="FH71" s="612"/>
      <c r="FI71" s="612"/>
      <c r="FJ71" s="612"/>
      <c r="FK71" s="612"/>
      <c r="FL71" s="612"/>
      <c r="FM71" s="612"/>
      <c r="FN71" s="612"/>
      <c r="FO71" s="612"/>
      <c r="FP71" s="612"/>
      <c r="FQ71" s="612"/>
      <c r="FR71" s="612"/>
      <c r="FS71" s="612"/>
      <c r="FT71" s="612"/>
      <c r="FU71" s="612"/>
      <c r="FV71" s="612"/>
      <c r="FW71" s="612"/>
      <c r="FX71" s="612"/>
      <c r="FY71" s="612"/>
      <c r="FZ71" s="612"/>
      <c r="GA71" s="612"/>
      <c r="GB71" s="612"/>
      <c r="GC71" s="612"/>
      <c r="GD71" s="612"/>
      <c r="GE71" s="245"/>
      <c r="GF71" s="612"/>
      <c r="GG71" s="612"/>
      <c r="GH71" s="612"/>
      <c r="GI71" s="612"/>
      <c r="GJ71" s="612"/>
      <c r="GK71" s="612"/>
      <c r="GL71" s="612"/>
      <c r="GM71" s="612"/>
      <c r="GN71" s="612"/>
      <c r="GO71" s="612"/>
      <c r="GP71" s="612"/>
      <c r="GQ71" s="612"/>
      <c r="GR71" s="612"/>
      <c r="GS71" s="612"/>
      <c r="GT71" s="612"/>
      <c r="GU71" s="612"/>
      <c r="GV71" s="612"/>
      <c r="GW71" s="612"/>
      <c r="GX71" s="612"/>
      <c r="GY71" s="612"/>
      <c r="GZ71" s="612"/>
      <c r="HA71" s="612"/>
      <c r="HB71" s="612"/>
      <c r="HC71" s="612"/>
      <c r="HD71" s="612"/>
      <c r="HE71" s="612"/>
      <c r="HF71" s="612"/>
      <c r="HG71" s="612"/>
      <c r="HH71" s="612"/>
      <c r="HI71" s="612"/>
      <c r="HJ71" s="612"/>
      <c r="HK71" s="612"/>
      <c r="HL71" s="612"/>
      <c r="HM71" s="612"/>
      <c r="HN71" s="612"/>
      <c r="HO71" s="612"/>
      <c r="HP71" s="612"/>
      <c r="HQ71" s="612"/>
      <c r="HR71" s="612"/>
      <c r="HS71" s="612"/>
      <c r="HT71" s="612"/>
      <c r="HU71" s="612"/>
      <c r="HV71" s="612"/>
      <c r="HW71" s="612"/>
      <c r="HX71" s="612"/>
      <c r="HY71" s="612"/>
      <c r="HZ71" s="612"/>
      <c r="IA71" s="612"/>
      <c r="IB71" s="612"/>
      <c r="IC71" s="612"/>
      <c r="ID71" s="612"/>
      <c r="IE71" s="612"/>
      <c r="IF71" s="612"/>
      <c r="IG71" s="612"/>
      <c r="IH71" s="612"/>
      <c r="II71" s="612"/>
    </row>
    <row r="72" spans="1:243" ht="15" hidden="1" customHeight="1">
      <c r="A72" s="72"/>
      <c r="B72" s="72"/>
      <c r="C72" s="72"/>
      <c r="D72" s="272" t="str">
        <f>IF(MasterSheet!$A$1=1,MasterSheet!C311,MasterSheet!B311)</f>
        <v>Otplata obaveza iz prethodnog perioda</v>
      </c>
      <c r="E72" s="318"/>
      <c r="F72" s="308">
        <f t="shared" si="0"/>
        <v>0</v>
      </c>
      <c r="G72" s="318"/>
      <c r="H72" s="308">
        <f t="shared" si="1"/>
        <v>0</v>
      </c>
      <c r="I72" s="318"/>
      <c r="J72" s="308">
        <f t="shared" si="2"/>
        <v>0</v>
      </c>
      <c r="K72" s="318"/>
      <c r="L72" s="308">
        <f t="shared" si="3"/>
        <v>0</v>
      </c>
      <c r="M72" s="318"/>
      <c r="N72" s="308">
        <f t="shared" si="4"/>
        <v>0</v>
      </c>
      <c r="O72" s="318"/>
      <c r="P72" s="308">
        <f t="shared" si="5"/>
        <v>0</v>
      </c>
      <c r="Q72" s="336"/>
      <c r="R72" s="325">
        <f t="shared" si="6"/>
        <v>0</v>
      </c>
      <c r="S72" s="336"/>
      <c r="T72" s="325">
        <f t="shared" si="7"/>
        <v>0</v>
      </c>
      <c r="U72" s="336"/>
      <c r="V72" s="325">
        <f t="shared" si="8"/>
        <v>0</v>
      </c>
      <c r="W72" s="336"/>
      <c r="X72" s="514" t="e">
        <f t="shared" si="9"/>
        <v>#DIV/0!</v>
      </c>
      <c r="Y72" s="222"/>
      <c r="Z72" s="222"/>
      <c r="AA72" s="222"/>
      <c r="AB72" s="222"/>
      <c r="AC72" s="222"/>
      <c r="AD72" s="222"/>
      <c r="AE72" s="222"/>
      <c r="AF72" s="222"/>
      <c r="AG72" s="222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50"/>
      <c r="BA72" s="249"/>
      <c r="BB72" s="249"/>
      <c r="BC72" s="612"/>
      <c r="BD72" s="612"/>
      <c r="BE72" s="612"/>
      <c r="BF72" s="612"/>
      <c r="BG72" s="612"/>
      <c r="BH72" s="612"/>
      <c r="BI72" s="612"/>
      <c r="BJ72" s="612"/>
      <c r="BK72" s="612"/>
      <c r="BL72" s="612"/>
      <c r="BM72" s="612"/>
      <c r="BN72" s="612"/>
      <c r="BO72" s="612"/>
      <c r="BP72" s="612"/>
      <c r="BQ72" s="612"/>
      <c r="BR72" s="612"/>
      <c r="BS72" s="612"/>
      <c r="BT72" s="612"/>
      <c r="BU72" s="612"/>
      <c r="BV72" s="612"/>
      <c r="BW72" s="612"/>
      <c r="BX72" s="612"/>
      <c r="BY72" s="612"/>
      <c r="BZ72" s="612"/>
      <c r="CA72" s="612"/>
      <c r="CB72" s="612"/>
      <c r="CC72" s="612"/>
      <c r="CD72" s="612"/>
      <c r="CE72" s="612"/>
      <c r="CF72" s="612"/>
      <c r="CG72" s="612"/>
      <c r="CH72" s="612"/>
      <c r="CI72" s="612"/>
      <c r="CJ72" s="612"/>
      <c r="CK72" s="612"/>
      <c r="CL72" s="612"/>
      <c r="CM72" s="612"/>
      <c r="CN72" s="612"/>
      <c r="CO72" s="612"/>
      <c r="CP72" s="612"/>
      <c r="CQ72" s="612"/>
      <c r="CR72" s="612"/>
      <c r="CS72" s="612"/>
      <c r="CT72" s="612"/>
      <c r="CU72" s="612"/>
      <c r="CV72" s="612"/>
      <c r="CW72" s="612"/>
      <c r="CX72" s="612"/>
      <c r="CY72" s="612"/>
      <c r="CZ72" s="612"/>
      <c r="DA72" s="612"/>
      <c r="DB72" s="612"/>
      <c r="DC72" s="612"/>
      <c r="DD72" s="612"/>
      <c r="DE72" s="612"/>
      <c r="DF72" s="612"/>
      <c r="DG72" s="612"/>
      <c r="DH72" s="612"/>
      <c r="DI72" s="612"/>
      <c r="DJ72" s="612"/>
      <c r="DK72" s="612"/>
      <c r="DL72" s="612"/>
      <c r="DM72" s="612"/>
      <c r="DN72" s="612"/>
      <c r="DO72" s="612"/>
      <c r="DP72" s="612"/>
      <c r="DQ72" s="612"/>
      <c r="DR72" s="612"/>
      <c r="DS72" s="612"/>
      <c r="DT72" s="612"/>
      <c r="DU72" s="612"/>
      <c r="DV72" s="612"/>
      <c r="DW72" s="612"/>
      <c r="DX72" s="612"/>
      <c r="DY72" s="612"/>
      <c r="DZ72" s="612"/>
      <c r="EA72" s="612"/>
      <c r="EB72" s="612"/>
      <c r="EC72" s="612"/>
      <c r="ED72" s="612"/>
      <c r="EE72" s="612"/>
      <c r="EF72" s="612"/>
      <c r="EG72" s="612"/>
      <c r="EH72" s="612"/>
      <c r="EI72" s="612"/>
      <c r="EJ72" s="612"/>
      <c r="EK72" s="612"/>
      <c r="EL72" s="612"/>
      <c r="EM72" s="612"/>
      <c r="EN72" s="612"/>
      <c r="EO72" s="612"/>
      <c r="EP72" s="612"/>
      <c r="EQ72" s="612"/>
      <c r="ER72" s="612"/>
      <c r="ES72" s="612"/>
      <c r="ET72" s="612"/>
      <c r="EU72" s="612"/>
      <c r="EV72" s="612"/>
      <c r="EW72" s="612"/>
      <c r="EX72" s="612"/>
      <c r="EY72" s="612"/>
      <c r="EZ72" s="612"/>
      <c r="FA72" s="612"/>
      <c r="FB72" s="612"/>
      <c r="FC72" s="612"/>
      <c r="FD72" s="612"/>
      <c r="FE72" s="612"/>
      <c r="FF72" s="612"/>
      <c r="FG72" s="612"/>
      <c r="FH72" s="612"/>
      <c r="FI72" s="612"/>
      <c r="FJ72" s="612"/>
      <c r="FK72" s="612"/>
      <c r="FL72" s="612"/>
      <c r="FM72" s="612"/>
      <c r="FN72" s="612"/>
      <c r="FO72" s="612"/>
      <c r="FP72" s="612"/>
      <c r="FQ72" s="612"/>
      <c r="FR72" s="612"/>
      <c r="FS72" s="612"/>
      <c r="FT72" s="612"/>
      <c r="FU72" s="612"/>
      <c r="FV72" s="612"/>
      <c r="FW72" s="612"/>
      <c r="FX72" s="612"/>
      <c r="FY72" s="612"/>
      <c r="FZ72" s="612"/>
      <c r="GA72" s="612"/>
      <c r="GB72" s="612"/>
      <c r="GC72" s="612"/>
      <c r="GD72" s="612"/>
      <c r="GE72" s="245"/>
      <c r="GF72" s="612"/>
      <c r="GG72" s="612"/>
      <c r="GH72" s="612"/>
      <c r="GI72" s="612"/>
      <c r="GJ72" s="612"/>
      <c r="GK72" s="612"/>
      <c r="GL72" s="612"/>
      <c r="GM72" s="612"/>
      <c r="GN72" s="612"/>
      <c r="GO72" s="612"/>
      <c r="GP72" s="612"/>
      <c r="GQ72" s="612"/>
      <c r="GR72" s="612"/>
      <c r="GS72" s="612"/>
      <c r="GT72" s="612"/>
      <c r="GU72" s="612"/>
      <c r="GV72" s="612"/>
      <c r="GW72" s="612"/>
      <c r="GX72" s="612"/>
      <c r="GY72" s="612"/>
      <c r="GZ72" s="612"/>
      <c r="HA72" s="612"/>
      <c r="HB72" s="612"/>
      <c r="HC72" s="612"/>
      <c r="HD72" s="612"/>
      <c r="HE72" s="612"/>
      <c r="HF72" s="612"/>
      <c r="HG72" s="612"/>
      <c r="HH72" s="612"/>
      <c r="HI72" s="612"/>
      <c r="HJ72" s="612"/>
      <c r="HK72" s="612"/>
      <c r="HL72" s="612"/>
      <c r="HM72" s="612"/>
      <c r="HN72" s="612"/>
      <c r="HO72" s="612"/>
      <c r="HP72" s="612"/>
      <c r="HQ72" s="612"/>
      <c r="HR72" s="612"/>
      <c r="HS72" s="612"/>
      <c r="HT72" s="612"/>
      <c r="HU72" s="612"/>
      <c r="HV72" s="612"/>
      <c r="HW72" s="612"/>
      <c r="HX72" s="612"/>
      <c r="HY72" s="612"/>
      <c r="HZ72" s="612"/>
      <c r="IA72" s="612"/>
      <c r="IB72" s="612"/>
      <c r="IC72" s="612"/>
      <c r="ID72" s="612"/>
      <c r="IE72" s="612"/>
      <c r="IF72" s="612"/>
      <c r="IG72" s="612"/>
      <c r="IH72" s="612"/>
      <c r="II72" s="612"/>
    </row>
    <row r="73" spans="1:243" ht="15" customHeight="1" thickBot="1">
      <c r="A73" s="72"/>
      <c r="B73" s="72"/>
      <c r="C73" s="72"/>
      <c r="D73" s="571" t="str">
        <f>IF(MasterSheet!$A$1=1,MasterSheet!C312,MasterSheet!B312)</f>
        <v>Rezerve</v>
      </c>
      <c r="E73" s="369">
        <f>+'Cental Budget_int'!E83+'Local Government_int'!D89</f>
        <v>32087326.02</v>
      </c>
      <c r="F73" s="572">
        <f t="shared" si="0"/>
        <v>1.4931977300013961</v>
      </c>
      <c r="G73" s="369">
        <f>+'Cental Budget_int'!G83+'Local Government_int'!F89</f>
        <v>18948782.990000002</v>
      </c>
      <c r="H73" s="572">
        <f t="shared" si="1"/>
        <v>0.70691225480320852</v>
      </c>
      <c r="I73" s="369">
        <f>+'Cental Budget_int'!I83+'Local Government_int'!H89</f>
        <v>19188060.239999998</v>
      </c>
      <c r="J73" s="572">
        <f t="shared" si="2"/>
        <v>0.62185831734508679</v>
      </c>
      <c r="K73" s="369">
        <f>+'Cental Budget_int'!K83+'Local Government_int'!J89</f>
        <v>14515250.74</v>
      </c>
      <c r="L73" s="572">
        <f t="shared" si="3"/>
        <v>0.48692555317007713</v>
      </c>
      <c r="M73" s="369">
        <f>+'Cental Budget_int'!M83+'Local Government_int'!L89</f>
        <v>15839952.310000001</v>
      </c>
      <c r="N73" s="572">
        <f t="shared" si="4"/>
        <v>0.51030774194587625</v>
      </c>
      <c r="O73" s="369">
        <f>+'Cental Budget_int'!O83+'Local Government_int'!N89</f>
        <v>14085755.789999999</v>
      </c>
      <c r="P73" s="572">
        <f t="shared" si="5"/>
        <v>0.43555212708719848</v>
      </c>
      <c r="Q73" s="573">
        <f>+'Cental Budget_int'!Q83+'Local Government_int'!P89</f>
        <v>21536009.560000002</v>
      </c>
      <c r="R73" s="574">
        <f t="shared" si="6"/>
        <v>0.68389995427119732</v>
      </c>
      <c r="S73" s="573">
        <f>+'Cental Budget_int'!S83+'Local Government_int'!R89</f>
        <v>10860162.216499999</v>
      </c>
      <c r="T73" s="574">
        <f t="shared" si="7"/>
        <v>0.30879050942564684</v>
      </c>
      <c r="U73" s="573">
        <f>+'Cental Budget_int'!U83+'Local Government_int'!T89</f>
        <v>10930244.06923</v>
      </c>
      <c r="V73" s="574">
        <f t="shared" si="8"/>
        <v>0.31078316944071649</v>
      </c>
      <c r="W73" s="573">
        <f>+'Cental Budget_int'!W83+'Local Government_int'!V89</f>
        <v>70081.852729999926</v>
      </c>
      <c r="X73" s="575" t="e">
        <f t="shared" si="9"/>
        <v>#DIV/0!</v>
      </c>
      <c r="Y73" s="222"/>
      <c r="Z73" s="222"/>
      <c r="AA73" s="222"/>
      <c r="AB73" s="222"/>
      <c r="AC73" s="222"/>
      <c r="AD73" s="222"/>
      <c r="AE73" s="222"/>
      <c r="AF73" s="222"/>
      <c r="AG73" s="222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50"/>
      <c r="BA73" s="249"/>
      <c r="BB73" s="249"/>
      <c r="BC73" s="612"/>
      <c r="BD73" s="612"/>
      <c r="BE73" s="612"/>
      <c r="BF73" s="612"/>
      <c r="BG73" s="612"/>
      <c r="BH73" s="612"/>
      <c r="BI73" s="612"/>
      <c r="BJ73" s="612"/>
      <c r="BK73" s="612"/>
      <c r="BL73" s="612"/>
      <c r="BM73" s="612"/>
      <c r="BN73" s="612"/>
      <c r="BO73" s="612"/>
      <c r="BP73" s="612"/>
      <c r="BQ73" s="612"/>
      <c r="BR73" s="612"/>
      <c r="BS73" s="612"/>
      <c r="BT73" s="612"/>
      <c r="BU73" s="612"/>
      <c r="BV73" s="612"/>
      <c r="BW73" s="612"/>
      <c r="BX73" s="612"/>
      <c r="BY73" s="612"/>
      <c r="BZ73" s="612"/>
      <c r="CA73" s="612"/>
      <c r="CB73" s="612"/>
      <c r="CC73" s="612"/>
      <c r="CD73" s="612"/>
      <c r="CE73" s="612"/>
      <c r="CF73" s="612"/>
      <c r="CG73" s="612"/>
      <c r="CH73" s="612"/>
      <c r="CI73" s="612"/>
      <c r="CJ73" s="612"/>
      <c r="CK73" s="612"/>
      <c r="CL73" s="612"/>
      <c r="CM73" s="612"/>
      <c r="CN73" s="612"/>
      <c r="CO73" s="612"/>
      <c r="CP73" s="612"/>
      <c r="CQ73" s="612"/>
      <c r="CR73" s="612"/>
      <c r="CS73" s="612"/>
      <c r="CT73" s="612"/>
      <c r="CU73" s="612"/>
      <c r="CV73" s="612"/>
      <c r="CW73" s="612"/>
      <c r="CX73" s="612"/>
      <c r="CY73" s="612"/>
      <c r="CZ73" s="612"/>
      <c r="DA73" s="612"/>
      <c r="DB73" s="612"/>
      <c r="DC73" s="612"/>
      <c r="DD73" s="612"/>
      <c r="DE73" s="612"/>
      <c r="DF73" s="612"/>
      <c r="DG73" s="612"/>
      <c r="DH73" s="612"/>
      <c r="DI73" s="612"/>
      <c r="DJ73" s="612"/>
      <c r="DK73" s="612"/>
      <c r="DL73" s="612"/>
      <c r="DM73" s="612"/>
      <c r="DN73" s="612"/>
      <c r="DO73" s="612"/>
      <c r="DP73" s="612"/>
      <c r="DQ73" s="612"/>
      <c r="DR73" s="612"/>
      <c r="DS73" s="612"/>
      <c r="DT73" s="612"/>
      <c r="DU73" s="612"/>
      <c r="DV73" s="612"/>
      <c r="DW73" s="612"/>
      <c r="DX73" s="612"/>
      <c r="DY73" s="612"/>
      <c r="DZ73" s="612"/>
      <c r="EA73" s="612"/>
      <c r="EB73" s="612"/>
      <c r="EC73" s="612"/>
      <c r="ED73" s="612"/>
      <c r="EE73" s="612"/>
      <c r="EF73" s="612"/>
      <c r="EG73" s="612"/>
      <c r="EH73" s="612"/>
      <c r="EI73" s="612"/>
      <c r="EJ73" s="612"/>
      <c r="EK73" s="612"/>
      <c r="EL73" s="612"/>
      <c r="EM73" s="612"/>
      <c r="EN73" s="612"/>
      <c r="EO73" s="612"/>
      <c r="EP73" s="612"/>
      <c r="EQ73" s="612"/>
      <c r="ER73" s="612"/>
      <c r="ES73" s="612"/>
      <c r="ET73" s="612"/>
      <c r="EU73" s="612"/>
      <c r="EV73" s="612"/>
      <c r="EW73" s="612"/>
      <c r="EX73" s="612"/>
      <c r="EY73" s="612"/>
      <c r="EZ73" s="612"/>
      <c r="FA73" s="612"/>
      <c r="FB73" s="612"/>
      <c r="FC73" s="612"/>
      <c r="FD73" s="612"/>
      <c r="FE73" s="612"/>
      <c r="FF73" s="612"/>
      <c r="FG73" s="612"/>
      <c r="FH73" s="612"/>
      <c r="FI73" s="612"/>
      <c r="FJ73" s="612"/>
      <c r="FK73" s="612"/>
      <c r="FL73" s="612"/>
      <c r="FM73" s="612"/>
      <c r="FN73" s="612"/>
      <c r="FO73" s="612"/>
      <c r="FP73" s="612"/>
      <c r="FQ73" s="612"/>
      <c r="FR73" s="612"/>
      <c r="FS73" s="612"/>
      <c r="FT73" s="612"/>
      <c r="FU73" s="612"/>
      <c r="FV73" s="612"/>
      <c r="FW73" s="612"/>
      <c r="FX73" s="612"/>
      <c r="FY73" s="612"/>
      <c r="FZ73" s="612"/>
      <c r="GA73" s="612"/>
      <c r="GB73" s="612"/>
      <c r="GC73" s="612"/>
      <c r="GD73" s="612"/>
      <c r="GE73" s="245"/>
      <c r="GF73" s="612"/>
      <c r="GG73" s="612"/>
      <c r="GH73" s="612"/>
      <c r="GI73" s="612"/>
      <c r="GJ73" s="612"/>
      <c r="GK73" s="612"/>
      <c r="GL73" s="612"/>
      <c r="GM73" s="612"/>
      <c r="GN73" s="612"/>
      <c r="GO73" s="612"/>
      <c r="GP73" s="612"/>
      <c r="GQ73" s="612"/>
      <c r="GR73" s="612"/>
      <c r="GS73" s="612"/>
      <c r="GT73" s="612"/>
      <c r="GU73" s="612"/>
      <c r="GV73" s="612"/>
      <c r="GW73" s="612"/>
      <c r="GX73" s="612"/>
      <c r="GY73" s="612"/>
      <c r="GZ73" s="612"/>
      <c r="HA73" s="612"/>
      <c r="HB73" s="612"/>
      <c r="HC73" s="612"/>
      <c r="HD73" s="612"/>
      <c r="HE73" s="612"/>
      <c r="HF73" s="612"/>
      <c r="HG73" s="612"/>
      <c r="HH73" s="612"/>
      <c r="HI73" s="612"/>
      <c r="HJ73" s="612"/>
      <c r="HK73" s="612"/>
      <c r="HL73" s="612"/>
      <c r="HM73" s="612"/>
      <c r="HN73" s="612"/>
      <c r="HO73" s="612"/>
      <c r="HP73" s="612"/>
      <c r="HQ73" s="612"/>
      <c r="HR73" s="612"/>
      <c r="HS73" s="612"/>
      <c r="HT73" s="612"/>
      <c r="HU73" s="612"/>
      <c r="HV73" s="612"/>
      <c r="HW73" s="612"/>
      <c r="HX73" s="612"/>
      <c r="HY73" s="612"/>
      <c r="HZ73" s="612"/>
      <c r="IA73" s="612"/>
      <c r="IB73" s="612"/>
      <c r="IC73" s="612"/>
      <c r="ID73" s="612"/>
      <c r="IE73" s="612"/>
      <c r="IF73" s="612"/>
      <c r="IG73" s="612"/>
      <c r="IH73" s="612"/>
      <c r="II73" s="612"/>
    </row>
    <row r="74" spans="1:243" ht="15" customHeight="1" thickTop="1" thickBot="1">
      <c r="A74" s="72"/>
      <c r="B74" s="72"/>
      <c r="C74" s="72"/>
      <c r="D74" s="234" t="str">
        <f>IF(MasterSheet!$A$1=1,MasterSheet!C313,MasterSheet!B313)</f>
        <v>Neto povećanje obaveza</v>
      </c>
      <c r="E74" s="320">
        <f>+'Cental Budget_int'!E85+'Local Government_int'!D91</f>
        <v>0</v>
      </c>
      <c r="F74" s="310">
        <f t="shared" ref="F74:F83" si="10">+E74/$E$15*100</f>
        <v>0</v>
      </c>
      <c r="G74" s="320">
        <f>+'Cental Budget_int'!G85+'Local Government_int'!F91</f>
        <v>0</v>
      </c>
      <c r="H74" s="310">
        <f t="shared" ref="H74:H83" si="11">+G74/$G$15*100</f>
        <v>0</v>
      </c>
      <c r="I74" s="320">
        <f>+'Cental Budget_int'!I85+'Local Government_int'!H91</f>
        <v>0</v>
      </c>
      <c r="J74" s="310">
        <f t="shared" ref="J74:J83" si="12">+I74/$I$15*100</f>
        <v>0</v>
      </c>
      <c r="K74" s="320">
        <f>+'Cental Budget_int'!K85+'Local Government_int'!J91</f>
        <v>29123695.350000001</v>
      </c>
      <c r="L74" s="310">
        <f t="shared" ref="L74:L83" si="13">+K74/$K$15*100</f>
        <v>0.97697736833277427</v>
      </c>
      <c r="M74" s="320">
        <f>+'Cental Budget_int'!M85+'Local Government_int'!L91</f>
        <v>61764588.780000001</v>
      </c>
      <c r="N74" s="310">
        <f t="shared" ref="N74:N83" si="14">+M74/$M$15*100</f>
        <v>1.9898385560567011</v>
      </c>
      <c r="O74" s="320">
        <f>+'Cental Budget_int'!O85+'Local Government_int'!N91</f>
        <v>24342189.18</v>
      </c>
      <c r="P74" s="310">
        <f t="shared" ref="P74:P83" si="15">+O74/$O$15*100</f>
        <v>0.75269601669758812</v>
      </c>
      <c r="Q74" s="339">
        <f>+'Cental Budget_int'!Q85+'Local Government_int'!P91</f>
        <v>33114247.129999999</v>
      </c>
      <c r="R74" s="327">
        <f t="shared" ref="R74:R83" si="16">+Q74/$Q$15*100</f>
        <v>1.0515797754842806</v>
      </c>
      <c r="S74" s="339">
        <f>+'Cental Budget_int'!S85+'Local Government_int'!R91</f>
        <v>0</v>
      </c>
      <c r="T74" s="327">
        <f t="shared" ref="T74:T84" si="17">+S74/$S$15*100</f>
        <v>0</v>
      </c>
      <c r="U74" s="339">
        <f>+'Cental Budget_int'!U85+'Local Government_int'!T91</f>
        <v>0</v>
      </c>
      <c r="V74" s="327">
        <f t="shared" ref="V74:V84" si="18">+U74/$U$15*100</f>
        <v>0</v>
      </c>
      <c r="W74" s="339">
        <f>+'Cental Budget_int'!W85+'Local Government_int'!V91</f>
        <v>0</v>
      </c>
      <c r="X74" s="516" t="e">
        <f t="shared" ref="X74:X84" si="19">+W74/$W$15*100</f>
        <v>#DIV/0!</v>
      </c>
      <c r="Y74" s="222"/>
      <c r="Z74" s="222"/>
      <c r="AA74" s="222"/>
      <c r="AB74" s="222"/>
      <c r="AC74" s="222"/>
      <c r="AD74" s="222"/>
      <c r="AE74" s="222"/>
      <c r="AF74" s="222"/>
      <c r="AG74" s="222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50"/>
      <c r="BA74" s="249"/>
      <c r="BB74" s="249"/>
      <c r="BC74" s="612"/>
      <c r="BD74" s="612"/>
      <c r="BE74" s="612"/>
      <c r="BF74" s="612"/>
      <c r="BG74" s="612"/>
      <c r="BH74" s="612"/>
      <c r="BI74" s="612"/>
      <c r="BJ74" s="612"/>
      <c r="BK74" s="612"/>
      <c r="BL74" s="612"/>
      <c r="BM74" s="612"/>
      <c r="BN74" s="612"/>
      <c r="BO74" s="612"/>
      <c r="BP74" s="612"/>
      <c r="BQ74" s="612"/>
      <c r="BR74" s="612"/>
      <c r="BS74" s="612"/>
      <c r="BT74" s="612"/>
      <c r="BU74" s="612"/>
      <c r="BV74" s="612"/>
      <c r="BW74" s="612"/>
      <c r="BX74" s="612"/>
      <c r="BY74" s="612"/>
      <c r="BZ74" s="612"/>
      <c r="CA74" s="612"/>
      <c r="CB74" s="612"/>
      <c r="CC74" s="612"/>
      <c r="CD74" s="612"/>
      <c r="CE74" s="612"/>
      <c r="CF74" s="612"/>
      <c r="CG74" s="612"/>
      <c r="CH74" s="612"/>
      <c r="CI74" s="612"/>
      <c r="CJ74" s="612"/>
      <c r="CK74" s="612"/>
      <c r="CL74" s="612"/>
      <c r="CM74" s="612"/>
      <c r="CN74" s="612"/>
      <c r="CO74" s="612"/>
      <c r="CP74" s="612"/>
      <c r="CQ74" s="612"/>
      <c r="CR74" s="612"/>
      <c r="CS74" s="612"/>
      <c r="CT74" s="612"/>
      <c r="CU74" s="612"/>
      <c r="CV74" s="612"/>
      <c r="CW74" s="612"/>
      <c r="CX74" s="612"/>
      <c r="CY74" s="612"/>
      <c r="CZ74" s="612"/>
      <c r="DA74" s="612"/>
      <c r="DB74" s="612"/>
      <c r="DC74" s="612"/>
      <c r="DD74" s="612"/>
      <c r="DE74" s="612"/>
      <c r="DF74" s="612"/>
      <c r="DG74" s="612"/>
      <c r="DH74" s="612"/>
      <c r="DI74" s="612"/>
      <c r="DJ74" s="612"/>
      <c r="DK74" s="612"/>
      <c r="DL74" s="612"/>
      <c r="DM74" s="612"/>
      <c r="DN74" s="612"/>
      <c r="DO74" s="612"/>
      <c r="DP74" s="612"/>
      <c r="DQ74" s="612"/>
      <c r="DR74" s="612"/>
      <c r="DS74" s="612"/>
      <c r="DT74" s="612"/>
      <c r="DU74" s="612"/>
      <c r="DV74" s="612"/>
      <c r="DW74" s="612"/>
      <c r="DX74" s="612"/>
      <c r="DY74" s="612"/>
      <c r="DZ74" s="612"/>
      <c r="EA74" s="612"/>
      <c r="EB74" s="612"/>
      <c r="EC74" s="612"/>
      <c r="ED74" s="612"/>
      <c r="EE74" s="612"/>
      <c r="EF74" s="612"/>
      <c r="EG74" s="612"/>
      <c r="EH74" s="612"/>
      <c r="EI74" s="612"/>
      <c r="EJ74" s="612"/>
      <c r="EK74" s="612"/>
      <c r="EL74" s="612"/>
      <c r="EM74" s="612"/>
      <c r="EN74" s="612"/>
      <c r="EO74" s="612"/>
      <c r="EP74" s="612"/>
      <c r="EQ74" s="612"/>
      <c r="ER74" s="612"/>
      <c r="ES74" s="612"/>
      <c r="ET74" s="612"/>
      <c r="EU74" s="612"/>
      <c r="EV74" s="612"/>
      <c r="EW74" s="612"/>
      <c r="EX74" s="612"/>
      <c r="EY74" s="612"/>
      <c r="EZ74" s="612"/>
      <c r="FA74" s="612"/>
      <c r="FB74" s="612"/>
      <c r="FC74" s="612"/>
      <c r="FD74" s="612"/>
      <c r="FE74" s="612"/>
      <c r="FF74" s="612"/>
      <c r="FG74" s="612"/>
      <c r="FH74" s="612"/>
      <c r="FI74" s="612"/>
      <c r="FJ74" s="612"/>
      <c r="FK74" s="612"/>
      <c r="FL74" s="612"/>
      <c r="FM74" s="612"/>
      <c r="FN74" s="612"/>
      <c r="FO74" s="612"/>
      <c r="FP74" s="612"/>
      <c r="FQ74" s="612"/>
      <c r="FR74" s="612"/>
      <c r="FS74" s="612"/>
      <c r="FT74" s="612"/>
      <c r="FU74" s="612"/>
      <c r="FV74" s="612"/>
      <c r="FW74" s="612"/>
      <c r="FX74" s="612"/>
      <c r="FY74" s="612"/>
      <c r="FZ74" s="612"/>
      <c r="GA74" s="612"/>
      <c r="GB74" s="612"/>
      <c r="GC74" s="612"/>
      <c r="GD74" s="612"/>
      <c r="GE74" s="245"/>
      <c r="GF74" s="612"/>
      <c r="GG74" s="612"/>
      <c r="GH74" s="612"/>
      <c r="GI74" s="612"/>
      <c r="GJ74" s="612"/>
      <c r="GK74" s="612"/>
      <c r="GL74" s="612"/>
      <c r="GM74" s="612"/>
      <c r="GN74" s="612"/>
      <c r="GO74" s="612"/>
      <c r="GP74" s="612"/>
      <c r="GQ74" s="612"/>
      <c r="GR74" s="612"/>
      <c r="GS74" s="612"/>
      <c r="GT74" s="612"/>
      <c r="GU74" s="612"/>
      <c r="GV74" s="612"/>
      <c r="GW74" s="612"/>
      <c r="GX74" s="612"/>
      <c r="GY74" s="612"/>
      <c r="GZ74" s="612"/>
      <c r="HA74" s="612"/>
      <c r="HB74" s="612"/>
      <c r="HC74" s="612"/>
      <c r="HD74" s="612"/>
      <c r="HE74" s="612"/>
      <c r="HF74" s="612"/>
      <c r="HG74" s="612"/>
      <c r="HH74" s="612"/>
      <c r="HI74" s="612"/>
      <c r="HJ74" s="612"/>
      <c r="HK74" s="612"/>
      <c r="HL74" s="612"/>
      <c r="HM74" s="612"/>
      <c r="HN74" s="612"/>
      <c r="HO74" s="612"/>
      <c r="HP74" s="612"/>
      <c r="HQ74" s="612"/>
      <c r="HR74" s="612"/>
      <c r="HS74" s="612"/>
      <c r="HT74" s="612"/>
      <c r="HU74" s="612"/>
      <c r="HV74" s="612"/>
      <c r="HW74" s="612"/>
      <c r="HX74" s="612"/>
      <c r="HY74" s="612"/>
      <c r="HZ74" s="612"/>
      <c r="IA74" s="612"/>
      <c r="IB74" s="612"/>
      <c r="IC74" s="612"/>
      <c r="ID74" s="612"/>
      <c r="IE74" s="612"/>
      <c r="IF74" s="612"/>
      <c r="IG74" s="612"/>
      <c r="IH74" s="612"/>
      <c r="II74" s="612"/>
    </row>
    <row r="75" spans="1:243" s="3" customFormat="1" ht="15" customHeight="1" thickTop="1" thickBot="1">
      <c r="A75" s="79"/>
      <c r="B75" s="79"/>
      <c r="C75" s="79"/>
      <c r="D75" s="243" t="str">
        <f>IF(MasterSheet!$A$1=1,MasterSheet!C314,MasterSheet!B314)</f>
        <v>Suficit/deficit</v>
      </c>
      <c r="E75" s="314">
        <f>+E20-E39</f>
        <v>68320480.450199604</v>
      </c>
      <c r="F75" s="305">
        <f t="shared" si="10"/>
        <v>3.1793233957001075</v>
      </c>
      <c r="G75" s="314">
        <f>+G20-G39-'Local Government_int'!F84</f>
        <v>168189021.20999956</v>
      </c>
      <c r="H75" s="305">
        <f t="shared" si="11"/>
        <v>6.27453912367094</v>
      </c>
      <c r="I75" s="314">
        <f>+I20-I39-'Local Government_int'!H84</f>
        <v>-12067255.152543545</v>
      </c>
      <c r="J75" s="305">
        <f t="shared" si="12"/>
        <v>-0.39108293857089527</v>
      </c>
      <c r="K75" s="314">
        <f>+K20-K39-'Local Government_int'!J84</f>
        <v>-169306149.04449964</v>
      </c>
      <c r="L75" s="305">
        <f t="shared" si="13"/>
        <v>-5.6795085221234363</v>
      </c>
      <c r="M75" s="314">
        <f>+M20-M39-'Local Government_int'!L84</f>
        <v>-151084996.65153837</v>
      </c>
      <c r="N75" s="305">
        <f t="shared" si="14"/>
        <v>-4.8674290158356435</v>
      </c>
      <c r="O75" s="314">
        <f>+O20-O39-'Local Government_int'!N84</f>
        <v>-142064983.86000013</v>
      </c>
      <c r="P75" s="305">
        <f t="shared" si="15"/>
        <v>-4.3928566437847909</v>
      </c>
      <c r="Q75" s="332">
        <f>+Q20-Q39</f>
        <v>-147322035.0066669</v>
      </c>
      <c r="R75" s="322">
        <f t="shared" si="16"/>
        <v>-4.6783751986874211</v>
      </c>
      <c r="S75" s="332">
        <f>+S20-S39</f>
        <v>-81668788.907728195</v>
      </c>
      <c r="T75" s="322">
        <f t="shared" si="17"/>
        <v>-2.3221151239046973</v>
      </c>
      <c r="U75" s="332">
        <f>+U20-U39</f>
        <v>-65995005.272840977</v>
      </c>
      <c r="V75" s="322">
        <f t="shared" si="18"/>
        <v>-1.8764573577719923</v>
      </c>
      <c r="W75" s="332">
        <f>+W20-W39</f>
        <v>15673783.634887105</v>
      </c>
      <c r="X75" s="511" t="e">
        <f t="shared" si="19"/>
        <v>#DIV/0!</v>
      </c>
      <c r="Y75" s="222"/>
      <c r="Z75" s="222"/>
      <c r="AA75" s="222"/>
      <c r="AB75" s="222"/>
      <c r="AC75" s="222"/>
      <c r="AD75" s="222"/>
      <c r="AE75" s="222"/>
      <c r="AF75" s="222"/>
      <c r="AG75" s="222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50"/>
      <c r="BA75" s="262"/>
      <c r="BB75" s="263"/>
      <c r="BC75" s="264"/>
      <c r="BD75" s="264"/>
      <c r="BE75" s="264"/>
      <c r="BF75" s="264"/>
      <c r="BG75" s="264"/>
      <c r="BH75" s="264"/>
      <c r="BI75" s="264"/>
      <c r="BJ75" s="264"/>
      <c r="BK75" s="264"/>
      <c r="BL75" s="264"/>
      <c r="BM75" s="264"/>
      <c r="BN75" s="264"/>
      <c r="BO75" s="264"/>
      <c r="BP75" s="264"/>
      <c r="BQ75" s="264"/>
      <c r="BR75" s="264"/>
      <c r="BS75" s="264"/>
      <c r="BT75" s="264"/>
      <c r="BU75" s="264"/>
      <c r="BV75" s="264"/>
      <c r="BW75" s="264"/>
      <c r="BX75" s="264"/>
      <c r="BY75" s="264"/>
      <c r="BZ75" s="264"/>
      <c r="CA75" s="264"/>
      <c r="CB75" s="264"/>
      <c r="CC75" s="264"/>
      <c r="CD75" s="264"/>
      <c r="CE75" s="264"/>
      <c r="CF75" s="264"/>
      <c r="CG75" s="264"/>
      <c r="CH75" s="264"/>
      <c r="CI75" s="264"/>
      <c r="CJ75" s="264"/>
      <c r="CK75" s="264"/>
      <c r="CL75" s="264"/>
      <c r="CM75" s="264"/>
      <c r="CN75" s="264"/>
      <c r="CO75" s="264"/>
      <c r="CP75" s="264"/>
      <c r="CQ75" s="264"/>
      <c r="CR75" s="264"/>
      <c r="CS75" s="264"/>
      <c r="CT75" s="264"/>
      <c r="CU75" s="264"/>
      <c r="CV75" s="264"/>
      <c r="CW75" s="264"/>
      <c r="CX75" s="264"/>
      <c r="CY75" s="264"/>
      <c r="CZ75" s="264"/>
      <c r="DA75" s="264"/>
      <c r="DB75" s="264"/>
      <c r="DC75" s="264"/>
      <c r="DD75" s="264"/>
      <c r="DE75" s="264"/>
      <c r="DF75" s="264"/>
      <c r="DG75" s="264"/>
      <c r="DH75" s="264"/>
      <c r="DI75" s="264"/>
      <c r="DJ75" s="264"/>
      <c r="DK75" s="264"/>
      <c r="DL75" s="264"/>
      <c r="DM75" s="264"/>
      <c r="DN75" s="264"/>
      <c r="DO75" s="264"/>
      <c r="DP75" s="264"/>
      <c r="DQ75" s="264"/>
      <c r="DR75" s="264"/>
      <c r="DS75" s="264"/>
      <c r="DT75" s="264"/>
      <c r="DU75" s="264"/>
      <c r="DV75" s="264"/>
      <c r="DW75" s="264"/>
      <c r="DX75" s="264"/>
      <c r="DY75" s="264"/>
      <c r="DZ75" s="264"/>
      <c r="EA75" s="264"/>
      <c r="EB75" s="264"/>
      <c r="EC75" s="264"/>
      <c r="ED75" s="264"/>
      <c r="EE75" s="264"/>
      <c r="EF75" s="264"/>
      <c r="EG75" s="264"/>
      <c r="EH75" s="264"/>
      <c r="EI75" s="264"/>
      <c r="EJ75" s="264"/>
      <c r="EK75" s="264"/>
      <c r="EL75" s="264"/>
      <c r="EM75" s="264"/>
      <c r="EN75" s="264"/>
      <c r="EO75" s="264"/>
      <c r="EP75" s="264"/>
      <c r="EQ75" s="264"/>
      <c r="ER75" s="264"/>
      <c r="ES75" s="264"/>
      <c r="ET75" s="264"/>
      <c r="EU75" s="264"/>
      <c r="EV75" s="264"/>
      <c r="EW75" s="264"/>
      <c r="EX75" s="264"/>
      <c r="EY75" s="264"/>
      <c r="EZ75" s="264"/>
      <c r="FA75" s="264"/>
      <c r="FB75" s="264"/>
      <c r="FC75" s="264"/>
      <c r="FD75" s="264"/>
      <c r="FE75" s="264"/>
      <c r="FF75" s="264"/>
      <c r="FG75" s="264"/>
      <c r="FH75" s="264"/>
      <c r="FI75" s="264"/>
      <c r="FJ75" s="264"/>
      <c r="FK75" s="264"/>
      <c r="FL75" s="264"/>
      <c r="FM75" s="264"/>
      <c r="FN75" s="264"/>
      <c r="FO75" s="264"/>
      <c r="FP75" s="264"/>
      <c r="FQ75" s="264"/>
      <c r="FR75" s="264"/>
      <c r="FS75" s="264"/>
      <c r="FT75" s="264"/>
      <c r="FU75" s="264"/>
      <c r="FV75" s="264"/>
      <c r="FW75" s="264"/>
      <c r="FX75" s="264"/>
      <c r="FY75" s="264"/>
      <c r="FZ75" s="264"/>
      <c r="GA75" s="264"/>
      <c r="GB75" s="264"/>
      <c r="GC75" s="264"/>
      <c r="GD75" s="264"/>
      <c r="GE75" s="245"/>
      <c r="GF75" s="264"/>
      <c r="GG75" s="264"/>
      <c r="GH75" s="264"/>
      <c r="GI75" s="264"/>
      <c r="GJ75" s="264"/>
      <c r="GK75" s="264"/>
      <c r="GL75" s="264"/>
      <c r="GM75" s="264"/>
      <c r="GN75" s="264"/>
      <c r="GO75" s="264"/>
      <c r="GP75" s="264"/>
      <c r="GQ75" s="264"/>
      <c r="GR75" s="264"/>
      <c r="GS75" s="264"/>
      <c r="GT75" s="264"/>
      <c r="GU75" s="264"/>
      <c r="GV75" s="264"/>
      <c r="GW75" s="264"/>
      <c r="GX75" s="264"/>
      <c r="GY75" s="264"/>
      <c r="GZ75" s="264"/>
      <c r="HA75" s="264"/>
      <c r="HB75" s="264"/>
      <c r="HC75" s="264"/>
      <c r="HD75" s="264"/>
      <c r="HE75" s="264"/>
      <c r="HF75" s="264"/>
      <c r="HG75" s="264"/>
      <c r="HH75" s="264"/>
      <c r="HI75" s="264"/>
      <c r="HJ75" s="264"/>
      <c r="HK75" s="264"/>
      <c r="HL75" s="264"/>
      <c r="HM75" s="264"/>
      <c r="HN75" s="264"/>
      <c r="HO75" s="264"/>
      <c r="HP75" s="264"/>
      <c r="HQ75" s="264"/>
      <c r="HR75" s="264"/>
      <c r="HS75" s="264"/>
      <c r="HT75" s="264"/>
      <c r="HU75" s="264"/>
      <c r="HV75" s="264"/>
      <c r="HW75" s="264"/>
      <c r="HX75" s="264"/>
      <c r="HY75" s="264"/>
      <c r="HZ75" s="264"/>
      <c r="IA75" s="264"/>
      <c r="IB75" s="264"/>
      <c r="IC75" s="264"/>
      <c r="ID75" s="264"/>
      <c r="IE75" s="264"/>
      <c r="IF75" s="264"/>
      <c r="IG75" s="264"/>
      <c r="IH75" s="264"/>
      <c r="II75" s="264"/>
    </row>
    <row r="76" spans="1:243" s="3" customFormat="1" ht="15" customHeight="1" thickTop="1" thickBot="1">
      <c r="A76" s="79"/>
      <c r="B76" s="79"/>
      <c r="C76" s="79"/>
      <c r="D76" s="243" t="str">
        <f>IF(MasterSheet!$A$1=1,MasterSheet!C315,MasterSheet!B315)</f>
        <v>Primarni deficit</v>
      </c>
      <c r="E76" s="314">
        <f>+E75+E51</f>
        <v>92175143.950199604</v>
      </c>
      <c r="F76" s="305">
        <f t="shared" si="10"/>
        <v>4.2894105798408306</v>
      </c>
      <c r="G76" s="314">
        <f>+G75+G51</f>
        <v>196124124.37999958</v>
      </c>
      <c r="H76" s="305">
        <f t="shared" si="11"/>
        <v>7.3166992867002261</v>
      </c>
      <c r="I76" s="314">
        <f>+I75+I51</f>
        <v>11738436.907456454</v>
      </c>
      <c r="J76" s="305">
        <f t="shared" si="12"/>
        <v>0.3804263970526463</v>
      </c>
      <c r="K76" s="314">
        <f>+K75+K51</f>
        <v>-143783411.00449964</v>
      </c>
      <c r="L76" s="305">
        <f t="shared" si="13"/>
        <v>-4.8233281115229669</v>
      </c>
      <c r="M76" s="314">
        <f>+M75+M51</f>
        <v>-119678718.18153837</v>
      </c>
      <c r="N76" s="305">
        <f t="shared" si="14"/>
        <v>-3.8556288073949214</v>
      </c>
      <c r="O76" s="314">
        <f>+O75+O51</f>
        <v>-94461718.150000125</v>
      </c>
      <c r="P76" s="305">
        <f t="shared" si="15"/>
        <v>-2.9208941914038382</v>
      </c>
      <c r="Q76" s="332">
        <f>+Q75+Q51</f>
        <v>-87601718.266666889</v>
      </c>
      <c r="R76" s="322">
        <f t="shared" si="16"/>
        <v>-2.7818900688049188</v>
      </c>
      <c r="S76" s="332">
        <f>+S75+S51</f>
        <v>-7345226.1627281904</v>
      </c>
      <c r="T76" s="322">
        <f t="shared" si="17"/>
        <v>-0.20884919427717344</v>
      </c>
      <c r="U76" s="332">
        <f>+U75+U51</f>
        <v>8406956.5810590237</v>
      </c>
      <c r="V76" s="322">
        <f t="shared" si="18"/>
        <v>0.23903771910887187</v>
      </c>
      <c r="W76" s="332">
        <f>+W75+W51</f>
        <v>15752182.743787104</v>
      </c>
      <c r="X76" s="511" t="e">
        <f t="shared" si="19"/>
        <v>#DIV/0!</v>
      </c>
      <c r="Y76" s="222"/>
      <c r="Z76" s="222"/>
      <c r="AA76" s="222"/>
      <c r="AB76" s="222"/>
      <c r="AC76" s="222"/>
      <c r="AD76" s="222"/>
      <c r="AE76" s="222"/>
      <c r="AF76" s="222"/>
      <c r="AG76" s="222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50"/>
      <c r="BA76" s="262"/>
      <c r="BB76" s="263"/>
      <c r="BC76" s="264"/>
      <c r="BD76" s="264"/>
      <c r="BE76" s="264"/>
      <c r="BF76" s="264"/>
      <c r="BG76" s="264"/>
      <c r="BH76" s="264"/>
      <c r="BI76" s="264"/>
      <c r="BJ76" s="264"/>
      <c r="BK76" s="264"/>
      <c r="BL76" s="264"/>
      <c r="BM76" s="264"/>
      <c r="BN76" s="264"/>
      <c r="BO76" s="264"/>
      <c r="BP76" s="264"/>
      <c r="BQ76" s="264"/>
      <c r="BR76" s="264"/>
      <c r="BS76" s="264"/>
      <c r="BT76" s="264"/>
      <c r="BU76" s="264"/>
      <c r="BV76" s="264"/>
      <c r="BW76" s="264"/>
      <c r="BX76" s="264"/>
      <c r="BY76" s="264"/>
      <c r="BZ76" s="264"/>
      <c r="CA76" s="264"/>
      <c r="CB76" s="264"/>
      <c r="CC76" s="264"/>
      <c r="CD76" s="264"/>
      <c r="CE76" s="264"/>
      <c r="CF76" s="264"/>
      <c r="CG76" s="264"/>
      <c r="CH76" s="264"/>
      <c r="CI76" s="264"/>
      <c r="CJ76" s="264"/>
      <c r="CK76" s="264"/>
      <c r="CL76" s="264"/>
      <c r="CM76" s="264"/>
      <c r="CN76" s="264"/>
      <c r="CO76" s="264"/>
      <c r="CP76" s="264"/>
      <c r="CQ76" s="264"/>
      <c r="CR76" s="264"/>
      <c r="CS76" s="264"/>
      <c r="CT76" s="264"/>
      <c r="CU76" s="264"/>
      <c r="CV76" s="264"/>
      <c r="CW76" s="264"/>
      <c r="CX76" s="264"/>
      <c r="CY76" s="264"/>
      <c r="CZ76" s="264"/>
      <c r="DA76" s="264"/>
      <c r="DB76" s="264"/>
      <c r="DC76" s="264"/>
      <c r="DD76" s="264"/>
      <c r="DE76" s="264"/>
      <c r="DF76" s="264"/>
      <c r="DG76" s="264"/>
      <c r="DH76" s="264"/>
      <c r="DI76" s="264"/>
      <c r="DJ76" s="264"/>
      <c r="DK76" s="264"/>
      <c r="DL76" s="264"/>
      <c r="DM76" s="264"/>
      <c r="DN76" s="264"/>
      <c r="DO76" s="264"/>
      <c r="DP76" s="264"/>
      <c r="DQ76" s="264"/>
      <c r="DR76" s="264"/>
      <c r="DS76" s="264"/>
      <c r="DT76" s="264"/>
      <c r="DU76" s="264"/>
      <c r="DV76" s="264"/>
      <c r="DW76" s="264"/>
      <c r="DX76" s="264"/>
      <c r="DY76" s="264"/>
      <c r="DZ76" s="264"/>
      <c r="EA76" s="264"/>
      <c r="EB76" s="264"/>
      <c r="EC76" s="264"/>
      <c r="ED76" s="264"/>
      <c r="EE76" s="264"/>
      <c r="EF76" s="264"/>
      <c r="EG76" s="264"/>
      <c r="EH76" s="264"/>
      <c r="EI76" s="264"/>
      <c r="EJ76" s="264"/>
      <c r="EK76" s="264"/>
      <c r="EL76" s="264"/>
      <c r="EM76" s="264"/>
      <c r="EN76" s="264"/>
      <c r="EO76" s="264"/>
      <c r="EP76" s="264"/>
      <c r="EQ76" s="264"/>
      <c r="ER76" s="264"/>
      <c r="ES76" s="264"/>
      <c r="ET76" s="264"/>
      <c r="EU76" s="264"/>
      <c r="EV76" s="264"/>
      <c r="EW76" s="264"/>
      <c r="EX76" s="264"/>
      <c r="EY76" s="264"/>
      <c r="EZ76" s="264"/>
      <c r="FA76" s="264"/>
      <c r="FB76" s="264"/>
      <c r="FC76" s="264"/>
      <c r="FD76" s="264"/>
      <c r="FE76" s="264"/>
      <c r="FF76" s="264"/>
      <c r="FG76" s="264"/>
      <c r="FH76" s="264"/>
      <c r="FI76" s="264"/>
      <c r="FJ76" s="264"/>
      <c r="FK76" s="264"/>
      <c r="FL76" s="264"/>
      <c r="FM76" s="264"/>
      <c r="FN76" s="264"/>
      <c r="FO76" s="264"/>
      <c r="FP76" s="264"/>
      <c r="FQ76" s="264"/>
      <c r="FR76" s="264"/>
      <c r="FS76" s="264"/>
      <c r="FT76" s="264"/>
      <c r="FU76" s="264"/>
      <c r="FV76" s="264"/>
      <c r="FW76" s="264"/>
      <c r="FX76" s="264"/>
      <c r="FY76" s="264"/>
      <c r="FZ76" s="264"/>
      <c r="GA76" s="264"/>
      <c r="GB76" s="264"/>
      <c r="GC76" s="264"/>
      <c r="GD76" s="264"/>
      <c r="GE76" s="245"/>
      <c r="GF76" s="264"/>
      <c r="GG76" s="264"/>
      <c r="GH76" s="264"/>
      <c r="GI76" s="264"/>
      <c r="GJ76" s="264"/>
      <c r="GK76" s="264"/>
      <c r="GL76" s="264"/>
      <c r="GM76" s="264"/>
      <c r="GN76" s="264"/>
      <c r="GO76" s="264"/>
      <c r="GP76" s="264"/>
      <c r="GQ76" s="264"/>
      <c r="GR76" s="264"/>
      <c r="GS76" s="264"/>
      <c r="GT76" s="264"/>
      <c r="GU76" s="264"/>
      <c r="GV76" s="264"/>
      <c r="GW76" s="264"/>
      <c r="GX76" s="264"/>
      <c r="GY76" s="264"/>
      <c r="GZ76" s="264"/>
      <c r="HA76" s="264"/>
      <c r="HB76" s="264"/>
      <c r="HC76" s="264"/>
      <c r="HD76" s="264"/>
      <c r="HE76" s="264"/>
      <c r="HF76" s="264"/>
      <c r="HG76" s="264"/>
      <c r="HH76" s="264"/>
      <c r="HI76" s="264"/>
      <c r="HJ76" s="264"/>
      <c r="HK76" s="264"/>
      <c r="HL76" s="264"/>
      <c r="HM76" s="264"/>
      <c r="HN76" s="264"/>
      <c r="HO76" s="264"/>
      <c r="HP76" s="264"/>
      <c r="HQ76" s="264"/>
      <c r="HR76" s="264"/>
      <c r="HS76" s="264"/>
      <c r="HT76" s="264"/>
      <c r="HU76" s="264"/>
      <c r="HV76" s="264"/>
      <c r="HW76" s="264"/>
      <c r="HX76" s="264"/>
      <c r="HY76" s="264"/>
      <c r="HZ76" s="264"/>
      <c r="IA76" s="264"/>
      <c r="IB76" s="264"/>
      <c r="IC76" s="264"/>
      <c r="ID76" s="264"/>
      <c r="IE76" s="264"/>
      <c r="IF76" s="264"/>
      <c r="IG76" s="264"/>
      <c r="IH76" s="264"/>
      <c r="II76" s="264"/>
    </row>
    <row r="77" spans="1:243" ht="15" customHeight="1" thickTop="1" thickBot="1">
      <c r="A77" s="72"/>
      <c r="B77" s="72"/>
      <c r="C77" s="72"/>
      <c r="D77" s="241" t="str">
        <f>IF(MasterSheet!$A$1=1,MasterSheet!C316,MasterSheet!B316)</f>
        <v>Otplata duga</v>
      </c>
      <c r="E77" s="321">
        <f>SUM(E78:E81)</f>
        <v>122326243.48999999</v>
      </c>
      <c r="F77" s="311">
        <f t="shared" si="10"/>
        <v>5.6925051649681233</v>
      </c>
      <c r="G77" s="321">
        <f>SUM(G78:G81)</f>
        <v>182472251.90000001</v>
      </c>
      <c r="H77" s="311">
        <f t="shared" si="11"/>
        <v>6.8073960790897221</v>
      </c>
      <c r="I77" s="321">
        <f>SUM(I78:I81)</f>
        <v>145616020.09509</v>
      </c>
      <c r="J77" s="311">
        <f t="shared" si="12"/>
        <v>4.7192124739139878</v>
      </c>
      <c r="K77" s="321">
        <f>SUM(K78:K81)</f>
        <v>189551466.40000001</v>
      </c>
      <c r="L77" s="311">
        <f t="shared" si="13"/>
        <v>6.3586536866823211</v>
      </c>
      <c r="M77" s="321">
        <f>SUM(M78:M81)</f>
        <v>196850160.81</v>
      </c>
      <c r="N77" s="311">
        <f t="shared" si="14"/>
        <v>6.3418221910438142</v>
      </c>
      <c r="O77" s="321">
        <f>SUM(O78:O81)</f>
        <v>216582562.89999998</v>
      </c>
      <c r="P77" s="311">
        <f t="shared" si="15"/>
        <v>6.6970489455782305</v>
      </c>
      <c r="Q77" s="340">
        <f>SUM(Q78:Q81)</f>
        <v>215110129.91000003</v>
      </c>
      <c r="R77" s="328">
        <f t="shared" si="16"/>
        <v>6.8310616040012704</v>
      </c>
      <c r="S77" s="340">
        <f>SUM(S78:S81)</f>
        <v>160677132</v>
      </c>
      <c r="T77" s="328">
        <f t="shared" si="17"/>
        <v>4.568584930338357</v>
      </c>
      <c r="U77" s="340">
        <f>SUM(U78:U81)</f>
        <v>161677132</v>
      </c>
      <c r="V77" s="328">
        <f t="shared" si="18"/>
        <v>4.5970182541939151</v>
      </c>
      <c r="W77" s="340">
        <f>SUM(W78:W81)</f>
        <v>1000000</v>
      </c>
      <c r="X77" s="517" t="e">
        <f t="shared" si="19"/>
        <v>#DIV/0!</v>
      </c>
      <c r="Y77" s="224"/>
      <c r="Z77" s="224"/>
      <c r="AA77" s="224"/>
      <c r="AB77" s="224"/>
      <c r="AC77" s="224"/>
      <c r="AD77" s="224"/>
      <c r="AE77" s="224"/>
      <c r="AF77" s="224"/>
      <c r="AG77" s="224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45"/>
      <c r="AT77" s="45"/>
      <c r="AU77" s="45"/>
      <c r="AV77" s="45"/>
      <c r="AW77" s="45"/>
      <c r="AX77" s="45"/>
      <c r="AY77" s="45"/>
      <c r="AZ77" s="50"/>
      <c r="BA77" s="160"/>
      <c r="BB77" s="612"/>
      <c r="BC77" s="612"/>
      <c r="BD77" s="612"/>
      <c r="BE77" s="612"/>
      <c r="BF77" s="612"/>
      <c r="BG77" s="612"/>
      <c r="BH77" s="612"/>
      <c r="BI77" s="612"/>
      <c r="BJ77" s="612"/>
      <c r="BK77" s="612"/>
      <c r="BL77" s="612"/>
      <c r="BM77" s="612"/>
      <c r="BN77" s="612"/>
      <c r="BO77" s="612"/>
      <c r="BP77" s="612"/>
      <c r="BQ77" s="612"/>
      <c r="BR77" s="612"/>
      <c r="BS77" s="612"/>
      <c r="BT77" s="612"/>
      <c r="BU77" s="612"/>
      <c r="BV77" s="612"/>
      <c r="BW77" s="612"/>
      <c r="BX77" s="612"/>
      <c r="BY77" s="612"/>
      <c r="BZ77" s="612"/>
      <c r="CA77" s="612"/>
      <c r="CB77" s="612"/>
      <c r="CC77" s="612"/>
      <c r="CD77" s="612"/>
      <c r="CE77" s="612"/>
      <c r="CF77" s="612"/>
      <c r="CG77" s="612"/>
      <c r="CH77" s="612"/>
      <c r="CI77" s="612"/>
      <c r="CJ77" s="612"/>
      <c r="CK77" s="612"/>
      <c r="CL77" s="612"/>
      <c r="CM77" s="612"/>
      <c r="CN77" s="612"/>
      <c r="CO77" s="612"/>
      <c r="CP77" s="612"/>
      <c r="CQ77" s="612"/>
      <c r="CR77" s="612"/>
      <c r="CS77" s="612"/>
      <c r="CT77" s="612"/>
      <c r="CU77" s="612"/>
      <c r="CV77" s="612"/>
      <c r="CW77" s="612"/>
      <c r="CX77" s="612"/>
      <c r="CY77" s="612"/>
      <c r="CZ77" s="612"/>
      <c r="DA77" s="612"/>
      <c r="DB77" s="612"/>
      <c r="DC77" s="612"/>
      <c r="DD77" s="612"/>
      <c r="DE77" s="612"/>
      <c r="DF77" s="612"/>
      <c r="DG77" s="612"/>
      <c r="DH77" s="612"/>
      <c r="DI77" s="612"/>
      <c r="DJ77" s="612"/>
      <c r="DK77" s="612"/>
      <c r="DL77" s="612"/>
      <c r="DM77" s="612"/>
      <c r="DN77" s="612"/>
      <c r="DO77" s="612"/>
      <c r="DP77" s="612"/>
      <c r="DQ77" s="612"/>
      <c r="DR77" s="612"/>
      <c r="DS77" s="612"/>
      <c r="DT77" s="612"/>
      <c r="DU77" s="612"/>
      <c r="DV77" s="612"/>
      <c r="DW77" s="612"/>
      <c r="DX77" s="612"/>
      <c r="DY77" s="612"/>
      <c r="DZ77" s="612"/>
      <c r="EA77" s="612"/>
      <c r="EB77" s="612"/>
      <c r="EC77" s="612"/>
      <c r="ED77" s="612"/>
      <c r="EE77" s="612"/>
      <c r="EF77" s="612"/>
      <c r="EG77" s="612"/>
      <c r="EH77" s="612"/>
      <c r="EI77" s="612"/>
      <c r="EJ77" s="612"/>
      <c r="EK77" s="612"/>
      <c r="EL77" s="612"/>
      <c r="EM77" s="612"/>
      <c r="EN77" s="612"/>
      <c r="EO77" s="612"/>
      <c r="EP77" s="612"/>
      <c r="EQ77" s="612"/>
      <c r="ER77" s="612"/>
      <c r="ES77" s="612"/>
      <c r="ET77" s="612"/>
      <c r="EU77" s="612"/>
      <c r="EV77" s="612"/>
      <c r="EW77" s="612"/>
      <c r="EX77" s="612"/>
      <c r="EY77" s="612"/>
      <c r="EZ77" s="612"/>
      <c r="FA77" s="612"/>
      <c r="FB77" s="612"/>
      <c r="FC77" s="612"/>
      <c r="FD77" s="612"/>
      <c r="FE77" s="612"/>
      <c r="FF77" s="612"/>
      <c r="FG77" s="612"/>
      <c r="FH77" s="612"/>
      <c r="FI77" s="612"/>
      <c r="FJ77" s="612"/>
      <c r="FK77" s="612"/>
      <c r="FL77" s="612"/>
      <c r="FM77" s="612"/>
      <c r="FN77" s="612"/>
      <c r="FO77" s="612"/>
      <c r="FP77" s="612"/>
      <c r="FQ77" s="612"/>
      <c r="FR77" s="612"/>
      <c r="FS77" s="612"/>
      <c r="FT77" s="612"/>
      <c r="FU77" s="612"/>
      <c r="FV77" s="612"/>
      <c r="FW77" s="612"/>
      <c r="FX77" s="612"/>
      <c r="FY77" s="612"/>
      <c r="FZ77" s="612"/>
      <c r="GA77" s="612"/>
      <c r="GB77" s="612"/>
      <c r="GC77" s="612"/>
      <c r="GD77" s="612"/>
      <c r="GE77" s="245"/>
      <c r="GF77" s="612"/>
      <c r="GG77" s="612"/>
      <c r="GH77" s="612"/>
      <c r="GI77" s="612"/>
      <c r="GJ77" s="612"/>
      <c r="GK77" s="612"/>
      <c r="GL77" s="612"/>
      <c r="GM77" s="612"/>
      <c r="GN77" s="612"/>
      <c r="GO77" s="612"/>
      <c r="GP77" s="612"/>
      <c r="GQ77" s="612"/>
      <c r="GR77" s="612"/>
      <c r="GS77" s="612"/>
      <c r="GT77" s="612"/>
      <c r="GU77" s="612"/>
      <c r="GV77" s="612"/>
      <c r="GW77" s="612"/>
      <c r="GX77" s="612"/>
      <c r="GY77" s="612"/>
      <c r="GZ77" s="612"/>
      <c r="HA77" s="612"/>
      <c r="HB77" s="612"/>
      <c r="HC77" s="612"/>
      <c r="HD77" s="612"/>
      <c r="HE77" s="612"/>
      <c r="HF77" s="612"/>
      <c r="HG77" s="612"/>
      <c r="HH77" s="612"/>
      <c r="HI77" s="612"/>
      <c r="HJ77" s="612"/>
      <c r="HK77" s="612"/>
      <c r="HL77" s="612"/>
      <c r="HM77" s="612"/>
      <c r="HN77" s="612"/>
      <c r="HO77" s="612"/>
      <c r="HP77" s="612"/>
      <c r="HQ77" s="612"/>
      <c r="HR77" s="612"/>
      <c r="HS77" s="612"/>
      <c r="HT77" s="612"/>
      <c r="HU77" s="612"/>
      <c r="HV77" s="612"/>
      <c r="HW77" s="612"/>
      <c r="HX77" s="612"/>
      <c r="HY77" s="612"/>
      <c r="HZ77" s="612"/>
      <c r="IA77" s="612"/>
      <c r="IB77" s="612"/>
      <c r="IC77" s="612"/>
      <c r="ID77" s="612"/>
      <c r="IE77" s="612"/>
      <c r="IF77" s="612"/>
      <c r="IG77" s="612"/>
      <c r="IH77" s="612"/>
      <c r="II77" s="612"/>
    </row>
    <row r="78" spans="1:243" ht="15" customHeight="1" thickTop="1">
      <c r="A78" s="72"/>
      <c r="B78" s="72"/>
      <c r="C78" s="72"/>
      <c r="D78" s="197" t="str">
        <f>IF(MasterSheet!$A$1=1,MasterSheet!C317,MasterSheet!B317)</f>
        <v>Otplata glavnice rezidentima</v>
      </c>
      <c r="E78" s="200">
        <f>+'Cental Budget_int'!E89+'Local Government_int'!D95</f>
        <v>45134259.909999996</v>
      </c>
      <c r="F78" s="202">
        <f t="shared" si="10"/>
        <v>2.1003424966261806</v>
      </c>
      <c r="G78" s="200">
        <f>+'Cental Budget_int'!G89+'Local Government_int'!F95</f>
        <v>29729051.460000001</v>
      </c>
      <c r="H78" s="202">
        <f t="shared" si="11"/>
        <v>1.1090860458869614</v>
      </c>
      <c r="I78" s="200">
        <f>+'Cental Budget_int'!I89+'Local Government_int'!H95</f>
        <v>52839148.952959999</v>
      </c>
      <c r="J78" s="202">
        <f t="shared" si="12"/>
        <v>1.7124432510033705</v>
      </c>
      <c r="K78" s="200">
        <f>+'Cental Budget_int'!K89+'Local Government_int'!J95</f>
        <v>76653571.25</v>
      </c>
      <c r="L78" s="202">
        <f t="shared" si="13"/>
        <v>2.5714046041596781</v>
      </c>
      <c r="M78" s="200">
        <f>+'Cental Budget_int'!M89+'Local Government_int'!L95</f>
        <v>62137566.530000001</v>
      </c>
      <c r="N78" s="202">
        <f t="shared" si="14"/>
        <v>2.0018545918170103</v>
      </c>
      <c r="O78" s="200">
        <f>+'Cental Budget_int'!O89+'Local Government_int'!N95</f>
        <v>39559505.469999999</v>
      </c>
      <c r="P78" s="202">
        <f t="shared" si="15"/>
        <v>1.2232376459492889</v>
      </c>
      <c r="Q78" s="341">
        <f>+'Cental Budget_int'!Q89+'Local Government_int'!P95</f>
        <v>83429832.650000006</v>
      </c>
      <c r="R78" s="329">
        <f t="shared" si="16"/>
        <v>2.6494071975230233</v>
      </c>
      <c r="S78" s="341">
        <f>+'Cental Budget_int'!S89+'Local Government_int'!R95</f>
        <v>27800000</v>
      </c>
      <c r="T78" s="329">
        <f t="shared" si="17"/>
        <v>0.7904464031845323</v>
      </c>
      <c r="U78" s="341">
        <f>+'Cental Budget_int'!U89+'Local Government_int'!T95</f>
        <v>28300000</v>
      </c>
      <c r="V78" s="329">
        <f t="shared" si="18"/>
        <v>0.80466306511231167</v>
      </c>
      <c r="W78" s="341">
        <f>+'Cental Budget_int'!W89+'Local Government_int'!V95</f>
        <v>500000</v>
      </c>
      <c r="X78" s="518" t="e">
        <f t="shared" si="19"/>
        <v>#DIV/0!</v>
      </c>
      <c r="Y78" s="225"/>
      <c r="Z78" s="225"/>
      <c r="AA78" s="225"/>
      <c r="AB78" s="225"/>
      <c r="AC78" s="225"/>
      <c r="AD78" s="225"/>
      <c r="AE78" s="225"/>
      <c r="AF78" s="225"/>
      <c r="AG78" s="2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50"/>
      <c r="BA78" s="265"/>
      <c r="BB78" s="612"/>
      <c r="BC78" s="612"/>
      <c r="BD78" s="612"/>
      <c r="BE78" s="612"/>
      <c r="BF78" s="612"/>
      <c r="BG78" s="612"/>
      <c r="BH78" s="612"/>
      <c r="BI78" s="612"/>
      <c r="BJ78" s="612"/>
      <c r="BK78" s="612"/>
      <c r="BL78" s="612"/>
      <c r="BM78" s="612"/>
      <c r="BN78" s="612"/>
      <c r="BO78" s="612"/>
      <c r="BP78" s="612"/>
      <c r="BQ78" s="612"/>
      <c r="BR78" s="612"/>
      <c r="BS78" s="612"/>
      <c r="BT78" s="612"/>
      <c r="BU78" s="612"/>
      <c r="BV78" s="612"/>
      <c r="BW78" s="612"/>
      <c r="BX78" s="612"/>
      <c r="BY78" s="612"/>
      <c r="BZ78" s="612"/>
      <c r="CA78" s="612"/>
      <c r="CB78" s="612"/>
      <c r="CC78" s="612"/>
      <c r="CD78" s="612"/>
      <c r="CE78" s="612"/>
      <c r="CF78" s="612"/>
      <c r="CG78" s="612"/>
      <c r="CH78" s="612"/>
      <c r="CI78" s="612"/>
      <c r="CJ78" s="612"/>
      <c r="CK78" s="612"/>
      <c r="CL78" s="612"/>
      <c r="CM78" s="612"/>
      <c r="CN78" s="612"/>
      <c r="CO78" s="612"/>
      <c r="CP78" s="612"/>
      <c r="CQ78" s="612"/>
      <c r="CR78" s="612"/>
      <c r="CS78" s="612"/>
      <c r="CT78" s="612"/>
      <c r="CU78" s="612"/>
      <c r="CV78" s="612"/>
      <c r="CW78" s="612"/>
      <c r="CX78" s="612"/>
      <c r="CY78" s="612"/>
      <c r="CZ78" s="612"/>
      <c r="DA78" s="612"/>
      <c r="DB78" s="612"/>
      <c r="DC78" s="612"/>
      <c r="DD78" s="612"/>
      <c r="DE78" s="612"/>
      <c r="DF78" s="612"/>
      <c r="DG78" s="612"/>
      <c r="DH78" s="612"/>
      <c r="DI78" s="612"/>
      <c r="DJ78" s="612"/>
      <c r="DK78" s="612"/>
      <c r="DL78" s="612"/>
      <c r="DM78" s="612"/>
      <c r="DN78" s="612"/>
      <c r="DO78" s="612"/>
      <c r="DP78" s="612"/>
      <c r="DQ78" s="612"/>
      <c r="DR78" s="612"/>
      <c r="DS78" s="612"/>
      <c r="DT78" s="612"/>
      <c r="DU78" s="612"/>
      <c r="DV78" s="612"/>
      <c r="DW78" s="612"/>
      <c r="DX78" s="612"/>
      <c r="DY78" s="612"/>
      <c r="DZ78" s="612"/>
      <c r="EA78" s="612"/>
      <c r="EB78" s="612"/>
      <c r="EC78" s="612"/>
      <c r="ED78" s="612"/>
      <c r="EE78" s="612"/>
      <c r="EF78" s="612"/>
      <c r="EG78" s="612"/>
      <c r="EH78" s="612"/>
      <c r="EI78" s="612"/>
      <c r="EJ78" s="612"/>
      <c r="EK78" s="612"/>
      <c r="EL78" s="612"/>
      <c r="EM78" s="612"/>
      <c r="EN78" s="612"/>
      <c r="EO78" s="612"/>
      <c r="EP78" s="612"/>
      <c r="EQ78" s="612"/>
      <c r="ER78" s="612"/>
      <c r="ES78" s="612"/>
      <c r="ET78" s="612"/>
      <c r="EU78" s="612"/>
      <c r="EV78" s="612"/>
      <c r="EW78" s="612"/>
      <c r="EX78" s="612"/>
      <c r="EY78" s="612"/>
      <c r="EZ78" s="612"/>
      <c r="FA78" s="612"/>
      <c r="FB78" s="612"/>
      <c r="FC78" s="612"/>
      <c r="FD78" s="612"/>
      <c r="FE78" s="612"/>
      <c r="FF78" s="612"/>
      <c r="FG78" s="612"/>
      <c r="FH78" s="612"/>
      <c r="FI78" s="612"/>
      <c r="FJ78" s="612"/>
      <c r="FK78" s="612"/>
      <c r="FL78" s="612"/>
      <c r="FM78" s="612"/>
      <c r="FN78" s="612"/>
      <c r="FO78" s="612"/>
      <c r="FP78" s="612"/>
      <c r="FQ78" s="612"/>
      <c r="FR78" s="612"/>
      <c r="FS78" s="612"/>
      <c r="FT78" s="612"/>
      <c r="FU78" s="612"/>
      <c r="FV78" s="612"/>
      <c r="FW78" s="612"/>
      <c r="FX78" s="612"/>
      <c r="FY78" s="612"/>
      <c r="FZ78" s="612"/>
      <c r="GA78" s="612"/>
      <c r="GB78" s="612"/>
      <c r="GC78" s="612"/>
      <c r="GD78" s="612"/>
      <c r="GE78" s="245"/>
      <c r="GF78" s="612"/>
      <c r="GG78" s="612"/>
      <c r="GH78" s="612"/>
      <c r="GI78" s="612"/>
      <c r="GJ78" s="612"/>
      <c r="GK78" s="612"/>
      <c r="GL78" s="612"/>
      <c r="GM78" s="612"/>
      <c r="GN78" s="612"/>
      <c r="GO78" s="612"/>
      <c r="GP78" s="612"/>
      <c r="GQ78" s="612"/>
      <c r="GR78" s="612"/>
      <c r="GS78" s="612"/>
      <c r="GT78" s="612"/>
      <c r="GU78" s="612"/>
      <c r="GV78" s="612"/>
      <c r="GW78" s="612"/>
      <c r="GX78" s="612"/>
      <c r="GY78" s="612"/>
      <c r="GZ78" s="612"/>
      <c r="HA78" s="612"/>
      <c r="HB78" s="612"/>
      <c r="HC78" s="612"/>
      <c r="HD78" s="612"/>
      <c r="HE78" s="612"/>
      <c r="HF78" s="612"/>
      <c r="HG78" s="612"/>
      <c r="HH78" s="612"/>
      <c r="HI78" s="612"/>
      <c r="HJ78" s="612"/>
      <c r="HK78" s="612"/>
      <c r="HL78" s="612"/>
      <c r="HM78" s="612"/>
      <c r="HN78" s="612"/>
      <c r="HO78" s="612"/>
      <c r="HP78" s="612"/>
      <c r="HQ78" s="612"/>
      <c r="HR78" s="612"/>
      <c r="HS78" s="612"/>
      <c r="HT78" s="612"/>
      <c r="HU78" s="612"/>
      <c r="HV78" s="612"/>
      <c r="HW78" s="612"/>
      <c r="HX78" s="612"/>
      <c r="HY78" s="612"/>
      <c r="HZ78" s="612"/>
      <c r="IA78" s="612"/>
      <c r="IB78" s="612"/>
      <c r="IC78" s="612"/>
      <c r="ID78" s="612"/>
      <c r="IE78" s="612"/>
      <c r="IF78" s="612"/>
      <c r="IG78" s="612"/>
      <c r="IH78" s="612"/>
      <c r="II78" s="612"/>
    </row>
    <row r="79" spans="1:243" ht="15" customHeight="1">
      <c r="A79" s="72"/>
      <c r="B79" s="72"/>
      <c r="C79" s="72"/>
      <c r="D79" s="195" t="str">
        <f>IF(MasterSheet!$A$1=1,MasterSheet!C318,MasterSheet!B318)</f>
        <v>Otplata glavnice nerezidentima</v>
      </c>
      <c r="E79" s="186">
        <f>+'Cental Budget_int'!E90+'Local Government_int'!D96</f>
        <v>14260035.939999999</v>
      </c>
      <c r="F79" s="188">
        <f t="shared" si="10"/>
        <v>0.66359700032574798</v>
      </c>
      <c r="G79" s="186">
        <f>+'Cental Budget_int'!G90+'Local Government_int'!F96</f>
        <v>84240903.909999996</v>
      </c>
      <c r="H79" s="188">
        <f t="shared" si="11"/>
        <v>3.1427309796679723</v>
      </c>
      <c r="I79" s="186">
        <f>+'Cental Budget_int'!I90+'Local Government_int'!H96</f>
        <v>19914054.949519999</v>
      </c>
      <c r="J79" s="188">
        <f t="shared" si="12"/>
        <v>0.64538679509722574</v>
      </c>
      <c r="K79" s="186">
        <f>+'Cental Budget_int'!K90+'Local Government_int'!J96</f>
        <v>25402765.82</v>
      </c>
      <c r="L79" s="188">
        <f t="shared" si="13"/>
        <v>0.8521558477021135</v>
      </c>
      <c r="M79" s="186">
        <f>+'Cental Budget_int'!M90+'Local Government_int'!L96</f>
        <v>45342776.32</v>
      </c>
      <c r="N79" s="188">
        <f t="shared" si="14"/>
        <v>1.4607853195876288</v>
      </c>
      <c r="O79" s="186">
        <f>+'Cental Budget_int'!O90+'Local Government_int'!N96</f>
        <v>60317011.140000001</v>
      </c>
      <c r="P79" s="188">
        <f t="shared" si="15"/>
        <v>1.8650900166975883</v>
      </c>
      <c r="Q79" s="337">
        <f>+'Cental Budget_int'!Q90+'Local Government_int'!P96</f>
        <v>59874811.390000001</v>
      </c>
      <c r="R79" s="330">
        <f t="shared" si="16"/>
        <v>1.901391279453795</v>
      </c>
      <c r="S79" s="337">
        <f>+'Cental Budget_int'!S90+'Local Government_int'!R96</f>
        <v>66700000</v>
      </c>
      <c r="T79" s="330">
        <f t="shared" si="17"/>
        <v>1.8965027011657662</v>
      </c>
      <c r="U79" s="337">
        <f>+'Cental Budget_int'!U90+'Local Government_int'!T96</f>
        <v>67200000</v>
      </c>
      <c r="V79" s="330">
        <f t="shared" si="18"/>
        <v>1.9107193630935455</v>
      </c>
      <c r="W79" s="337">
        <f>+'Cental Budget_int'!W90+'Local Government_int'!V96</f>
        <v>500000</v>
      </c>
      <c r="X79" s="519" t="e">
        <f t="shared" si="19"/>
        <v>#DIV/0!</v>
      </c>
      <c r="Y79" s="225"/>
      <c r="Z79" s="225"/>
      <c r="AA79" s="225"/>
      <c r="AB79" s="225"/>
      <c r="AC79" s="225"/>
      <c r="AD79" s="225"/>
      <c r="AE79" s="225"/>
      <c r="AF79" s="225"/>
      <c r="AG79" s="2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50"/>
      <c r="BA79" s="265"/>
      <c r="BB79" s="612"/>
      <c r="BC79" s="612"/>
      <c r="BD79" s="612"/>
      <c r="BE79" s="612"/>
      <c r="BF79" s="612"/>
      <c r="BG79" s="612"/>
      <c r="BH79" s="612"/>
      <c r="BI79" s="612"/>
      <c r="BJ79" s="612"/>
      <c r="BK79" s="612"/>
      <c r="BL79" s="612"/>
      <c r="BM79" s="612"/>
      <c r="BN79" s="612"/>
      <c r="BO79" s="612"/>
      <c r="BP79" s="612"/>
      <c r="BQ79" s="612"/>
      <c r="BR79" s="612"/>
      <c r="BS79" s="612"/>
      <c r="BT79" s="612"/>
      <c r="BU79" s="612"/>
      <c r="BV79" s="612"/>
      <c r="BW79" s="612"/>
      <c r="BX79" s="612"/>
      <c r="BY79" s="612"/>
      <c r="BZ79" s="612"/>
      <c r="CA79" s="612"/>
      <c r="CB79" s="612"/>
      <c r="CC79" s="612"/>
      <c r="CD79" s="612"/>
      <c r="CE79" s="612"/>
      <c r="CF79" s="612"/>
      <c r="CG79" s="612"/>
      <c r="CH79" s="612"/>
      <c r="CI79" s="612"/>
      <c r="CJ79" s="612"/>
      <c r="CK79" s="612"/>
      <c r="CL79" s="612"/>
      <c r="CM79" s="612"/>
      <c r="CN79" s="612"/>
      <c r="CO79" s="612"/>
      <c r="CP79" s="612"/>
      <c r="CQ79" s="612"/>
      <c r="CR79" s="612"/>
      <c r="CS79" s="612"/>
      <c r="CT79" s="612"/>
      <c r="CU79" s="612"/>
      <c r="CV79" s="612"/>
      <c r="CW79" s="612"/>
      <c r="CX79" s="612"/>
      <c r="CY79" s="612"/>
      <c r="CZ79" s="612"/>
      <c r="DA79" s="612"/>
      <c r="DB79" s="612"/>
      <c r="DC79" s="612"/>
      <c r="DD79" s="612"/>
      <c r="DE79" s="612"/>
      <c r="DF79" s="612"/>
      <c r="DG79" s="612"/>
      <c r="DH79" s="612"/>
      <c r="DI79" s="612"/>
      <c r="DJ79" s="612"/>
      <c r="DK79" s="612"/>
      <c r="DL79" s="612"/>
      <c r="DM79" s="612"/>
      <c r="DN79" s="612"/>
      <c r="DO79" s="612"/>
      <c r="DP79" s="612"/>
      <c r="DQ79" s="612"/>
      <c r="DR79" s="612"/>
      <c r="DS79" s="612"/>
      <c r="DT79" s="612"/>
      <c r="DU79" s="612"/>
      <c r="DV79" s="612"/>
      <c r="DW79" s="612"/>
      <c r="DX79" s="612"/>
      <c r="DY79" s="612"/>
      <c r="DZ79" s="612"/>
      <c r="EA79" s="612"/>
      <c r="EB79" s="612"/>
      <c r="EC79" s="612"/>
      <c r="ED79" s="612"/>
      <c r="EE79" s="612"/>
      <c r="EF79" s="612"/>
      <c r="EG79" s="612"/>
      <c r="EH79" s="612"/>
      <c r="EI79" s="612"/>
      <c r="EJ79" s="612"/>
      <c r="EK79" s="612"/>
      <c r="EL79" s="612"/>
      <c r="EM79" s="612"/>
      <c r="EN79" s="612"/>
      <c r="EO79" s="612"/>
      <c r="EP79" s="612"/>
      <c r="EQ79" s="612"/>
      <c r="ER79" s="612"/>
      <c r="ES79" s="612"/>
      <c r="ET79" s="612"/>
      <c r="EU79" s="612"/>
      <c r="EV79" s="612"/>
      <c r="EW79" s="612"/>
      <c r="EX79" s="612"/>
      <c r="EY79" s="612"/>
      <c r="EZ79" s="612"/>
      <c r="FA79" s="612"/>
      <c r="FB79" s="612"/>
      <c r="FC79" s="612"/>
      <c r="FD79" s="612"/>
      <c r="FE79" s="612"/>
      <c r="FF79" s="612"/>
      <c r="FG79" s="612"/>
      <c r="FH79" s="612"/>
      <c r="FI79" s="612"/>
      <c r="FJ79" s="612"/>
      <c r="FK79" s="612"/>
      <c r="FL79" s="612"/>
      <c r="FM79" s="612"/>
      <c r="FN79" s="612"/>
      <c r="FO79" s="612"/>
      <c r="FP79" s="612"/>
      <c r="FQ79" s="612"/>
      <c r="FR79" s="612"/>
      <c r="FS79" s="612"/>
      <c r="FT79" s="612"/>
      <c r="FU79" s="612"/>
      <c r="FV79" s="612"/>
      <c r="FW79" s="612"/>
      <c r="FX79" s="612"/>
      <c r="FY79" s="612"/>
      <c r="FZ79" s="612"/>
      <c r="GA79" s="612"/>
      <c r="GB79" s="612"/>
      <c r="GC79" s="612"/>
      <c r="GD79" s="612"/>
      <c r="GE79" s="245"/>
      <c r="GF79" s="612"/>
      <c r="GG79" s="612"/>
      <c r="GH79" s="612"/>
      <c r="GI79" s="612"/>
      <c r="GJ79" s="612"/>
      <c r="GK79" s="612"/>
      <c r="GL79" s="612"/>
      <c r="GM79" s="612"/>
      <c r="GN79" s="612"/>
      <c r="GO79" s="612"/>
      <c r="GP79" s="612"/>
      <c r="GQ79" s="612"/>
      <c r="GR79" s="612"/>
      <c r="GS79" s="612"/>
      <c r="GT79" s="612"/>
      <c r="GU79" s="612"/>
      <c r="GV79" s="612"/>
      <c r="GW79" s="612"/>
      <c r="GX79" s="612"/>
      <c r="GY79" s="612"/>
      <c r="GZ79" s="612"/>
      <c r="HA79" s="612"/>
      <c r="HB79" s="612"/>
      <c r="HC79" s="612"/>
      <c r="HD79" s="612"/>
      <c r="HE79" s="612"/>
      <c r="HF79" s="612"/>
      <c r="HG79" s="612"/>
      <c r="HH79" s="612"/>
      <c r="HI79" s="612"/>
      <c r="HJ79" s="612"/>
      <c r="HK79" s="612"/>
      <c r="HL79" s="612"/>
      <c r="HM79" s="612"/>
      <c r="HN79" s="612"/>
      <c r="HO79" s="612"/>
      <c r="HP79" s="612"/>
      <c r="HQ79" s="612"/>
      <c r="HR79" s="612"/>
      <c r="HS79" s="612"/>
      <c r="HT79" s="612"/>
      <c r="HU79" s="612"/>
      <c r="HV79" s="612"/>
      <c r="HW79" s="612"/>
      <c r="HX79" s="612"/>
      <c r="HY79" s="612"/>
      <c r="HZ79" s="612"/>
      <c r="IA79" s="612"/>
      <c r="IB79" s="612"/>
      <c r="IC79" s="612"/>
      <c r="ID79" s="612"/>
      <c r="IE79" s="612"/>
      <c r="IF79" s="612"/>
      <c r="IG79" s="612"/>
      <c r="IH79" s="612"/>
      <c r="II79" s="612"/>
    </row>
    <row r="80" spans="1:243" ht="15" customHeight="1">
      <c r="A80" s="72"/>
      <c r="B80" s="72"/>
      <c r="C80" s="72"/>
      <c r="D80" s="195" t="str">
        <f>IF(MasterSheet!$A$1=1,MasterSheet!C319,MasterSheet!B319)</f>
        <v>Otplata obaveza iz prethodnog perioda</v>
      </c>
      <c r="E80" s="186">
        <f>+'Cental Budget_int'!E91+'Local Government_int'!D97</f>
        <v>61881008.200000003</v>
      </c>
      <c r="F80" s="188">
        <f t="shared" si="10"/>
        <v>2.8796597421936805</v>
      </c>
      <c r="G80" s="186">
        <f>+'Cental Budget_int'!G91+'Local Government_int'!F97</f>
        <v>68502296.530000001</v>
      </c>
      <c r="H80" s="188">
        <f t="shared" si="11"/>
        <v>2.5555790535347884</v>
      </c>
      <c r="I80" s="186">
        <f>+'Cental Budget_int'!I91+'Local Government_int'!H97</f>
        <v>72862816.192609996</v>
      </c>
      <c r="J80" s="188">
        <f t="shared" si="12"/>
        <v>2.3613824278133908</v>
      </c>
      <c r="K80" s="186">
        <f>+'Cental Budget_int'!K91+'Local Government_int'!J97</f>
        <v>85726035.49000001</v>
      </c>
      <c r="L80" s="188">
        <f t="shared" si="13"/>
        <v>2.8757475843676623</v>
      </c>
      <c r="M80" s="186">
        <f>+'Cental Budget_int'!M91+'Local Government_int'!L97</f>
        <v>89369817.959999993</v>
      </c>
      <c r="N80" s="188">
        <f t="shared" si="14"/>
        <v>2.8791822796391751</v>
      </c>
      <c r="O80" s="186">
        <f>+'Cental Budget_int'!O91+'Local Government_int'!N97</f>
        <v>82593404.900000006</v>
      </c>
      <c r="P80" s="188">
        <f t="shared" si="15"/>
        <v>2.5539086239950528</v>
      </c>
      <c r="Q80" s="337">
        <f>+'Cental Budget_int'!Q91+'Local Government_int'!P97</f>
        <v>47085653.239999995</v>
      </c>
      <c r="R80" s="330">
        <f t="shared" si="16"/>
        <v>1.4952573274055254</v>
      </c>
      <c r="S80" s="337">
        <f>+'Cental Budget_int'!S91+'Local Government_int'!R97</f>
        <v>66177132</v>
      </c>
      <c r="T80" s="330">
        <f t="shared" si="17"/>
        <v>1.8816358259880581</v>
      </c>
      <c r="U80" s="337">
        <f>+'Cental Budget_int'!U91+'Local Government_int'!T97</f>
        <v>66177132</v>
      </c>
      <c r="V80" s="330">
        <f t="shared" si="18"/>
        <v>1.8816358259880581</v>
      </c>
      <c r="W80" s="337">
        <f>+'Cental Budget_int'!W91+'Local Government_int'!V97</f>
        <v>0</v>
      </c>
      <c r="X80" s="519" t="e">
        <f t="shared" si="19"/>
        <v>#DIV/0!</v>
      </c>
      <c r="Y80" s="225"/>
      <c r="Z80" s="225"/>
      <c r="AA80" s="225"/>
      <c r="AB80" s="225"/>
      <c r="AC80" s="225"/>
      <c r="AD80" s="225"/>
      <c r="AE80" s="225"/>
      <c r="AF80" s="225"/>
      <c r="AG80" s="2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50"/>
      <c r="BA80" s="265"/>
      <c r="BB80" s="612"/>
      <c r="BC80" s="612"/>
      <c r="BD80" s="612"/>
      <c r="BE80" s="612"/>
      <c r="BF80" s="612"/>
      <c r="BG80" s="612"/>
      <c r="BH80" s="612"/>
      <c r="BI80" s="612"/>
      <c r="BJ80" s="612"/>
      <c r="BK80" s="612"/>
      <c r="BL80" s="612"/>
      <c r="BM80" s="612"/>
      <c r="BN80" s="612"/>
      <c r="BO80" s="612"/>
      <c r="BP80" s="612"/>
      <c r="BQ80" s="612"/>
      <c r="BR80" s="612"/>
      <c r="BS80" s="612"/>
      <c r="BT80" s="612"/>
      <c r="BU80" s="612"/>
      <c r="BV80" s="612"/>
      <c r="BW80" s="612"/>
      <c r="BX80" s="612"/>
      <c r="BY80" s="612"/>
      <c r="BZ80" s="612"/>
      <c r="CA80" s="612"/>
      <c r="CB80" s="612"/>
      <c r="CC80" s="612"/>
      <c r="CD80" s="612"/>
      <c r="CE80" s="612"/>
      <c r="CF80" s="612"/>
      <c r="CG80" s="612"/>
      <c r="CH80" s="612"/>
      <c r="CI80" s="612"/>
      <c r="CJ80" s="612"/>
      <c r="CK80" s="612"/>
      <c r="CL80" s="612"/>
      <c r="CM80" s="612"/>
      <c r="CN80" s="612"/>
      <c r="CO80" s="612"/>
      <c r="CP80" s="612"/>
      <c r="CQ80" s="612"/>
      <c r="CR80" s="612"/>
      <c r="CS80" s="612"/>
      <c r="CT80" s="612"/>
      <c r="CU80" s="612"/>
      <c r="CV80" s="612"/>
      <c r="CW80" s="612"/>
      <c r="CX80" s="612"/>
      <c r="CY80" s="612"/>
      <c r="CZ80" s="612"/>
      <c r="DA80" s="612"/>
      <c r="DB80" s="612"/>
      <c r="DC80" s="612"/>
      <c r="DD80" s="612"/>
      <c r="DE80" s="612"/>
      <c r="DF80" s="612"/>
      <c r="DG80" s="612"/>
      <c r="DH80" s="612"/>
      <c r="DI80" s="612"/>
      <c r="DJ80" s="612"/>
      <c r="DK80" s="612"/>
      <c r="DL80" s="612"/>
      <c r="DM80" s="612"/>
      <c r="DN80" s="612"/>
      <c r="DO80" s="612"/>
      <c r="DP80" s="612"/>
      <c r="DQ80" s="612"/>
      <c r="DR80" s="612"/>
      <c r="DS80" s="612"/>
      <c r="DT80" s="612"/>
      <c r="DU80" s="612"/>
      <c r="DV80" s="612"/>
      <c r="DW80" s="612"/>
      <c r="DX80" s="612"/>
      <c r="DY80" s="612"/>
      <c r="DZ80" s="612"/>
      <c r="EA80" s="612"/>
      <c r="EB80" s="612"/>
      <c r="EC80" s="612"/>
      <c r="ED80" s="612"/>
      <c r="EE80" s="612"/>
      <c r="EF80" s="612"/>
      <c r="EG80" s="612"/>
      <c r="EH80" s="612"/>
      <c r="EI80" s="612"/>
      <c r="EJ80" s="612"/>
      <c r="EK80" s="612"/>
      <c r="EL80" s="612"/>
      <c r="EM80" s="612"/>
      <c r="EN80" s="612"/>
      <c r="EO80" s="612"/>
      <c r="EP80" s="612"/>
      <c r="EQ80" s="612"/>
      <c r="ER80" s="612"/>
      <c r="ES80" s="612"/>
      <c r="ET80" s="612"/>
      <c r="EU80" s="612"/>
      <c r="EV80" s="612"/>
      <c r="EW80" s="612"/>
      <c r="EX80" s="612"/>
      <c r="EY80" s="612"/>
      <c r="EZ80" s="612"/>
      <c r="FA80" s="612"/>
      <c r="FB80" s="612"/>
      <c r="FC80" s="612"/>
      <c r="FD80" s="612"/>
      <c r="FE80" s="612"/>
      <c r="FF80" s="612"/>
      <c r="FG80" s="612"/>
      <c r="FH80" s="612"/>
      <c r="FI80" s="612"/>
      <c r="FJ80" s="612"/>
      <c r="FK80" s="612"/>
      <c r="FL80" s="612"/>
      <c r="FM80" s="612"/>
      <c r="FN80" s="612"/>
      <c r="FO80" s="612"/>
      <c r="FP80" s="612"/>
      <c r="FQ80" s="612"/>
      <c r="FR80" s="612"/>
      <c r="FS80" s="612"/>
      <c r="FT80" s="612"/>
      <c r="FU80" s="612"/>
      <c r="FV80" s="612"/>
      <c r="FW80" s="612"/>
      <c r="FX80" s="612"/>
      <c r="FY80" s="612"/>
      <c r="FZ80" s="612"/>
      <c r="GA80" s="612"/>
      <c r="GB80" s="612"/>
      <c r="GC80" s="612"/>
      <c r="GD80" s="612"/>
      <c r="GE80" s="245"/>
      <c r="GF80" s="612"/>
      <c r="GG80" s="612"/>
      <c r="GH80" s="612"/>
      <c r="GI80" s="612"/>
      <c r="GJ80" s="612"/>
      <c r="GK80" s="612"/>
      <c r="GL80" s="612"/>
      <c r="GM80" s="612"/>
      <c r="GN80" s="612"/>
      <c r="GO80" s="612"/>
      <c r="GP80" s="612"/>
      <c r="GQ80" s="612"/>
      <c r="GR80" s="612"/>
      <c r="GS80" s="612"/>
      <c r="GT80" s="612"/>
      <c r="GU80" s="612"/>
      <c r="GV80" s="612"/>
      <c r="GW80" s="612"/>
      <c r="GX80" s="612"/>
      <c r="GY80" s="612"/>
      <c r="GZ80" s="612"/>
      <c r="HA80" s="612"/>
      <c r="HB80" s="612"/>
      <c r="HC80" s="612"/>
      <c r="HD80" s="612"/>
      <c r="HE80" s="612"/>
      <c r="HF80" s="612"/>
      <c r="HG80" s="612"/>
      <c r="HH80" s="612"/>
      <c r="HI80" s="612"/>
      <c r="HJ80" s="612"/>
      <c r="HK80" s="612"/>
      <c r="HL80" s="612"/>
      <c r="HM80" s="612"/>
      <c r="HN80" s="612"/>
      <c r="HO80" s="612"/>
      <c r="HP80" s="612"/>
      <c r="HQ80" s="612"/>
      <c r="HR80" s="612"/>
      <c r="HS80" s="612"/>
      <c r="HT80" s="612"/>
      <c r="HU80" s="612"/>
      <c r="HV80" s="612"/>
      <c r="HW80" s="612"/>
      <c r="HX80" s="612"/>
      <c r="HY80" s="612"/>
      <c r="HZ80" s="612"/>
      <c r="IA80" s="612"/>
      <c r="IB80" s="612"/>
      <c r="IC80" s="612"/>
      <c r="ID80" s="612"/>
      <c r="IE80" s="612"/>
      <c r="IF80" s="612"/>
      <c r="IG80" s="612"/>
      <c r="IH80" s="612"/>
      <c r="II80" s="612"/>
    </row>
    <row r="81" spans="1:243" ht="15" customHeight="1" thickBot="1">
      <c r="A81" s="72"/>
      <c r="B81" s="72"/>
      <c r="C81" s="72"/>
      <c r="D81" s="193" t="str">
        <f>IF(MasterSheet!$A$1=1,MasterSheet!C320,MasterSheet!B320)</f>
        <v>Otplata garancija</v>
      </c>
      <c r="E81" s="161">
        <f>+'Cental Budget_int'!E84+'Local Government_int'!D90</f>
        <v>1050939.44</v>
      </c>
      <c r="F81" s="504">
        <f t="shared" si="10"/>
        <v>4.8905925822513845E-2</v>
      </c>
      <c r="G81" s="161">
        <f>+'Cental Budget_int'!G84+'Local Government_int'!F90</f>
        <v>0</v>
      </c>
      <c r="H81" s="312">
        <f t="shared" si="11"/>
        <v>0</v>
      </c>
      <c r="I81" s="161">
        <f>+'Cental Budget_int'!I84+'Local Government_int'!H90</f>
        <v>0</v>
      </c>
      <c r="J81" s="312">
        <f t="shared" si="12"/>
        <v>0</v>
      </c>
      <c r="K81" s="161">
        <f>+'Cental Budget_int'!K84+'Local Government_int'!J90</f>
        <v>1769093.84</v>
      </c>
      <c r="L81" s="504">
        <f t="shared" si="13"/>
        <v>5.9345650452868166E-2</v>
      </c>
      <c r="M81" s="161">
        <f>+'Cental Budget_int'!M84+'Local Government_int'!L90</f>
        <v>0</v>
      </c>
      <c r="N81" s="312">
        <f t="shared" si="14"/>
        <v>0</v>
      </c>
      <c r="O81" s="161">
        <f>+'Cental Budget_int'!O84+'Local Government_int'!N90</f>
        <v>34112641.390000001</v>
      </c>
      <c r="P81" s="504">
        <f t="shared" si="15"/>
        <v>1.0548126589363018</v>
      </c>
      <c r="Q81" s="342">
        <f>+'Cental Budget_int'!Q84+'Local Government_int'!P90</f>
        <v>24719832.629999999</v>
      </c>
      <c r="R81" s="503">
        <f t="shared" si="16"/>
        <v>0.78500579961892658</v>
      </c>
      <c r="S81" s="342">
        <f>+'Cental Budget_int'!S84+'Local Government_int'!R90</f>
        <v>0</v>
      </c>
      <c r="T81" s="331">
        <f t="shared" si="17"/>
        <v>0</v>
      </c>
      <c r="U81" s="342">
        <f>+'Cental Budget_int'!U84+'Local Government_int'!T90</f>
        <v>0</v>
      </c>
      <c r="V81" s="331">
        <f t="shared" si="18"/>
        <v>0</v>
      </c>
      <c r="W81" s="342">
        <f>+'Cental Budget_int'!W84+'Local Government_int'!V90</f>
        <v>0</v>
      </c>
      <c r="X81" s="620" t="e">
        <f t="shared" si="19"/>
        <v>#DIV/0!</v>
      </c>
      <c r="Y81" s="226"/>
      <c r="Z81" s="226"/>
      <c r="AA81" s="226"/>
      <c r="AB81" s="226"/>
      <c r="AC81" s="226"/>
      <c r="AD81" s="226"/>
      <c r="AE81" s="226"/>
      <c r="AF81" s="226"/>
      <c r="AG81" s="22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  <c r="AT81" s="46"/>
      <c r="AU81" s="46"/>
      <c r="AV81" s="46"/>
      <c r="AW81" s="46"/>
      <c r="AX81" s="46"/>
      <c r="AY81" s="46"/>
      <c r="AZ81" s="50"/>
      <c r="BA81" s="265"/>
      <c r="BB81" s="612"/>
      <c r="BC81" s="612"/>
      <c r="BD81" s="612"/>
      <c r="BE81" s="612"/>
      <c r="BF81" s="612"/>
      <c r="BG81" s="612"/>
      <c r="BH81" s="612"/>
      <c r="BI81" s="612"/>
      <c r="BJ81" s="612"/>
      <c r="BK81" s="612"/>
      <c r="BL81" s="612"/>
      <c r="BM81" s="612"/>
      <c r="BN81" s="612"/>
      <c r="BO81" s="612"/>
      <c r="BP81" s="612"/>
      <c r="BQ81" s="612"/>
      <c r="BR81" s="612"/>
      <c r="BS81" s="612"/>
      <c r="BT81" s="612"/>
      <c r="BU81" s="612"/>
      <c r="BV81" s="612"/>
      <c r="BW81" s="612"/>
      <c r="BX81" s="612"/>
      <c r="BY81" s="612"/>
      <c r="BZ81" s="612"/>
      <c r="CA81" s="612"/>
      <c r="CB81" s="612"/>
      <c r="CC81" s="612"/>
      <c r="CD81" s="612"/>
      <c r="CE81" s="612"/>
      <c r="CF81" s="612"/>
      <c r="CG81" s="612"/>
      <c r="CH81" s="612"/>
      <c r="CI81" s="612"/>
      <c r="CJ81" s="612"/>
      <c r="CK81" s="612"/>
      <c r="CL81" s="612"/>
      <c r="CM81" s="612"/>
      <c r="CN81" s="612"/>
      <c r="CO81" s="612"/>
      <c r="CP81" s="612"/>
      <c r="CQ81" s="612"/>
      <c r="CR81" s="612"/>
      <c r="CS81" s="612"/>
      <c r="CT81" s="612"/>
      <c r="CU81" s="612"/>
      <c r="CV81" s="612"/>
      <c r="CW81" s="612"/>
      <c r="CX81" s="612"/>
      <c r="CY81" s="612"/>
      <c r="CZ81" s="612"/>
      <c r="DA81" s="612"/>
      <c r="DB81" s="612"/>
      <c r="DC81" s="612"/>
      <c r="DD81" s="612"/>
      <c r="DE81" s="612"/>
      <c r="DF81" s="612"/>
      <c r="DG81" s="612"/>
      <c r="DH81" s="612"/>
      <c r="DI81" s="612"/>
      <c r="DJ81" s="612"/>
      <c r="DK81" s="612"/>
      <c r="DL81" s="612"/>
      <c r="DM81" s="612"/>
      <c r="DN81" s="612"/>
      <c r="DO81" s="612"/>
      <c r="DP81" s="612"/>
      <c r="DQ81" s="612"/>
      <c r="DR81" s="612"/>
      <c r="DS81" s="612"/>
      <c r="DT81" s="612"/>
      <c r="DU81" s="612"/>
      <c r="DV81" s="612"/>
      <c r="DW81" s="612"/>
      <c r="DX81" s="612"/>
      <c r="DY81" s="612"/>
      <c r="DZ81" s="612"/>
      <c r="EA81" s="612"/>
      <c r="EB81" s="612"/>
      <c r="EC81" s="612"/>
      <c r="ED81" s="612"/>
      <c r="EE81" s="612"/>
      <c r="EF81" s="612"/>
      <c r="EG81" s="612"/>
      <c r="EH81" s="612"/>
      <c r="EI81" s="612"/>
      <c r="EJ81" s="612"/>
      <c r="EK81" s="612"/>
      <c r="EL81" s="612"/>
      <c r="EM81" s="612"/>
      <c r="EN81" s="612"/>
      <c r="EO81" s="612"/>
      <c r="EP81" s="612"/>
      <c r="EQ81" s="612"/>
      <c r="ER81" s="612"/>
      <c r="ES81" s="612"/>
      <c r="ET81" s="612"/>
      <c r="EU81" s="612"/>
      <c r="EV81" s="612"/>
      <c r="EW81" s="612"/>
      <c r="EX81" s="612"/>
      <c r="EY81" s="612"/>
      <c r="EZ81" s="612"/>
      <c r="FA81" s="612"/>
      <c r="FB81" s="612"/>
      <c r="FC81" s="612"/>
      <c r="FD81" s="612"/>
      <c r="FE81" s="612"/>
      <c r="FF81" s="612"/>
      <c r="FG81" s="612"/>
      <c r="FH81" s="612"/>
      <c r="FI81" s="612"/>
      <c r="FJ81" s="612"/>
      <c r="FK81" s="612"/>
      <c r="FL81" s="612"/>
      <c r="FM81" s="612"/>
      <c r="FN81" s="612"/>
      <c r="FO81" s="612"/>
      <c r="FP81" s="612"/>
      <c r="FQ81" s="612"/>
      <c r="FR81" s="612"/>
      <c r="FS81" s="612"/>
      <c r="FT81" s="612"/>
      <c r="FU81" s="612"/>
      <c r="FV81" s="612"/>
      <c r="FW81" s="612"/>
      <c r="FX81" s="612"/>
      <c r="FY81" s="612"/>
      <c r="FZ81" s="612"/>
      <c r="GA81" s="612"/>
      <c r="GB81" s="612"/>
      <c r="GC81" s="612"/>
      <c r="GD81" s="612"/>
      <c r="GE81" s="245"/>
      <c r="GF81" s="612"/>
      <c r="GG81" s="612"/>
      <c r="GH81" s="612"/>
      <c r="GI81" s="612"/>
      <c r="GJ81" s="612"/>
      <c r="GK81" s="612"/>
      <c r="GL81" s="612"/>
      <c r="GM81" s="612"/>
      <c r="GN81" s="612"/>
      <c r="GO81" s="612"/>
      <c r="GP81" s="612"/>
      <c r="GQ81" s="612"/>
      <c r="GR81" s="612"/>
      <c r="GS81" s="612"/>
      <c r="GT81" s="612"/>
      <c r="GU81" s="612"/>
      <c r="GV81" s="612"/>
      <c r="GW81" s="612"/>
      <c r="GX81" s="612"/>
      <c r="GY81" s="612"/>
      <c r="GZ81" s="612"/>
      <c r="HA81" s="612"/>
      <c r="HB81" s="612"/>
      <c r="HC81" s="612"/>
      <c r="HD81" s="612"/>
      <c r="HE81" s="612"/>
      <c r="HF81" s="612"/>
      <c r="HG81" s="612"/>
      <c r="HH81" s="612"/>
      <c r="HI81" s="612"/>
      <c r="HJ81" s="612"/>
      <c r="HK81" s="612"/>
      <c r="HL81" s="612"/>
      <c r="HM81" s="612"/>
      <c r="HN81" s="612"/>
      <c r="HO81" s="612"/>
      <c r="HP81" s="612"/>
      <c r="HQ81" s="612"/>
      <c r="HR81" s="612"/>
      <c r="HS81" s="612"/>
      <c r="HT81" s="612"/>
      <c r="HU81" s="612"/>
      <c r="HV81" s="612"/>
      <c r="HW81" s="612"/>
      <c r="HX81" s="612"/>
      <c r="HY81" s="612"/>
      <c r="HZ81" s="612"/>
      <c r="IA81" s="612"/>
      <c r="IB81" s="612"/>
      <c r="IC81" s="612"/>
      <c r="ID81" s="612"/>
      <c r="IE81" s="612"/>
      <c r="IF81" s="612"/>
      <c r="IG81" s="612"/>
      <c r="IH81" s="612"/>
      <c r="II81" s="612"/>
    </row>
    <row r="82" spans="1:243" ht="15" customHeight="1" thickTop="1" thickBot="1">
      <c r="A82" s="72"/>
      <c r="B82" s="72"/>
      <c r="C82" s="72"/>
      <c r="D82" s="241" t="str">
        <f>IF(MasterSheet!$A$1=1,MasterSheet!C321,MasterSheet!B321)</f>
        <v>Nedostajuća sredstva</v>
      </c>
      <c r="E82" s="321">
        <f>+E75-E77</f>
        <v>-54005763.039800391</v>
      </c>
      <c r="F82" s="311">
        <f t="shared" si="10"/>
        <v>-2.5131817692680158</v>
      </c>
      <c r="G82" s="321">
        <f>+G75-G77</f>
        <v>-14283230.690000445</v>
      </c>
      <c r="H82" s="311">
        <f t="shared" si="11"/>
        <v>-0.53285695541878175</v>
      </c>
      <c r="I82" s="321">
        <f>+I75-I77</f>
        <v>-157683275.24763355</v>
      </c>
      <c r="J82" s="311">
        <f t="shared" si="12"/>
        <v>-5.1102954124848834</v>
      </c>
      <c r="K82" s="321">
        <f>+K75-K77</f>
        <v>-358857615.44449961</v>
      </c>
      <c r="L82" s="311">
        <f t="shared" si="13"/>
        <v>-12.038162208805756</v>
      </c>
      <c r="M82" s="321">
        <f>+M75-M77</f>
        <v>-347935157.46153837</v>
      </c>
      <c r="N82" s="311">
        <f t="shared" si="14"/>
        <v>-11.209251206879458</v>
      </c>
      <c r="O82" s="321">
        <f>+O75-O77</f>
        <v>-358647546.76000011</v>
      </c>
      <c r="P82" s="311">
        <f t="shared" si="15"/>
        <v>-11.089905589363021</v>
      </c>
      <c r="Q82" s="340">
        <f>+Q75-Q77</f>
        <v>-362432164.91666692</v>
      </c>
      <c r="R82" s="328">
        <f t="shared" si="16"/>
        <v>-11.509436802688693</v>
      </c>
      <c r="S82" s="340">
        <f>+S75-S77</f>
        <v>-242345920.9077282</v>
      </c>
      <c r="T82" s="328">
        <f t="shared" si="17"/>
        <v>-6.8907000542430543</v>
      </c>
      <c r="U82" s="340">
        <f>+U75-U77</f>
        <v>-227672137.27284098</v>
      </c>
      <c r="V82" s="328">
        <f t="shared" si="18"/>
        <v>-6.4734756119659078</v>
      </c>
      <c r="W82" s="340">
        <f>+W75-W77</f>
        <v>14673783.634887105</v>
      </c>
      <c r="X82" s="517" t="e">
        <f t="shared" si="19"/>
        <v>#DIV/0!</v>
      </c>
      <c r="Y82" s="224"/>
      <c r="Z82" s="224"/>
      <c r="AA82" s="224"/>
      <c r="AB82" s="224"/>
      <c r="AC82" s="224"/>
      <c r="AD82" s="224"/>
      <c r="AE82" s="224"/>
      <c r="AF82" s="224"/>
      <c r="AG82" s="224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  <c r="AT82" s="45"/>
      <c r="AU82" s="45"/>
      <c r="AV82" s="45"/>
      <c r="AW82" s="45"/>
      <c r="AX82" s="45"/>
      <c r="AY82" s="45"/>
      <c r="AZ82" s="50"/>
      <c r="BA82" s="265"/>
      <c r="BB82" s="612"/>
      <c r="BC82" s="612"/>
      <c r="BD82" s="612"/>
      <c r="BE82" s="612"/>
      <c r="BF82" s="612"/>
      <c r="BG82" s="612"/>
      <c r="BH82" s="612"/>
      <c r="BI82" s="612"/>
      <c r="BJ82" s="612"/>
      <c r="BK82" s="612"/>
      <c r="BL82" s="612"/>
      <c r="BM82" s="612"/>
      <c r="BN82" s="612"/>
      <c r="BO82" s="612"/>
      <c r="BP82" s="612"/>
      <c r="BQ82" s="612"/>
      <c r="BR82" s="612"/>
      <c r="BS82" s="612"/>
      <c r="BT82" s="612"/>
      <c r="BU82" s="612"/>
      <c r="BV82" s="612"/>
      <c r="BW82" s="612"/>
      <c r="BX82" s="612"/>
      <c r="BY82" s="612"/>
      <c r="BZ82" s="612"/>
      <c r="CA82" s="612"/>
      <c r="CB82" s="612"/>
      <c r="CC82" s="612"/>
      <c r="CD82" s="612"/>
      <c r="CE82" s="612"/>
      <c r="CF82" s="612"/>
      <c r="CG82" s="612"/>
      <c r="CH82" s="612"/>
      <c r="CI82" s="612"/>
      <c r="CJ82" s="612"/>
      <c r="CK82" s="612"/>
      <c r="CL82" s="612"/>
      <c r="CM82" s="612"/>
      <c r="CN82" s="612"/>
      <c r="CO82" s="612"/>
      <c r="CP82" s="612"/>
      <c r="CQ82" s="612"/>
      <c r="CR82" s="612"/>
      <c r="CS82" s="612"/>
      <c r="CT82" s="612"/>
      <c r="CU82" s="612"/>
      <c r="CV82" s="612"/>
      <c r="CW82" s="612"/>
      <c r="CX82" s="612"/>
      <c r="CY82" s="612"/>
      <c r="CZ82" s="612"/>
      <c r="DA82" s="612"/>
      <c r="DB82" s="612"/>
      <c r="DC82" s="612"/>
      <c r="DD82" s="612"/>
      <c r="DE82" s="612"/>
      <c r="DF82" s="612"/>
      <c r="DG82" s="612"/>
      <c r="DH82" s="612"/>
      <c r="DI82" s="612"/>
      <c r="DJ82" s="612"/>
      <c r="DK82" s="612"/>
      <c r="DL82" s="612"/>
      <c r="DM82" s="612"/>
      <c r="DN82" s="612"/>
      <c r="DO82" s="612"/>
      <c r="DP82" s="612"/>
      <c r="DQ82" s="612"/>
      <c r="DR82" s="612"/>
      <c r="DS82" s="612"/>
      <c r="DT82" s="612"/>
      <c r="DU82" s="612"/>
      <c r="DV82" s="612"/>
      <c r="DW82" s="612"/>
      <c r="DX82" s="612"/>
      <c r="DY82" s="612"/>
      <c r="DZ82" s="612"/>
      <c r="EA82" s="612"/>
      <c r="EB82" s="612"/>
      <c r="EC82" s="612"/>
      <c r="ED82" s="612"/>
      <c r="EE82" s="612"/>
      <c r="EF82" s="612"/>
      <c r="EG82" s="612"/>
      <c r="EH82" s="612"/>
      <c r="EI82" s="612"/>
      <c r="EJ82" s="612"/>
      <c r="EK82" s="612"/>
      <c r="EL82" s="612"/>
      <c r="EM82" s="612"/>
      <c r="EN82" s="612"/>
      <c r="EO82" s="612"/>
      <c r="EP82" s="612"/>
      <c r="EQ82" s="612"/>
      <c r="ER82" s="612"/>
      <c r="ES82" s="612"/>
      <c r="ET82" s="612"/>
      <c r="EU82" s="612"/>
      <c r="EV82" s="612"/>
      <c r="EW82" s="612"/>
      <c r="EX82" s="612"/>
      <c r="EY82" s="612"/>
      <c r="EZ82" s="612"/>
      <c r="FA82" s="612"/>
      <c r="FB82" s="612"/>
      <c r="FC82" s="612"/>
      <c r="FD82" s="612"/>
      <c r="FE82" s="612"/>
      <c r="FF82" s="612"/>
      <c r="FG82" s="612"/>
      <c r="FH82" s="612"/>
      <c r="FI82" s="612"/>
      <c r="FJ82" s="612"/>
      <c r="FK82" s="612"/>
      <c r="FL82" s="612"/>
      <c r="FM82" s="612"/>
      <c r="FN82" s="612"/>
      <c r="FO82" s="612"/>
      <c r="FP82" s="612"/>
      <c r="FQ82" s="612"/>
      <c r="FR82" s="612"/>
      <c r="FS82" s="612"/>
      <c r="FT82" s="612"/>
      <c r="FU82" s="612"/>
      <c r="FV82" s="612"/>
      <c r="FW82" s="612"/>
      <c r="FX82" s="612"/>
      <c r="FY82" s="612"/>
      <c r="FZ82" s="612"/>
      <c r="GA82" s="612"/>
      <c r="GB82" s="612"/>
      <c r="GC82" s="612"/>
      <c r="GD82" s="612"/>
      <c r="GE82" s="245"/>
      <c r="GF82" s="612"/>
      <c r="GG82" s="612"/>
      <c r="GH82" s="612"/>
      <c r="GI82" s="612"/>
      <c r="GJ82" s="612"/>
      <c r="GK82" s="612"/>
      <c r="GL82" s="612"/>
      <c r="GM82" s="612"/>
      <c r="GN82" s="612"/>
      <c r="GO82" s="612"/>
      <c r="GP82" s="612"/>
      <c r="GQ82" s="612"/>
      <c r="GR82" s="612"/>
      <c r="GS82" s="612"/>
      <c r="GT82" s="612"/>
      <c r="GU82" s="612"/>
      <c r="GV82" s="612"/>
      <c r="GW82" s="612"/>
      <c r="GX82" s="612"/>
      <c r="GY82" s="612"/>
      <c r="GZ82" s="612"/>
      <c r="HA82" s="612"/>
      <c r="HB82" s="612"/>
      <c r="HC82" s="612"/>
      <c r="HD82" s="612"/>
      <c r="HE82" s="612"/>
      <c r="HF82" s="612"/>
      <c r="HG82" s="612"/>
      <c r="HH82" s="612"/>
      <c r="HI82" s="612"/>
      <c r="HJ82" s="612"/>
      <c r="HK82" s="612"/>
      <c r="HL82" s="612"/>
      <c r="HM82" s="612"/>
      <c r="HN82" s="612"/>
      <c r="HO82" s="612"/>
      <c r="HP82" s="612"/>
      <c r="HQ82" s="612"/>
      <c r="HR82" s="612"/>
      <c r="HS82" s="612"/>
      <c r="HT82" s="612"/>
      <c r="HU82" s="612"/>
      <c r="HV82" s="612"/>
      <c r="HW82" s="612"/>
      <c r="HX82" s="612"/>
      <c r="HY82" s="612"/>
      <c r="HZ82" s="612"/>
      <c r="IA82" s="612"/>
      <c r="IB82" s="612"/>
      <c r="IC82" s="612"/>
      <c r="ID82" s="612"/>
      <c r="IE82" s="612"/>
      <c r="IF82" s="612"/>
      <c r="IG82" s="612"/>
      <c r="IH82" s="612"/>
      <c r="II82" s="612"/>
    </row>
    <row r="83" spans="1:243" ht="15" customHeight="1" thickTop="1" thickBot="1">
      <c r="A83" s="72"/>
      <c r="B83" s="72"/>
      <c r="C83" s="72"/>
      <c r="D83" s="241" t="str">
        <f>IF(MasterSheet!$A$1=1,MasterSheet!C322,MasterSheet!B322)</f>
        <v>Finansiranje</v>
      </c>
      <c r="E83" s="321">
        <f>SUM(E84:E88)</f>
        <v>54005763.039800338</v>
      </c>
      <c r="F83" s="311">
        <f t="shared" si="10"/>
        <v>2.5131817692680132</v>
      </c>
      <c r="G83" s="321">
        <f>SUM(G84:G88)</f>
        <v>14283230.690000251</v>
      </c>
      <c r="H83" s="311">
        <f t="shared" si="11"/>
        <v>0.53285695541877454</v>
      </c>
      <c r="I83" s="321">
        <f>SUM(I84:I88)</f>
        <v>157683275.2476334</v>
      </c>
      <c r="J83" s="311">
        <f t="shared" si="12"/>
        <v>5.1102954124848781</v>
      </c>
      <c r="K83" s="321">
        <f>SUM(K84:K88)</f>
        <v>358857615.44449973</v>
      </c>
      <c r="L83" s="311">
        <f t="shared" si="13"/>
        <v>12.038162208805762</v>
      </c>
      <c r="M83" s="321">
        <f>SUM(M84:M88)</f>
        <v>347935157.46153814</v>
      </c>
      <c r="N83" s="311">
        <f t="shared" si="14"/>
        <v>11.209251206879451</v>
      </c>
      <c r="O83" s="321">
        <f>SUM(O84:O88)</f>
        <v>358647546.76000011</v>
      </c>
      <c r="P83" s="311">
        <f t="shared" si="15"/>
        <v>11.089905589363021</v>
      </c>
      <c r="Q83" s="340">
        <f>SUM(Q84:Q88)-'Local Government_int'!P84</f>
        <v>355242164.91666728</v>
      </c>
      <c r="R83" s="328">
        <f t="shared" si="16"/>
        <v>11.281110349846532</v>
      </c>
      <c r="S83" s="340">
        <f>SUM(S84:S88)-'Local Government_int'!R84</f>
        <v>242345920.90772769</v>
      </c>
      <c r="T83" s="328">
        <f t="shared" si="17"/>
        <v>6.8907000542430392</v>
      </c>
      <c r="U83" s="340">
        <f>SUM(U84:U88)-'Local Government_int'!T84</f>
        <v>227672137.2728402</v>
      </c>
      <c r="V83" s="328">
        <f t="shared" si="18"/>
        <v>6.4734756119658856</v>
      </c>
      <c r="W83" s="340">
        <f>SUM(W84:W88)-'Local Government_int'!V84</f>
        <v>-14673783.634887472</v>
      </c>
      <c r="X83" s="517" t="e">
        <f t="shared" si="19"/>
        <v>#DIV/0!</v>
      </c>
      <c r="Y83" s="224"/>
      <c r="Z83" s="224"/>
      <c r="AA83" s="224"/>
      <c r="AB83" s="224"/>
      <c r="AC83" s="224"/>
      <c r="AD83" s="224"/>
      <c r="AE83" s="224"/>
      <c r="AF83" s="224"/>
      <c r="AG83" s="224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45"/>
      <c r="AU83" s="45"/>
      <c r="AV83" s="45"/>
      <c r="AW83" s="45"/>
      <c r="AX83" s="45"/>
      <c r="AY83" s="45"/>
      <c r="AZ83" s="50"/>
      <c r="BA83" s="265"/>
      <c r="BB83" s="612"/>
      <c r="BC83" s="612"/>
      <c r="BD83" s="612"/>
      <c r="BE83" s="612"/>
      <c r="BF83" s="612"/>
      <c r="BG83" s="612"/>
      <c r="BH83" s="612"/>
      <c r="BI83" s="612"/>
      <c r="BJ83" s="612"/>
      <c r="BK83" s="612"/>
      <c r="BL83" s="612"/>
      <c r="BM83" s="612"/>
      <c r="BN83" s="612"/>
      <c r="BO83" s="612"/>
      <c r="BP83" s="612"/>
      <c r="BQ83" s="612"/>
      <c r="BR83" s="612"/>
      <c r="BS83" s="612"/>
      <c r="BT83" s="612"/>
      <c r="BU83" s="612"/>
      <c r="BV83" s="612"/>
      <c r="BW83" s="612"/>
      <c r="BX83" s="612"/>
      <c r="BY83" s="612"/>
      <c r="BZ83" s="612"/>
      <c r="CA83" s="612"/>
      <c r="CB83" s="612"/>
      <c r="CC83" s="612"/>
      <c r="CD83" s="612"/>
      <c r="CE83" s="612"/>
      <c r="CF83" s="612"/>
      <c r="CG83" s="612"/>
      <c r="CH83" s="612"/>
      <c r="CI83" s="612"/>
      <c r="CJ83" s="612"/>
      <c r="CK83" s="612"/>
      <c r="CL83" s="612"/>
      <c r="CM83" s="612"/>
      <c r="CN83" s="612"/>
      <c r="CO83" s="612"/>
      <c r="CP83" s="612"/>
      <c r="CQ83" s="612"/>
      <c r="CR83" s="612"/>
      <c r="CS83" s="612"/>
      <c r="CT83" s="612"/>
      <c r="CU83" s="612"/>
      <c r="CV83" s="612"/>
      <c r="CW83" s="612"/>
      <c r="CX83" s="612"/>
      <c r="CY83" s="612"/>
      <c r="CZ83" s="612"/>
      <c r="DA83" s="612"/>
      <c r="DB83" s="612"/>
      <c r="DC83" s="612"/>
      <c r="DD83" s="612"/>
      <c r="DE83" s="612"/>
      <c r="DF83" s="612"/>
      <c r="DG83" s="612"/>
      <c r="DH83" s="612"/>
      <c r="DI83" s="612"/>
      <c r="DJ83" s="612"/>
      <c r="DK83" s="612"/>
      <c r="DL83" s="612"/>
      <c r="DM83" s="612"/>
      <c r="DN83" s="612"/>
      <c r="DO83" s="612"/>
      <c r="DP83" s="612"/>
      <c r="DQ83" s="612"/>
      <c r="DR83" s="612"/>
      <c r="DS83" s="612"/>
      <c r="DT83" s="612"/>
      <c r="DU83" s="612"/>
      <c r="DV83" s="612"/>
      <c r="DW83" s="612"/>
      <c r="DX83" s="612"/>
      <c r="DY83" s="612"/>
      <c r="DZ83" s="612"/>
      <c r="EA83" s="612"/>
      <c r="EB83" s="612"/>
      <c r="EC83" s="612"/>
      <c r="ED83" s="612"/>
      <c r="EE83" s="612"/>
      <c r="EF83" s="612"/>
      <c r="EG83" s="612"/>
      <c r="EH83" s="612"/>
      <c r="EI83" s="612"/>
      <c r="EJ83" s="612"/>
      <c r="EK83" s="612"/>
      <c r="EL83" s="612"/>
      <c r="EM83" s="612"/>
      <c r="EN83" s="612"/>
      <c r="EO83" s="612"/>
      <c r="EP83" s="612"/>
      <c r="EQ83" s="612"/>
      <c r="ER83" s="612"/>
      <c r="ES83" s="612"/>
      <c r="ET83" s="612"/>
      <c r="EU83" s="612"/>
      <c r="EV83" s="612"/>
      <c r="EW83" s="612"/>
      <c r="EX83" s="612"/>
      <c r="EY83" s="612"/>
      <c r="EZ83" s="612"/>
      <c r="FA83" s="612"/>
      <c r="FB83" s="612"/>
      <c r="FC83" s="612"/>
      <c r="FD83" s="612"/>
      <c r="FE83" s="612"/>
      <c r="FF83" s="612"/>
      <c r="FG83" s="612"/>
      <c r="FH83" s="612"/>
      <c r="FI83" s="612"/>
      <c r="FJ83" s="612"/>
      <c r="FK83" s="612"/>
      <c r="FL83" s="612"/>
      <c r="FM83" s="612"/>
      <c r="FN83" s="612"/>
      <c r="FO83" s="612"/>
      <c r="FP83" s="612"/>
      <c r="FQ83" s="612"/>
      <c r="FR83" s="612"/>
      <c r="FS83" s="612"/>
      <c r="FT83" s="612"/>
      <c r="FU83" s="612"/>
      <c r="FV83" s="612"/>
      <c r="FW83" s="612"/>
      <c r="FX83" s="612"/>
      <c r="FY83" s="612"/>
      <c r="FZ83" s="612"/>
      <c r="GA83" s="612"/>
      <c r="GB83" s="612"/>
      <c r="GC83" s="612"/>
      <c r="GD83" s="612"/>
      <c r="GE83" s="245"/>
      <c r="GF83" s="612"/>
      <c r="GG83" s="612"/>
      <c r="GH83" s="612"/>
      <c r="GI83" s="612"/>
      <c r="GJ83" s="612"/>
      <c r="GK83" s="612"/>
      <c r="GL83" s="612"/>
      <c r="GM83" s="612"/>
      <c r="GN83" s="612"/>
      <c r="GO83" s="612"/>
      <c r="GP83" s="612"/>
      <c r="GQ83" s="612"/>
      <c r="GR83" s="612"/>
      <c r="GS83" s="612"/>
      <c r="GT83" s="612"/>
      <c r="GU83" s="612"/>
      <c r="GV83" s="612"/>
      <c r="GW83" s="612"/>
      <c r="GX83" s="612"/>
      <c r="GY83" s="612"/>
      <c r="GZ83" s="612"/>
      <c r="HA83" s="612"/>
      <c r="HB83" s="612"/>
      <c r="HC83" s="612"/>
      <c r="HD83" s="612"/>
      <c r="HE83" s="612"/>
      <c r="HF83" s="612"/>
      <c r="HG83" s="612"/>
      <c r="HH83" s="612"/>
      <c r="HI83" s="612"/>
      <c r="HJ83" s="612"/>
      <c r="HK83" s="612"/>
      <c r="HL83" s="612"/>
      <c r="HM83" s="612"/>
      <c r="HN83" s="612"/>
      <c r="HO83" s="612"/>
      <c r="HP83" s="612"/>
      <c r="HQ83" s="612"/>
      <c r="HR83" s="612"/>
      <c r="HS83" s="612"/>
      <c r="HT83" s="612"/>
      <c r="HU83" s="612"/>
      <c r="HV83" s="612"/>
      <c r="HW83" s="612"/>
      <c r="HX83" s="612"/>
      <c r="HY83" s="612"/>
      <c r="HZ83" s="612"/>
      <c r="IA83" s="612"/>
      <c r="IB83" s="612"/>
      <c r="IC83" s="612"/>
      <c r="ID83" s="612"/>
      <c r="IE83" s="612"/>
      <c r="IF83" s="612"/>
      <c r="IG83" s="612"/>
      <c r="IH83" s="612"/>
      <c r="II83" s="612"/>
    </row>
    <row r="84" spans="1:243" ht="15" customHeight="1" thickTop="1">
      <c r="A84" s="72"/>
      <c r="B84" s="72"/>
      <c r="C84" s="72"/>
      <c r="D84" s="197" t="str">
        <f>IF(MasterSheet!$A$1=1,MasterSheet!C323,MasterSheet!B323)</f>
        <v>Pozajmice i krediti iz domaćih izvora</v>
      </c>
      <c r="E84" s="200">
        <f>+'Cental Budget_int'!E94+'Local Government_int'!D100</f>
        <v>16580968.940000001</v>
      </c>
      <c r="F84" s="202">
        <f t="shared" ref="F84:F88" si="20">+E84/$E$15*100</f>
        <v>0.77160263111359306</v>
      </c>
      <c r="G84" s="200">
        <f>+'Cental Budget_int'!G94+'Local Government_int'!F100</f>
        <v>17496957.030000001</v>
      </c>
      <c r="H84" s="202">
        <f t="shared" ref="H84:H88" si="21">+G84/$G$15*100</f>
        <v>0.65274974930050367</v>
      </c>
      <c r="I84" s="200">
        <f>+'Cental Budget_int'!I94+'Local Government_int'!H100</f>
        <v>14908540.26</v>
      </c>
      <c r="J84" s="202">
        <f t="shared" ref="J84:J88" si="22">+I84/$I$15*100</f>
        <v>0.48316503305677988</v>
      </c>
      <c r="K84" s="200">
        <f>+'Cental Budget_int'!K94+'Local Government_int'!J100</f>
        <v>125659172.79000001</v>
      </c>
      <c r="L84" s="202">
        <f t="shared" ref="L84:L88" si="23">+K84/$K$15*100</f>
        <v>4.2153362224085882</v>
      </c>
      <c r="M84" s="200">
        <f>+'Cental Budget_int'!M94+'Local Government_int'!L100</f>
        <v>42118251.93</v>
      </c>
      <c r="N84" s="202">
        <f t="shared" ref="N84:N88" si="24">+M84/$M$15*100</f>
        <v>1.3569024461984536</v>
      </c>
      <c r="O84" s="200">
        <f>+'Cental Budget_int'!O94+'Local Government_int'!N100</f>
        <v>66346883.030000001</v>
      </c>
      <c r="P84" s="202">
        <f t="shared" ref="P84:P88" si="25">+O84/$O$15*100</f>
        <v>2.0515424560915276</v>
      </c>
      <c r="Q84" s="341">
        <f>+'Cental Budget_int'!Q94+'Local Government_int'!P100</f>
        <v>71270565.070000008</v>
      </c>
      <c r="R84" s="329">
        <f t="shared" ref="R84:R88" si="26">+Q84/$Q$15*100</f>
        <v>2.2632761216259132</v>
      </c>
      <c r="S84" s="341">
        <f>+'Cental Budget_int'!S94+'Local Government_int'!R100</f>
        <v>8000000</v>
      </c>
      <c r="T84" s="329">
        <f t="shared" si="17"/>
        <v>0.22746659084446971</v>
      </c>
      <c r="U84" s="341">
        <f>+'Cental Budget_int'!U94+'Local Government_int'!T100</f>
        <v>8000000</v>
      </c>
      <c r="V84" s="329">
        <f t="shared" si="18"/>
        <v>0.22746659084446971</v>
      </c>
      <c r="W84" s="341">
        <f>+'Cental Budget_int'!W94+'Local Government_int'!V100</f>
        <v>0</v>
      </c>
      <c r="X84" s="518" t="e">
        <f t="shared" si="19"/>
        <v>#DIV/0!</v>
      </c>
      <c r="Y84" s="225"/>
      <c r="Z84" s="225"/>
      <c r="AA84" s="225"/>
      <c r="AB84" s="225"/>
      <c r="AC84" s="225"/>
      <c r="AD84" s="225"/>
      <c r="AE84" s="225"/>
      <c r="AF84" s="225"/>
      <c r="AG84" s="2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50"/>
      <c r="BA84" s="265"/>
      <c r="BB84" s="612"/>
      <c r="BC84" s="612"/>
      <c r="BD84" s="612"/>
      <c r="BE84" s="612"/>
      <c r="BF84" s="612"/>
      <c r="BG84" s="612"/>
      <c r="BH84" s="612"/>
      <c r="BI84" s="612"/>
      <c r="BJ84" s="612"/>
      <c r="BK84" s="612"/>
      <c r="BL84" s="612"/>
      <c r="BM84" s="612"/>
      <c r="BN84" s="612"/>
      <c r="BO84" s="612"/>
      <c r="BP84" s="612"/>
      <c r="BQ84" s="612"/>
      <c r="BR84" s="612"/>
      <c r="BS84" s="612"/>
      <c r="BT84" s="612"/>
      <c r="BU84" s="612"/>
      <c r="BV84" s="612"/>
      <c r="BW84" s="612"/>
      <c r="BX84" s="612"/>
      <c r="BY84" s="612"/>
      <c r="BZ84" s="612"/>
      <c r="CA84" s="612"/>
      <c r="CB84" s="612"/>
      <c r="CC84" s="612"/>
      <c r="CD84" s="612"/>
      <c r="CE84" s="612"/>
      <c r="CF84" s="612"/>
      <c r="CG84" s="612"/>
      <c r="CH84" s="612"/>
      <c r="CI84" s="612"/>
      <c r="CJ84" s="612"/>
      <c r="CK84" s="612"/>
      <c r="CL84" s="612"/>
      <c r="CM84" s="612"/>
      <c r="CN84" s="612"/>
      <c r="CO84" s="612"/>
      <c r="CP84" s="612"/>
      <c r="CQ84" s="612"/>
      <c r="CR84" s="612"/>
      <c r="CS84" s="612"/>
      <c r="CT84" s="612"/>
      <c r="CU84" s="612"/>
      <c r="CV84" s="612"/>
      <c r="CW84" s="612"/>
      <c r="CX84" s="612"/>
      <c r="CY84" s="612"/>
      <c r="CZ84" s="612"/>
      <c r="DA84" s="612"/>
      <c r="DB84" s="612"/>
      <c r="DC84" s="612"/>
      <c r="DD84" s="612"/>
      <c r="DE84" s="612"/>
      <c r="DF84" s="612"/>
      <c r="DG84" s="612"/>
      <c r="DH84" s="612"/>
      <c r="DI84" s="612"/>
      <c r="DJ84" s="612"/>
      <c r="DK84" s="612"/>
      <c r="DL84" s="612"/>
      <c r="DM84" s="612"/>
      <c r="DN84" s="612"/>
      <c r="DO84" s="612"/>
      <c r="DP84" s="612"/>
      <c r="DQ84" s="612"/>
      <c r="DR84" s="612"/>
      <c r="DS84" s="612"/>
      <c r="DT84" s="612"/>
      <c r="DU84" s="612"/>
      <c r="DV84" s="612"/>
      <c r="DW84" s="612"/>
      <c r="DX84" s="612"/>
      <c r="DY84" s="612"/>
      <c r="DZ84" s="612"/>
      <c r="EA84" s="612"/>
      <c r="EB84" s="612"/>
      <c r="EC84" s="612"/>
      <c r="ED84" s="612"/>
      <c r="EE84" s="612"/>
      <c r="EF84" s="612"/>
      <c r="EG84" s="612"/>
      <c r="EH84" s="612"/>
      <c r="EI84" s="612"/>
      <c r="EJ84" s="612"/>
      <c r="EK84" s="612"/>
      <c r="EL84" s="612"/>
      <c r="EM84" s="612"/>
      <c r="EN84" s="612"/>
      <c r="EO84" s="612"/>
      <c r="EP84" s="612"/>
      <c r="EQ84" s="612"/>
      <c r="ER84" s="612"/>
      <c r="ES84" s="612"/>
      <c r="ET84" s="612"/>
      <c r="EU84" s="612"/>
      <c r="EV84" s="612"/>
      <c r="EW84" s="612"/>
      <c r="EX84" s="612"/>
      <c r="EY84" s="612"/>
      <c r="EZ84" s="612"/>
      <c r="FA84" s="612"/>
      <c r="FB84" s="612"/>
      <c r="FC84" s="612"/>
      <c r="FD84" s="612"/>
      <c r="FE84" s="612"/>
      <c r="FF84" s="612"/>
      <c r="FG84" s="612"/>
      <c r="FH84" s="612"/>
      <c r="FI84" s="612"/>
      <c r="FJ84" s="612"/>
      <c r="FK84" s="612"/>
      <c r="FL84" s="612"/>
      <c r="FM84" s="612"/>
      <c r="FN84" s="612"/>
      <c r="FO84" s="612"/>
      <c r="FP84" s="612"/>
      <c r="FQ84" s="612"/>
      <c r="FR84" s="612"/>
      <c r="FS84" s="612"/>
      <c r="FT84" s="612"/>
      <c r="FU84" s="612"/>
      <c r="FV84" s="612"/>
      <c r="FW84" s="612"/>
      <c r="FX84" s="612"/>
      <c r="FY84" s="612"/>
      <c r="FZ84" s="612"/>
      <c r="GA84" s="612"/>
      <c r="GB84" s="612"/>
      <c r="GC84" s="612"/>
      <c r="GD84" s="612"/>
      <c r="GE84" s="245"/>
      <c r="GF84" s="612"/>
      <c r="GG84" s="612"/>
      <c r="GH84" s="612"/>
      <c r="GI84" s="612"/>
      <c r="GJ84" s="612"/>
      <c r="GK84" s="612"/>
      <c r="GL84" s="612"/>
      <c r="GM84" s="612"/>
      <c r="GN84" s="612"/>
      <c r="GO84" s="612"/>
      <c r="GP84" s="612"/>
      <c r="GQ84" s="612"/>
      <c r="GR84" s="612"/>
      <c r="GS84" s="612"/>
      <c r="GT84" s="612"/>
      <c r="GU84" s="612"/>
      <c r="GV84" s="612"/>
      <c r="GW84" s="612"/>
      <c r="GX84" s="612"/>
      <c r="GY84" s="612"/>
      <c r="GZ84" s="612"/>
      <c r="HA84" s="612"/>
      <c r="HB84" s="612"/>
      <c r="HC84" s="612"/>
      <c r="HD84" s="612"/>
      <c r="HE84" s="612"/>
      <c r="HF84" s="612"/>
      <c r="HG84" s="612"/>
      <c r="HH84" s="612"/>
      <c r="HI84" s="612"/>
      <c r="HJ84" s="612"/>
      <c r="HK84" s="612"/>
      <c r="HL84" s="612"/>
      <c r="HM84" s="612"/>
      <c r="HN84" s="612"/>
      <c r="HO84" s="612"/>
      <c r="HP84" s="612"/>
      <c r="HQ84" s="612"/>
      <c r="HR84" s="612"/>
      <c r="HS84" s="612"/>
      <c r="HT84" s="612"/>
      <c r="HU84" s="612"/>
      <c r="HV84" s="612"/>
      <c r="HW84" s="612"/>
      <c r="HX84" s="612"/>
      <c r="HY84" s="612"/>
      <c r="HZ84" s="612"/>
      <c r="IA84" s="612"/>
      <c r="IB84" s="612"/>
      <c r="IC84" s="612"/>
      <c r="ID84" s="612"/>
      <c r="IE84" s="612"/>
      <c r="IF84" s="612"/>
      <c r="IG84" s="612"/>
      <c r="IH84" s="612"/>
      <c r="II84" s="612"/>
    </row>
    <row r="85" spans="1:243" ht="15" customHeight="1">
      <c r="A85" s="72"/>
      <c r="B85" s="72"/>
      <c r="C85" s="72"/>
      <c r="D85" s="195" t="str">
        <f>IF(MasterSheet!$A$1=1,MasterSheet!C324,MasterSheet!B324)</f>
        <v>Pozajmice i krediti iz inostranih izvora</v>
      </c>
      <c r="E85" s="186">
        <f>+'Cental Budget_int'!E95+'Local Government_int'!D101</f>
        <v>13153290.85</v>
      </c>
      <c r="F85" s="188">
        <f t="shared" si="20"/>
        <v>0.61209413420819947</v>
      </c>
      <c r="G85" s="186">
        <f>+'Cental Budget_int'!G95+'Local Government_int'!F101</f>
        <v>3522927.48</v>
      </c>
      <c r="H85" s="188">
        <f t="shared" si="21"/>
        <v>0.13142799776161163</v>
      </c>
      <c r="I85" s="186">
        <f>+'Cental Budget_int'!I95+'Local Government_int'!H101</f>
        <v>13050054.98</v>
      </c>
      <c r="J85" s="188">
        <f t="shared" si="22"/>
        <v>0.42293411265232045</v>
      </c>
      <c r="K85" s="186">
        <f>+'Cental Budget_int'!K95+'Local Government_int'!J101</f>
        <v>148637806.47</v>
      </c>
      <c r="L85" s="188">
        <f t="shared" si="23"/>
        <v>4.9861726424018791</v>
      </c>
      <c r="M85" s="186">
        <f>+'Cental Budget_int'!M95+'Local Government_int'!L101</f>
        <v>205658070.65000001</v>
      </c>
      <c r="N85" s="188">
        <f t="shared" si="24"/>
        <v>6.6255821730025772</v>
      </c>
      <c r="O85" s="186">
        <f>+'Cental Budget_int'!O95+'Local Government_int'!N101</f>
        <v>189720116.38</v>
      </c>
      <c r="P85" s="188">
        <f t="shared" si="25"/>
        <v>5.8664228936301788</v>
      </c>
      <c r="Q85" s="337">
        <f>+'Cental Budget_int'!Q95+'Local Government_int'!P101</f>
        <v>258129375.97</v>
      </c>
      <c r="R85" s="330">
        <f t="shared" si="26"/>
        <v>8.1971856452842182</v>
      </c>
      <c r="S85" s="337">
        <f>+'Cental Budget_int'!S95+'Local Government_int'!R101</f>
        <v>205992847.98876619</v>
      </c>
      <c r="T85" s="330">
        <f t="shared" ref="T85:T88" si="27">+S85/$S$15*100</f>
        <v>5.8570613587934659</v>
      </c>
      <c r="U85" s="337">
        <f>+'Cental Budget_int'!U95+'Local Government_int'!T101</f>
        <v>205992847.98876619</v>
      </c>
      <c r="V85" s="330">
        <f t="shared" ref="V85:V88" si="28">+U85/$U$15*100</f>
        <v>5.8570613587934659</v>
      </c>
      <c r="W85" s="337">
        <f>+'Cental Budget_int'!W95+'Local Government_int'!V101</f>
        <v>0</v>
      </c>
      <c r="X85" s="519" t="e">
        <f t="shared" ref="X85:X88" si="29">+W85/$W$15*100</f>
        <v>#DIV/0!</v>
      </c>
      <c r="Y85" s="225"/>
      <c r="Z85" s="225"/>
      <c r="AA85" s="225"/>
      <c r="AB85" s="225"/>
      <c r="AC85" s="225"/>
      <c r="AD85" s="225"/>
      <c r="AE85" s="225"/>
      <c r="AF85" s="225"/>
      <c r="AG85" s="2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50"/>
      <c r="BA85" s="265"/>
      <c r="BB85" s="612"/>
      <c r="BC85" s="612"/>
      <c r="BD85" s="612"/>
      <c r="BE85" s="612"/>
      <c r="BF85" s="612"/>
      <c r="BG85" s="612"/>
      <c r="BH85" s="612"/>
      <c r="BI85" s="612"/>
      <c r="BJ85" s="612"/>
      <c r="BK85" s="612"/>
      <c r="BL85" s="612"/>
      <c r="BM85" s="612"/>
      <c r="BN85" s="612"/>
      <c r="BO85" s="612"/>
      <c r="BP85" s="612"/>
      <c r="BQ85" s="612"/>
      <c r="BR85" s="612"/>
      <c r="BS85" s="612"/>
      <c r="BT85" s="612"/>
      <c r="BU85" s="612"/>
      <c r="BV85" s="612"/>
      <c r="BW85" s="612"/>
      <c r="BX85" s="612"/>
      <c r="BY85" s="612"/>
      <c r="BZ85" s="612"/>
      <c r="CA85" s="612"/>
      <c r="CB85" s="612"/>
      <c r="CC85" s="612"/>
      <c r="CD85" s="612"/>
      <c r="CE85" s="612"/>
      <c r="CF85" s="612"/>
      <c r="CG85" s="612"/>
      <c r="CH85" s="612"/>
      <c r="CI85" s="612"/>
      <c r="CJ85" s="612"/>
      <c r="CK85" s="612"/>
      <c r="CL85" s="612"/>
      <c r="CM85" s="612"/>
      <c r="CN85" s="612"/>
      <c r="CO85" s="612"/>
      <c r="CP85" s="612"/>
      <c r="CQ85" s="612"/>
      <c r="CR85" s="612"/>
      <c r="CS85" s="612"/>
      <c r="CT85" s="612"/>
      <c r="CU85" s="612"/>
      <c r="CV85" s="612"/>
      <c r="CW85" s="612"/>
      <c r="CX85" s="612"/>
      <c r="CY85" s="612"/>
      <c r="CZ85" s="612"/>
      <c r="DA85" s="612"/>
      <c r="DB85" s="612"/>
      <c r="DC85" s="612"/>
      <c r="DD85" s="612"/>
      <c r="DE85" s="612"/>
      <c r="DF85" s="612"/>
      <c r="DG85" s="612"/>
      <c r="DH85" s="612"/>
      <c r="DI85" s="612"/>
      <c r="DJ85" s="612"/>
      <c r="DK85" s="612"/>
      <c r="DL85" s="612"/>
      <c r="DM85" s="612"/>
      <c r="DN85" s="612"/>
      <c r="DO85" s="612"/>
      <c r="DP85" s="612"/>
      <c r="DQ85" s="612"/>
      <c r="DR85" s="612"/>
      <c r="DS85" s="612"/>
      <c r="DT85" s="612"/>
      <c r="DU85" s="612"/>
      <c r="DV85" s="612"/>
      <c r="DW85" s="612"/>
      <c r="DX85" s="612"/>
      <c r="DY85" s="612"/>
      <c r="DZ85" s="612"/>
      <c r="EA85" s="612"/>
      <c r="EB85" s="612"/>
      <c r="EC85" s="612"/>
      <c r="ED85" s="612"/>
      <c r="EE85" s="612"/>
      <c r="EF85" s="612"/>
      <c r="EG85" s="612"/>
      <c r="EH85" s="612"/>
      <c r="EI85" s="612"/>
      <c r="EJ85" s="612"/>
      <c r="EK85" s="612"/>
      <c r="EL85" s="612"/>
      <c r="EM85" s="612"/>
      <c r="EN85" s="612"/>
      <c r="EO85" s="612"/>
      <c r="EP85" s="612"/>
      <c r="EQ85" s="612"/>
      <c r="ER85" s="612"/>
      <c r="ES85" s="612"/>
      <c r="ET85" s="612"/>
      <c r="EU85" s="612"/>
      <c r="EV85" s="612"/>
      <c r="EW85" s="612"/>
      <c r="EX85" s="612"/>
      <c r="EY85" s="612"/>
      <c r="EZ85" s="612"/>
      <c r="FA85" s="612"/>
      <c r="FB85" s="612"/>
      <c r="FC85" s="612"/>
      <c r="FD85" s="612"/>
      <c r="FE85" s="612"/>
      <c r="FF85" s="612"/>
      <c r="FG85" s="612"/>
      <c r="FH85" s="612"/>
      <c r="FI85" s="612"/>
      <c r="FJ85" s="612"/>
      <c r="FK85" s="612"/>
      <c r="FL85" s="612"/>
      <c r="FM85" s="612"/>
      <c r="FN85" s="612"/>
      <c r="FO85" s="612"/>
      <c r="FP85" s="612"/>
      <c r="FQ85" s="612"/>
      <c r="FR85" s="612"/>
      <c r="FS85" s="612"/>
      <c r="FT85" s="612"/>
      <c r="FU85" s="612"/>
      <c r="FV85" s="612"/>
      <c r="FW85" s="612"/>
      <c r="FX85" s="612"/>
      <c r="FY85" s="612"/>
      <c r="FZ85" s="612"/>
      <c r="GA85" s="612"/>
      <c r="GB85" s="612"/>
      <c r="GC85" s="612"/>
      <c r="GD85" s="612"/>
      <c r="GE85" s="245"/>
      <c r="GF85" s="612"/>
      <c r="GG85" s="612"/>
      <c r="GH85" s="612"/>
      <c r="GI85" s="612"/>
      <c r="GJ85" s="612"/>
      <c r="GK85" s="612"/>
      <c r="GL85" s="612"/>
      <c r="GM85" s="612"/>
      <c r="GN85" s="612"/>
      <c r="GO85" s="612"/>
      <c r="GP85" s="612"/>
      <c r="GQ85" s="612"/>
      <c r="GR85" s="612"/>
      <c r="GS85" s="612"/>
      <c r="GT85" s="612"/>
      <c r="GU85" s="612"/>
      <c r="GV85" s="612"/>
      <c r="GW85" s="612"/>
      <c r="GX85" s="612"/>
      <c r="GY85" s="612"/>
      <c r="GZ85" s="612"/>
      <c r="HA85" s="612"/>
      <c r="HB85" s="612"/>
      <c r="HC85" s="612"/>
      <c r="HD85" s="612"/>
      <c r="HE85" s="612"/>
      <c r="HF85" s="612"/>
      <c r="HG85" s="612"/>
      <c r="HH85" s="612"/>
      <c r="HI85" s="612"/>
      <c r="HJ85" s="612"/>
      <c r="HK85" s="612"/>
      <c r="HL85" s="612"/>
      <c r="HM85" s="612"/>
      <c r="HN85" s="612"/>
      <c r="HO85" s="612"/>
      <c r="HP85" s="612"/>
      <c r="HQ85" s="612"/>
      <c r="HR85" s="612"/>
      <c r="HS85" s="612"/>
      <c r="HT85" s="612"/>
      <c r="HU85" s="612"/>
      <c r="HV85" s="612"/>
      <c r="HW85" s="612"/>
      <c r="HX85" s="612"/>
      <c r="HY85" s="612"/>
      <c r="HZ85" s="612"/>
      <c r="IA85" s="612"/>
      <c r="IB85" s="612"/>
      <c r="IC85" s="612"/>
      <c r="ID85" s="612"/>
      <c r="IE85" s="612"/>
      <c r="IF85" s="612"/>
      <c r="IG85" s="612"/>
      <c r="IH85" s="612"/>
      <c r="II85" s="612"/>
    </row>
    <row r="86" spans="1:243" ht="15" customHeight="1">
      <c r="A86" s="72"/>
      <c r="B86" s="72"/>
      <c r="C86" s="72"/>
      <c r="D86" s="195" t="str">
        <f>IF(MasterSheet!$A$1=1,MasterSheet!C325,MasterSheet!B325)</f>
        <v>Donacije</v>
      </c>
      <c r="E86" s="501">
        <f>+'Cental Budget_int'!E96+'Local Government_int'!D103</f>
        <v>1243648.3900000001</v>
      </c>
      <c r="F86" s="502">
        <f>+E86/$E$15*100</f>
        <v>5.7873720973521343E-2</v>
      </c>
      <c r="G86" s="501">
        <f>+'Cental Budget_int'!G96+'Local Government_int'!F103</f>
        <v>1646678.7000000002</v>
      </c>
      <c r="H86" s="502">
        <f>+G86/$G$15*100</f>
        <v>6.1431773922775615E-2</v>
      </c>
      <c r="I86" s="501">
        <f>+'Cental Budget_int'!I96+'Local Government_int'!H103</f>
        <v>4216176.0600000005</v>
      </c>
      <c r="J86" s="502">
        <f>+I86/$I$15*100</f>
        <v>0.13664039603318642</v>
      </c>
      <c r="K86" s="501">
        <f>+'Cental Budget_int'!K96+'Local Government_int'!J103</f>
        <v>11561690.300000001</v>
      </c>
      <c r="L86" s="502">
        <f>+K86/$K$15*100</f>
        <v>0.38784603488762165</v>
      </c>
      <c r="M86" s="501">
        <f>+'Cental Budget_int'!M96+'Local Government_int'!L103</f>
        <v>8208633.7999999998</v>
      </c>
      <c r="N86" s="502">
        <f>+M86/$M$15*100</f>
        <v>0.26445340850515464</v>
      </c>
      <c r="O86" s="501">
        <f>+'Cental Budget_int'!O96+'Local Government_int'!N103</f>
        <v>8258541.5299999993</v>
      </c>
      <c r="P86" s="502">
        <f>+O86/$O$15*100</f>
        <v>0.25536615739022883</v>
      </c>
      <c r="Q86" s="337">
        <f>+'Cental Budget_int'!Q96+'Local Government_int'!P103</f>
        <v>7918651.3200000003</v>
      </c>
      <c r="R86" s="330">
        <f t="shared" si="26"/>
        <v>0.25146558653540807</v>
      </c>
      <c r="S86" s="337">
        <f>+'Cental Budget_int'!S96+'Local Government_int'!R103</f>
        <v>2000000</v>
      </c>
      <c r="T86" s="330">
        <f t="shared" si="27"/>
        <v>5.6866647711117428E-2</v>
      </c>
      <c r="U86" s="337">
        <f>+'Cental Budget_int'!U96+'Local Government_int'!T103</f>
        <v>2000000</v>
      </c>
      <c r="V86" s="330">
        <f t="shared" si="28"/>
        <v>5.6866647711117428E-2</v>
      </c>
      <c r="W86" s="337">
        <f>+'Cental Budget_int'!W96+'Local Government_int'!V103</f>
        <v>0</v>
      </c>
      <c r="X86" s="519" t="e">
        <f t="shared" si="29"/>
        <v>#DIV/0!</v>
      </c>
      <c r="Y86" s="225"/>
      <c r="Z86" s="225"/>
      <c r="AA86" s="225"/>
      <c r="AB86" s="225"/>
      <c r="AC86" s="225"/>
      <c r="AD86" s="225"/>
      <c r="AE86" s="225"/>
      <c r="AF86" s="225"/>
      <c r="AG86" s="2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50"/>
      <c r="BA86" s="265"/>
      <c r="BB86" s="612"/>
      <c r="BC86" s="612"/>
      <c r="BD86" s="612"/>
      <c r="BE86" s="612"/>
      <c r="BF86" s="612"/>
      <c r="BG86" s="612"/>
      <c r="BH86" s="612"/>
      <c r="BI86" s="612"/>
      <c r="BJ86" s="612"/>
      <c r="BK86" s="612"/>
      <c r="BL86" s="612"/>
      <c r="BM86" s="612"/>
      <c r="BN86" s="612"/>
      <c r="BO86" s="612"/>
      <c r="BP86" s="612"/>
      <c r="BQ86" s="612"/>
      <c r="BR86" s="612"/>
      <c r="BS86" s="612"/>
      <c r="BT86" s="612"/>
      <c r="BU86" s="612"/>
      <c r="BV86" s="612"/>
      <c r="BW86" s="612"/>
      <c r="BX86" s="612"/>
      <c r="BY86" s="612"/>
      <c r="BZ86" s="612"/>
      <c r="CA86" s="612"/>
      <c r="CB86" s="612"/>
      <c r="CC86" s="612"/>
      <c r="CD86" s="612"/>
      <c r="CE86" s="612"/>
      <c r="CF86" s="612"/>
      <c r="CG86" s="612"/>
      <c r="CH86" s="612"/>
      <c r="CI86" s="612"/>
      <c r="CJ86" s="612"/>
      <c r="CK86" s="612"/>
      <c r="CL86" s="612"/>
      <c r="CM86" s="612"/>
      <c r="CN86" s="612"/>
      <c r="CO86" s="612"/>
      <c r="CP86" s="612"/>
      <c r="CQ86" s="612"/>
      <c r="CR86" s="612"/>
      <c r="CS86" s="612"/>
      <c r="CT86" s="612"/>
      <c r="CU86" s="612"/>
      <c r="CV86" s="612"/>
      <c r="CW86" s="612"/>
      <c r="CX86" s="612"/>
      <c r="CY86" s="612"/>
      <c r="CZ86" s="612"/>
      <c r="DA86" s="612"/>
      <c r="DB86" s="612"/>
      <c r="DC86" s="612"/>
      <c r="DD86" s="612"/>
      <c r="DE86" s="612"/>
      <c r="DF86" s="612"/>
      <c r="DG86" s="612"/>
      <c r="DH86" s="612"/>
      <c r="DI86" s="612"/>
      <c r="DJ86" s="612"/>
      <c r="DK86" s="612"/>
      <c r="DL86" s="612"/>
      <c r="DM86" s="612"/>
      <c r="DN86" s="612"/>
      <c r="DO86" s="612"/>
      <c r="DP86" s="612"/>
      <c r="DQ86" s="612"/>
      <c r="DR86" s="612"/>
      <c r="DS86" s="612"/>
      <c r="DT86" s="612"/>
      <c r="DU86" s="612"/>
      <c r="DV86" s="612"/>
      <c r="DW86" s="612"/>
      <c r="DX86" s="612"/>
      <c r="DY86" s="612"/>
      <c r="DZ86" s="612"/>
      <c r="EA86" s="612"/>
      <c r="EB86" s="612"/>
      <c r="EC86" s="612"/>
      <c r="ED86" s="612"/>
      <c r="EE86" s="612"/>
      <c r="EF86" s="612"/>
      <c r="EG86" s="612"/>
      <c r="EH86" s="612"/>
      <c r="EI86" s="612"/>
      <c r="EJ86" s="612"/>
      <c r="EK86" s="612"/>
      <c r="EL86" s="612"/>
      <c r="EM86" s="612"/>
      <c r="EN86" s="612"/>
      <c r="EO86" s="612"/>
      <c r="EP86" s="612"/>
      <c r="EQ86" s="612"/>
      <c r="ER86" s="612"/>
      <c r="ES86" s="612"/>
      <c r="ET86" s="612"/>
      <c r="EU86" s="612"/>
      <c r="EV86" s="612"/>
      <c r="EW86" s="612"/>
      <c r="EX86" s="612"/>
      <c r="EY86" s="612"/>
      <c r="EZ86" s="612"/>
      <c r="FA86" s="612"/>
      <c r="FB86" s="612"/>
      <c r="FC86" s="612"/>
      <c r="FD86" s="612"/>
      <c r="FE86" s="612"/>
      <c r="FF86" s="612"/>
      <c r="FG86" s="612"/>
      <c r="FH86" s="612"/>
      <c r="FI86" s="612"/>
      <c r="FJ86" s="612"/>
      <c r="FK86" s="612"/>
      <c r="FL86" s="612"/>
      <c r="FM86" s="612"/>
      <c r="FN86" s="612"/>
      <c r="FO86" s="612"/>
      <c r="FP86" s="612"/>
      <c r="FQ86" s="612"/>
      <c r="FR86" s="612"/>
      <c r="FS86" s="612"/>
      <c r="FT86" s="612"/>
      <c r="FU86" s="612"/>
      <c r="FV86" s="612"/>
      <c r="FW86" s="612"/>
      <c r="FX86" s="612"/>
      <c r="FY86" s="612"/>
      <c r="FZ86" s="612"/>
      <c r="GA86" s="612"/>
      <c r="GB86" s="612"/>
      <c r="GC86" s="612"/>
      <c r="GD86" s="612"/>
      <c r="GE86" s="245"/>
      <c r="GF86" s="612"/>
      <c r="GG86" s="612"/>
      <c r="GH86" s="612"/>
      <c r="GI86" s="612"/>
      <c r="GJ86" s="612"/>
      <c r="GK86" s="612"/>
      <c r="GL86" s="612"/>
      <c r="GM86" s="612"/>
      <c r="GN86" s="612"/>
      <c r="GO86" s="612"/>
      <c r="GP86" s="612"/>
      <c r="GQ86" s="612"/>
      <c r="GR86" s="612"/>
      <c r="GS86" s="612"/>
      <c r="GT86" s="612"/>
      <c r="GU86" s="612"/>
      <c r="GV86" s="612"/>
      <c r="GW86" s="612"/>
      <c r="GX86" s="612"/>
      <c r="GY86" s="612"/>
      <c r="GZ86" s="612"/>
      <c r="HA86" s="612"/>
      <c r="HB86" s="612"/>
      <c r="HC86" s="612"/>
      <c r="HD86" s="612"/>
      <c r="HE86" s="612"/>
      <c r="HF86" s="612"/>
      <c r="HG86" s="612"/>
      <c r="HH86" s="612"/>
      <c r="HI86" s="612"/>
      <c r="HJ86" s="612"/>
      <c r="HK86" s="612"/>
      <c r="HL86" s="612"/>
      <c r="HM86" s="612"/>
      <c r="HN86" s="612"/>
      <c r="HO86" s="612"/>
      <c r="HP86" s="612"/>
      <c r="HQ86" s="612"/>
      <c r="HR86" s="612"/>
      <c r="HS86" s="612"/>
      <c r="HT86" s="612"/>
      <c r="HU86" s="612"/>
      <c r="HV86" s="612"/>
      <c r="HW86" s="612"/>
      <c r="HX86" s="612"/>
      <c r="HY86" s="612"/>
      <c r="HZ86" s="612"/>
      <c r="IA86" s="612"/>
      <c r="IB86" s="612"/>
      <c r="IC86" s="612"/>
      <c r="ID86" s="612"/>
      <c r="IE86" s="612"/>
      <c r="IF86" s="612"/>
      <c r="IG86" s="612"/>
      <c r="IH86" s="612"/>
      <c r="II86" s="612"/>
    </row>
    <row r="87" spans="1:243" ht="15" customHeight="1">
      <c r="A87" s="72"/>
      <c r="B87" s="72"/>
      <c r="C87" s="72"/>
      <c r="D87" s="195" t="str">
        <f>IF(MasterSheet!$A$1=1,MasterSheet!C326,MasterSheet!B326)</f>
        <v>Prihodi od privatizacije i prodaje imovine</v>
      </c>
      <c r="E87" s="501">
        <f>+'Cental Budget_int'!E97+'Local Government_int'!D102</f>
        <v>59314747.700000003</v>
      </c>
      <c r="F87" s="502">
        <f>+E87/$E$15*100</f>
        <v>2.7602376890502116</v>
      </c>
      <c r="G87" s="501">
        <f>+'Cental Budget_int'!G97+'Local Government_int'!F102</f>
        <v>106120145.58000001</v>
      </c>
      <c r="H87" s="502">
        <f>+G87/$G$15*100</f>
        <v>3.9589683111359824</v>
      </c>
      <c r="I87" s="501">
        <f>+'Cental Budget_int'!I97+'Local Government_int'!H102</f>
        <v>38556116.769999996</v>
      </c>
      <c r="J87" s="502">
        <f>+I87/$I$15*100</f>
        <v>1.249550063844957</v>
      </c>
      <c r="K87" s="501">
        <f>+'Cental Budget_int'!K97+'Local Government_int'!J102</f>
        <v>129752212.13999999</v>
      </c>
      <c r="L87" s="502">
        <f>+K87/$K$15*100</f>
        <v>4.3526404609191545</v>
      </c>
      <c r="M87" s="501">
        <f>+'Cental Budget_int'!M97+'Local Government_int'!L102</f>
        <v>25071826.52</v>
      </c>
      <c r="N87" s="502">
        <f>+M87/$M$15*100</f>
        <v>0.80772636984536084</v>
      </c>
      <c r="O87" s="501">
        <f>+'Cental Budget_int'!O97+'Local Government_int'!N102</f>
        <v>14984968.159999998</v>
      </c>
      <c r="P87" s="502">
        <f>+O87/$O$15*100</f>
        <v>0.46335708596165731</v>
      </c>
      <c r="Q87" s="337">
        <f>+'Cental Budget_int'!Q97+'Local Government_int'!P102</f>
        <v>14015354.420000002</v>
      </c>
      <c r="R87" s="330">
        <f>+Q87/$Q$15*100</f>
        <v>0.44507317942203878</v>
      </c>
      <c r="S87" s="337">
        <f>+'Cental Budget_int'!S97+'Local Government_int'!R102</f>
        <v>19000000</v>
      </c>
      <c r="T87" s="330">
        <f>+S87/$S$15*100</f>
        <v>0.54023315325561561</v>
      </c>
      <c r="U87" s="337">
        <f>+'Cental Budget_int'!U97+'Local Government_int'!T102</f>
        <v>19000000</v>
      </c>
      <c r="V87" s="330">
        <f>+U87/$U$15*100</f>
        <v>0.54023315325561561</v>
      </c>
      <c r="W87" s="337">
        <f>+'Cental Budget_int'!W97+'Local Government_int'!V102</f>
        <v>0</v>
      </c>
      <c r="X87" s="519" t="e">
        <f t="shared" si="29"/>
        <v>#DIV/0!</v>
      </c>
      <c r="Y87" s="225"/>
      <c r="Z87" s="225"/>
      <c r="AA87" s="225"/>
      <c r="AB87" s="225"/>
      <c r="AC87" s="225"/>
      <c r="AD87" s="225"/>
      <c r="AE87" s="225"/>
      <c r="AF87" s="225"/>
      <c r="AG87" s="2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50"/>
      <c r="BA87" s="265"/>
      <c r="BB87" s="612"/>
      <c r="BC87" s="612"/>
      <c r="BD87" s="612"/>
      <c r="BE87" s="612"/>
      <c r="BF87" s="612"/>
      <c r="BG87" s="612"/>
      <c r="BH87" s="612"/>
      <c r="BI87" s="612"/>
      <c r="BJ87" s="612"/>
      <c r="BK87" s="612"/>
      <c r="BL87" s="612"/>
      <c r="BM87" s="612"/>
      <c r="BN87" s="612"/>
      <c r="BO87" s="612"/>
      <c r="BP87" s="612"/>
      <c r="BQ87" s="612"/>
      <c r="BR87" s="612"/>
      <c r="BS87" s="612"/>
      <c r="BT87" s="612"/>
      <c r="BU87" s="612"/>
      <c r="BV87" s="612"/>
      <c r="BW87" s="612"/>
      <c r="BX87" s="612"/>
      <c r="BY87" s="612"/>
      <c r="BZ87" s="612"/>
      <c r="CA87" s="612"/>
      <c r="CB87" s="612"/>
      <c r="CC87" s="612"/>
      <c r="CD87" s="612"/>
      <c r="CE87" s="612"/>
      <c r="CF87" s="612"/>
      <c r="CG87" s="612"/>
      <c r="CH87" s="612"/>
      <c r="CI87" s="612"/>
      <c r="CJ87" s="612"/>
      <c r="CK87" s="612"/>
      <c r="CL87" s="612"/>
      <c r="CM87" s="612"/>
      <c r="CN87" s="612"/>
      <c r="CO87" s="612"/>
      <c r="CP87" s="612"/>
      <c r="CQ87" s="612"/>
      <c r="CR87" s="612"/>
      <c r="CS87" s="612"/>
      <c r="CT87" s="612"/>
      <c r="CU87" s="612"/>
      <c r="CV87" s="612"/>
      <c r="CW87" s="612"/>
      <c r="CX87" s="612"/>
      <c r="CY87" s="612"/>
      <c r="CZ87" s="612"/>
      <c r="DA87" s="612"/>
      <c r="DB87" s="612"/>
      <c r="DC87" s="612"/>
      <c r="DD87" s="612"/>
      <c r="DE87" s="612"/>
      <c r="DF87" s="612"/>
      <c r="DG87" s="612"/>
      <c r="DH87" s="612"/>
      <c r="DI87" s="612"/>
      <c r="DJ87" s="612"/>
      <c r="DK87" s="612"/>
      <c r="DL87" s="612"/>
      <c r="DM87" s="612"/>
      <c r="DN87" s="612"/>
      <c r="DO87" s="612"/>
      <c r="DP87" s="612"/>
      <c r="DQ87" s="612"/>
      <c r="DR87" s="612"/>
      <c r="DS87" s="612"/>
      <c r="DT87" s="612"/>
      <c r="DU87" s="612"/>
      <c r="DV87" s="612"/>
      <c r="DW87" s="612"/>
      <c r="DX87" s="612"/>
      <c r="DY87" s="612"/>
      <c r="DZ87" s="612"/>
      <c r="EA87" s="612"/>
      <c r="EB87" s="612"/>
      <c r="EC87" s="612"/>
      <c r="ED87" s="612"/>
      <c r="EE87" s="612"/>
      <c r="EF87" s="612"/>
      <c r="EG87" s="612"/>
      <c r="EH87" s="612"/>
      <c r="EI87" s="612"/>
      <c r="EJ87" s="612"/>
      <c r="EK87" s="612"/>
      <c r="EL87" s="612"/>
      <c r="EM87" s="612"/>
      <c r="EN87" s="612"/>
      <c r="EO87" s="612"/>
      <c r="EP87" s="612"/>
      <c r="EQ87" s="612"/>
      <c r="ER87" s="612"/>
      <c r="ES87" s="612"/>
      <c r="ET87" s="612"/>
      <c r="EU87" s="612"/>
      <c r="EV87" s="612"/>
      <c r="EW87" s="612"/>
      <c r="EX87" s="612"/>
      <c r="EY87" s="612"/>
      <c r="EZ87" s="612"/>
      <c r="FA87" s="612"/>
      <c r="FB87" s="612"/>
      <c r="FC87" s="612"/>
      <c r="FD87" s="612"/>
      <c r="FE87" s="612"/>
      <c r="FF87" s="612"/>
      <c r="FG87" s="612"/>
      <c r="FH87" s="612"/>
      <c r="FI87" s="612"/>
      <c r="FJ87" s="612"/>
      <c r="FK87" s="612"/>
      <c r="FL87" s="612"/>
      <c r="FM87" s="612"/>
      <c r="FN87" s="612"/>
      <c r="FO87" s="612"/>
      <c r="FP87" s="612"/>
      <c r="FQ87" s="612"/>
      <c r="FR87" s="612"/>
      <c r="FS87" s="612"/>
      <c r="FT87" s="612"/>
      <c r="FU87" s="612"/>
      <c r="FV87" s="612"/>
      <c r="FW87" s="612"/>
      <c r="FX87" s="612"/>
      <c r="FY87" s="612"/>
      <c r="FZ87" s="612"/>
      <c r="GA87" s="612"/>
      <c r="GB87" s="612"/>
      <c r="GC87" s="612"/>
      <c r="GD87" s="612"/>
      <c r="GE87" s="245"/>
      <c r="GF87" s="612"/>
      <c r="GG87" s="612"/>
      <c r="GH87" s="612"/>
      <c r="GI87" s="612"/>
      <c r="GJ87" s="612"/>
      <c r="GK87" s="612"/>
      <c r="GL87" s="612"/>
      <c r="GM87" s="612"/>
      <c r="GN87" s="612"/>
      <c r="GO87" s="612"/>
      <c r="GP87" s="612"/>
      <c r="GQ87" s="612"/>
      <c r="GR87" s="612"/>
      <c r="GS87" s="612"/>
      <c r="GT87" s="612"/>
      <c r="GU87" s="612"/>
      <c r="GV87" s="612"/>
      <c r="GW87" s="612"/>
      <c r="GX87" s="612"/>
      <c r="GY87" s="612"/>
      <c r="GZ87" s="612"/>
      <c r="HA87" s="612"/>
      <c r="HB87" s="612"/>
      <c r="HC87" s="612"/>
      <c r="HD87" s="612"/>
      <c r="HE87" s="612"/>
      <c r="HF87" s="612"/>
      <c r="HG87" s="612"/>
      <c r="HH87" s="612"/>
      <c r="HI87" s="612"/>
      <c r="HJ87" s="612"/>
      <c r="HK87" s="612"/>
      <c r="HL87" s="612"/>
      <c r="HM87" s="612"/>
      <c r="HN87" s="612"/>
      <c r="HO87" s="612"/>
      <c r="HP87" s="612"/>
      <c r="HQ87" s="612"/>
      <c r="HR87" s="612"/>
      <c r="HS87" s="612"/>
      <c r="HT87" s="612"/>
      <c r="HU87" s="612"/>
      <c r="HV87" s="612"/>
      <c r="HW87" s="612"/>
      <c r="HX87" s="612"/>
      <c r="HY87" s="612"/>
      <c r="HZ87" s="612"/>
      <c r="IA87" s="612"/>
      <c r="IB87" s="612"/>
      <c r="IC87" s="612"/>
      <c r="ID87" s="612"/>
      <c r="IE87" s="612"/>
      <c r="IF87" s="612"/>
      <c r="IG87" s="612"/>
      <c r="IH87" s="612"/>
      <c r="II87" s="612"/>
    </row>
    <row r="88" spans="1:243" ht="15" customHeight="1" thickBot="1">
      <c r="A88" s="72"/>
      <c r="B88" s="72"/>
      <c r="C88" s="72"/>
      <c r="D88" s="425" t="str">
        <f>IF(MasterSheet!$A$1=1,MasterSheet!C327,MasterSheet!B327)</f>
        <v>Korišćenje depozita države</v>
      </c>
      <c r="E88" s="426">
        <f>+'Cental Budget_int'!E98+'Local Government_int'!D104</f>
        <v>-36286892.840199657</v>
      </c>
      <c r="F88" s="427">
        <f t="shared" si="20"/>
        <v>-1.6886264060775118</v>
      </c>
      <c r="G88" s="426">
        <f>+'Cental Budget_int'!G98+'Local Government_int'!F104</f>
        <v>-114503478.09999977</v>
      </c>
      <c r="H88" s="427">
        <f t="shared" si="21"/>
        <v>-4.2717208767020995</v>
      </c>
      <c r="I88" s="426">
        <f>+'Cental Budget_int'!I98+'Local Government_int'!H104</f>
        <v>86952387.177633405</v>
      </c>
      <c r="J88" s="427">
        <f t="shared" si="22"/>
        <v>2.8180058068976344</v>
      </c>
      <c r="K88" s="426">
        <f>+'Cental Budget_int'!K98+'Local Government_int'!J104</f>
        <v>-56753266.255500257</v>
      </c>
      <c r="L88" s="427">
        <f t="shared" si="23"/>
        <v>-1.9038331518114813</v>
      </c>
      <c r="M88" s="426">
        <f>+'Cental Budget_int'!M98+'Local Government_int'!L104</f>
        <v>66878374.561538078</v>
      </c>
      <c r="N88" s="427">
        <f t="shared" si="24"/>
        <v>2.1545868093279017</v>
      </c>
      <c r="O88" s="426">
        <f>+'Cental Budget_int'!O98+'Local Government_int'!N104</f>
        <v>79337037.660000116</v>
      </c>
      <c r="P88" s="427">
        <f t="shared" si="25"/>
        <v>2.4532169962894286</v>
      </c>
      <c r="Q88" s="428">
        <f>+'Cental Budget_int'!Q98+'Local Government_int'!P104</f>
        <v>3908218.1366672618</v>
      </c>
      <c r="R88" s="429">
        <f t="shared" si="26"/>
        <v>0.12410981697895403</v>
      </c>
      <c r="S88" s="428">
        <f>+'Cental Budget_int'!S98+'Local Government_int'!R104</f>
        <v>7353072.9189614952</v>
      </c>
      <c r="T88" s="429">
        <f t="shared" si="27"/>
        <v>0.20907230363837065</v>
      </c>
      <c r="U88" s="428">
        <f>+'Cental Budget_int'!U98+'Local Government_int'!T104</f>
        <v>-7320710.7159259766</v>
      </c>
      <c r="V88" s="429">
        <f t="shared" si="28"/>
        <v>-0.2081521386387824</v>
      </c>
      <c r="W88" s="428">
        <f>+'Cental Budget_int'!W98+'Local Government_int'!V104</f>
        <v>-14673783.634887472</v>
      </c>
      <c r="X88" s="520" t="e">
        <f t="shared" si="29"/>
        <v>#DIV/0!</v>
      </c>
      <c r="Y88" s="225"/>
      <c r="Z88" s="225"/>
      <c r="AA88" s="225"/>
      <c r="AB88" s="225"/>
      <c r="AC88" s="225"/>
      <c r="AD88" s="225"/>
      <c r="AE88" s="225"/>
      <c r="AF88" s="225"/>
      <c r="AG88" s="2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50"/>
      <c r="BA88" s="265"/>
      <c r="BB88" s="612"/>
      <c r="BC88" s="612"/>
      <c r="BD88" s="612"/>
      <c r="BE88" s="612"/>
      <c r="BF88" s="612"/>
      <c r="BG88" s="612"/>
      <c r="BH88" s="612"/>
      <c r="BI88" s="612"/>
      <c r="BJ88" s="612"/>
      <c r="BK88" s="612"/>
      <c r="BL88" s="612"/>
      <c r="BM88" s="612"/>
      <c r="BN88" s="612"/>
      <c r="BO88" s="612"/>
      <c r="BP88" s="612"/>
      <c r="BQ88" s="612"/>
      <c r="BR88" s="612"/>
      <c r="BS88" s="612"/>
      <c r="BT88" s="612"/>
      <c r="BU88" s="612"/>
      <c r="BV88" s="612"/>
      <c r="BW88" s="612"/>
      <c r="BX88" s="612"/>
      <c r="BY88" s="612"/>
      <c r="BZ88" s="612"/>
      <c r="CA88" s="612"/>
      <c r="CB88" s="612"/>
      <c r="CC88" s="612"/>
      <c r="CD88" s="612"/>
      <c r="CE88" s="612"/>
      <c r="CF88" s="612"/>
      <c r="CG88" s="612"/>
      <c r="CH88" s="612"/>
      <c r="CI88" s="612"/>
      <c r="CJ88" s="612"/>
      <c r="CK88" s="612"/>
      <c r="CL88" s="612"/>
      <c r="CM88" s="612"/>
      <c r="CN88" s="612"/>
      <c r="CO88" s="612"/>
      <c r="CP88" s="612"/>
      <c r="CQ88" s="612"/>
      <c r="CR88" s="612"/>
      <c r="CS88" s="612"/>
      <c r="CT88" s="612"/>
      <c r="CU88" s="612"/>
      <c r="CV88" s="612"/>
      <c r="CW88" s="612"/>
      <c r="CX88" s="612"/>
      <c r="CY88" s="612"/>
      <c r="CZ88" s="612"/>
      <c r="DA88" s="612"/>
      <c r="DB88" s="612"/>
      <c r="DC88" s="612"/>
      <c r="DD88" s="612"/>
      <c r="DE88" s="612"/>
      <c r="DF88" s="612"/>
      <c r="DG88" s="612"/>
      <c r="DH88" s="612"/>
      <c r="DI88" s="612"/>
      <c r="DJ88" s="612"/>
      <c r="DK88" s="612"/>
      <c r="DL88" s="612"/>
      <c r="DM88" s="612"/>
      <c r="DN88" s="612"/>
      <c r="DO88" s="612"/>
      <c r="DP88" s="612"/>
      <c r="DQ88" s="612"/>
      <c r="DR88" s="612"/>
      <c r="DS88" s="612"/>
      <c r="DT88" s="612"/>
      <c r="DU88" s="612"/>
      <c r="DV88" s="612"/>
      <c r="DW88" s="612"/>
      <c r="DX88" s="612"/>
      <c r="DY88" s="612"/>
      <c r="DZ88" s="612"/>
      <c r="EA88" s="612"/>
      <c r="EB88" s="612"/>
      <c r="EC88" s="612"/>
      <c r="ED88" s="612"/>
      <c r="EE88" s="612"/>
      <c r="EF88" s="612"/>
      <c r="EG88" s="612"/>
      <c r="EH88" s="612"/>
      <c r="EI88" s="612"/>
      <c r="EJ88" s="612"/>
      <c r="EK88" s="612"/>
      <c r="EL88" s="612"/>
      <c r="EM88" s="612"/>
      <c r="EN88" s="612"/>
      <c r="EO88" s="612"/>
      <c r="EP88" s="612"/>
      <c r="EQ88" s="612"/>
      <c r="ER88" s="612"/>
      <c r="ES88" s="612"/>
      <c r="ET88" s="612"/>
      <c r="EU88" s="612"/>
      <c r="EV88" s="612"/>
      <c r="EW88" s="612"/>
      <c r="EX88" s="612"/>
      <c r="EY88" s="612"/>
      <c r="EZ88" s="612"/>
      <c r="FA88" s="612"/>
      <c r="FB88" s="612"/>
      <c r="FC88" s="612"/>
      <c r="FD88" s="612"/>
      <c r="FE88" s="612"/>
      <c r="FF88" s="612"/>
      <c r="FG88" s="612"/>
      <c r="FH88" s="612"/>
      <c r="FI88" s="612"/>
      <c r="FJ88" s="612"/>
      <c r="FK88" s="612"/>
      <c r="FL88" s="612"/>
      <c r="FM88" s="612"/>
      <c r="FN88" s="612"/>
      <c r="FO88" s="612"/>
      <c r="FP88" s="612"/>
      <c r="FQ88" s="612"/>
      <c r="FR88" s="612"/>
      <c r="FS88" s="612"/>
      <c r="FT88" s="612"/>
      <c r="FU88" s="612"/>
      <c r="FV88" s="612"/>
      <c r="FW88" s="612"/>
      <c r="FX88" s="612"/>
      <c r="FY88" s="612"/>
      <c r="FZ88" s="612"/>
      <c r="GA88" s="612"/>
      <c r="GB88" s="612"/>
      <c r="GC88" s="612"/>
      <c r="GD88" s="612"/>
      <c r="GE88" s="245"/>
      <c r="GF88" s="612"/>
      <c r="GG88" s="612"/>
      <c r="GH88" s="612"/>
      <c r="GI88" s="612"/>
      <c r="GJ88" s="612"/>
      <c r="GK88" s="612"/>
      <c r="GL88" s="612"/>
      <c r="GM88" s="612"/>
      <c r="GN88" s="612"/>
      <c r="GO88" s="612"/>
      <c r="GP88" s="612"/>
      <c r="GQ88" s="612"/>
      <c r="GR88" s="612"/>
      <c r="GS88" s="612"/>
      <c r="GT88" s="612"/>
      <c r="GU88" s="612"/>
      <c r="GV88" s="612"/>
      <c r="GW88" s="612"/>
      <c r="GX88" s="612"/>
      <c r="GY88" s="612"/>
      <c r="GZ88" s="612"/>
      <c r="HA88" s="612"/>
      <c r="HB88" s="612"/>
      <c r="HC88" s="612"/>
      <c r="HD88" s="612"/>
      <c r="HE88" s="612"/>
      <c r="HF88" s="612"/>
      <c r="HG88" s="612"/>
      <c r="HH88" s="612"/>
      <c r="HI88" s="612"/>
      <c r="HJ88" s="612"/>
      <c r="HK88" s="612"/>
      <c r="HL88" s="612"/>
      <c r="HM88" s="612"/>
      <c r="HN88" s="612"/>
      <c r="HO88" s="612"/>
      <c r="HP88" s="612"/>
      <c r="HQ88" s="612"/>
      <c r="HR88" s="612"/>
      <c r="HS88" s="612"/>
      <c r="HT88" s="612"/>
      <c r="HU88" s="612"/>
      <c r="HV88" s="612"/>
      <c r="HW88" s="612"/>
      <c r="HX88" s="612"/>
      <c r="HY88" s="612"/>
      <c r="HZ88" s="612"/>
      <c r="IA88" s="612"/>
      <c r="IB88" s="612"/>
      <c r="IC88" s="612"/>
      <c r="ID88" s="612"/>
      <c r="IE88" s="612"/>
      <c r="IF88" s="612"/>
      <c r="IG88" s="612"/>
      <c r="IH88" s="612"/>
      <c r="II88" s="612"/>
    </row>
    <row r="89" spans="1:243" ht="15" customHeight="1" thickTop="1">
      <c r="A89" s="72"/>
      <c r="B89" s="72"/>
      <c r="C89" s="72"/>
      <c r="D89" s="378" t="str">
        <f>IF(MasterSheet!$A$1=1,MasterSheet!C328,MasterSheet!B328)</f>
        <v>Izvor: Ministarstvo finansija Crne Gore</v>
      </c>
      <c r="E89" s="227"/>
      <c r="F89" s="228"/>
      <c r="G89" s="227"/>
      <c r="H89" s="228"/>
      <c r="I89" s="227"/>
      <c r="J89" s="228"/>
      <c r="K89" s="227"/>
      <c r="L89" s="228"/>
      <c r="M89" s="227"/>
      <c r="N89" s="228"/>
      <c r="O89" s="227"/>
      <c r="P89" s="228"/>
      <c r="Q89" s="227"/>
      <c r="R89" s="228"/>
      <c r="S89" s="227"/>
      <c r="T89" s="228"/>
      <c r="U89" s="227"/>
      <c r="V89" s="228"/>
      <c r="W89" s="228"/>
      <c r="X89" s="228"/>
      <c r="Y89" s="228"/>
      <c r="Z89" s="228"/>
      <c r="AA89" s="228"/>
      <c r="AB89" s="228"/>
      <c r="AC89" s="228"/>
      <c r="AD89" s="228"/>
      <c r="AE89" s="228"/>
      <c r="AF89" s="228"/>
      <c r="AG89" s="22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49"/>
      <c r="AW89" s="49"/>
      <c r="AX89" s="49"/>
      <c r="AY89" s="49"/>
      <c r="AZ89" s="50"/>
      <c r="BA89" s="265"/>
      <c r="BB89" s="612"/>
      <c r="BC89" s="612"/>
      <c r="BD89" s="612"/>
      <c r="BE89" s="612"/>
      <c r="BF89" s="612"/>
      <c r="BG89" s="612"/>
      <c r="BH89" s="612"/>
      <c r="BI89" s="612"/>
      <c r="BJ89" s="612"/>
      <c r="BK89" s="612"/>
      <c r="BL89" s="612"/>
      <c r="BM89" s="612"/>
      <c r="BN89" s="612"/>
      <c r="BO89" s="612"/>
      <c r="BP89" s="612"/>
      <c r="BQ89" s="612"/>
      <c r="BR89" s="612"/>
      <c r="BS89" s="612"/>
      <c r="BT89" s="612"/>
      <c r="BU89" s="612"/>
      <c r="BV89" s="612"/>
      <c r="BW89" s="612"/>
      <c r="BX89" s="612"/>
      <c r="BY89" s="612"/>
      <c r="BZ89" s="612"/>
      <c r="CA89" s="612"/>
      <c r="CB89" s="612"/>
      <c r="CC89" s="612"/>
      <c r="CD89" s="612"/>
      <c r="CE89" s="612"/>
      <c r="CF89" s="612"/>
      <c r="CG89" s="612"/>
      <c r="CH89" s="612"/>
      <c r="CI89" s="612"/>
      <c r="CJ89" s="612"/>
      <c r="CK89" s="612"/>
      <c r="CL89" s="612"/>
      <c r="CM89" s="612"/>
      <c r="CN89" s="612"/>
      <c r="CO89" s="612"/>
      <c r="CP89" s="612"/>
      <c r="CQ89" s="612"/>
      <c r="CR89" s="612"/>
      <c r="CS89" s="612"/>
      <c r="CT89" s="612"/>
      <c r="CU89" s="612"/>
      <c r="CV89" s="612"/>
      <c r="CW89" s="612"/>
      <c r="CX89" s="612"/>
      <c r="CY89" s="612"/>
      <c r="CZ89" s="612"/>
      <c r="DA89" s="612"/>
      <c r="DB89" s="612"/>
      <c r="DC89" s="612"/>
      <c r="DD89" s="612"/>
      <c r="DE89" s="612"/>
      <c r="DF89" s="612"/>
      <c r="DG89" s="612"/>
      <c r="DH89" s="612"/>
      <c r="DI89" s="612"/>
      <c r="DJ89" s="612"/>
      <c r="DK89" s="612"/>
      <c r="DL89" s="612"/>
      <c r="DM89" s="612"/>
      <c r="DN89" s="612"/>
      <c r="DO89" s="612"/>
      <c r="DP89" s="612"/>
      <c r="DQ89" s="612"/>
      <c r="DR89" s="612"/>
      <c r="DS89" s="612"/>
      <c r="DT89" s="612"/>
      <c r="DU89" s="612"/>
      <c r="DV89" s="612"/>
      <c r="DW89" s="612"/>
      <c r="DX89" s="612"/>
      <c r="DY89" s="612"/>
      <c r="DZ89" s="612"/>
      <c r="EA89" s="612"/>
      <c r="EB89" s="612"/>
      <c r="EC89" s="612"/>
      <c r="ED89" s="612"/>
      <c r="EE89" s="612"/>
      <c r="EF89" s="612"/>
      <c r="EG89" s="612"/>
      <c r="EH89" s="612"/>
      <c r="EI89" s="612"/>
      <c r="EJ89" s="612"/>
      <c r="EK89" s="612"/>
      <c r="EL89" s="612"/>
      <c r="EM89" s="612"/>
      <c r="EN89" s="612"/>
      <c r="EO89" s="612"/>
      <c r="EP89" s="612"/>
      <c r="EQ89" s="612"/>
      <c r="ER89" s="612"/>
      <c r="ES89" s="612"/>
      <c r="ET89" s="612"/>
      <c r="EU89" s="612"/>
      <c r="EV89" s="612"/>
      <c r="EW89" s="612"/>
      <c r="EX89" s="612"/>
      <c r="EY89" s="612"/>
      <c r="EZ89" s="612"/>
      <c r="FA89" s="612"/>
      <c r="FB89" s="612"/>
      <c r="FC89" s="612"/>
      <c r="FD89" s="612"/>
      <c r="FE89" s="612"/>
      <c r="FF89" s="612"/>
      <c r="FG89" s="612"/>
      <c r="FH89" s="612"/>
      <c r="FI89" s="612"/>
      <c r="FJ89" s="612"/>
      <c r="FK89" s="612"/>
      <c r="FL89" s="612"/>
      <c r="FM89" s="612"/>
      <c r="FN89" s="612"/>
      <c r="FO89" s="612"/>
      <c r="FP89" s="612"/>
      <c r="FQ89" s="612"/>
      <c r="FR89" s="612"/>
      <c r="FS89" s="612"/>
      <c r="FT89" s="612"/>
      <c r="FU89" s="612"/>
      <c r="FV89" s="612"/>
      <c r="FW89" s="612"/>
      <c r="FX89" s="612"/>
      <c r="FY89" s="612"/>
      <c r="FZ89" s="612"/>
      <c r="GA89" s="612"/>
      <c r="GB89" s="612"/>
      <c r="GC89" s="612"/>
      <c r="GD89" s="612"/>
      <c r="GE89" s="245"/>
      <c r="GF89" s="612"/>
      <c r="GG89" s="612"/>
      <c r="GH89" s="612"/>
      <c r="GI89" s="612"/>
      <c r="GJ89" s="612"/>
      <c r="GK89" s="612"/>
      <c r="GL89" s="612"/>
      <c r="GM89" s="612"/>
      <c r="GN89" s="612"/>
      <c r="GO89" s="612"/>
      <c r="GP89" s="612"/>
      <c r="GQ89" s="612"/>
      <c r="GR89" s="612"/>
      <c r="GS89" s="612"/>
      <c r="GT89" s="612"/>
      <c r="GU89" s="612"/>
      <c r="GV89" s="612"/>
      <c r="GW89" s="612"/>
      <c r="GX89" s="612"/>
      <c r="GY89" s="612"/>
      <c r="GZ89" s="612"/>
      <c r="HA89" s="612"/>
      <c r="HB89" s="612"/>
      <c r="HC89" s="612"/>
      <c r="HD89" s="612"/>
      <c r="HE89" s="612"/>
      <c r="HF89" s="612"/>
      <c r="HG89" s="612"/>
      <c r="HH89" s="612"/>
      <c r="HI89" s="612"/>
      <c r="HJ89" s="612"/>
      <c r="HK89" s="612"/>
      <c r="HL89" s="612"/>
      <c r="HM89" s="612"/>
      <c r="HN89" s="612"/>
      <c r="HO89" s="612"/>
      <c r="HP89" s="612"/>
      <c r="HQ89" s="612"/>
      <c r="HR89" s="612"/>
      <c r="HS89" s="612"/>
      <c r="HT89" s="612"/>
      <c r="HU89" s="612"/>
      <c r="HV89" s="612"/>
      <c r="HW89" s="612"/>
      <c r="HX89" s="612"/>
      <c r="HY89" s="612"/>
      <c r="HZ89" s="612"/>
      <c r="IA89" s="612"/>
      <c r="IB89" s="612"/>
      <c r="IC89" s="612"/>
      <c r="ID89" s="612"/>
      <c r="IE89" s="612"/>
      <c r="IF89" s="612"/>
      <c r="IG89" s="612"/>
      <c r="IH89" s="612"/>
      <c r="II89" s="612"/>
    </row>
    <row r="90" spans="1:243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</row>
    <row r="91" spans="1:243" ht="15" customHeight="1">
      <c r="A91" s="72"/>
      <c r="B91" s="72"/>
      <c r="C91" s="72"/>
      <c r="D91" s="89"/>
      <c r="E91" s="229"/>
      <c r="F91" s="230"/>
      <c r="G91" s="229"/>
      <c r="H91" s="230"/>
      <c r="I91" s="229"/>
      <c r="J91" s="230"/>
      <c r="K91" s="229"/>
      <c r="L91" s="230"/>
      <c r="M91" s="229"/>
      <c r="N91" s="230"/>
      <c r="O91" s="229"/>
      <c r="P91" s="230"/>
      <c r="Q91" s="229"/>
      <c r="R91" s="230"/>
      <c r="S91" s="229"/>
      <c r="T91" s="230"/>
      <c r="U91" s="229"/>
      <c r="V91" s="230"/>
      <c r="W91" s="230"/>
      <c r="X91" s="230"/>
      <c r="Y91" s="230"/>
      <c r="Z91" s="230"/>
      <c r="AA91" s="230"/>
      <c r="AB91" s="230"/>
      <c r="AC91" s="230"/>
      <c r="AD91" s="230"/>
      <c r="AE91" s="230"/>
      <c r="AF91" s="230"/>
      <c r="AG91" s="230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  <c r="AT91" s="48"/>
      <c r="AU91" s="48"/>
      <c r="AV91" s="48"/>
      <c r="AW91" s="48"/>
      <c r="AX91" s="48"/>
      <c r="AY91" s="48"/>
      <c r="AZ91" s="50"/>
      <c r="BA91" s="612"/>
      <c r="BB91" s="612"/>
      <c r="BC91" s="612"/>
      <c r="BD91" s="612"/>
      <c r="BE91" s="612"/>
      <c r="BF91" s="612"/>
      <c r="BG91" s="612"/>
      <c r="BH91" s="612"/>
      <c r="BI91" s="612"/>
      <c r="BJ91" s="612"/>
      <c r="BK91" s="612"/>
      <c r="BL91" s="612"/>
      <c r="BM91" s="612"/>
      <c r="BN91" s="612"/>
      <c r="BO91" s="612"/>
      <c r="BP91" s="612"/>
      <c r="BQ91" s="612"/>
      <c r="BR91" s="612"/>
      <c r="BS91" s="612"/>
      <c r="BT91" s="612"/>
      <c r="BU91" s="612"/>
      <c r="BV91" s="612"/>
      <c r="BW91" s="612"/>
      <c r="BX91" s="612"/>
      <c r="BY91" s="612"/>
      <c r="BZ91" s="612"/>
      <c r="CA91" s="612"/>
      <c r="CB91" s="612"/>
      <c r="CC91" s="612"/>
      <c r="CD91" s="612"/>
      <c r="CE91" s="612"/>
      <c r="CF91" s="612"/>
      <c r="CG91" s="612"/>
      <c r="CH91" s="612"/>
      <c r="CI91" s="612"/>
      <c r="CJ91" s="612"/>
      <c r="CK91" s="612"/>
      <c r="CL91" s="612"/>
      <c r="CM91" s="612"/>
      <c r="CN91" s="612"/>
      <c r="CO91" s="612"/>
      <c r="CP91" s="612"/>
      <c r="CQ91" s="612"/>
      <c r="CR91" s="612"/>
      <c r="CS91" s="612"/>
      <c r="CT91" s="612"/>
      <c r="CU91" s="612"/>
      <c r="CV91" s="612"/>
      <c r="CW91" s="612"/>
      <c r="CX91" s="612"/>
      <c r="CY91" s="612"/>
      <c r="CZ91" s="612"/>
      <c r="DA91" s="612"/>
      <c r="DB91" s="612"/>
      <c r="DC91" s="612"/>
      <c r="DD91" s="612"/>
      <c r="DE91" s="612"/>
      <c r="DF91" s="612"/>
      <c r="DG91" s="612"/>
      <c r="DH91" s="612"/>
      <c r="DI91" s="612"/>
      <c r="DJ91" s="612"/>
      <c r="DK91" s="612"/>
      <c r="DL91" s="612"/>
      <c r="DM91" s="612"/>
      <c r="DN91" s="612"/>
      <c r="DO91" s="612"/>
      <c r="DP91" s="612"/>
      <c r="DQ91" s="612"/>
      <c r="DR91" s="612"/>
      <c r="DS91" s="612"/>
      <c r="DT91" s="612"/>
      <c r="DU91" s="612"/>
      <c r="DV91" s="612"/>
      <c r="DW91" s="612"/>
      <c r="DX91" s="612"/>
      <c r="DY91" s="612"/>
      <c r="DZ91" s="612"/>
      <c r="EA91" s="612"/>
      <c r="EB91" s="612"/>
      <c r="EC91" s="612"/>
      <c r="ED91" s="612"/>
      <c r="EE91" s="612"/>
      <c r="EF91" s="612"/>
      <c r="EG91" s="612"/>
      <c r="EH91" s="612"/>
      <c r="EI91" s="612"/>
      <c r="EJ91" s="612"/>
      <c r="EK91" s="612"/>
      <c r="EL91" s="612"/>
      <c r="EM91" s="612"/>
      <c r="EN91" s="612"/>
      <c r="EO91" s="612"/>
      <c r="EP91" s="612"/>
      <c r="EQ91" s="612"/>
      <c r="ER91" s="612"/>
      <c r="ES91" s="612"/>
      <c r="ET91" s="612"/>
      <c r="EU91" s="612"/>
      <c r="EV91" s="612"/>
      <c r="EW91" s="612"/>
      <c r="EX91" s="612"/>
      <c r="EY91" s="612"/>
      <c r="EZ91" s="612"/>
      <c r="FA91" s="612"/>
      <c r="FB91" s="612"/>
      <c r="FC91" s="612"/>
      <c r="FD91" s="612"/>
      <c r="FE91" s="612"/>
      <c r="FF91" s="612"/>
      <c r="FG91" s="612"/>
      <c r="FH91" s="612"/>
      <c r="FI91" s="612"/>
      <c r="FJ91" s="612"/>
      <c r="FK91" s="612"/>
      <c r="FL91" s="612"/>
      <c r="FM91" s="612"/>
      <c r="FN91" s="612"/>
      <c r="FO91" s="612"/>
      <c r="FP91" s="612"/>
      <c r="FQ91" s="612"/>
      <c r="FR91" s="612"/>
      <c r="FS91" s="612"/>
      <c r="FT91" s="612"/>
      <c r="FU91" s="612"/>
      <c r="FV91" s="612"/>
      <c r="FW91" s="612"/>
      <c r="FX91" s="612"/>
      <c r="FY91" s="612"/>
      <c r="FZ91" s="612"/>
      <c r="GA91" s="612"/>
      <c r="GB91" s="612"/>
      <c r="GC91" s="612"/>
      <c r="GD91" s="612"/>
      <c r="GE91" s="245"/>
      <c r="GF91" s="612"/>
      <c r="GG91" s="612"/>
      <c r="GH91" s="612"/>
      <c r="GI91" s="612"/>
      <c r="GJ91" s="612"/>
      <c r="GK91" s="612"/>
      <c r="GL91" s="612"/>
      <c r="GM91" s="612"/>
      <c r="GN91" s="612"/>
      <c r="GO91" s="612"/>
      <c r="GP91" s="612"/>
      <c r="GQ91" s="612"/>
      <c r="GR91" s="612"/>
      <c r="GS91" s="612"/>
      <c r="GT91" s="612"/>
      <c r="GU91" s="612"/>
      <c r="GV91" s="612"/>
      <c r="GW91" s="612"/>
      <c r="GX91" s="612"/>
      <c r="GY91" s="612"/>
      <c r="GZ91" s="612"/>
      <c r="HA91" s="612"/>
      <c r="HB91" s="612"/>
      <c r="HC91" s="612"/>
      <c r="HD91" s="612"/>
      <c r="HE91" s="612"/>
      <c r="HF91" s="612"/>
      <c r="HG91" s="612"/>
      <c r="HH91" s="612"/>
      <c r="HI91" s="612"/>
      <c r="HJ91" s="612"/>
      <c r="HK91" s="612"/>
      <c r="HL91" s="612"/>
      <c r="HM91" s="612"/>
      <c r="HN91" s="612"/>
      <c r="HO91" s="612"/>
      <c r="HP91" s="612"/>
      <c r="HQ91" s="612"/>
      <c r="HR91" s="612"/>
      <c r="HS91" s="612"/>
      <c r="HT91" s="612"/>
      <c r="HU91" s="612"/>
      <c r="HV91" s="612"/>
      <c r="HW91" s="612"/>
      <c r="HX91" s="612"/>
      <c r="HY91" s="612"/>
      <c r="HZ91" s="612"/>
      <c r="IA91" s="612"/>
      <c r="IB91" s="612"/>
      <c r="IC91" s="612"/>
      <c r="ID91" s="612"/>
      <c r="IE91" s="612"/>
      <c r="IF91" s="612"/>
      <c r="IG91" s="612"/>
      <c r="IH91" s="612"/>
      <c r="II91" s="612"/>
    </row>
    <row r="92" spans="1:243" ht="15" customHeight="1">
      <c r="A92" s="72"/>
      <c r="B92" s="72"/>
      <c r="C92" s="72"/>
      <c r="D92" s="8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231"/>
      <c r="R92" s="231"/>
      <c r="S92" s="231"/>
      <c r="T92" s="231"/>
      <c r="U92" s="231"/>
      <c r="V92" s="231"/>
      <c r="W92" s="231"/>
      <c r="X92" s="231"/>
      <c r="Y92" s="231"/>
      <c r="Z92" s="231"/>
      <c r="AA92" s="231"/>
      <c r="AB92" s="231"/>
      <c r="AC92" s="231"/>
      <c r="AD92" s="231"/>
      <c r="AE92" s="231"/>
      <c r="AF92" s="231"/>
      <c r="AG92" s="231"/>
      <c r="AH92" s="47"/>
      <c r="AI92" s="47"/>
      <c r="AJ92" s="47"/>
      <c r="AK92" s="47"/>
      <c r="AL92" s="47"/>
      <c r="AM92" s="47"/>
      <c r="AN92" s="47"/>
      <c r="AO92" s="47"/>
      <c r="AP92" s="47"/>
      <c r="AQ92" s="47"/>
      <c r="AR92" s="47"/>
      <c r="AS92" s="47"/>
      <c r="AT92" s="47"/>
      <c r="AU92" s="47"/>
      <c r="AV92" s="47"/>
      <c r="AW92" s="47"/>
      <c r="AX92" s="47"/>
      <c r="AY92" s="47"/>
      <c r="AZ92" s="47"/>
      <c r="BA92" s="47"/>
      <c r="BB92" s="47"/>
      <c r="BC92" s="47"/>
      <c r="BD92" s="47"/>
      <c r="BE92" s="47"/>
      <c r="BF92" s="47"/>
      <c r="BG92" s="47"/>
      <c r="BH92" s="47"/>
      <c r="BI92" s="47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47"/>
      <c r="BZ92" s="47"/>
      <c r="CA92" s="47"/>
      <c r="CB92" s="47"/>
      <c r="CC92" s="47"/>
      <c r="CD92" s="47"/>
      <c r="CE92" s="47"/>
      <c r="CF92" s="47"/>
      <c r="CG92" s="47"/>
      <c r="CH92" s="47"/>
      <c r="CI92" s="47"/>
      <c r="CJ92" s="47"/>
      <c r="CK92" s="47"/>
      <c r="CL92" s="47"/>
      <c r="CM92" s="47"/>
      <c r="CN92" s="47"/>
      <c r="CO92" s="47"/>
      <c r="CP92" s="47"/>
      <c r="CQ92" s="47"/>
      <c r="CR92" s="47"/>
      <c r="CS92" s="47"/>
      <c r="CT92" s="47"/>
      <c r="CU92" s="47"/>
      <c r="CV92" s="47"/>
      <c r="CW92" s="47"/>
      <c r="CX92" s="47"/>
      <c r="CY92" s="47"/>
      <c r="CZ92" s="47"/>
      <c r="DA92" s="47"/>
      <c r="DB92" s="47"/>
      <c r="DC92" s="47"/>
      <c r="DD92" s="47"/>
      <c r="DE92" s="47"/>
      <c r="DF92" s="47"/>
      <c r="DG92" s="47"/>
      <c r="DH92" s="47"/>
      <c r="DI92" s="47"/>
      <c r="DJ92" s="47"/>
      <c r="DK92" s="47"/>
      <c r="DL92" s="47"/>
      <c r="DM92" s="47"/>
      <c r="DN92" s="47"/>
      <c r="DO92" s="47"/>
      <c r="DP92" s="47"/>
      <c r="DQ92" s="47"/>
      <c r="DR92" s="47"/>
      <c r="DS92" s="47"/>
      <c r="DT92" s="47"/>
      <c r="DU92" s="47"/>
      <c r="DV92" s="47"/>
      <c r="DW92" s="47"/>
      <c r="DX92" s="47"/>
      <c r="DY92" s="47"/>
      <c r="DZ92" s="47"/>
      <c r="EA92" s="47"/>
      <c r="EB92" s="47"/>
      <c r="EC92" s="47"/>
      <c r="ED92" s="47"/>
      <c r="EE92" s="47"/>
      <c r="EF92" s="47"/>
      <c r="EG92" s="47"/>
      <c r="EH92" s="612"/>
      <c r="EI92" s="612"/>
      <c r="EJ92" s="612"/>
      <c r="EK92" s="612"/>
      <c r="EL92" s="612"/>
      <c r="EM92" s="612"/>
      <c r="EN92" s="612"/>
      <c r="EO92" s="612"/>
      <c r="EP92" s="612"/>
      <c r="EQ92" s="612"/>
      <c r="ER92" s="612"/>
      <c r="ES92" s="612"/>
      <c r="ET92" s="612"/>
      <c r="EU92" s="612"/>
      <c r="EV92" s="612"/>
      <c r="EW92" s="612"/>
      <c r="EX92" s="612"/>
      <c r="EY92" s="612"/>
      <c r="EZ92" s="612"/>
      <c r="FA92" s="612"/>
      <c r="FB92" s="612"/>
      <c r="FC92" s="612"/>
      <c r="FD92" s="612"/>
      <c r="FE92" s="612"/>
      <c r="FF92" s="612"/>
      <c r="FG92" s="612"/>
      <c r="FH92" s="612"/>
      <c r="FI92" s="612"/>
      <c r="FJ92" s="612"/>
      <c r="FK92" s="612"/>
      <c r="FL92" s="612"/>
      <c r="FM92" s="612"/>
      <c r="FN92" s="612"/>
      <c r="FO92" s="612"/>
      <c r="FP92" s="612"/>
      <c r="FQ92" s="612"/>
      <c r="FR92" s="612"/>
      <c r="FS92" s="612"/>
      <c r="FT92" s="612"/>
      <c r="FU92" s="612"/>
      <c r="FV92" s="612"/>
      <c r="FW92" s="612"/>
      <c r="FX92" s="612"/>
      <c r="FY92" s="612"/>
      <c r="FZ92" s="612"/>
      <c r="GA92" s="612"/>
      <c r="GB92" s="612"/>
      <c r="GC92" s="612"/>
      <c r="GD92" s="612"/>
      <c r="GE92" s="245"/>
      <c r="GF92" s="612"/>
      <c r="GG92" s="612"/>
      <c r="GH92" s="612"/>
      <c r="GI92" s="612"/>
      <c r="GJ92" s="612"/>
      <c r="GK92" s="612"/>
      <c r="GL92" s="612"/>
      <c r="GM92" s="612"/>
      <c r="GN92" s="612"/>
      <c r="GO92" s="612"/>
      <c r="GP92" s="612"/>
      <c r="GQ92" s="612"/>
      <c r="GR92" s="612"/>
      <c r="GS92" s="612"/>
      <c r="GT92" s="612"/>
      <c r="GU92" s="612"/>
      <c r="GV92" s="612"/>
      <c r="GW92" s="612"/>
      <c r="GX92" s="612"/>
      <c r="GY92" s="612"/>
      <c r="GZ92" s="612"/>
      <c r="HA92" s="612"/>
      <c r="HB92" s="612"/>
      <c r="HC92" s="612"/>
      <c r="HD92" s="612"/>
      <c r="HE92" s="612"/>
      <c r="HF92" s="612"/>
      <c r="HG92" s="612"/>
      <c r="HH92" s="612"/>
      <c r="HI92" s="612"/>
      <c r="HJ92" s="612"/>
      <c r="HK92" s="612"/>
      <c r="HL92" s="612"/>
      <c r="HM92" s="612"/>
      <c r="HN92" s="612"/>
      <c r="HO92" s="612"/>
      <c r="HP92" s="612"/>
      <c r="HQ92" s="612"/>
      <c r="HR92" s="612"/>
      <c r="HS92" s="612"/>
      <c r="HT92" s="612"/>
      <c r="HU92" s="612"/>
      <c r="HV92" s="612"/>
      <c r="HW92" s="612"/>
      <c r="HX92" s="612"/>
      <c r="HY92" s="612"/>
      <c r="HZ92" s="612"/>
      <c r="IA92" s="612"/>
      <c r="IB92" s="612"/>
      <c r="IC92" s="612"/>
      <c r="ID92" s="612"/>
      <c r="IE92" s="612"/>
      <c r="IF92" s="612"/>
      <c r="IG92" s="612"/>
      <c r="IH92" s="612"/>
      <c r="II92" s="612"/>
    </row>
    <row r="93" spans="1:243" ht="15" customHeight="1">
      <c r="A93" s="72"/>
      <c r="B93" s="72"/>
      <c r="C93" s="72"/>
      <c r="D93" s="89"/>
      <c r="E93" s="231"/>
      <c r="F93" s="231"/>
      <c r="G93" s="231"/>
      <c r="H93" s="231"/>
      <c r="I93" s="231"/>
      <c r="J93" s="231"/>
      <c r="K93" s="231"/>
      <c r="L93" s="231"/>
      <c r="M93" s="231"/>
      <c r="N93" s="231"/>
      <c r="O93" s="231"/>
      <c r="P93" s="231"/>
      <c r="Q93" s="231"/>
      <c r="R93" s="231"/>
      <c r="S93" s="231"/>
      <c r="T93" s="231"/>
      <c r="U93" s="231"/>
      <c r="V93" s="231"/>
      <c r="W93" s="231"/>
      <c r="X93" s="231"/>
      <c r="Y93" s="231"/>
      <c r="Z93" s="231"/>
      <c r="AA93" s="231"/>
      <c r="AB93" s="231"/>
      <c r="AC93" s="231"/>
      <c r="AD93" s="231"/>
      <c r="AE93" s="231"/>
      <c r="AF93" s="231"/>
      <c r="AG93" s="231"/>
      <c r="AH93" s="47"/>
      <c r="AI93" s="47"/>
      <c r="AJ93" s="47"/>
      <c r="AK93" s="47"/>
      <c r="AL93" s="47"/>
      <c r="AM93" s="47"/>
      <c r="AN93" s="47"/>
      <c r="AO93" s="47"/>
      <c r="AP93" s="47"/>
      <c r="AQ93" s="47"/>
      <c r="AR93" s="47"/>
      <c r="AS93" s="47"/>
      <c r="AT93" s="47"/>
      <c r="AU93" s="47"/>
      <c r="AV93" s="47"/>
      <c r="AW93" s="47"/>
      <c r="AX93" s="47"/>
      <c r="AY93" s="47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49"/>
      <c r="BQ93" s="49"/>
      <c r="BR93" s="49"/>
      <c r="BS93" s="49"/>
      <c r="BT93" s="49"/>
      <c r="BU93" s="49"/>
      <c r="BV93" s="49"/>
      <c r="BW93" s="49"/>
      <c r="BX93" s="49"/>
      <c r="BY93" s="49"/>
      <c r="BZ93" s="49"/>
      <c r="CA93" s="49"/>
      <c r="CB93" s="49"/>
      <c r="CC93" s="49"/>
      <c r="CD93" s="49"/>
      <c r="CE93" s="49"/>
      <c r="CF93" s="49"/>
      <c r="CG93" s="49"/>
      <c r="CH93" s="49"/>
      <c r="CI93" s="49"/>
      <c r="CJ93" s="49"/>
      <c r="CK93" s="49"/>
      <c r="CL93" s="49"/>
      <c r="CM93" s="49"/>
      <c r="CN93" s="49"/>
      <c r="CO93" s="49"/>
      <c r="CP93" s="49"/>
      <c r="CQ93" s="49"/>
      <c r="CR93" s="49"/>
      <c r="CS93" s="49"/>
      <c r="CT93" s="49"/>
      <c r="CU93" s="49"/>
      <c r="CV93" s="49"/>
      <c r="CW93" s="49"/>
      <c r="CX93" s="49"/>
      <c r="CY93" s="49"/>
      <c r="CZ93" s="49"/>
      <c r="DA93" s="49"/>
      <c r="DB93" s="49"/>
      <c r="DC93" s="49"/>
      <c r="DD93" s="49"/>
      <c r="DE93" s="49"/>
      <c r="DF93" s="49"/>
      <c r="DG93" s="49"/>
      <c r="DH93" s="49"/>
      <c r="DI93" s="49"/>
      <c r="DJ93" s="49"/>
      <c r="DK93" s="49"/>
      <c r="DL93" s="49"/>
      <c r="DM93" s="49"/>
      <c r="DN93" s="49"/>
      <c r="DO93" s="49"/>
      <c r="DP93" s="49"/>
      <c r="DQ93" s="49"/>
      <c r="DR93" s="49"/>
      <c r="DS93" s="49"/>
      <c r="DT93" s="49"/>
      <c r="DU93" s="49"/>
      <c r="DV93" s="49"/>
      <c r="DW93" s="49"/>
      <c r="DX93" s="49"/>
      <c r="DY93" s="49"/>
      <c r="DZ93" s="49"/>
      <c r="EA93" s="49"/>
      <c r="EB93" s="49"/>
      <c r="EC93" s="49"/>
      <c r="ED93" s="49"/>
      <c r="EE93" s="49"/>
      <c r="EF93" s="49"/>
      <c r="EG93" s="49"/>
      <c r="EH93" s="612"/>
      <c r="EI93" s="612"/>
      <c r="EJ93" s="612"/>
      <c r="EK93" s="612"/>
      <c r="EL93" s="612"/>
      <c r="EM93" s="612"/>
      <c r="EN93" s="612"/>
      <c r="EO93" s="612"/>
      <c r="EP93" s="612"/>
      <c r="EQ93" s="612"/>
      <c r="ER93" s="612"/>
      <c r="ES93" s="612"/>
      <c r="ET93" s="612"/>
      <c r="EU93" s="612"/>
      <c r="EV93" s="612"/>
      <c r="EW93" s="612"/>
      <c r="EX93" s="612"/>
      <c r="EY93" s="612"/>
      <c r="EZ93" s="612"/>
      <c r="FA93" s="612"/>
      <c r="FB93" s="612"/>
      <c r="FC93" s="612"/>
      <c r="FD93" s="612"/>
      <c r="FE93" s="612"/>
      <c r="FF93" s="612"/>
      <c r="FG93" s="612"/>
      <c r="FH93" s="612"/>
      <c r="FI93" s="612"/>
      <c r="FJ93" s="612"/>
      <c r="FK93" s="612"/>
      <c r="FL93" s="612"/>
      <c r="FM93" s="612"/>
      <c r="FN93" s="612"/>
      <c r="FO93" s="612"/>
      <c r="FP93" s="612"/>
      <c r="FQ93" s="612"/>
      <c r="FR93" s="612"/>
      <c r="FS93" s="612"/>
      <c r="FT93" s="612"/>
      <c r="FU93" s="612"/>
      <c r="FV93" s="612"/>
      <c r="FW93" s="612"/>
      <c r="FX93" s="612"/>
      <c r="FY93" s="612"/>
      <c r="FZ93" s="612"/>
      <c r="GA93" s="612"/>
      <c r="GB93" s="612"/>
      <c r="GC93" s="612"/>
      <c r="GD93" s="612"/>
      <c r="GE93" s="245"/>
      <c r="GF93" s="612"/>
      <c r="GG93" s="612"/>
      <c r="GH93" s="612"/>
      <c r="GI93" s="612"/>
      <c r="GJ93" s="612"/>
      <c r="GK93" s="612"/>
      <c r="GL93" s="612"/>
      <c r="GM93" s="612"/>
      <c r="GN93" s="612"/>
      <c r="GO93" s="612"/>
      <c r="GP93" s="612"/>
      <c r="GQ93" s="612"/>
      <c r="GR93" s="612"/>
      <c r="GS93" s="612"/>
      <c r="GT93" s="612"/>
      <c r="GU93" s="612"/>
      <c r="GV93" s="612"/>
      <c r="GW93" s="612"/>
      <c r="GX93" s="612"/>
      <c r="GY93" s="612"/>
      <c r="GZ93" s="612"/>
      <c r="HA93" s="612"/>
      <c r="HB93" s="612"/>
      <c r="HC93" s="612"/>
      <c r="HD93" s="612"/>
      <c r="HE93" s="612"/>
      <c r="HF93" s="612"/>
      <c r="HG93" s="612"/>
      <c r="HH93" s="612"/>
      <c r="HI93" s="612"/>
      <c r="HJ93" s="612"/>
      <c r="HK93" s="612"/>
      <c r="HL93" s="612"/>
      <c r="HM93" s="612"/>
      <c r="HN93" s="612"/>
      <c r="HO93" s="612"/>
      <c r="HP93" s="612"/>
      <c r="HQ93" s="612"/>
      <c r="HR93" s="612"/>
      <c r="HS93" s="612"/>
      <c r="HT93" s="612"/>
      <c r="HU93" s="612"/>
      <c r="HV93" s="612"/>
      <c r="HW93" s="612"/>
      <c r="HX93" s="612"/>
      <c r="HY93" s="612"/>
      <c r="HZ93" s="612"/>
      <c r="IA93" s="612"/>
      <c r="IB93" s="612"/>
      <c r="IC93" s="612"/>
      <c r="ID93" s="612"/>
      <c r="IE93" s="612"/>
      <c r="IF93" s="612"/>
      <c r="IG93" s="612"/>
      <c r="IH93" s="612"/>
      <c r="II93" s="612"/>
    </row>
    <row r="94" spans="1:243" ht="15" customHeight="1">
      <c r="A94" s="72"/>
      <c r="B94" s="72"/>
      <c r="C94" s="72"/>
      <c r="D94" s="89"/>
      <c r="E94" s="231"/>
      <c r="F94" s="231"/>
      <c r="G94" s="231"/>
      <c r="H94" s="231"/>
      <c r="I94" s="231"/>
      <c r="J94" s="231"/>
      <c r="K94" s="231"/>
      <c r="L94" s="231"/>
      <c r="M94" s="231"/>
      <c r="N94" s="231"/>
      <c r="O94" s="231"/>
      <c r="P94" s="231"/>
      <c r="Q94" s="231"/>
      <c r="R94" s="231"/>
      <c r="S94" s="231"/>
      <c r="T94" s="231"/>
      <c r="U94" s="231"/>
      <c r="V94" s="231"/>
      <c r="W94" s="231"/>
      <c r="X94" s="231"/>
      <c r="Y94" s="231"/>
      <c r="Z94" s="231"/>
      <c r="AA94" s="231"/>
      <c r="AB94" s="231"/>
      <c r="AC94" s="231"/>
      <c r="AD94" s="231"/>
      <c r="AE94" s="231"/>
      <c r="AF94" s="231"/>
      <c r="AG94" s="231"/>
      <c r="AH94" s="47"/>
      <c r="AI94" s="47"/>
      <c r="AJ94" s="47"/>
      <c r="AK94" s="47"/>
      <c r="AL94" s="47"/>
      <c r="AM94" s="47"/>
      <c r="AN94" s="47"/>
      <c r="AO94" s="47"/>
      <c r="AP94" s="47"/>
      <c r="AQ94" s="47"/>
      <c r="AR94" s="47"/>
      <c r="AS94" s="47"/>
      <c r="AT94" s="47"/>
      <c r="AU94" s="47"/>
      <c r="AV94" s="47"/>
      <c r="AW94" s="47"/>
      <c r="AX94" s="47"/>
      <c r="AY94" s="47"/>
      <c r="AZ94" s="50"/>
      <c r="BA94" s="612"/>
      <c r="BB94" s="612"/>
      <c r="BC94" s="612"/>
      <c r="BD94" s="612"/>
      <c r="BE94" s="612"/>
      <c r="BF94" s="612"/>
      <c r="BG94" s="612"/>
      <c r="BH94" s="612"/>
      <c r="BI94" s="612"/>
      <c r="BJ94" s="612"/>
      <c r="BK94" s="612"/>
      <c r="BL94" s="612"/>
      <c r="BM94" s="612"/>
      <c r="BN94" s="612"/>
      <c r="BO94" s="612"/>
      <c r="BP94" s="612"/>
      <c r="BQ94" s="612"/>
      <c r="BR94" s="612"/>
      <c r="BS94" s="612"/>
      <c r="BT94" s="612"/>
      <c r="BU94" s="612"/>
      <c r="BV94" s="612"/>
      <c r="BW94" s="612"/>
      <c r="BX94" s="612"/>
      <c r="BY94" s="612"/>
      <c r="BZ94" s="612"/>
      <c r="CA94" s="612"/>
      <c r="CB94" s="612"/>
      <c r="CC94" s="612"/>
      <c r="CD94" s="612"/>
      <c r="CE94" s="612"/>
      <c r="CF94" s="612"/>
      <c r="CG94" s="612"/>
      <c r="CH94" s="612"/>
      <c r="CI94" s="612"/>
      <c r="CJ94" s="612"/>
      <c r="CK94" s="612"/>
      <c r="CL94" s="612"/>
      <c r="CM94" s="612"/>
      <c r="CN94" s="612"/>
      <c r="CO94" s="612"/>
      <c r="CP94" s="612"/>
      <c r="CQ94" s="612"/>
      <c r="CR94" s="612"/>
      <c r="CS94" s="612"/>
      <c r="CT94" s="612"/>
      <c r="CU94" s="612"/>
      <c r="CV94" s="612"/>
      <c r="CW94" s="612"/>
      <c r="CX94" s="612"/>
      <c r="CY94" s="612"/>
      <c r="CZ94" s="612"/>
      <c r="DA94" s="612"/>
      <c r="DB94" s="612"/>
      <c r="DC94" s="612"/>
      <c r="DD94" s="612"/>
      <c r="DE94" s="612"/>
      <c r="DF94" s="612"/>
      <c r="DG94" s="612"/>
      <c r="DH94" s="612"/>
      <c r="DI94" s="612"/>
      <c r="DJ94" s="612"/>
      <c r="DK94" s="612"/>
      <c r="DL94" s="612"/>
      <c r="DM94" s="612"/>
      <c r="DN94" s="612"/>
      <c r="DO94" s="612"/>
      <c r="DP94" s="612"/>
      <c r="DQ94" s="612"/>
      <c r="DR94" s="612"/>
      <c r="DS94" s="612"/>
      <c r="DT94" s="612"/>
      <c r="DU94" s="612"/>
      <c r="DV94" s="612"/>
      <c r="DW94" s="612"/>
      <c r="DX94" s="612"/>
      <c r="DY94" s="612"/>
      <c r="DZ94" s="612"/>
      <c r="EA94" s="612"/>
      <c r="EB94" s="612"/>
      <c r="EC94" s="612"/>
      <c r="ED94" s="612"/>
      <c r="EE94" s="612"/>
      <c r="EF94" s="612"/>
      <c r="EG94" s="612"/>
      <c r="EH94" s="612"/>
      <c r="EI94" s="612"/>
      <c r="EJ94" s="612"/>
      <c r="EK94" s="612"/>
      <c r="EL94" s="612"/>
      <c r="EM94" s="612"/>
      <c r="EN94" s="612"/>
      <c r="EO94" s="612"/>
      <c r="EP94" s="612"/>
      <c r="EQ94" s="612"/>
      <c r="ER94" s="612"/>
      <c r="ES94" s="612"/>
      <c r="ET94" s="612"/>
      <c r="EU94" s="612"/>
      <c r="EV94" s="612"/>
      <c r="EW94" s="612"/>
      <c r="EX94" s="612"/>
      <c r="EY94" s="612"/>
      <c r="EZ94" s="612"/>
      <c r="FA94" s="612"/>
      <c r="FB94" s="612"/>
      <c r="FC94" s="612"/>
      <c r="FD94" s="612"/>
      <c r="FE94" s="612"/>
      <c r="FF94" s="612"/>
      <c r="FG94" s="612"/>
      <c r="FH94" s="612"/>
      <c r="FI94" s="612"/>
      <c r="FJ94" s="612"/>
      <c r="FK94" s="612"/>
      <c r="FL94" s="612"/>
      <c r="FM94" s="612"/>
      <c r="FN94" s="612"/>
      <c r="FO94" s="612"/>
      <c r="FP94" s="612"/>
      <c r="FQ94" s="612"/>
      <c r="FR94" s="612"/>
      <c r="FS94" s="612"/>
      <c r="FT94" s="612"/>
      <c r="FU94" s="612"/>
      <c r="FV94" s="612"/>
      <c r="FW94" s="612"/>
      <c r="FX94" s="612"/>
      <c r="FY94" s="612"/>
      <c r="FZ94" s="612"/>
      <c r="GA94" s="612"/>
      <c r="GB94" s="612"/>
      <c r="GC94" s="612"/>
      <c r="GD94" s="612"/>
      <c r="GE94" s="245"/>
      <c r="GF94" s="612"/>
      <c r="GG94" s="612"/>
      <c r="GH94" s="612"/>
      <c r="GI94" s="612"/>
      <c r="GJ94" s="612"/>
      <c r="GK94" s="612"/>
      <c r="GL94" s="612"/>
      <c r="GM94" s="612"/>
      <c r="GN94" s="612"/>
      <c r="GO94" s="612"/>
      <c r="GP94" s="612"/>
      <c r="GQ94" s="612"/>
      <c r="GR94" s="612"/>
      <c r="GS94" s="612"/>
      <c r="GT94" s="612"/>
      <c r="GU94" s="612"/>
      <c r="GV94" s="612"/>
      <c r="GW94" s="612"/>
      <c r="GX94" s="612"/>
      <c r="GY94" s="612"/>
      <c r="GZ94" s="612"/>
      <c r="HA94" s="612"/>
      <c r="HB94" s="612"/>
      <c r="HC94" s="612"/>
      <c r="HD94" s="612"/>
      <c r="HE94" s="612"/>
      <c r="HF94" s="612"/>
      <c r="HG94" s="612"/>
      <c r="HH94" s="612"/>
      <c r="HI94" s="612"/>
      <c r="HJ94" s="612"/>
      <c r="HK94" s="612"/>
      <c r="HL94" s="612"/>
      <c r="HM94" s="612"/>
      <c r="HN94" s="612"/>
      <c r="HO94" s="612"/>
      <c r="HP94" s="612"/>
      <c r="HQ94" s="612"/>
      <c r="HR94" s="612"/>
      <c r="HS94" s="612"/>
      <c r="HT94" s="612"/>
      <c r="HU94" s="612"/>
      <c r="HV94" s="612"/>
      <c r="HW94" s="612"/>
      <c r="HX94" s="612"/>
      <c r="HY94" s="612"/>
      <c r="HZ94" s="612"/>
      <c r="IA94" s="612"/>
      <c r="IB94" s="612"/>
      <c r="IC94" s="612"/>
      <c r="ID94" s="612"/>
      <c r="IE94" s="612"/>
      <c r="IF94" s="612"/>
      <c r="IG94" s="612"/>
      <c r="IH94" s="612"/>
      <c r="II94" s="612"/>
    </row>
    <row r="95" spans="1:243" ht="15" customHeight="1">
      <c r="A95" s="72"/>
      <c r="B95" s="72"/>
      <c r="C95" s="72"/>
      <c r="D95" s="89"/>
      <c r="E95" s="231"/>
      <c r="F95" s="231"/>
      <c r="G95" s="231"/>
      <c r="H95" s="231"/>
      <c r="I95" s="231"/>
      <c r="J95" s="231"/>
      <c r="K95" s="231"/>
      <c r="L95" s="231"/>
      <c r="M95" s="231"/>
      <c r="N95" s="231"/>
      <c r="O95" s="231"/>
      <c r="P95" s="231"/>
      <c r="Q95" s="231"/>
      <c r="R95" s="231"/>
      <c r="S95" s="231"/>
      <c r="T95" s="231"/>
      <c r="U95" s="231"/>
      <c r="V95" s="231"/>
      <c r="W95" s="231"/>
      <c r="X95" s="231"/>
      <c r="Y95" s="231"/>
      <c r="Z95" s="231"/>
      <c r="AA95" s="231"/>
      <c r="AB95" s="231"/>
      <c r="AC95" s="231"/>
      <c r="AD95" s="231"/>
      <c r="AE95" s="231"/>
      <c r="AF95" s="231"/>
      <c r="AG95" s="231"/>
      <c r="AH95" s="47"/>
      <c r="AI95" s="47"/>
      <c r="AJ95" s="47"/>
      <c r="AK95" s="47"/>
      <c r="AL95" s="47"/>
      <c r="AM95" s="47"/>
      <c r="AN95" s="47"/>
      <c r="AO95" s="47"/>
      <c r="AP95" s="47"/>
      <c r="AQ95" s="47"/>
      <c r="AR95" s="47"/>
      <c r="AS95" s="47"/>
      <c r="AT95" s="47"/>
      <c r="AU95" s="47"/>
      <c r="AV95" s="47"/>
      <c r="AW95" s="47"/>
      <c r="AX95" s="47"/>
      <c r="AY95" s="47"/>
      <c r="AZ95" s="50"/>
      <c r="BA95" s="612"/>
      <c r="BB95" s="612"/>
      <c r="BC95" s="612"/>
      <c r="BD95" s="612"/>
      <c r="BE95" s="612"/>
      <c r="BF95" s="612"/>
      <c r="BG95" s="612"/>
      <c r="BH95" s="612"/>
      <c r="BI95" s="612"/>
      <c r="BJ95" s="612"/>
      <c r="BK95" s="612"/>
      <c r="BL95" s="612"/>
      <c r="BM95" s="612"/>
      <c r="BN95" s="612"/>
      <c r="BO95" s="612"/>
      <c r="BP95" s="612"/>
      <c r="BQ95" s="612"/>
      <c r="BR95" s="612"/>
      <c r="BS95" s="612"/>
      <c r="BT95" s="612"/>
      <c r="BU95" s="612"/>
      <c r="BV95" s="612"/>
      <c r="BW95" s="612"/>
      <c r="BX95" s="612"/>
      <c r="BY95" s="612"/>
      <c r="BZ95" s="612"/>
      <c r="CA95" s="612"/>
      <c r="CB95" s="612"/>
      <c r="CC95" s="612"/>
      <c r="CD95" s="612"/>
      <c r="CE95" s="612"/>
      <c r="CF95" s="612"/>
      <c r="CG95" s="612"/>
      <c r="CH95" s="612"/>
      <c r="CI95" s="612"/>
      <c r="CJ95" s="612"/>
      <c r="CK95" s="612"/>
      <c r="CL95" s="612"/>
      <c r="CM95" s="612"/>
      <c r="CN95" s="612"/>
      <c r="CO95" s="612"/>
      <c r="CP95" s="612"/>
      <c r="CQ95" s="612"/>
      <c r="CR95" s="612"/>
      <c r="CS95" s="612"/>
      <c r="CT95" s="612"/>
      <c r="CU95" s="612"/>
      <c r="CV95" s="612"/>
      <c r="CW95" s="612"/>
      <c r="CX95" s="612"/>
      <c r="CY95" s="612"/>
      <c r="CZ95" s="612"/>
      <c r="DA95" s="612"/>
      <c r="DB95" s="612"/>
      <c r="DC95" s="612"/>
      <c r="DD95" s="612"/>
      <c r="DE95" s="612"/>
      <c r="DF95" s="612"/>
      <c r="DG95" s="612"/>
      <c r="DH95" s="612"/>
      <c r="DI95" s="612"/>
      <c r="DJ95" s="612"/>
      <c r="DK95" s="612"/>
      <c r="DL95" s="612"/>
      <c r="DM95" s="612"/>
      <c r="DN95" s="612"/>
      <c r="DO95" s="612"/>
      <c r="DP95" s="612"/>
      <c r="DQ95" s="612"/>
      <c r="DR95" s="612"/>
      <c r="DS95" s="612"/>
      <c r="DT95" s="612"/>
      <c r="DU95" s="612"/>
      <c r="DV95" s="612"/>
      <c r="DW95" s="612"/>
      <c r="DX95" s="612"/>
      <c r="DY95" s="612"/>
      <c r="DZ95" s="612"/>
      <c r="EA95" s="612"/>
      <c r="EB95" s="612"/>
      <c r="EC95" s="612"/>
      <c r="ED95" s="612"/>
      <c r="EE95" s="612"/>
      <c r="EF95" s="612"/>
      <c r="EG95" s="612"/>
      <c r="EH95" s="612"/>
      <c r="EI95" s="612"/>
      <c r="EJ95" s="612"/>
      <c r="EK95" s="612"/>
      <c r="EL95" s="612"/>
      <c r="EM95" s="612"/>
      <c r="EN95" s="612"/>
      <c r="EO95" s="612"/>
      <c r="EP95" s="612"/>
      <c r="EQ95" s="612"/>
      <c r="ER95" s="612"/>
      <c r="ES95" s="612"/>
      <c r="ET95" s="612"/>
      <c r="EU95" s="612"/>
      <c r="EV95" s="612"/>
      <c r="EW95" s="612"/>
      <c r="EX95" s="612"/>
      <c r="EY95" s="612"/>
      <c r="EZ95" s="612"/>
      <c r="FA95" s="612"/>
      <c r="FB95" s="612"/>
      <c r="FC95" s="612"/>
      <c r="FD95" s="612"/>
      <c r="FE95" s="612"/>
      <c r="FF95" s="612"/>
      <c r="FG95" s="612"/>
      <c r="FH95" s="612"/>
      <c r="FI95" s="612"/>
      <c r="FJ95" s="612"/>
      <c r="FK95" s="612"/>
      <c r="FL95" s="612"/>
      <c r="FM95" s="612"/>
      <c r="FN95" s="612"/>
      <c r="FO95" s="612"/>
      <c r="FP95" s="612"/>
      <c r="FQ95" s="612"/>
      <c r="FR95" s="612"/>
      <c r="FS95" s="612"/>
      <c r="FT95" s="612"/>
      <c r="FU95" s="612"/>
      <c r="FV95" s="612"/>
      <c r="FW95" s="612"/>
      <c r="FX95" s="612"/>
      <c r="FY95" s="612"/>
      <c r="FZ95" s="612"/>
      <c r="GA95" s="612"/>
      <c r="GB95" s="612"/>
      <c r="GC95" s="612"/>
      <c r="GD95" s="612"/>
      <c r="GE95" s="245"/>
      <c r="GF95" s="612"/>
      <c r="GG95" s="612"/>
      <c r="GH95" s="612"/>
      <c r="GI95" s="612"/>
      <c r="GJ95" s="612"/>
      <c r="GK95" s="612"/>
      <c r="GL95" s="612"/>
      <c r="GM95" s="612"/>
      <c r="GN95" s="612"/>
      <c r="GO95" s="612"/>
      <c r="GP95" s="612"/>
      <c r="GQ95" s="612"/>
      <c r="GR95" s="612"/>
      <c r="GS95" s="612"/>
      <c r="GT95" s="612"/>
      <c r="GU95" s="612"/>
      <c r="GV95" s="612"/>
      <c r="GW95" s="612"/>
      <c r="GX95" s="612"/>
      <c r="GY95" s="612"/>
      <c r="GZ95" s="612"/>
      <c r="HA95" s="612"/>
      <c r="HB95" s="612"/>
      <c r="HC95" s="612"/>
      <c r="HD95" s="612"/>
      <c r="HE95" s="612"/>
      <c r="HF95" s="612"/>
      <c r="HG95" s="612"/>
      <c r="HH95" s="612"/>
      <c r="HI95" s="612"/>
      <c r="HJ95" s="612"/>
      <c r="HK95" s="612"/>
      <c r="HL95" s="612"/>
      <c r="HM95" s="612"/>
      <c r="HN95" s="612"/>
      <c r="HO95" s="612"/>
      <c r="HP95" s="612"/>
      <c r="HQ95" s="612"/>
      <c r="HR95" s="612"/>
      <c r="HS95" s="612"/>
      <c r="HT95" s="612"/>
      <c r="HU95" s="612"/>
      <c r="HV95" s="612"/>
      <c r="HW95" s="612"/>
      <c r="HX95" s="612"/>
      <c r="HY95" s="612"/>
      <c r="HZ95" s="612"/>
      <c r="IA95" s="612"/>
      <c r="IB95" s="612"/>
      <c r="IC95" s="612"/>
      <c r="ID95" s="612"/>
      <c r="IE95" s="612"/>
      <c r="IF95" s="612"/>
      <c r="IG95" s="612"/>
      <c r="IH95" s="612"/>
      <c r="II95" s="612"/>
    </row>
    <row r="96" spans="1:243" ht="15" customHeight="1">
      <c r="A96" s="72"/>
      <c r="B96" s="72"/>
      <c r="C96" s="72"/>
      <c r="D96" s="89"/>
      <c r="E96" s="231"/>
      <c r="F96" s="231"/>
      <c r="G96" s="231"/>
      <c r="H96" s="231"/>
      <c r="I96" s="231"/>
      <c r="J96" s="231"/>
      <c r="K96" s="231"/>
      <c r="L96" s="231"/>
      <c r="M96" s="231"/>
      <c r="N96" s="231"/>
      <c r="O96" s="231"/>
      <c r="P96" s="231"/>
      <c r="Q96" s="231"/>
      <c r="R96" s="231"/>
      <c r="S96" s="231"/>
      <c r="T96" s="231"/>
      <c r="U96" s="231"/>
      <c r="V96" s="231"/>
      <c r="W96" s="231"/>
      <c r="X96" s="231"/>
      <c r="Y96" s="231"/>
      <c r="Z96" s="231"/>
      <c r="AA96" s="231"/>
      <c r="AB96" s="231"/>
      <c r="AC96" s="231"/>
      <c r="AD96" s="231"/>
      <c r="AE96" s="231"/>
      <c r="AF96" s="231"/>
      <c r="AG96" s="231"/>
      <c r="AH96" s="47"/>
      <c r="AI96" s="47"/>
      <c r="AJ96" s="47"/>
      <c r="AK96" s="47"/>
      <c r="AL96" s="47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7"/>
      <c r="AZ96" s="50"/>
      <c r="BA96" s="612"/>
      <c r="BB96" s="612"/>
      <c r="BC96" s="612"/>
      <c r="BD96" s="612"/>
      <c r="BE96" s="612"/>
      <c r="BF96" s="612"/>
      <c r="BG96" s="612"/>
      <c r="BH96" s="612"/>
      <c r="BI96" s="612"/>
      <c r="BJ96" s="612"/>
      <c r="BK96" s="612"/>
      <c r="BL96" s="612"/>
      <c r="BM96" s="612"/>
      <c r="BN96" s="612"/>
      <c r="BO96" s="612"/>
      <c r="BP96" s="612"/>
      <c r="BQ96" s="612"/>
      <c r="BR96" s="612"/>
      <c r="BS96" s="612"/>
      <c r="BT96" s="612"/>
      <c r="BU96" s="612"/>
      <c r="BV96" s="612"/>
      <c r="BW96" s="612"/>
      <c r="BX96" s="612"/>
      <c r="BY96" s="612"/>
      <c r="BZ96" s="612"/>
      <c r="CA96" s="612"/>
      <c r="CB96" s="612"/>
      <c r="CC96" s="612"/>
      <c r="CD96" s="612"/>
      <c r="CE96" s="612"/>
      <c r="CF96" s="612"/>
      <c r="CG96" s="612"/>
      <c r="CH96" s="612"/>
      <c r="CI96" s="612"/>
      <c r="CJ96" s="612"/>
      <c r="CK96" s="612"/>
      <c r="CL96" s="612"/>
      <c r="CM96" s="612"/>
      <c r="CN96" s="612"/>
      <c r="CO96" s="612"/>
      <c r="CP96" s="612"/>
      <c r="CQ96" s="612"/>
      <c r="CR96" s="612"/>
      <c r="CS96" s="612"/>
      <c r="CT96" s="612"/>
      <c r="CU96" s="612"/>
      <c r="CV96" s="612"/>
      <c r="CW96" s="612"/>
      <c r="CX96" s="612"/>
      <c r="CY96" s="612"/>
      <c r="CZ96" s="612"/>
      <c r="DA96" s="612"/>
      <c r="DB96" s="612"/>
      <c r="DC96" s="612"/>
      <c r="DD96" s="612"/>
      <c r="DE96" s="612"/>
      <c r="DF96" s="612"/>
      <c r="DG96" s="612"/>
      <c r="DH96" s="612"/>
      <c r="DI96" s="612"/>
      <c r="DJ96" s="612"/>
      <c r="DK96" s="612"/>
      <c r="DL96" s="612"/>
      <c r="DM96" s="612"/>
      <c r="DN96" s="612"/>
      <c r="DO96" s="612"/>
      <c r="DP96" s="612"/>
      <c r="DQ96" s="612"/>
      <c r="DR96" s="612"/>
      <c r="DS96" s="612"/>
      <c r="DT96" s="612"/>
      <c r="DU96" s="612"/>
      <c r="DV96" s="612"/>
      <c r="DW96" s="612"/>
      <c r="DX96" s="612"/>
      <c r="DY96" s="612"/>
      <c r="DZ96" s="612"/>
      <c r="EA96" s="612"/>
      <c r="EB96" s="612"/>
      <c r="EC96" s="612"/>
      <c r="ED96" s="612"/>
      <c r="EE96" s="612"/>
      <c r="EF96" s="612"/>
      <c r="EG96" s="612"/>
      <c r="EH96" s="612"/>
      <c r="EI96" s="612"/>
      <c r="EJ96" s="612"/>
      <c r="EK96" s="612"/>
      <c r="EL96" s="612"/>
      <c r="EM96" s="612"/>
      <c r="EN96" s="612"/>
      <c r="EO96" s="612"/>
      <c r="EP96" s="612"/>
      <c r="EQ96" s="612"/>
      <c r="ER96" s="612"/>
      <c r="ES96" s="612"/>
      <c r="ET96" s="612"/>
      <c r="EU96" s="612"/>
      <c r="EV96" s="612"/>
      <c r="EW96" s="612"/>
      <c r="EX96" s="612"/>
      <c r="EY96" s="612"/>
      <c r="EZ96" s="612"/>
      <c r="FA96" s="612"/>
      <c r="FB96" s="612"/>
      <c r="FC96" s="612"/>
      <c r="FD96" s="612"/>
      <c r="FE96" s="612"/>
      <c r="FF96" s="612"/>
      <c r="FG96" s="612"/>
      <c r="FH96" s="612"/>
      <c r="FI96" s="612"/>
      <c r="FJ96" s="612"/>
      <c r="FK96" s="612"/>
      <c r="FL96" s="612"/>
      <c r="FM96" s="612"/>
      <c r="FN96" s="612"/>
      <c r="FO96" s="612"/>
      <c r="FP96" s="612"/>
      <c r="FQ96" s="612"/>
      <c r="FR96" s="612"/>
      <c r="FS96" s="612"/>
      <c r="FT96" s="612"/>
      <c r="FU96" s="612"/>
      <c r="FV96" s="612"/>
      <c r="FW96" s="612"/>
      <c r="FX96" s="612"/>
      <c r="FY96" s="612"/>
      <c r="FZ96" s="612"/>
      <c r="GA96" s="612"/>
      <c r="GB96" s="612"/>
      <c r="GC96" s="612"/>
      <c r="GD96" s="612"/>
      <c r="GE96" s="245"/>
      <c r="GF96" s="612"/>
      <c r="GG96" s="612"/>
      <c r="GH96" s="612"/>
      <c r="GI96" s="612"/>
      <c r="GJ96" s="612"/>
      <c r="GK96" s="612"/>
      <c r="GL96" s="612"/>
      <c r="GM96" s="612"/>
      <c r="GN96" s="612"/>
      <c r="GO96" s="612"/>
      <c r="GP96" s="612"/>
      <c r="GQ96" s="612"/>
      <c r="GR96" s="612"/>
      <c r="GS96" s="612"/>
      <c r="GT96" s="612"/>
      <c r="GU96" s="612"/>
      <c r="GV96" s="612"/>
      <c r="GW96" s="612"/>
      <c r="GX96" s="612"/>
      <c r="GY96" s="612"/>
      <c r="GZ96" s="612"/>
      <c r="HA96" s="612"/>
      <c r="HB96" s="612"/>
      <c r="HC96" s="612"/>
      <c r="HD96" s="612"/>
      <c r="HE96" s="612"/>
      <c r="HF96" s="612"/>
      <c r="HG96" s="612"/>
      <c r="HH96" s="612"/>
      <c r="HI96" s="612"/>
      <c r="HJ96" s="612"/>
      <c r="HK96" s="612"/>
      <c r="HL96" s="612"/>
      <c r="HM96" s="612"/>
      <c r="HN96" s="612"/>
      <c r="HO96" s="612"/>
      <c r="HP96" s="612"/>
      <c r="HQ96" s="612"/>
      <c r="HR96" s="612"/>
      <c r="HS96" s="612"/>
      <c r="HT96" s="612"/>
      <c r="HU96" s="612"/>
      <c r="HV96" s="612"/>
      <c r="HW96" s="612"/>
      <c r="HX96" s="612"/>
      <c r="HY96" s="612"/>
      <c r="HZ96" s="612"/>
      <c r="IA96" s="612"/>
      <c r="IB96" s="612"/>
      <c r="IC96" s="612"/>
      <c r="ID96" s="612"/>
      <c r="IE96" s="612"/>
      <c r="IF96" s="612"/>
      <c r="IG96" s="612"/>
      <c r="IH96" s="612"/>
      <c r="II96" s="612"/>
    </row>
    <row r="97" spans="1:243" ht="15" customHeight="1">
      <c r="A97" s="72"/>
      <c r="B97" s="72"/>
      <c r="C97" s="72"/>
      <c r="D97" s="89"/>
      <c r="E97" s="231"/>
      <c r="F97" s="231"/>
      <c r="G97" s="231"/>
      <c r="H97" s="231"/>
      <c r="I97" s="231"/>
      <c r="J97" s="231"/>
      <c r="K97" s="231"/>
      <c r="L97" s="231"/>
      <c r="M97" s="231"/>
      <c r="N97" s="231"/>
      <c r="O97" s="231"/>
      <c r="P97" s="231"/>
      <c r="Q97" s="231"/>
      <c r="R97" s="231"/>
      <c r="S97" s="231"/>
      <c r="T97" s="231"/>
      <c r="U97" s="231"/>
      <c r="V97" s="231"/>
      <c r="W97" s="231"/>
      <c r="X97" s="231"/>
      <c r="Y97" s="231"/>
      <c r="Z97" s="231"/>
      <c r="AA97" s="231"/>
      <c r="AB97" s="231"/>
      <c r="AC97" s="231"/>
      <c r="AD97" s="231"/>
      <c r="AE97" s="231"/>
      <c r="AF97" s="231"/>
      <c r="AG97" s="231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  <c r="AT97" s="47"/>
      <c r="AU97" s="47"/>
      <c r="AV97" s="47"/>
      <c r="AW97" s="47"/>
      <c r="AX97" s="47"/>
      <c r="AY97" s="47"/>
      <c r="AZ97" s="50"/>
      <c r="BA97" s="612"/>
      <c r="BB97" s="612"/>
      <c r="BC97" s="612"/>
      <c r="BD97" s="612"/>
      <c r="BE97" s="612"/>
      <c r="BF97" s="612"/>
      <c r="BG97" s="612"/>
      <c r="BH97" s="612"/>
      <c r="BI97" s="612"/>
      <c r="BJ97" s="612"/>
      <c r="BK97" s="612"/>
      <c r="BL97" s="612"/>
      <c r="BM97" s="612"/>
      <c r="BN97" s="612"/>
      <c r="BO97" s="612"/>
      <c r="BP97" s="612"/>
      <c r="BQ97" s="612"/>
      <c r="BR97" s="612"/>
      <c r="BS97" s="612"/>
      <c r="BT97" s="612"/>
      <c r="BU97" s="612"/>
      <c r="BV97" s="612"/>
      <c r="BW97" s="612"/>
      <c r="BX97" s="612"/>
      <c r="BY97" s="612"/>
      <c r="BZ97" s="612"/>
      <c r="CA97" s="612"/>
      <c r="CB97" s="612"/>
      <c r="CC97" s="612"/>
      <c r="CD97" s="612"/>
      <c r="CE97" s="612"/>
      <c r="CF97" s="612"/>
      <c r="CG97" s="612"/>
      <c r="CH97" s="612"/>
      <c r="CI97" s="612"/>
      <c r="CJ97" s="612"/>
      <c r="CK97" s="612"/>
      <c r="CL97" s="612"/>
      <c r="CM97" s="612"/>
      <c r="CN97" s="612"/>
      <c r="CO97" s="612"/>
      <c r="CP97" s="612"/>
      <c r="CQ97" s="612"/>
      <c r="CR97" s="612"/>
      <c r="CS97" s="612"/>
      <c r="CT97" s="612"/>
      <c r="CU97" s="612"/>
      <c r="CV97" s="612"/>
      <c r="CW97" s="612"/>
      <c r="CX97" s="612"/>
      <c r="CY97" s="612"/>
      <c r="CZ97" s="612"/>
      <c r="DA97" s="612"/>
      <c r="DB97" s="612"/>
      <c r="DC97" s="612"/>
      <c r="DD97" s="612"/>
      <c r="DE97" s="612"/>
      <c r="DF97" s="612"/>
      <c r="DG97" s="612"/>
      <c r="DH97" s="612"/>
      <c r="DI97" s="612"/>
      <c r="DJ97" s="612"/>
      <c r="DK97" s="612"/>
      <c r="DL97" s="612"/>
      <c r="DM97" s="612"/>
      <c r="DN97" s="612"/>
      <c r="DO97" s="612"/>
      <c r="DP97" s="612"/>
      <c r="DQ97" s="612"/>
      <c r="DR97" s="612"/>
      <c r="DS97" s="612"/>
      <c r="DT97" s="612"/>
      <c r="DU97" s="612"/>
      <c r="DV97" s="612"/>
      <c r="DW97" s="612"/>
      <c r="DX97" s="612"/>
      <c r="DY97" s="612"/>
      <c r="DZ97" s="612"/>
      <c r="EA97" s="612"/>
      <c r="EB97" s="612"/>
      <c r="EC97" s="612"/>
      <c r="ED97" s="612"/>
      <c r="EE97" s="612"/>
      <c r="EF97" s="612"/>
      <c r="EG97" s="612"/>
      <c r="EH97" s="612"/>
      <c r="EI97" s="612"/>
      <c r="EJ97" s="612"/>
      <c r="EK97" s="612"/>
      <c r="EL97" s="612"/>
      <c r="EM97" s="612"/>
      <c r="EN97" s="612"/>
      <c r="EO97" s="612"/>
      <c r="EP97" s="612"/>
      <c r="EQ97" s="612"/>
      <c r="ER97" s="612"/>
      <c r="ES97" s="612"/>
      <c r="ET97" s="612"/>
      <c r="EU97" s="612"/>
      <c r="EV97" s="612"/>
      <c r="EW97" s="612"/>
      <c r="EX97" s="612"/>
      <c r="EY97" s="612"/>
      <c r="EZ97" s="612"/>
      <c r="FA97" s="612"/>
      <c r="FB97" s="612"/>
      <c r="FC97" s="612"/>
      <c r="FD97" s="612"/>
      <c r="FE97" s="612"/>
      <c r="FF97" s="612"/>
      <c r="FG97" s="612"/>
      <c r="FH97" s="612"/>
      <c r="FI97" s="612"/>
      <c r="FJ97" s="612"/>
      <c r="FK97" s="612"/>
      <c r="FL97" s="612"/>
      <c r="FM97" s="612"/>
      <c r="FN97" s="612"/>
      <c r="FO97" s="612"/>
      <c r="FP97" s="612"/>
      <c r="FQ97" s="612"/>
      <c r="FR97" s="612"/>
      <c r="FS97" s="612"/>
      <c r="FT97" s="612"/>
      <c r="FU97" s="612"/>
      <c r="FV97" s="612"/>
      <c r="FW97" s="612"/>
      <c r="FX97" s="612"/>
      <c r="FY97" s="612"/>
      <c r="FZ97" s="612"/>
      <c r="GA97" s="612"/>
      <c r="GB97" s="612"/>
      <c r="GC97" s="612"/>
      <c r="GD97" s="612"/>
      <c r="GE97" s="245"/>
      <c r="GF97" s="612"/>
      <c r="GG97" s="612"/>
      <c r="GH97" s="612"/>
      <c r="GI97" s="612"/>
      <c r="GJ97" s="612"/>
      <c r="GK97" s="612"/>
      <c r="GL97" s="612"/>
      <c r="GM97" s="612"/>
      <c r="GN97" s="612"/>
      <c r="GO97" s="612"/>
      <c r="GP97" s="612"/>
      <c r="GQ97" s="612"/>
      <c r="GR97" s="612"/>
      <c r="GS97" s="612"/>
      <c r="GT97" s="612"/>
      <c r="GU97" s="612"/>
      <c r="GV97" s="612"/>
      <c r="GW97" s="612"/>
      <c r="GX97" s="612"/>
      <c r="GY97" s="612"/>
      <c r="GZ97" s="612"/>
      <c r="HA97" s="612"/>
      <c r="HB97" s="612"/>
      <c r="HC97" s="612"/>
      <c r="HD97" s="612"/>
      <c r="HE97" s="612"/>
      <c r="HF97" s="612"/>
      <c r="HG97" s="612"/>
      <c r="HH97" s="612"/>
      <c r="HI97" s="612"/>
      <c r="HJ97" s="612"/>
      <c r="HK97" s="612"/>
      <c r="HL97" s="612"/>
      <c r="HM97" s="612"/>
      <c r="HN97" s="612"/>
      <c r="HO97" s="612"/>
      <c r="HP97" s="612"/>
      <c r="HQ97" s="612"/>
      <c r="HR97" s="612"/>
      <c r="HS97" s="612"/>
      <c r="HT97" s="612"/>
      <c r="HU97" s="612"/>
      <c r="HV97" s="612"/>
      <c r="HW97" s="612"/>
      <c r="HX97" s="612"/>
      <c r="HY97" s="612"/>
      <c r="HZ97" s="612"/>
      <c r="IA97" s="612"/>
      <c r="IB97" s="612"/>
      <c r="IC97" s="612"/>
      <c r="ID97" s="612"/>
      <c r="IE97" s="612"/>
      <c r="IF97" s="612"/>
      <c r="IG97" s="612"/>
      <c r="IH97" s="612"/>
      <c r="II97" s="612"/>
    </row>
    <row r="98" spans="1:243" ht="15" customHeight="1">
      <c r="A98" s="72"/>
      <c r="B98" s="72"/>
      <c r="C98" s="72"/>
      <c r="D98" s="89"/>
      <c r="E98" s="231"/>
      <c r="F98" s="231"/>
      <c r="G98" s="231"/>
      <c r="H98" s="231"/>
      <c r="I98" s="231"/>
      <c r="J98" s="231"/>
      <c r="K98" s="231"/>
      <c r="L98" s="231"/>
      <c r="M98" s="231"/>
      <c r="N98" s="231"/>
      <c r="O98" s="231"/>
      <c r="P98" s="231"/>
      <c r="Q98" s="231"/>
      <c r="R98" s="231"/>
      <c r="S98" s="231"/>
      <c r="T98" s="231"/>
      <c r="U98" s="231"/>
      <c r="V98" s="231"/>
      <c r="W98" s="231"/>
      <c r="X98" s="231"/>
      <c r="Y98" s="231"/>
      <c r="Z98" s="231"/>
      <c r="AA98" s="231"/>
      <c r="AB98" s="231"/>
      <c r="AC98" s="231"/>
      <c r="AD98" s="231"/>
      <c r="AE98" s="231"/>
      <c r="AF98" s="231"/>
      <c r="AG98" s="231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Y98" s="47"/>
      <c r="AZ98" s="50"/>
      <c r="BA98" s="612"/>
      <c r="BB98" s="612"/>
      <c r="BC98" s="612"/>
      <c r="BD98" s="612"/>
      <c r="BE98" s="612"/>
      <c r="BF98" s="612"/>
      <c r="BG98" s="612"/>
      <c r="BH98" s="612"/>
      <c r="BI98" s="612"/>
      <c r="BJ98" s="612"/>
      <c r="BK98" s="612"/>
      <c r="BL98" s="612"/>
      <c r="BM98" s="612"/>
      <c r="BN98" s="612"/>
      <c r="BO98" s="612"/>
      <c r="BP98" s="612"/>
      <c r="BQ98" s="612"/>
      <c r="BR98" s="612"/>
      <c r="BS98" s="612"/>
      <c r="BT98" s="612"/>
      <c r="BU98" s="612"/>
      <c r="BV98" s="612"/>
      <c r="BW98" s="612"/>
      <c r="BX98" s="612"/>
      <c r="BY98" s="612"/>
      <c r="BZ98" s="612"/>
      <c r="CA98" s="612"/>
      <c r="CB98" s="612"/>
      <c r="CC98" s="612"/>
      <c r="CD98" s="612"/>
      <c r="CE98" s="612"/>
      <c r="CF98" s="612"/>
      <c r="CG98" s="612"/>
      <c r="CH98" s="612"/>
      <c r="CI98" s="612"/>
      <c r="CJ98" s="612"/>
      <c r="CK98" s="612"/>
      <c r="CL98" s="612"/>
      <c r="CM98" s="612"/>
      <c r="CN98" s="612"/>
      <c r="CO98" s="612"/>
      <c r="CP98" s="612"/>
      <c r="CQ98" s="612"/>
      <c r="CR98" s="612"/>
      <c r="CS98" s="612"/>
      <c r="CT98" s="612"/>
      <c r="CU98" s="612"/>
      <c r="CV98" s="612"/>
      <c r="CW98" s="612"/>
      <c r="CX98" s="612"/>
      <c r="CY98" s="612"/>
      <c r="CZ98" s="612"/>
      <c r="DA98" s="612"/>
      <c r="DB98" s="612"/>
      <c r="DC98" s="612"/>
      <c r="DD98" s="612"/>
      <c r="DE98" s="612"/>
      <c r="DF98" s="612"/>
      <c r="DG98" s="612"/>
      <c r="DH98" s="612"/>
      <c r="DI98" s="612"/>
      <c r="DJ98" s="612"/>
      <c r="DK98" s="612"/>
      <c r="DL98" s="612"/>
      <c r="DM98" s="612"/>
      <c r="DN98" s="612"/>
      <c r="DO98" s="612"/>
      <c r="DP98" s="612"/>
      <c r="DQ98" s="612"/>
      <c r="DR98" s="612"/>
      <c r="DS98" s="612"/>
      <c r="DT98" s="612"/>
      <c r="DU98" s="612"/>
      <c r="DV98" s="612"/>
      <c r="DW98" s="612"/>
      <c r="DX98" s="612"/>
      <c r="DY98" s="612"/>
      <c r="DZ98" s="612"/>
      <c r="EA98" s="612"/>
      <c r="EB98" s="612"/>
      <c r="EC98" s="612"/>
      <c r="ED98" s="612"/>
      <c r="EE98" s="612"/>
      <c r="EF98" s="612"/>
      <c r="EG98" s="612"/>
      <c r="EH98" s="612"/>
      <c r="EI98" s="612"/>
      <c r="EJ98" s="612"/>
      <c r="EK98" s="612"/>
      <c r="EL98" s="612"/>
      <c r="EM98" s="612"/>
      <c r="EN98" s="612"/>
      <c r="EO98" s="612"/>
      <c r="EP98" s="612"/>
      <c r="EQ98" s="612"/>
      <c r="ER98" s="612"/>
      <c r="ES98" s="612"/>
      <c r="ET98" s="612"/>
      <c r="EU98" s="612"/>
      <c r="EV98" s="612"/>
      <c r="EW98" s="612"/>
      <c r="EX98" s="612"/>
      <c r="EY98" s="612"/>
      <c r="EZ98" s="612"/>
      <c r="FA98" s="612"/>
      <c r="FB98" s="612"/>
      <c r="FC98" s="612"/>
      <c r="FD98" s="612"/>
      <c r="FE98" s="612"/>
      <c r="FF98" s="612"/>
      <c r="FG98" s="612"/>
      <c r="FH98" s="612"/>
      <c r="FI98" s="612"/>
      <c r="FJ98" s="612"/>
      <c r="FK98" s="612"/>
      <c r="FL98" s="612"/>
      <c r="FM98" s="612"/>
      <c r="FN98" s="612"/>
      <c r="FO98" s="612"/>
      <c r="FP98" s="612"/>
      <c r="FQ98" s="612"/>
      <c r="FR98" s="612"/>
      <c r="FS98" s="612"/>
      <c r="FT98" s="612"/>
      <c r="FU98" s="612"/>
      <c r="FV98" s="612"/>
      <c r="FW98" s="612"/>
      <c r="FX98" s="612"/>
      <c r="FY98" s="612"/>
      <c r="FZ98" s="612"/>
      <c r="GA98" s="612"/>
      <c r="GB98" s="612"/>
      <c r="GC98" s="612"/>
      <c r="GD98" s="612"/>
      <c r="GE98" s="245"/>
      <c r="GF98" s="612"/>
      <c r="GG98" s="612"/>
      <c r="GH98" s="612"/>
      <c r="GI98" s="612"/>
      <c r="GJ98" s="612"/>
      <c r="GK98" s="612"/>
      <c r="GL98" s="612"/>
      <c r="GM98" s="612"/>
      <c r="GN98" s="612"/>
      <c r="GO98" s="612"/>
      <c r="GP98" s="612"/>
      <c r="GQ98" s="612"/>
      <c r="GR98" s="612"/>
      <c r="GS98" s="612"/>
      <c r="GT98" s="612"/>
      <c r="GU98" s="612"/>
      <c r="GV98" s="612"/>
      <c r="GW98" s="612"/>
      <c r="GX98" s="612"/>
      <c r="GY98" s="612"/>
      <c r="GZ98" s="612"/>
      <c r="HA98" s="612"/>
      <c r="HB98" s="612"/>
      <c r="HC98" s="612"/>
      <c r="HD98" s="612"/>
      <c r="HE98" s="612"/>
      <c r="HF98" s="612"/>
      <c r="HG98" s="612"/>
      <c r="HH98" s="612"/>
      <c r="HI98" s="612"/>
      <c r="HJ98" s="612"/>
      <c r="HK98" s="612"/>
      <c r="HL98" s="612"/>
      <c r="HM98" s="612"/>
      <c r="HN98" s="612"/>
      <c r="HO98" s="612"/>
      <c r="HP98" s="612"/>
      <c r="HQ98" s="612"/>
      <c r="HR98" s="612"/>
      <c r="HS98" s="612"/>
      <c r="HT98" s="612"/>
      <c r="HU98" s="612"/>
      <c r="HV98" s="612"/>
      <c r="HW98" s="612"/>
      <c r="HX98" s="612"/>
      <c r="HY98" s="612"/>
      <c r="HZ98" s="612"/>
      <c r="IA98" s="612"/>
      <c r="IB98" s="612"/>
      <c r="IC98" s="612"/>
      <c r="ID98" s="612"/>
      <c r="IE98" s="612"/>
      <c r="IF98" s="612"/>
      <c r="IG98" s="612"/>
      <c r="IH98" s="612"/>
      <c r="II98" s="612"/>
    </row>
    <row r="99" spans="1:243" ht="15" customHeight="1">
      <c r="A99" s="72"/>
      <c r="B99" s="72"/>
      <c r="C99" s="72"/>
      <c r="D99" s="89"/>
      <c r="E99" s="231"/>
      <c r="F99" s="231"/>
      <c r="G99" s="231"/>
      <c r="H99" s="231"/>
      <c r="I99" s="231"/>
      <c r="J99" s="231"/>
      <c r="K99" s="231"/>
      <c r="L99" s="231"/>
      <c r="M99" s="231"/>
      <c r="N99" s="231"/>
      <c r="O99" s="231"/>
      <c r="P99" s="231"/>
      <c r="Q99" s="231"/>
      <c r="R99" s="231"/>
      <c r="S99" s="231"/>
      <c r="T99" s="231"/>
      <c r="U99" s="231"/>
      <c r="V99" s="231"/>
      <c r="W99" s="231"/>
      <c r="X99" s="231"/>
      <c r="Y99" s="231"/>
      <c r="Z99" s="231"/>
      <c r="AA99" s="231"/>
      <c r="AB99" s="231"/>
      <c r="AC99" s="231"/>
      <c r="AD99" s="231"/>
      <c r="AE99" s="231"/>
      <c r="AF99" s="231"/>
      <c r="AG99" s="231"/>
      <c r="AH99" s="47"/>
      <c r="AI99" s="47"/>
      <c r="AJ99" s="47"/>
      <c r="AK99" s="47"/>
      <c r="AL99" s="47"/>
      <c r="AM99" s="47"/>
      <c r="AN99" s="47"/>
      <c r="AO99" s="47"/>
      <c r="AP99" s="47"/>
      <c r="AQ99" s="47"/>
      <c r="AR99" s="47"/>
      <c r="AS99" s="47"/>
      <c r="AT99" s="47"/>
      <c r="AU99" s="47"/>
      <c r="AV99" s="47"/>
      <c r="AW99" s="47"/>
      <c r="AX99" s="47"/>
      <c r="AY99" s="47"/>
      <c r="AZ99" s="50"/>
      <c r="BA99" s="612"/>
      <c r="BB99" s="612"/>
      <c r="BC99" s="612"/>
      <c r="BD99" s="612"/>
      <c r="BE99" s="612"/>
      <c r="BF99" s="612"/>
      <c r="BG99" s="612"/>
      <c r="BH99" s="612"/>
      <c r="BI99" s="612"/>
      <c r="BJ99" s="612"/>
      <c r="BK99" s="612"/>
      <c r="BL99" s="612"/>
      <c r="BM99" s="612"/>
      <c r="BN99" s="612"/>
      <c r="BO99" s="612"/>
      <c r="BP99" s="612"/>
      <c r="BQ99" s="612"/>
      <c r="BR99" s="612"/>
      <c r="BS99" s="612"/>
      <c r="BT99" s="612"/>
      <c r="BU99" s="612"/>
      <c r="BV99" s="612"/>
      <c r="BW99" s="612"/>
      <c r="BX99" s="612"/>
      <c r="BY99" s="612"/>
      <c r="BZ99" s="612"/>
      <c r="CA99" s="612"/>
      <c r="CB99" s="612"/>
      <c r="CC99" s="612"/>
      <c r="CD99" s="612"/>
      <c r="CE99" s="612"/>
      <c r="CF99" s="612"/>
      <c r="CG99" s="612"/>
      <c r="CH99" s="612"/>
      <c r="CI99" s="612"/>
      <c r="CJ99" s="612"/>
      <c r="CK99" s="612"/>
      <c r="CL99" s="612"/>
      <c r="CM99" s="612"/>
      <c r="CN99" s="612"/>
      <c r="CO99" s="612"/>
      <c r="CP99" s="612"/>
      <c r="CQ99" s="612"/>
      <c r="CR99" s="612"/>
      <c r="CS99" s="612"/>
      <c r="CT99" s="612"/>
      <c r="CU99" s="612"/>
      <c r="CV99" s="612"/>
      <c r="CW99" s="612"/>
      <c r="CX99" s="612"/>
      <c r="CY99" s="612"/>
      <c r="CZ99" s="612"/>
      <c r="DA99" s="612"/>
      <c r="DB99" s="612"/>
      <c r="DC99" s="612"/>
      <c r="DD99" s="612"/>
      <c r="DE99" s="612"/>
      <c r="DF99" s="612"/>
      <c r="DG99" s="612"/>
      <c r="DH99" s="612"/>
      <c r="DI99" s="612"/>
      <c r="DJ99" s="612"/>
      <c r="DK99" s="612"/>
      <c r="DL99" s="612"/>
      <c r="DM99" s="612"/>
      <c r="DN99" s="612"/>
      <c r="DO99" s="612"/>
      <c r="DP99" s="612"/>
      <c r="DQ99" s="612"/>
      <c r="DR99" s="612"/>
      <c r="DS99" s="612"/>
      <c r="DT99" s="612"/>
      <c r="DU99" s="612"/>
      <c r="DV99" s="612"/>
      <c r="DW99" s="612"/>
      <c r="DX99" s="612"/>
      <c r="DY99" s="612"/>
      <c r="DZ99" s="612"/>
      <c r="EA99" s="612"/>
      <c r="EB99" s="612"/>
      <c r="EC99" s="612"/>
      <c r="ED99" s="612"/>
      <c r="EE99" s="612"/>
      <c r="EF99" s="612"/>
      <c r="EG99" s="612"/>
      <c r="EH99" s="612"/>
      <c r="EI99" s="612"/>
      <c r="EJ99" s="612"/>
      <c r="EK99" s="612"/>
      <c r="EL99" s="612"/>
      <c r="EM99" s="612"/>
      <c r="EN99" s="612"/>
      <c r="EO99" s="612"/>
      <c r="EP99" s="612"/>
      <c r="EQ99" s="612"/>
      <c r="ER99" s="612"/>
      <c r="ES99" s="612"/>
      <c r="ET99" s="612"/>
      <c r="EU99" s="612"/>
      <c r="EV99" s="612"/>
      <c r="EW99" s="612"/>
      <c r="EX99" s="612"/>
      <c r="EY99" s="612"/>
      <c r="EZ99" s="612"/>
      <c r="FA99" s="612"/>
      <c r="FB99" s="612"/>
      <c r="FC99" s="612"/>
      <c r="FD99" s="612"/>
      <c r="FE99" s="612"/>
      <c r="FF99" s="612"/>
      <c r="FG99" s="612"/>
      <c r="FH99" s="612"/>
      <c r="FI99" s="612"/>
      <c r="FJ99" s="612"/>
      <c r="FK99" s="612"/>
      <c r="FL99" s="612"/>
      <c r="FM99" s="612"/>
      <c r="FN99" s="612"/>
      <c r="FO99" s="612"/>
      <c r="FP99" s="612"/>
      <c r="FQ99" s="612"/>
      <c r="FR99" s="612"/>
      <c r="FS99" s="612"/>
      <c r="FT99" s="612"/>
      <c r="FU99" s="612"/>
      <c r="FV99" s="612"/>
      <c r="FW99" s="612"/>
      <c r="FX99" s="612"/>
      <c r="FY99" s="612"/>
      <c r="FZ99" s="612"/>
      <c r="GA99" s="612"/>
      <c r="GB99" s="612"/>
      <c r="GC99" s="612"/>
      <c r="GD99" s="612"/>
      <c r="GE99" s="245"/>
      <c r="GF99" s="612"/>
      <c r="GG99" s="612"/>
      <c r="GH99" s="612"/>
      <c r="GI99" s="612"/>
      <c r="GJ99" s="612"/>
      <c r="GK99" s="612"/>
      <c r="GL99" s="612"/>
      <c r="GM99" s="612"/>
      <c r="GN99" s="612"/>
      <c r="GO99" s="612"/>
      <c r="GP99" s="612"/>
      <c r="GQ99" s="612"/>
      <c r="GR99" s="612"/>
      <c r="GS99" s="612"/>
      <c r="GT99" s="612"/>
      <c r="GU99" s="612"/>
      <c r="GV99" s="612"/>
      <c r="GW99" s="612"/>
      <c r="GX99" s="612"/>
      <c r="GY99" s="612"/>
      <c r="GZ99" s="612"/>
      <c r="HA99" s="612"/>
      <c r="HB99" s="612"/>
      <c r="HC99" s="612"/>
      <c r="HD99" s="612"/>
      <c r="HE99" s="612"/>
      <c r="HF99" s="612"/>
      <c r="HG99" s="612"/>
      <c r="HH99" s="612"/>
      <c r="HI99" s="612"/>
      <c r="HJ99" s="612"/>
      <c r="HK99" s="612"/>
      <c r="HL99" s="612"/>
      <c r="HM99" s="612"/>
      <c r="HN99" s="612"/>
      <c r="HO99" s="612"/>
      <c r="HP99" s="612"/>
      <c r="HQ99" s="612"/>
      <c r="HR99" s="612"/>
      <c r="HS99" s="612"/>
      <c r="HT99" s="612"/>
      <c r="HU99" s="612"/>
      <c r="HV99" s="612"/>
      <c r="HW99" s="612"/>
      <c r="HX99" s="612"/>
      <c r="HY99" s="612"/>
      <c r="HZ99" s="612"/>
      <c r="IA99" s="612"/>
      <c r="IB99" s="612"/>
      <c r="IC99" s="612"/>
      <c r="ID99" s="612"/>
      <c r="IE99" s="612"/>
      <c r="IF99" s="612"/>
      <c r="IG99" s="612"/>
      <c r="IH99" s="612"/>
      <c r="II99" s="612"/>
    </row>
    <row r="100" spans="1:243" ht="15" customHeight="1">
      <c r="A100" s="72"/>
      <c r="B100" s="72"/>
      <c r="C100" s="72"/>
      <c r="D100" s="89"/>
      <c r="E100" s="230"/>
      <c r="F100" s="230"/>
      <c r="G100" s="230"/>
      <c r="H100" s="230"/>
      <c r="I100" s="230"/>
      <c r="J100" s="230"/>
      <c r="K100" s="230"/>
      <c r="L100" s="230"/>
      <c r="M100" s="230"/>
      <c r="N100" s="230"/>
      <c r="O100" s="230"/>
      <c r="P100" s="230"/>
      <c r="Q100" s="230"/>
      <c r="R100" s="230"/>
      <c r="S100" s="230"/>
      <c r="T100" s="230"/>
      <c r="U100" s="230"/>
      <c r="V100" s="230"/>
      <c r="W100" s="230"/>
      <c r="X100" s="230"/>
      <c r="Y100" s="230"/>
      <c r="Z100" s="230"/>
      <c r="AA100" s="230"/>
      <c r="AB100" s="230"/>
      <c r="AC100" s="230"/>
      <c r="AD100" s="230"/>
      <c r="AE100" s="230"/>
      <c r="AF100" s="230"/>
      <c r="AG100" s="230"/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48"/>
      <c r="AS100" s="48"/>
      <c r="AT100" s="48"/>
      <c r="AU100" s="48"/>
      <c r="AV100" s="48"/>
      <c r="AW100" s="48"/>
      <c r="AX100" s="48"/>
      <c r="AY100" s="48"/>
      <c r="AZ100" s="50"/>
      <c r="BA100" s="612"/>
      <c r="BB100" s="612"/>
      <c r="BC100" s="612"/>
      <c r="BD100" s="612"/>
      <c r="BE100" s="612"/>
      <c r="BF100" s="612"/>
      <c r="BG100" s="612"/>
      <c r="BH100" s="612"/>
      <c r="BI100" s="612"/>
      <c r="BJ100" s="612"/>
      <c r="BK100" s="612"/>
      <c r="BL100" s="612"/>
      <c r="BM100" s="612"/>
      <c r="BN100" s="612"/>
      <c r="BO100" s="612"/>
      <c r="BP100" s="612"/>
      <c r="BQ100" s="612"/>
      <c r="BR100" s="612"/>
      <c r="BS100" s="612"/>
      <c r="BT100" s="612"/>
      <c r="BU100" s="612"/>
      <c r="BV100" s="612"/>
      <c r="BW100" s="612"/>
      <c r="BX100" s="612"/>
      <c r="BY100" s="612"/>
      <c r="BZ100" s="612"/>
      <c r="CA100" s="612"/>
      <c r="CB100" s="612"/>
      <c r="CC100" s="612"/>
      <c r="CD100" s="612"/>
      <c r="CE100" s="612"/>
      <c r="CF100" s="612"/>
      <c r="CG100" s="612"/>
      <c r="CH100" s="612"/>
      <c r="CI100" s="612"/>
      <c r="CJ100" s="612"/>
      <c r="CK100" s="612"/>
      <c r="CL100" s="612"/>
      <c r="CM100" s="612"/>
      <c r="CN100" s="612"/>
      <c r="CO100" s="612"/>
      <c r="CP100" s="612"/>
      <c r="CQ100" s="612"/>
      <c r="CR100" s="612"/>
      <c r="CS100" s="612"/>
      <c r="CT100" s="612"/>
      <c r="CU100" s="612"/>
      <c r="CV100" s="612"/>
      <c r="CW100" s="612"/>
      <c r="CX100" s="612"/>
      <c r="CY100" s="612"/>
      <c r="CZ100" s="612"/>
      <c r="DA100" s="612"/>
      <c r="DB100" s="612"/>
      <c r="DC100" s="612"/>
      <c r="DD100" s="612"/>
      <c r="DE100" s="612"/>
      <c r="DF100" s="612"/>
      <c r="DG100" s="612"/>
      <c r="DH100" s="612"/>
      <c r="DI100" s="612"/>
      <c r="DJ100" s="612"/>
      <c r="DK100" s="612"/>
      <c r="DL100" s="612"/>
      <c r="DM100" s="612"/>
      <c r="DN100" s="612"/>
      <c r="DO100" s="612"/>
      <c r="DP100" s="612"/>
      <c r="DQ100" s="612"/>
      <c r="DR100" s="612"/>
      <c r="DS100" s="612"/>
      <c r="DT100" s="612"/>
      <c r="DU100" s="612"/>
      <c r="DV100" s="612"/>
      <c r="DW100" s="612"/>
      <c r="DX100" s="612"/>
      <c r="DY100" s="612"/>
      <c r="DZ100" s="612"/>
      <c r="EA100" s="612"/>
      <c r="EB100" s="612"/>
      <c r="EC100" s="612"/>
      <c r="ED100" s="612"/>
      <c r="EE100" s="612"/>
      <c r="EF100" s="612"/>
      <c r="EG100" s="612"/>
      <c r="EH100" s="612"/>
      <c r="EI100" s="612"/>
      <c r="EJ100" s="612"/>
      <c r="EK100" s="612"/>
      <c r="EL100" s="612"/>
      <c r="EM100" s="612"/>
      <c r="EN100" s="612"/>
      <c r="EO100" s="612"/>
      <c r="EP100" s="612"/>
      <c r="EQ100" s="612"/>
      <c r="ER100" s="612"/>
      <c r="ES100" s="612"/>
      <c r="ET100" s="612"/>
      <c r="EU100" s="612"/>
      <c r="EV100" s="612"/>
      <c r="EW100" s="612"/>
      <c r="EX100" s="612"/>
      <c r="EY100" s="612"/>
      <c r="EZ100" s="612"/>
      <c r="FA100" s="612"/>
      <c r="FB100" s="612"/>
      <c r="FC100" s="612"/>
      <c r="FD100" s="612"/>
      <c r="FE100" s="612"/>
      <c r="FF100" s="612"/>
      <c r="FG100" s="612"/>
      <c r="FH100" s="612"/>
      <c r="FI100" s="612"/>
      <c r="FJ100" s="612"/>
      <c r="FK100" s="612"/>
      <c r="FL100" s="612"/>
      <c r="FM100" s="612"/>
      <c r="FN100" s="612"/>
      <c r="FO100" s="612"/>
      <c r="FP100" s="612"/>
      <c r="FQ100" s="612"/>
      <c r="FR100" s="612"/>
      <c r="FS100" s="612"/>
      <c r="FT100" s="612"/>
      <c r="FU100" s="612"/>
      <c r="FV100" s="612"/>
      <c r="FW100" s="612"/>
      <c r="FX100" s="612"/>
      <c r="FY100" s="612"/>
      <c r="FZ100" s="612"/>
      <c r="GA100" s="612"/>
      <c r="GB100" s="612"/>
      <c r="GC100" s="612"/>
      <c r="GD100" s="612"/>
      <c r="GE100" s="245"/>
      <c r="GF100" s="612"/>
      <c r="GG100" s="612"/>
      <c r="GH100" s="612"/>
      <c r="GI100" s="612"/>
      <c r="GJ100" s="612"/>
      <c r="GK100" s="612"/>
      <c r="GL100" s="612"/>
      <c r="GM100" s="612"/>
      <c r="GN100" s="612"/>
      <c r="GO100" s="612"/>
      <c r="GP100" s="612"/>
      <c r="GQ100" s="612"/>
      <c r="GR100" s="612"/>
      <c r="GS100" s="612"/>
      <c r="GT100" s="612"/>
      <c r="GU100" s="612"/>
      <c r="GV100" s="612"/>
      <c r="GW100" s="612"/>
      <c r="GX100" s="612"/>
      <c r="GY100" s="612"/>
      <c r="GZ100" s="612"/>
      <c r="HA100" s="612"/>
      <c r="HB100" s="612"/>
      <c r="HC100" s="612"/>
      <c r="HD100" s="612"/>
      <c r="HE100" s="612"/>
      <c r="HF100" s="612"/>
      <c r="HG100" s="612"/>
      <c r="HH100" s="612"/>
      <c r="HI100" s="612"/>
      <c r="HJ100" s="612"/>
      <c r="HK100" s="612"/>
      <c r="HL100" s="612"/>
      <c r="HM100" s="612"/>
      <c r="HN100" s="612"/>
      <c r="HO100" s="612"/>
      <c r="HP100" s="612"/>
      <c r="HQ100" s="612"/>
      <c r="HR100" s="612"/>
      <c r="HS100" s="612"/>
      <c r="HT100" s="612"/>
      <c r="HU100" s="612"/>
      <c r="HV100" s="612"/>
      <c r="HW100" s="612"/>
      <c r="HX100" s="612"/>
      <c r="HY100" s="612"/>
      <c r="HZ100" s="612"/>
      <c r="IA100" s="612"/>
      <c r="IB100" s="612"/>
      <c r="IC100" s="612"/>
      <c r="ID100" s="612"/>
      <c r="IE100" s="612"/>
      <c r="IF100" s="612"/>
      <c r="IG100" s="612"/>
      <c r="IH100" s="612"/>
      <c r="II100" s="612"/>
    </row>
    <row r="101" spans="1:243" ht="15" customHeight="1">
      <c r="A101" s="72"/>
      <c r="B101" s="72"/>
      <c r="C101" s="72"/>
      <c r="D101" s="89"/>
      <c r="E101" s="230"/>
      <c r="F101" s="230"/>
      <c r="G101" s="230"/>
      <c r="H101" s="230"/>
      <c r="I101" s="230"/>
      <c r="J101" s="230"/>
      <c r="K101" s="230"/>
      <c r="L101" s="230"/>
      <c r="M101" s="230"/>
      <c r="N101" s="230"/>
      <c r="O101" s="230"/>
      <c r="P101" s="230"/>
      <c r="Q101" s="230"/>
      <c r="R101" s="230"/>
      <c r="S101" s="230"/>
      <c r="T101" s="230"/>
      <c r="U101" s="230"/>
      <c r="V101" s="230"/>
      <c r="W101" s="230"/>
      <c r="X101" s="230"/>
      <c r="Y101" s="230"/>
      <c r="Z101" s="230"/>
      <c r="AA101" s="230"/>
      <c r="AB101" s="230"/>
      <c r="AC101" s="230"/>
      <c r="AD101" s="230"/>
      <c r="AE101" s="230"/>
      <c r="AF101" s="230"/>
      <c r="AG101" s="230"/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48"/>
      <c r="AS101" s="48"/>
      <c r="AT101" s="48"/>
      <c r="AU101" s="48"/>
      <c r="AV101" s="48"/>
      <c r="AW101" s="48"/>
      <c r="AX101" s="48"/>
      <c r="AY101" s="48"/>
      <c r="AZ101" s="50"/>
      <c r="BA101" s="612"/>
      <c r="BB101" s="612"/>
      <c r="BC101" s="612"/>
      <c r="BD101" s="612"/>
      <c r="BE101" s="612"/>
      <c r="BF101" s="612"/>
      <c r="BG101" s="612"/>
      <c r="BH101" s="612"/>
      <c r="BI101" s="612"/>
      <c r="BJ101" s="612"/>
      <c r="BK101" s="612"/>
      <c r="BL101" s="612"/>
      <c r="BM101" s="612"/>
      <c r="BN101" s="612"/>
      <c r="BO101" s="612"/>
      <c r="BP101" s="612"/>
      <c r="BQ101" s="612"/>
      <c r="BR101" s="612"/>
      <c r="BS101" s="612"/>
      <c r="BT101" s="612"/>
      <c r="BU101" s="612"/>
      <c r="BV101" s="612"/>
      <c r="BW101" s="612"/>
      <c r="BX101" s="612"/>
      <c r="BY101" s="612"/>
      <c r="BZ101" s="612"/>
      <c r="CA101" s="612"/>
      <c r="CB101" s="612"/>
      <c r="CC101" s="612"/>
      <c r="CD101" s="612"/>
      <c r="CE101" s="612"/>
      <c r="CF101" s="612"/>
      <c r="CG101" s="612"/>
      <c r="CH101" s="612"/>
      <c r="CI101" s="612"/>
      <c r="CJ101" s="612"/>
      <c r="CK101" s="612"/>
      <c r="CL101" s="612"/>
      <c r="CM101" s="612"/>
      <c r="CN101" s="612"/>
      <c r="CO101" s="612"/>
      <c r="CP101" s="612"/>
      <c r="CQ101" s="612"/>
      <c r="CR101" s="612"/>
      <c r="CS101" s="612"/>
      <c r="CT101" s="612"/>
      <c r="CU101" s="612"/>
      <c r="CV101" s="612"/>
      <c r="CW101" s="612"/>
      <c r="CX101" s="612"/>
      <c r="CY101" s="612"/>
      <c r="CZ101" s="612"/>
      <c r="DA101" s="612"/>
      <c r="DB101" s="612"/>
      <c r="DC101" s="612"/>
      <c r="DD101" s="612"/>
      <c r="DE101" s="612"/>
      <c r="DF101" s="612"/>
      <c r="DG101" s="612"/>
      <c r="DH101" s="612"/>
      <c r="DI101" s="612"/>
      <c r="DJ101" s="612"/>
      <c r="DK101" s="612"/>
      <c r="DL101" s="612"/>
      <c r="DM101" s="612"/>
      <c r="DN101" s="612"/>
      <c r="DO101" s="612"/>
      <c r="DP101" s="612"/>
      <c r="DQ101" s="612"/>
      <c r="DR101" s="612"/>
      <c r="DS101" s="612"/>
      <c r="DT101" s="612"/>
      <c r="DU101" s="612"/>
      <c r="DV101" s="612"/>
      <c r="DW101" s="612"/>
      <c r="DX101" s="612"/>
      <c r="DY101" s="612"/>
      <c r="DZ101" s="612"/>
      <c r="EA101" s="612"/>
      <c r="EB101" s="612"/>
      <c r="EC101" s="612"/>
      <c r="ED101" s="612"/>
      <c r="EE101" s="612"/>
      <c r="EF101" s="612"/>
      <c r="EG101" s="612"/>
      <c r="EH101" s="612"/>
      <c r="EI101" s="612"/>
      <c r="EJ101" s="612"/>
      <c r="EK101" s="612"/>
      <c r="EL101" s="612"/>
      <c r="EM101" s="612"/>
      <c r="EN101" s="612"/>
      <c r="EO101" s="612"/>
      <c r="EP101" s="612"/>
      <c r="EQ101" s="612"/>
      <c r="ER101" s="612"/>
      <c r="ES101" s="612"/>
      <c r="ET101" s="612"/>
      <c r="EU101" s="612"/>
      <c r="EV101" s="612"/>
      <c r="EW101" s="612"/>
      <c r="EX101" s="612"/>
      <c r="EY101" s="612"/>
      <c r="EZ101" s="612"/>
      <c r="FA101" s="612"/>
      <c r="FB101" s="612"/>
      <c r="FC101" s="612"/>
      <c r="FD101" s="612"/>
      <c r="FE101" s="612"/>
      <c r="FF101" s="612"/>
      <c r="FG101" s="612"/>
      <c r="FH101" s="612"/>
      <c r="FI101" s="612"/>
      <c r="FJ101" s="612"/>
      <c r="FK101" s="612"/>
      <c r="FL101" s="612"/>
      <c r="FM101" s="612"/>
      <c r="FN101" s="612"/>
      <c r="FO101" s="612"/>
      <c r="FP101" s="612"/>
      <c r="FQ101" s="612"/>
      <c r="FR101" s="612"/>
      <c r="FS101" s="612"/>
      <c r="FT101" s="612"/>
      <c r="FU101" s="612"/>
      <c r="FV101" s="612"/>
      <c r="FW101" s="612"/>
      <c r="FX101" s="612"/>
      <c r="FY101" s="612"/>
      <c r="FZ101" s="612"/>
      <c r="GA101" s="612"/>
      <c r="GB101" s="612"/>
      <c r="GC101" s="612"/>
      <c r="GD101" s="612"/>
      <c r="GE101" s="245"/>
      <c r="GF101" s="612"/>
      <c r="GG101" s="612"/>
      <c r="GH101" s="612"/>
      <c r="GI101" s="612"/>
      <c r="GJ101" s="612"/>
      <c r="GK101" s="612"/>
      <c r="GL101" s="612"/>
      <c r="GM101" s="612"/>
      <c r="GN101" s="612"/>
      <c r="GO101" s="612"/>
      <c r="GP101" s="612"/>
      <c r="GQ101" s="612"/>
      <c r="GR101" s="612"/>
      <c r="GS101" s="612"/>
      <c r="GT101" s="612"/>
      <c r="GU101" s="612"/>
      <c r="GV101" s="612"/>
      <c r="GW101" s="612"/>
      <c r="GX101" s="612"/>
      <c r="GY101" s="612"/>
      <c r="GZ101" s="612"/>
      <c r="HA101" s="612"/>
      <c r="HB101" s="612"/>
      <c r="HC101" s="612"/>
      <c r="HD101" s="612"/>
      <c r="HE101" s="612"/>
      <c r="HF101" s="612"/>
      <c r="HG101" s="612"/>
      <c r="HH101" s="612"/>
      <c r="HI101" s="612"/>
      <c r="HJ101" s="612"/>
      <c r="HK101" s="612"/>
      <c r="HL101" s="612"/>
      <c r="HM101" s="612"/>
      <c r="HN101" s="612"/>
      <c r="HO101" s="612"/>
      <c r="HP101" s="612"/>
      <c r="HQ101" s="612"/>
      <c r="HR101" s="612"/>
      <c r="HS101" s="612"/>
      <c r="HT101" s="612"/>
      <c r="HU101" s="612"/>
      <c r="HV101" s="612"/>
      <c r="HW101" s="612"/>
      <c r="HX101" s="612"/>
      <c r="HY101" s="612"/>
      <c r="HZ101" s="612"/>
      <c r="IA101" s="612"/>
      <c r="IB101" s="612"/>
      <c r="IC101" s="612"/>
      <c r="ID101" s="612"/>
      <c r="IE101" s="612"/>
      <c r="IF101" s="612"/>
      <c r="IG101" s="612"/>
      <c r="IH101" s="612"/>
      <c r="II101" s="612"/>
    </row>
    <row r="102" spans="1:243" ht="15" customHeight="1">
      <c r="A102" s="72"/>
      <c r="B102" s="72"/>
      <c r="C102" s="72"/>
      <c r="D102" s="89"/>
      <c r="E102" s="230"/>
      <c r="F102" s="230"/>
      <c r="G102" s="230"/>
      <c r="H102" s="230"/>
      <c r="I102" s="230"/>
      <c r="J102" s="230"/>
      <c r="K102" s="230"/>
      <c r="L102" s="230"/>
      <c r="M102" s="230"/>
      <c r="N102" s="230"/>
      <c r="O102" s="230"/>
      <c r="P102" s="230"/>
      <c r="Q102" s="230"/>
      <c r="R102" s="230"/>
      <c r="S102" s="230"/>
      <c r="T102" s="230"/>
      <c r="U102" s="230"/>
      <c r="V102" s="230"/>
      <c r="W102" s="230"/>
      <c r="X102" s="230"/>
      <c r="Y102" s="230"/>
      <c r="Z102" s="230"/>
      <c r="AA102" s="230"/>
      <c r="AB102" s="230"/>
      <c r="AC102" s="230"/>
      <c r="AD102" s="230"/>
      <c r="AE102" s="230"/>
      <c r="AF102" s="230"/>
      <c r="AG102" s="230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48"/>
      <c r="AS102" s="48"/>
      <c r="AT102" s="48"/>
      <c r="AU102" s="48"/>
      <c r="AV102" s="48"/>
      <c r="AW102" s="48"/>
      <c r="AX102" s="48"/>
      <c r="AY102" s="48"/>
      <c r="AZ102" s="50"/>
      <c r="BA102" s="612"/>
      <c r="BB102" s="612"/>
      <c r="BC102" s="612"/>
      <c r="BD102" s="612"/>
      <c r="BE102" s="612"/>
      <c r="BF102" s="612"/>
      <c r="BG102" s="612"/>
      <c r="BH102" s="612"/>
      <c r="BI102" s="612"/>
      <c r="BJ102" s="612"/>
      <c r="BK102" s="612"/>
      <c r="BL102" s="612"/>
      <c r="BM102" s="612"/>
      <c r="BN102" s="612"/>
      <c r="BO102" s="612"/>
      <c r="BP102" s="612"/>
      <c r="BQ102" s="612"/>
      <c r="BR102" s="612"/>
      <c r="BS102" s="612"/>
      <c r="BT102" s="612"/>
      <c r="BU102" s="612"/>
      <c r="BV102" s="612"/>
      <c r="BW102" s="612"/>
      <c r="BX102" s="612"/>
      <c r="BY102" s="612"/>
      <c r="BZ102" s="612"/>
      <c r="CA102" s="612"/>
      <c r="CB102" s="612"/>
      <c r="CC102" s="612"/>
      <c r="CD102" s="612"/>
      <c r="CE102" s="612"/>
      <c r="CF102" s="612"/>
      <c r="CG102" s="612"/>
      <c r="CH102" s="612"/>
      <c r="CI102" s="612"/>
      <c r="CJ102" s="612"/>
      <c r="CK102" s="612"/>
      <c r="CL102" s="612"/>
      <c r="CM102" s="612"/>
      <c r="CN102" s="612"/>
      <c r="CO102" s="612"/>
      <c r="CP102" s="612"/>
      <c r="CQ102" s="612"/>
      <c r="CR102" s="612"/>
      <c r="CS102" s="612"/>
      <c r="CT102" s="612"/>
      <c r="CU102" s="612"/>
      <c r="CV102" s="612"/>
      <c r="CW102" s="612"/>
      <c r="CX102" s="612"/>
      <c r="CY102" s="612"/>
      <c r="CZ102" s="612"/>
      <c r="DA102" s="612"/>
      <c r="DB102" s="612"/>
      <c r="DC102" s="612"/>
      <c r="DD102" s="612"/>
      <c r="DE102" s="612"/>
      <c r="DF102" s="612"/>
      <c r="DG102" s="612"/>
      <c r="DH102" s="612"/>
      <c r="DI102" s="612"/>
      <c r="DJ102" s="612"/>
      <c r="DK102" s="612"/>
      <c r="DL102" s="612"/>
      <c r="DM102" s="612"/>
      <c r="DN102" s="612"/>
      <c r="DO102" s="612"/>
      <c r="DP102" s="612"/>
      <c r="DQ102" s="612"/>
      <c r="DR102" s="612"/>
      <c r="DS102" s="612"/>
      <c r="DT102" s="612"/>
      <c r="DU102" s="612"/>
      <c r="DV102" s="612"/>
      <c r="DW102" s="612"/>
      <c r="DX102" s="612"/>
      <c r="DY102" s="612"/>
      <c r="DZ102" s="612"/>
      <c r="EA102" s="612"/>
      <c r="EB102" s="612"/>
      <c r="EC102" s="612"/>
      <c r="ED102" s="612"/>
      <c r="EE102" s="612"/>
      <c r="EF102" s="612"/>
      <c r="EG102" s="612"/>
      <c r="EH102" s="612"/>
      <c r="EI102" s="612"/>
      <c r="EJ102" s="612"/>
      <c r="EK102" s="612"/>
      <c r="EL102" s="612"/>
      <c r="EM102" s="612"/>
      <c r="EN102" s="612"/>
      <c r="EO102" s="612"/>
      <c r="EP102" s="612"/>
      <c r="EQ102" s="612"/>
      <c r="ER102" s="612"/>
      <c r="ES102" s="612"/>
      <c r="ET102" s="612"/>
      <c r="EU102" s="612"/>
      <c r="EV102" s="612"/>
      <c r="EW102" s="612"/>
      <c r="EX102" s="612"/>
      <c r="EY102" s="612"/>
      <c r="EZ102" s="612"/>
      <c r="FA102" s="612"/>
      <c r="FB102" s="612"/>
      <c r="FC102" s="612"/>
      <c r="FD102" s="612"/>
      <c r="FE102" s="612"/>
      <c r="FF102" s="612"/>
      <c r="FG102" s="612"/>
      <c r="FH102" s="612"/>
      <c r="FI102" s="612"/>
      <c r="FJ102" s="612"/>
      <c r="FK102" s="612"/>
      <c r="FL102" s="612"/>
      <c r="FM102" s="612"/>
      <c r="FN102" s="612"/>
      <c r="FO102" s="612"/>
      <c r="FP102" s="612"/>
      <c r="FQ102" s="612"/>
      <c r="FR102" s="612"/>
      <c r="FS102" s="612"/>
      <c r="FT102" s="612"/>
      <c r="FU102" s="612"/>
      <c r="FV102" s="612"/>
      <c r="FW102" s="612"/>
      <c r="FX102" s="612"/>
      <c r="FY102" s="612"/>
      <c r="FZ102" s="612"/>
      <c r="GA102" s="612"/>
      <c r="GB102" s="612"/>
      <c r="GC102" s="612"/>
      <c r="GD102" s="612"/>
      <c r="GE102" s="245"/>
      <c r="GF102" s="612"/>
      <c r="GG102" s="612"/>
      <c r="GH102" s="612"/>
      <c r="GI102" s="612"/>
      <c r="GJ102" s="612"/>
      <c r="GK102" s="612"/>
      <c r="GL102" s="612"/>
      <c r="GM102" s="612"/>
      <c r="GN102" s="612"/>
      <c r="GO102" s="612"/>
      <c r="GP102" s="612"/>
      <c r="GQ102" s="612"/>
      <c r="GR102" s="612"/>
      <c r="GS102" s="612"/>
      <c r="GT102" s="612"/>
      <c r="GU102" s="612"/>
      <c r="GV102" s="612"/>
      <c r="GW102" s="612"/>
      <c r="GX102" s="612"/>
      <c r="GY102" s="612"/>
      <c r="GZ102" s="612"/>
      <c r="HA102" s="612"/>
      <c r="HB102" s="612"/>
      <c r="HC102" s="612"/>
      <c r="HD102" s="612"/>
      <c r="HE102" s="612"/>
      <c r="HF102" s="612"/>
      <c r="HG102" s="612"/>
      <c r="HH102" s="612"/>
      <c r="HI102" s="612"/>
      <c r="HJ102" s="612"/>
      <c r="HK102" s="612"/>
      <c r="HL102" s="612"/>
      <c r="HM102" s="612"/>
      <c r="HN102" s="612"/>
      <c r="HO102" s="612"/>
      <c r="HP102" s="612"/>
      <c r="HQ102" s="612"/>
      <c r="HR102" s="612"/>
      <c r="HS102" s="612"/>
      <c r="HT102" s="612"/>
      <c r="HU102" s="612"/>
      <c r="HV102" s="612"/>
      <c r="HW102" s="612"/>
      <c r="HX102" s="612"/>
      <c r="HY102" s="612"/>
      <c r="HZ102" s="612"/>
      <c r="IA102" s="612"/>
      <c r="IB102" s="612"/>
      <c r="IC102" s="612"/>
      <c r="ID102" s="612"/>
      <c r="IE102" s="612"/>
      <c r="IF102" s="612"/>
      <c r="IG102" s="612"/>
      <c r="IH102" s="612"/>
      <c r="II102" s="612"/>
    </row>
    <row r="103" spans="1:243" ht="15" customHeight="1">
      <c r="A103" s="72"/>
      <c r="B103" s="72"/>
      <c r="C103" s="72"/>
      <c r="D103" s="89"/>
      <c r="E103" s="230"/>
      <c r="F103" s="230"/>
      <c r="G103" s="230"/>
      <c r="H103" s="230"/>
      <c r="I103" s="230"/>
      <c r="J103" s="230"/>
      <c r="K103" s="230"/>
      <c r="L103" s="230"/>
      <c r="M103" s="230"/>
      <c r="N103" s="230"/>
      <c r="O103" s="230"/>
      <c r="P103" s="230"/>
      <c r="Q103" s="230"/>
      <c r="R103" s="230"/>
      <c r="S103" s="230"/>
      <c r="T103" s="230"/>
      <c r="U103" s="230"/>
      <c r="V103" s="230"/>
      <c r="W103" s="230"/>
      <c r="X103" s="230"/>
      <c r="Y103" s="230"/>
      <c r="Z103" s="230"/>
      <c r="AA103" s="230"/>
      <c r="AB103" s="230"/>
      <c r="AC103" s="230"/>
      <c r="AD103" s="230"/>
      <c r="AE103" s="230"/>
      <c r="AF103" s="230"/>
      <c r="AG103" s="230"/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48"/>
      <c r="AS103" s="48"/>
      <c r="AT103" s="48"/>
      <c r="AU103" s="48"/>
      <c r="AV103" s="48"/>
      <c r="AW103" s="48"/>
      <c r="AX103" s="48"/>
      <c r="AY103" s="48"/>
      <c r="AZ103" s="50"/>
      <c r="BA103" s="612"/>
      <c r="BB103" s="612"/>
      <c r="BC103" s="612"/>
      <c r="BD103" s="612"/>
      <c r="BE103" s="612"/>
      <c r="BF103" s="612"/>
      <c r="BG103" s="612"/>
      <c r="BH103" s="612"/>
      <c r="BI103" s="612"/>
      <c r="BJ103" s="612"/>
      <c r="BK103" s="612"/>
      <c r="BL103" s="612"/>
      <c r="BM103" s="612"/>
      <c r="BN103" s="612"/>
      <c r="BO103" s="612"/>
      <c r="BP103" s="612"/>
      <c r="BQ103" s="612"/>
      <c r="BR103" s="612"/>
      <c r="BS103" s="612"/>
      <c r="BT103" s="612"/>
      <c r="BU103" s="612"/>
      <c r="BV103" s="612"/>
      <c r="BW103" s="612"/>
      <c r="BX103" s="612"/>
      <c r="BY103" s="612"/>
      <c r="BZ103" s="612"/>
      <c r="CA103" s="612"/>
      <c r="CB103" s="612"/>
      <c r="CC103" s="612"/>
      <c r="CD103" s="612"/>
      <c r="CE103" s="612"/>
      <c r="CF103" s="612"/>
      <c r="CG103" s="612"/>
      <c r="CH103" s="612"/>
      <c r="CI103" s="612"/>
      <c r="CJ103" s="612"/>
      <c r="CK103" s="612"/>
      <c r="CL103" s="612"/>
      <c r="CM103" s="612"/>
      <c r="CN103" s="612"/>
      <c r="CO103" s="612"/>
      <c r="CP103" s="612"/>
      <c r="CQ103" s="612"/>
      <c r="CR103" s="612"/>
      <c r="CS103" s="612"/>
      <c r="CT103" s="612"/>
      <c r="CU103" s="612"/>
      <c r="CV103" s="612"/>
      <c r="CW103" s="612"/>
      <c r="CX103" s="612"/>
      <c r="CY103" s="612"/>
      <c r="CZ103" s="612"/>
      <c r="DA103" s="612"/>
      <c r="DB103" s="612"/>
      <c r="DC103" s="612"/>
      <c r="DD103" s="612"/>
      <c r="DE103" s="612"/>
      <c r="DF103" s="612"/>
      <c r="DG103" s="612"/>
      <c r="DH103" s="612"/>
      <c r="DI103" s="612"/>
      <c r="DJ103" s="612"/>
      <c r="DK103" s="612"/>
      <c r="DL103" s="612"/>
      <c r="DM103" s="612"/>
      <c r="DN103" s="612"/>
      <c r="DO103" s="612"/>
      <c r="DP103" s="612"/>
      <c r="DQ103" s="612"/>
      <c r="DR103" s="612"/>
      <c r="DS103" s="612"/>
      <c r="DT103" s="612"/>
      <c r="DU103" s="612"/>
      <c r="DV103" s="612"/>
      <c r="DW103" s="612"/>
      <c r="DX103" s="612"/>
      <c r="DY103" s="612"/>
      <c r="DZ103" s="612"/>
      <c r="EA103" s="612"/>
      <c r="EB103" s="612"/>
      <c r="EC103" s="612"/>
      <c r="ED103" s="612"/>
      <c r="EE103" s="612"/>
      <c r="EF103" s="612"/>
      <c r="EG103" s="612"/>
      <c r="EH103" s="612"/>
      <c r="EI103" s="612"/>
      <c r="EJ103" s="612"/>
      <c r="EK103" s="612"/>
      <c r="EL103" s="612"/>
      <c r="EM103" s="612"/>
      <c r="EN103" s="612"/>
      <c r="EO103" s="612"/>
      <c r="EP103" s="612"/>
      <c r="EQ103" s="612"/>
      <c r="ER103" s="612"/>
      <c r="ES103" s="612"/>
      <c r="ET103" s="612"/>
      <c r="EU103" s="612"/>
      <c r="EV103" s="612"/>
      <c r="EW103" s="612"/>
      <c r="EX103" s="612"/>
      <c r="EY103" s="612"/>
      <c r="EZ103" s="612"/>
      <c r="FA103" s="612"/>
      <c r="FB103" s="612"/>
      <c r="FC103" s="612"/>
      <c r="FD103" s="612"/>
      <c r="FE103" s="612"/>
      <c r="FF103" s="612"/>
      <c r="FG103" s="612"/>
      <c r="FH103" s="612"/>
      <c r="FI103" s="612"/>
      <c r="FJ103" s="612"/>
      <c r="FK103" s="612"/>
      <c r="FL103" s="612"/>
      <c r="FM103" s="612"/>
      <c r="FN103" s="612"/>
      <c r="FO103" s="612"/>
      <c r="FP103" s="612"/>
      <c r="FQ103" s="612"/>
      <c r="FR103" s="612"/>
      <c r="FS103" s="612"/>
      <c r="FT103" s="612"/>
      <c r="FU103" s="612"/>
      <c r="FV103" s="612"/>
      <c r="FW103" s="612"/>
      <c r="FX103" s="612"/>
      <c r="FY103" s="612"/>
      <c r="FZ103" s="612"/>
      <c r="GA103" s="612"/>
      <c r="GB103" s="612"/>
      <c r="GC103" s="612"/>
      <c r="GD103" s="612"/>
      <c r="GE103" s="245"/>
      <c r="GF103" s="612"/>
      <c r="GG103" s="612"/>
      <c r="GH103" s="612"/>
      <c r="GI103" s="612"/>
      <c r="GJ103" s="612"/>
      <c r="GK103" s="612"/>
      <c r="GL103" s="612"/>
      <c r="GM103" s="612"/>
      <c r="GN103" s="612"/>
      <c r="GO103" s="612"/>
      <c r="GP103" s="612"/>
      <c r="GQ103" s="612"/>
      <c r="GR103" s="612"/>
      <c r="GS103" s="612"/>
      <c r="GT103" s="612"/>
      <c r="GU103" s="612"/>
      <c r="GV103" s="612"/>
      <c r="GW103" s="612"/>
      <c r="GX103" s="612"/>
      <c r="GY103" s="612"/>
      <c r="GZ103" s="612"/>
      <c r="HA103" s="612"/>
      <c r="HB103" s="612"/>
      <c r="HC103" s="612"/>
      <c r="HD103" s="612"/>
      <c r="HE103" s="612"/>
      <c r="HF103" s="612"/>
      <c r="HG103" s="612"/>
      <c r="HH103" s="612"/>
      <c r="HI103" s="612"/>
      <c r="HJ103" s="612"/>
      <c r="HK103" s="612"/>
      <c r="HL103" s="612"/>
      <c r="HM103" s="612"/>
      <c r="HN103" s="612"/>
      <c r="HO103" s="612"/>
      <c r="HP103" s="612"/>
      <c r="HQ103" s="612"/>
      <c r="HR103" s="612"/>
      <c r="HS103" s="612"/>
      <c r="HT103" s="612"/>
      <c r="HU103" s="612"/>
      <c r="HV103" s="612"/>
      <c r="HW103" s="612"/>
      <c r="HX103" s="612"/>
      <c r="HY103" s="612"/>
      <c r="HZ103" s="612"/>
      <c r="IA103" s="612"/>
      <c r="IB103" s="612"/>
      <c r="IC103" s="612"/>
      <c r="ID103" s="612"/>
      <c r="IE103" s="612"/>
      <c r="IF103" s="612"/>
      <c r="IG103" s="612"/>
      <c r="IH103" s="612"/>
      <c r="II103" s="612"/>
    </row>
    <row r="104" spans="1:243" ht="15" customHeight="1">
      <c r="A104" s="72"/>
      <c r="B104" s="72"/>
      <c r="C104" s="72"/>
      <c r="D104" s="89"/>
      <c r="E104" s="230"/>
      <c r="F104" s="230"/>
      <c r="G104" s="230"/>
      <c r="H104" s="230"/>
      <c r="I104" s="230"/>
      <c r="J104" s="230"/>
      <c r="K104" s="230"/>
      <c r="L104" s="230"/>
      <c r="M104" s="230"/>
      <c r="N104" s="230"/>
      <c r="O104" s="230"/>
      <c r="P104" s="230"/>
      <c r="Q104" s="230"/>
      <c r="R104" s="230"/>
      <c r="S104" s="230"/>
      <c r="T104" s="230"/>
      <c r="U104" s="230"/>
      <c r="V104" s="230"/>
      <c r="W104" s="230"/>
      <c r="X104" s="230"/>
      <c r="Y104" s="230"/>
      <c r="Z104" s="230"/>
      <c r="AA104" s="230"/>
      <c r="AB104" s="230"/>
      <c r="AC104" s="230"/>
      <c r="AD104" s="230"/>
      <c r="AE104" s="230"/>
      <c r="AF104" s="230"/>
      <c r="AG104" s="230"/>
      <c r="AH104" s="48"/>
      <c r="AI104" s="48"/>
      <c r="AJ104" s="48"/>
      <c r="AK104" s="48"/>
      <c r="AL104" s="48"/>
      <c r="AM104" s="48"/>
      <c r="AN104" s="48"/>
      <c r="AO104" s="48"/>
      <c r="AP104" s="48"/>
      <c r="AQ104" s="48"/>
      <c r="AR104" s="48"/>
      <c r="AS104" s="48"/>
      <c r="AT104" s="48"/>
      <c r="AU104" s="48"/>
      <c r="AV104" s="48"/>
      <c r="AW104" s="48"/>
      <c r="AX104" s="48"/>
      <c r="AY104" s="48"/>
      <c r="AZ104" s="50"/>
      <c r="BA104" s="612"/>
      <c r="BB104" s="612"/>
      <c r="BC104" s="612"/>
      <c r="BD104" s="612"/>
      <c r="BE104" s="612"/>
      <c r="BF104" s="612"/>
      <c r="BG104" s="612"/>
      <c r="BH104" s="612"/>
      <c r="BI104" s="612"/>
      <c r="BJ104" s="612"/>
      <c r="BK104" s="612"/>
      <c r="BL104" s="612"/>
      <c r="BM104" s="612"/>
      <c r="BN104" s="612"/>
      <c r="BO104" s="612"/>
      <c r="BP104" s="612"/>
      <c r="BQ104" s="612"/>
      <c r="BR104" s="612"/>
      <c r="BS104" s="612"/>
      <c r="BT104" s="612"/>
      <c r="BU104" s="612"/>
      <c r="BV104" s="612"/>
      <c r="BW104" s="612"/>
      <c r="BX104" s="612"/>
      <c r="BY104" s="612"/>
      <c r="BZ104" s="612"/>
      <c r="CA104" s="612"/>
      <c r="CB104" s="612"/>
      <c r="CC104" s="612"/>
      <c r="CD104" s="612"/>
      <c r="CE104" s="612"/>
      <c r="CF104" s="612"/>
      <c r="CG104" s="612"/>
      <c r="CH104" s="612"/>
      <c r="CI104" s="612"/>
      <c r="CJ104" s="612"/>
      <c r="CK104" s="612"/>
      <c r="CL104" s="612"/>
      <c r="CM104" s="612"/>
      <c r="CN104" s="612"/>
      <c r="CO104" s="612"/>
      <c r="CP104" s="612"/>
      <c r="CQ104" s="612"/>
      <c r="CR104" s="612"/>
      <c r="CS104" s="612"/>
      <c r="CT104" s="612"/>
      <c r="CU104" s="612"/>
      <c r="CV104" s="612"/>
      <c r="CW104" s="612"/>
      <c r="CX104" s="612"/>
      <c r="CY104" s="612"/>
      <c r="CZ104" s="612"/>
      <c r="DA104" s="612"/>
      <c r="DB104" s="612"/>
      <c r="DC104" s="612"/>
      <c r="DD104" s="612"/>
      <c r="DE104" s="612"/>
      <c r="DF104" s="612"/>
      <c r="DG104" s="612"/>
      <c r="DH104" s="612"/>
      <c r="DI104" s="612"/>
      <c r="DJ104" s="612"/>
      <c r="DK104" s="612"/>
      <c r="DL104" s="612"/>
      <c r="DM104" s="612"/>
      <c r="DN104" s="612"/>
      <c r="DO104" s="612"/>
      <c r="DP104" s="612"/>
      <c r="DQ104" s="612"/>
      <c r="DR104" s="612"/>
      <c r="DS104" s="612"/>
      <c r="DT104" s="612"/>
      <c r="DU104" s="612"/>
      <c r="DV104" s="612"/>
      <c r="DW104" s="612"/>
      <c r="DX104" s="612"/>
      <c r="DY104" s="612"/>
      <c r="DZ104" s="612"/>
      <c r="EA104" s="612"/>
      <c r="EB104" s="612"/>
      <c r="EC104" s="612"/>
      <c r="ED104" s="612"/>
      <c r="EE104" s="612"/>
      <c r="EF104" s="612"/>
      <c r="EG104" s="612"/>
      <c r="EH104" s="612"/>
      <c r="EI104" s="612"/>
      <c r="EJ104" s="612"/>
      <c r="EK104" s="612"/>
      <c r="EL104" s="612"/>
      <c r="EM104" s="612"/>
      <c r="EN104" s="612"/>
      <c r="EO104" s="612"/>
      <c r="EP104" s="612"/>
      <c r="EQ104" s="612"/>
      <c r="ER104" s="612"/>
      <c r="ES104" s="612"/>
      <c r="ET104" s="612"/>
      <c r="EU104" s="612"/>
      <c r="EV104" s="612"/>
      <c r="EW104" s="612"/>
      <c r="EX104" s="612"/>
      <c r="EY104" s="612"/>
      <c r="EZ104" s="612"/>
      <c r="FA104" s="612"/>
      <c r="FB104" s="612"/>
      <c r="FC104" s="612"/>
      <c r="FD104" s="612"/>
      <c r="FE104" s="612"/>
      <c r="FF104" s="612"/>
      <c r="FG104" s="612"/>
      <c r="FH104" s="612"/>
      <c r="FI104" s="612"/>
      <c r="FJ104" s="612"/>
      <c r="FK104" s="612"/>
      <c r="FL104" s="612"/>
      <c r="FM104" s="612"/>
      <c r="FN104" s="612"/>
      <c r="FO104" s="612"/>
      <c r="FP104" s="612"/>
      <c r="FQ104" s="612"/>
      <c r="FR104" s="612"/>
      <c r="FS104" s="612"/>
      <c r="FT104" s="612"/>
      <c r="FU104" s="612"/>
      <c r="FV104" s="612"/>
      <c r="FW104" s="612"/>
      <c r="FX104" s="612"/>
      <c r="FY104" s="612"/>
      <c r="FZ104" s="612"/>
      <c r="GA104" s="612"/>
      <c r="GB104" s="612"/>
      <c r="GC104" s="612"/>
      <c r="GD104" s="612"/>
      <c r="GE104" s="245"/>
      <c r="GF104" s="612"/>
      <c r="GG104" s="612"/>
      <c r="GH104" s="612"/>
      <c r="GI104" s="612"/>
      <c r="GJ104" s="612"/>
      <c r="GK104" s="612"/>
      <c r="GL104" s="612"/>
      <c r="GM104" s="612"/>
      <c r="GN104" s="612"/>
      <c r="GO104" s="612"/>
      <c r="GP104" s="612"/>
      <c r="GQ104" s="612"/>
      <c r="GR104" s="612"/>
      <c r="GS104" s="612"/>
      <c r="GT104" s="612"/>
      <c r="GU104" s="612"/>
      <c r="GV104" s="612"/>
      <c r="GW104" s="612"/>
      <c r="GX104" s="612"/>
      <c r="GY104" s="612"/>
      <c r="GZ104" s="612"/>
      <c r="HA104" s="612"/>
      <c r="HB104" s="612"/>
      <c r="HC104" s="612"/>
      <c r="HD104" s="612"/>
      <c r="HE104" s="612"/>
      <c r="HF104" s="612"/>
      <c r="HG104" s="612"/>
      <c r="HH104" s="612"/>
      <c r="HI104" s="612"/>
      <c r="HJ104" s="612"/>
      <c r="HK104" s="612"/>
      <c r="HL104" s="612"/>
      <c r="HM104" s="612"/>
      <c r="HN104" s="612"/>
      <c r="HO104" s="612"/>
      <c r="HP104" s="612"/>
      <c r="HQ104" s="612"/>
      <c r="HR104" s="612"/>
      <c r="HS104" s="612"/>
      <c r="HT104" s="612"/>
      <c r="HU104" s="612"/>
      <c r="HV104" s="612"/>
      <c r="HW104" s="612"/>
      <c r="HX104" s="612"/>
      <c r="HY104" s="612"/>
      <c r="HZ104" s="612"/>
      <c r="IA104" s="612"/>
      <c r="IB104" s="612"/>
      <c r="IC104" s="612"/>
      <c r="ID104" s="612"/>
      <c r="IE104" s="612"/>
      <c r="IF104" s="612"/>
      <c r="IG104" s="612"/>
      <c r="IH104" s="612"/>
      <c r="II104" s="612"/>
    </row>
    <row r="105" spans="1:243" ht="15" customHeight="1">
      <c r="A105" s="72"/>
      <c r="B105" s="72"/>
      <c r="C105" s="72"/>
      <c r="D105" s="89"/>
      <c r="E105" s="230"/>
      <c r="F105" s="230"/>
      <c r="G105" s="232"/>
      <c r="H105" s="232"/>
      <c r="I105" s="230"/>
      <c r="J105" s="230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W105" s="230"/>
      <c r="X105" s="230"/>
      <c r="Y105" s="230"/>
      <c r="Z105" s="230"/>
      <c r="AA105" s="230"/>
      <c r="AB105" s="230"/>
      <c r="AC105" s="230"/>
      <c r="AD105" s="230"/>
      <c r="AE105" s="230"/>
      <c r="AF105" s="230"/>
      <c r="AG105" s="230"/>
      <c r="AH105" s="48"/>
      <c r="AI105" s="48"/>
      <c r="AJ105" s="48"/>
      <c r="AK105" s="48"/>
      <c r="AL105" s="48"/>
      <c r="AM105" s="48"/>
      <c r="AN105" s="48"/>
      <c r="AO105" s="48"/>
      <c r="AP105" s="48"/>
      <c r="AQ105" s="48"/>
      <c r="AR105" s="48"/>
      <c r="AS105" s="48"/>
      <c r="AT105" s="48"/>
      <c r="AU105" s="48"/>
      <c r="AV105" s="48"/>
      <c r="AW105" s="48"/>
      <c r="AX105" s="48"/>
      <c r="AY105" s="48"/>
      <c r="AZ105" s="50"/>
      <c r="BA105" s="612"/>
      <c r="BB105" s="612"/>
      <c r="BC105" s="612"/>
      <c r="BD105" s="612"/>
      <c r="BE105" s="612"/>
      <c r="BF105" s="612"/>
      <c r="BG105" s="612"/>
      <c r="BH105" s="612"/>
      <c r="BI105" s="612"/>
      <c r="BJ105" s="612"/>
      <c r="BK105" s="612"/>
      <c r="BL105" s="612"/>
      <c r="BM105" s="612"/>
      <c r="BN105" s="612"/>
      <c r="BO105" s="612"/>
      <c r="BP105" s="612"/>
      <c r="BQ105" s="612"/>
      <c r="BR105" s="612"/>
      <c r="BS105" s="612"/>
      <c r="BT105" s="612"/>
      <c r="BU105" s="612"/>
      <c r="BV105" s="612"/>
      <c r="BW105" s="612"/>
      <c r="BX105" s="612"/>
      <c r="BY105" s="612"/>
      <c r="BZ105" s="612"/>
      <c r="CA105" s="612"/>
      <c r="CB105" s="612"/>
      <c r="CC105" s="612"/>
      <c r="CD105" s="612"/>
      <c r="CE105" s="612"/>
      <c r="CF105" s="612"/>
      <c r="CG105" s="612"/>
      <c r="CH105" s="612"/>
      <c r="CI105" s="612"/>
      <c r="CJ105" s="612"/>
      <c r="CK105" s="612"/>
      <c r="CL105" s="612"/>
      <c r="CM105" s="612"/>
      <c r="CN105" s="612"/>
      <c r="CO105" s="612"/>
      <c r="CP105" s="612"/>
      <c r="CQ105" s="612"/>
      <c r="CR105" s="612"/>
      <c r="CS105" s="612"/>
      <c r="CT105" s="612"/>
      <c r="CU105" s="612"/>
      <c r="CV105" s="612"/>
      <c r="CW105" s="612"/>
      <c r="CX105" s="612"/>
      <c r="CY105" s="612"/>
      <c r="CZ105" s="612"/>
      <c r="DA105" s="612"/>
      <c r="DB105" s="612"/>
      <c r="DC105" s="612"/>
      <c r="DD105" s="612"/>
      <c r="DE105" s="612"/>
      <c r="DF105" s="612"/>
      <c r="DG105" s="612"/>
      <c r="DH105" s="612"/>
      <c r="DI105" s="612"/>
      <c r="DJ105" s="612"/>
      <c r="DK105" s="612"/>
      <c r="DL105" s="612"/>
      <c r="DM105" s="612"/>
      <c r="DN105" s="612"/>
      <c r="DO105" s="612"/>
      <c r="DP105" s="612"/>
      <c r="DQ105" s="612"/>
      <c r="DR105" s="612"/>
      <c r="DS105" s="612"/>
      <c r="DT105" s="612"/>
      <c r="DU105" s="612"/>
      <c r="DV105" s="612"/>
      <c r="DW105" s="612"/>
      <c r="DX105" s="612"/>
      <c r="DY105" s="612"/>
      <c r="DZ105" s="612"/>
      <c r="EA105" s="612"/>
      <c r="EB105" s="612"/>
      <c r="EC105" s="612"/>
      <c r="ED105" s="612"/>
      <c r="EE105" s="612"/>
      <c r="EF105" s="612"/>
      <c r="EG105" s="612"/>
      <c r="EH105" s="612"/>
      <c r="EI105" s="612"/>
      <c r="EJ105" s="612"/>
      <c r="EK105" s="612"/>
      <c r="EL105" s="612"/>
      <c r="EM105" s="612"/>
      <c r="EN105" s="612"/>
      <c r="EO105" s="612"/>
      <c r="EP105" s="612"/>
      <c r="EQ105" s="612"/>
      <c r="ER105" s="612"/>
      <c r="ES105" s="612"/>
      <c r="ET105" s="612"/>
      <c r="EU105" s="612"/>
      <c r="EV105" s="612"/>
      <c r="EW105" s="612"/>
      <c r="EX105" s="612"/>
      <c r="EY105" s="612"/>
      <c r="EZ105" s="612"/>
      <c r="FA105" s="612"/>
      <c r="FB105" s="612"/>
      <c r="FC105" s="612"/>
      <c r="FD105" s="612"/>
      <c r="FE105" s="612"/>
      <c r="FF105" s="612"/>
      <c r="FG105" s="612"/>
      <c r="FH105" s="612"/>
      <c r="FI105" s="612"/>
      <c r="FJ105" s="612"/>
      <c r="FK105" s="612"/>
      <c r="FL105" s="612"/>
      <c r="FM105" s="612"/>
      <c r="FN105" s="612"/>
      <c r="FO105" s="612"/>
      <c r="FP105" s="612"/>
      <c r="FQ105" s="612"/>
      <c r="FR105" s="612"/>
      <c r="FS105" s="612"/>
      <c r="FT105" s="612"/>
      <c r="FU105" s="612"/>
      <c r="FV105" s="612"/>
      <c r="FW105" s="612"/>
      <c r="FX105" s="612"/>
      <c r="FY105" s="612"/>
      <c r="FZ105" s="612"/>
      <c r="GA105" s="612"/>
      <c r="GB105" s="612"/>
      <c r="GC105" s="612"/>
      <c r="GD105" s="612"/>
      <c r="GE105" s="245"/>
      <c r="GF105" s="612"/>
      <c r="GG105" s="612"/>
      <c r="GH105" s="612"/>
      <c r="GI105" s="612"/>
      <c r="GJ105" s="612"/>
      <c r="GK105" s="612"/>
      <c r="GL105" s="612"/>
      <c r="GM105" s="612"/>
      <c r="GN105" s="612"/>
      <c r="GO105" s="612"/>
      <c r="GP105" s="612"/>
      <c r="GQ105" s="612"/>
      <c r="GR105" s="612"/>
      <c r="GS105" s="612"/>
      <c r="GT105" s="612"/>
      <c r="GU105" s="612"/>
      <c r="GV105" s="612"/>
      <c r="GW105" s="612"/>
      <c r="GX105" s="612"/>
      <c r="GY105" s="612"/>
      <c r="GZ105" s="612"/>
      <c r="HA105" s="612"/>
      <c r="HB105" s="612"/>
      <c r="HC105" s="612"/>
      <c r="HD105" s="612"/>
      <c r="HE105" s="612"/>
      <c r="HF105" s="612"/>
      <c r="HG105" s="612"/>
      <c r="HH105" s="612"/>
      <c r="HI105" s="612"/>
      <c r="HJ105" s="612"/>
      <c r="HK105" s="612"/>
      <c r="HL105" s="612"/>
      <c r="HM105" s="612"/>
      <c r="HN105" s="612"/>
      <c r="HO105" s="612"/>
      <c r="HP105" s="612"/>
      <c r="HQ105" s="612"/>
      <c r="HR105" s="612"/>
      <c r="HS105" s="612"/>
      <c r="HT105" s="612"/>
      <c r="HU105" s="612"/>
      <c r="HV105" s="612"/>
      <c r="HW105" s="612"/>
      <c r="HX105" s="612"/>
      <c r="HY105" s="612"/>
      <c r="HZ105" s="612"/>
      <c r="IA105" s="612"/>
      <c r="IB105" s="612"/>
      <c r="IC105" s="612"/>
      <c r="ID105" s="612"/>
      <c r="IE105" s="612"/>
      <c r="IF105" s="612"/>
      <c r="IG105" s="612"/>
      <c r="IH105" s="612"/>
      <c r="II105" s="612"/>
    </row>
    <row r="106" spans="1:243" ht="15" customHeight="1">
      <c r="A106" s="72"/>
      <c r="B106" s="72"/>
      <c r="C106" s="72"/>
      <c r="D106" s="89"/>
      <c r="E106" s="230"/>
      <c r="F106" s="230"/>
      <c r="G106" s="232"/>
      <c r="H106" s="232"/>
      <c r="I106" s="230"/>
      <c r="J106" s="230"/>
      <c r="K106" s="230"/>
      <c r="L106" s="230"/>
      <c r="M106" s="230"/>
      <c r="N106" s="230"/>
      <c r="O106" s="230"/>
      <c r="P106" s="230"/>
      <c r="Q106" s="230"/>
      <c r="R106" s="230"/>
      <c r="S106" s="230"/>
      <c r="T106" s="230"/>
      <c r="U106" s="230"/>
      <c r="V106" s="230"/>
      <c r="W106" s="230"/>
      <c r="X106" s="230"/>
      <c r="Y106" s="230"/>
      <c r="Z106" s="230"/>
      <c r="AA106" s="230"/>
      <c r="AB106" s="230"/>
      <c r="AC106" s="230"/>
      <c r="AD106" s="230"/>
      <c r="AE106" s="230"/>
      <c r="AF106" s="230"/>
      <c r="AG106" s="230"/>
      <c r="AH106" s="48"/>
      <c r="AI106" s="48"/>
      <c r="AJ106" s="48"/>
      <c r="AK106" s="48"/>
      <c r="AL106" s="48"/>
      <c r="AM106" s="48"/>
      <c r="AN106" s="48"/>
      <c r="AO106" s="48"/>
      <c r="AP106" s="48"/>
      <c r="AQ106" s="48"/>
      <c r="AR106" s="48"/>
      <c r="AS106" s="48"/>
      <c r="AT106" s="48"/>
      <c r="AU106" s="48"/>
      <c r="AV106" s="48"/>
      <c r="AW106" s="48"/>
      <c r="AX106" s="48"/>
      <c r="AY106" s="48"/>
      <c r="AZ106" s="50"/>
      <c r="BA106" s="612"/>
      <c r="BB106" s="612"/>
      <c r="BC106" s="612"/>
      <c r="BD106" s="612"/>
      <c r="BE106" s="612"/>
      <c r="BF106" s="612"/>
      <c r="BG106" s="612"/>
      <c r="BH106" s="612"/>
      <c r="BI106" s="612"/>
      <c r="BJ106" s="612"/>
      <c r="BK106" s="612"/>
      <c r="BL106" s="612"/>
      <c r="BM106" s="612"/>
      <c r="BN106" s="612"/>
      <c r="BO106" s="612"/>
      <c r="BP106" s="612"/>
      <c r="BQ106" s="612"/>
      <c r="BR106" s="612"/>
      <c r="BS106" s="612"/>
      <c r="BT106" s="612"/>
      <c r="BU106" s="612"/>
      <c r="BV106" s="612"/>
      <c r="BW106" s="612"/>
      <c r="BX106" s="612"/>
      <c r="BY106" s="612"/>
      <c r="BZ106" s="612"/>
      <c r="CA106" s="612"/>
      <c r="CB106" s="612"/>
      <c r="CC106" s="612"/>
      <c r="CD106" s="612"/>
      <c r="CE106" s="612"/>
      <c r="CF106" s="612"/>
      <c r="CG106" s="612"/>
      <c r="CH106" s="612"/>
      <c r="CI106" s="612"/>
      <c r="CJ106" s="612"/>
      <c r="CK106" s="612"/>
      <c r="CL106" s="612"/>
      <c r="CM106" s="612"/>
      <c r="CN106" s="612"/>
      <c r="CO106" s="612"/>
      <c r="CP106" s="612"/>
      <c r="CQ106" s="612"/>
      <c r="CR106" s="612"/>
      <c r="CS106" s="612"/>
      <c r="CT106" s="612"/>
      <c r="CU106" s="612"/>
      <c r="CV106" s="612"/>
      <c r="CW106" s="612"/>
      <c r="CX106" s="612"/>
      <c r="CY106" s="612"/>
      <c r="CZ106" s="612"/>
      <c r="DA106" s="612"/>
      <c r="DB106" s="612"/>
      <c r="DC106" s="612"/>
      <c r="DD106" s="612"/>
      <c r="DE106" s="612"/>
      <c r="DF106" s="612"/>
      <c r="DG106" s="612"/>
      <c r="DH106" s="612"/>
      <c r="DI106" s="612"/>
      <c r="DJ106" s="612"/>
      <c r="DK106" s="612"/>
      <c r="DL106" s="612"/>
      <c r="DM106" s="612"/>
      <c r="DN106" s="612"/>
      <c r="DO106" s="612"/>
      <c r="DP106" s="612"/>
      <c r="DQ106" s="612"/>
      <c r="DR106" s="612"/>
      <c r="DS106" s="612"/>
      <c r="DT106" s="612"/>
      <c r="DU106" s="612"/>
      <c r="DV106" s="612"/>
      <c r="DW106" s="612"/>
      <c r="DX106" s="612"/>
      <c r="DY106" s="612"/>
      <c r="DZ106" s="612"/>
      <c r="EA106" s="612"/>
      <c r="EB106" s="612"/>
      <c r="EC106" s="612"/>
      <c r="ED106" s="612"/>
      <c r="EE106" s="612"/>
      <c r="EF106" s="612"/>
      <c r="EG106" s="612"/>
      <c r="EH106" s="612"/>
      <c r="EI106" s="612"/>
      <c r="EJ106" s="612"/>
      <c r="EK106" s="612"/>
      <c r="EL106" s="612"/>
      <c r="EM106" s="612"/>
      <c r="EN106" s="612"/>
      <c r="EO106" s="612"/>
      <c r="EP106" s="612"/>
      <c r="EQ106" s="612"/>
      <c r="ER106" s="612"/>
      <c r="ES106" s="612"/>
      <c r="ET106" s="612"/>
      <c r="EU106" s="612"/>
      <c r="EV106" s="612"/>
      <c r="EW106" s="612"/>
      <c r="EX106" s="612"/>
      <c r="EY106" s="612"/>
      <c r="EZ106" s="612"/>
      <c r="FA106" s="612"/>
      <c r="FB106" s="612"/>
      <c r="FC106" s="612"/>
      <c r="FD106" s="612"/>
      <c r="FE106" s="612"/>
      <c r="FF106" s="612"/>
      <c r="FG106" s="612"/>
      <c r="FH106" s="612"/>
      <c r="FI106" s="612"/>
      <c r="FJ106" s="612"/>
      <c r="FK106" s="612"/>
      <c r="FL106" s="612"/>
      <c r="FM106" s="612"/>
      <c r="FN106" s="612"/>
      <c r="FO106" s="612"/>
      <c r="FP106" s="612"/>
      <c r="FQ106" s="612"/>
      <c r="FR106" s="612"/>
      <c r="FS106" s="612"/>
      <c r="FT106" s="612"/>
      <c r="FU106" s="612"/>
      <c r="FV106" s="612"/>
      <c r="FW106" s="612"/>
      <c r="FX106" s="612"/>
      <c r="FY106" s="612"/>
      <c r="FZ106" s="612"/>
      <c r="GA106" s="612"/>
      <c r="GB106" s="612"/>
      <c r="GC106" s="612"/>
      <c r="GD106" s="612"/>
      <c r="GE106" s="245"/>
      <c r="GF106" s="612"/>
      <c r="GG106" s="612"/>
      <c r="GH106" s="612"/>
      <c r="GI106" s="612"/>
      <c r="GJ106" s="612"/>
      <c r="GK106" s="612"/>
      <c r="GL106" s="612"/>
      <c r="GM106" s="612"/>
      <c r="GN106" s="612"/>
      <c r="GO106" s="612"/>
      <c r="GP106" s="612"/>
      <c r="GQ106" s="612"/>
      <c r="GR106" s="612"/>
      <c r="GS106" s="612"/>
      <c r="GT106" s="612"/>
      <c r="GU106" s="612"/>
      <c r="GV106" s="612"/>
      <c r="GW106" s="612"/>
      <c r="GX106" s="612"/>
      <c r="GY106" s="612"/>
      <c r="GZ106" s="612"/>
      <c r="HA106" s="612"/>
      <c r="HB106" s="612"/>
      <c r="HC106" s="612"/>
      <c r="HD106" s="612"/>
      <c r="HE106" s="612"/>
      <c r="HF106" s="612"/>
      <c r="HG106" s="612"/>
      <c r="HH106" s="612"/>
      <c r="HI106" s="612"/>
      <c r="HJ106" s="612"/>
      <c r="HK106" s="612"/>
      <c r="HL106" s="612"/>
      <c r="HM106" s="612"/>
      <c r="HN106" s="612"/>
      <c r="HO106" s="612"/>
      <c r="HP106" s="612"/>
      <c r="HQ106" s="612"/>
      <c r="HR106" s="612"/>
      <c r="HS106" s="612"/>
      <c r="HT106" s="612"/>
      <c r="HU106" s="612"/>
      <c r="HV106" s="612"/>
      <c r="HW106" s="612"/>
      <c r="HX106" s="612"/>
      <c r="HY106" s="612"/>
      <c r="HZ106" s="612"/>
      <c r="IA106" s="612"/>
      <c r="IB106" s="612"/>
      <c r="IC106" s="612"/>
      <c r="ID106" s="612"/>
      <c r="IE106" s="612"/>
      <c r="IF106" s="612"/>
      <c r="IG106" s="612"/>
      <c r="IH106" s="612"/>
      <c r="II106" s="612"/>
    </row>
    <row r="107" spans="1:243" ht="15" customHeight="1">
      <c r="A107" s="72"/>
      <c r="B107" s="72"/>
      <c r="C107" s="72"/>
      <c r="D107" s="89"/>
      <c r="E107" s="230"/>
      <c r="F107" s="230"/>
      <c r="G107" s="232"/>
      <c r="H107" s="232"/>
      <c r="I107" s="232"/>
      <c r="J107" s="230"/>
      <c r="K107" s="230"/>
      <c r="L107" s="230"/>
      <c r="M107" s="230"/>
      <c r="N107" s="230"/>
      <c r="O107" s="230"/>
      <c r="P107" s="230"/>
      <c r="Q107" s="230"/>
      <c r="R107" s="230"/>
      <c r="S107" s="230"/>
      <c r="T107" s="230"/>
      <c r="U107" s="230"/>
      <c r="V107" s="230"/>
      <c r="W107" s="230"/>
      <c r="X107" s="230"/>
      <c r="Y107" s="230"/>
      <c r="Z107" s="230"/>
      <c r="AA107" s="230"/>
      <c r="AB107" s="230"/>
      <c r="AC107" s="230"/>
      <c r="AD107" s="230"/>
      <c r="AE107" s="230"/>
      <c r="AF107" s="230"/>
      <c r="AG107" s="230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  <c r="AT107" s="48"/>
      <c r="AU107" s="48"/>
      <c r="AV107" s="48"/>
      <c r="AW107" s="48"/>
      <c r="AX107" s="48"/>
      <c r="AY107" s="48"/>
      <c r="AZ107" s="50"/>
      <c r="BA107" s="612"/>
      <c r="BB107" s="612"/>
      <c r="BC107" s="612"/>
      <c r="BD107" s="612"/>
      <c r="BE107" s="612"/>
      <c r="BF107" s="612"/>
      <c r="BG107" s="612"/>
      <c r="BH107" s="612"/>
      <c r="BI107" s="612"/>
      <c r="BJ107" s="612"/>
      <c r="BK107" s="612"/>
      <c r="BL107" s="612"/>
      <c r="BM107" s="612"/>
      <c r="BN107" s="612"/>
      <c r="BO107" s="612"/>
      <c r="BP107" s="612"/>
      <c r="BQ107" s="612"/>
      <c r="BR107" s="612"/>
      <c r="BS107" s="612"/>
      <c r="BT107" s="612"/>
      <c r="BU107" s="612"/>
      <c r="BV107" s="612"/>
      <c r="BW107" s="612"/>
      <c r="BX107" s="612"/>
      <c r="BY107" s="612"/>
      <c r="BZ107" s="612"/>
      <c r="CA107" s="612"/>
      <c r="CB107" s="612"/>
      <c r="CC107" s="612"/>
      <c r="CD107" s="612"/>
      <c r="CE107" s="612"/>
      <c r="CF107" s="612"/>
      <c r="CG107" s="612"/>
      <c r="CH107" s="612"/>
      <c r="CI107" s="612"/>
      <c r="CJ107" s="612"/>
      <c r="CK107" s="612"/>
      <c r="CL107" s="612"/>
      <c r="CM107" s="612"/>
      <c r="CN107" s="612"/>
      <c r="CO107" s="612"/>
      <c r="CP107" s="612"/>
      <c r="CQ107" s="612"/>
      <c r="CR107" s="612"/>
      <c r="CS107" s="612"/>
      <c r="CT107" s="612"/>
      <c r="CU107" s="612"/>
      <c r="CV107" s="612"/>
      <c r="CW107" s="612"/>
      <c r="CX107" s="612"/>
      <c r="CY107" s="612"/>
      <c r="CZ107" s="612"/>
      <c r="DA107" s="612"/>
      <c r="DB107" s="612"/>
      <c r="DC107" s="612"/>
      <c r="DD107" s="612"/>
      <c r="DE107" s="612"/>
      <c r="DF107" s="612"/>
      <c r="DG107" s="612"/>
      <c r="DH107" s="612"/>
      <c r="DI107" s="612"/>
      <c r="DJ107" s="612"/>
      <c r="DK107" s="612"/>
      <c r="DL107" s="612"/>
      <c r="DM107" s="612"/>
      <c r="DN107" s="612"/>
      <c r="DO107" s="612"/>
      <c r="DP107" s="612"/>
      <c r="DQ107" s="612"/>
      <c r="DR107" s="612"/>
      <c r="DS107" s="612"/>
      <c r="DT107" s="612"/>
      <c r="DU107" s="612"/>
      <c r="DV107" s="612"/>
      <c r="DW107" s="612"/>
      <c r="DX107" s="612"/>
      <c r="DY107" s="612"/>
      <c r="DZ107" s="612"/>
      <c r="EA107" s="612"/>
      <c r="EB107" s="612"/>
      <c r="EC107" s="612"/>
      <c r="ED107" s="612"/>
      <c r="EE107" s="612"/>
      <c r="EF107" s="612"/>
      <c r="EG107" s="612"/>
      <c r="EH107" s="612"/>
      <c r="EI107" s="612"/>
      <c r="EJ107" s="612"/>
      <c r="EK107" s="612"/>
      <c r="EL107" s="612"/>
      <c r="EM107" s="612"/>
      <c r="EN107" s="612"/>
      <c r="EO107" s="612"/>
      <c r="EP107" s="612"/>
      <c r="EQ107" s="612"/>
      <c r="ER107" s="612"/>
      <c r="ES107" s="612"/>
      <c r="ET107" s="612"/>
      <c r="EU107" s="612"/>
      <c r="EV107" s="612"/>
      <c r="EW107" s="612"/>
      <c r="EX107" s="612"/>
      <c r="EY107" s="612"/>
      <c r="EZ107" s="612"/>
      <c r="FA107" s="612"/>
      <c r="FB107" s="612"/>
      <c r="FC107" s="612"/>
      <c r="FD107" s="612"/>
      <c r="FE107" s="612"/>
      <c r="FF107" s="612"/>
      <c r="FG107" s="612"/>
      <c r="FH107" s="612"/>
      <c r="FI107" s="612"/>
      <c r="FJ107" s="612"/>
      <c r="FK107" s="612"/>
      <c r="FL107" s="612"/>
      <c r="FM107" s="612"/>
      <c r="FN107" s="612"/>
      <c r="FO107" s="612"/>
      <c r="FP107" s="612"/>
      <c r="FQ107" s="612"/>
      <c r="FR107" s="612"/>
      <c r="FS107" s="612"/>
      <c r="FT107" s="612"/>
      <c r="FU107" s="612"/>
      <c r="FV107" s="612"/>
      <c r="FW107" s="612"/>
      <c r="FX107" s="612"/>
      <c r="FY107" s="612"/>
      <c r="FZ107" s="612"/>
      <c r="GA107" s="612"/>
      <c r="GB107" s="612"/>
      <c r="GC107" s="612"/>
      <c r="GD107" s="612"/>
      <c r="GE107" s="245"/>
      <c r="GF107" s="612"/>
      <c r="GG107" s="612"/>
      <c r="GH107" s="612"/>
      <c r="GI107" s="612"/>
      <c r="GJ107" s="612"/>
      <c r="GK107" s="612"/>
      <c r="GL107" s="612"/>
      <c r="GM107" s="612"/>
      <c r="GN107" s="612"/>
      <c r="GO107" s="612"/>
      <c r="GP107" s="612"/>
      <c r="GQ107" s="612"/>
      <c r="GR107" s="612"/>
      <c r="GS107" s="612"/>
      <c r="GT107" s="612"/>
      <c r="GU107" s="612"/>
      <c r="GV107" s="612"/>
      <c r="GW107" s="612"/>
      <c r="GX107" s="612"/>
      <c r="GY107" s="612"/>
      <c r="GZ107" s="612"/>
      <c r="HA107" s="612"/>
      <c r="HB107" s="612"/>
      <c r="HC107" s="612"/>
      <c r="HD107" s="612"/>
      <c r="HE107" s="612"/>
      <c r="HF107" s="612"/>
      <c r="HG107" s="612"/>
      <c r="HH107" s="612"/>
      <c r="HI107" s="612"/>
      <c r="HJ107" s="612"/>
      <c r="HK107" s="612"/>
      <c r="HL107" s="612"/>
      <c r="HM107" s="612"/>
      <c r="HN107" s="612"/>
      <c r="HO107" s="612"/>
      <c r="HP107" s="612"/>
      <c r="HQ107" s="612"/>
      <c r="HR107" s="612"/>
      <c r="HS107" s="612"/>
      <c r="HT107" s="612"/>
      <c r="HU107" s="612"/>
      <c r="HV107" s="612"/>
      <c r="HW107" s="612"/>
      <c r="HX107" s="612"/>
      <c r="HY107" s="612"/>
      <c r="HZ107" s="612"/>
      <c r="IA107" s="612"/>
      <c r="IB107" s="612"/>
      <c r="IC107" s="612"/>
      <c r="ID107" s="612"/>
      <c r="IE107" s="612"/>
      <c r="IF107" s="612"/>
      <c r="IG107" s="612"/>
      <c r="IH107" s="612"/>
      <c r="II107" s="612"/>
    </row>
    <row r="108" spans="1:243" ht="15" customHeight="1">
      <c r="A108" s="72"/>
      <c r="B108" s="72"/>
      <c r="C108" s="72"/>
      <c r="D108" s="89"/>
      <c r="E108" s="230"/>
      <c r="F108" s="230"/>
      <c r="G108" s="232"/>
      <c r="H108" s="230"/>
      <c r="I108" s="230"/>
      <c r="J108" s="230"/>
      <c r="K108" s="230"/>
      <c r="L108" s="230"/>
      <c r="M108" s="230"/>
      <c r="N108" s="230"/>
      <c r="O108" s="230"/>
      <c r="P108" s="230"/>
      <c r="Q108" s="230"/>
      <c r="R108" s="230"/>
      <c r="S108" s="230"/>
      <c r="T108" s="230"/>
      <c r="U108" s="230"/>
      <c r="V108" s="230"/>
      <c r="W108" s="230"/>
      <c r="X108" s="230"/>
      <c r="Y108" s="230"/>
      <c r="Z108" s="230"/>
      <c r="AA108" s="230"/>
      <c r="AB108" s="230"/>
      <c r="AC108" s="230"/>
      <c r="AD108" s="230"/>
      <c r="AE108" s="230"/>
      <c r="AF108" s="230"/>
      <c r="AG108" s="230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  <c r="AW108" s="48"/>
      <c r="AX108" s="48"/>
      <c r="AY108" s="48"/>
      <c r="AZ108" s="50"/>
      <c r="BA108" s="612"/>
      <c r="BB108" s="612"/>
      <c r="BC108" s="612"/>
      <c r="BD108" s="612"/>
      <c r="BE108" s="612"/>
      <c r="BF108" s="612"/>
      <c r="BG108" s="612"/>
      <c r="BH108" s="612"/>
      <c r="BI108" s="612"/>
      <c r="BJ108" s="612"/>
      <c r="BK108" s="612"/>
      <c r="BL108" s="612"/>
      <c r="BM108" s="612"/>
      <c r="BN108" s="612"/>
      <c r="BO108" s="612"/>
      <c r="BP108" s="612"/>
      <c r="BQ108" s="612"/>
      <c r="BR108" s="612"/>
      <c r="BS108" s="612"/>
      <c r="BT108" s="612"/>
      <c r="BU108" s="612"/>
      <c r="BV108" s="612"/>
      <c r="BW108" s="612"/>
      <c r="BX108" s="612"/>
      <c r="BY108" s="612"/>
      <c r="BZ108" s="612"/>
      <c r="CA108" s="612"/>
      <c r="CB108" s="612"/>
      <c r="CC108" s="612"/>
      <c r="CD108" s="612"/>
      <c r="CE108" s="612"/>
      <c r="CF108" s="612"/>
      <c r="CG108" s="612"/>
      <c r="CH108" s="612"/>
      <c r="CI108" s="612"/>
      <c r="CJ108" s="612"/>
      <c r="CK108" s="612"/>
      <c r="CL108" s="612"/>
      <c r="CM108" s="612"/>
      <c r="CN108" s="612"/>
      <c r="CO108" s="612"/>
      <c r="CP108" s="612"/>
      <c r="CQ108" s="612"/>
      <c r="CR108" s="612"/>
      <c r="CS108" s="612"/>
      <c r="CT108" s="612"/>
      <c r="CU108" s="612"/>
      <c r="CV108" s="612"/>
      <c r="CW108" s="612"/>
      <c r="CX108" s="612"/>
      <c r="CY108" s="612"/>
      <c r="CZ108" s="612"/>
      <c r="DA108" s="612"/>
      <c r="DB108" s="612"/>
      <c r="DC108" s="612"/>
      <c r="DD108" s="612"/>
      <c r="DE108" s="612"/>
      <c r="DF108" s="612"/>
      <c r="DG108" s="612"/>
      <c r="DH108" s="612"/>
      <c r="DI108" s="612"/>
      <c r="DJ108" s="612"/>
      <c r="DK108" s="612"/>
      <c r="DL108" s="612"/>
      <c r="DM108" s="612"/>
      <c r="DN108" s="612"/>
      <c r="DO108" s="612"/>
      <c r="DP108" s="612"/>
      <c r="DQ108" s="612"/>
      <c r="DR108" s="612"/>
      <c r="DS108" s="612"/>
      <c r="DT108" s="612"/>
      <c r="DU108" s="612"/>
      <c r="DV108" s="612"/>
      <c r="DW108" s="612"/>
      <c r="DX108" s="612"/>
      <c r="DY108" s="612"/>
      <c r="DZ108" s="612"/>
      <c r="EA108" s="612"/>
      <c r="EB108" s="612"/>
      <c r="EC108" s="612"/>
      <c r="ED108" s="612"/>
      <c r="EE108" s="612"/>
      <c r="EF108" s="612"/>
      <c r="EG108" s="612"/>
      <c r="EH108" s="612"/>
      <c r="EI108" s="612"/>
      <c r="EJ108" s="612"/>
      <c r="EK108" s="612"/>
      <c r="EL108" s="612"/>
      <c r="EM108" s="612"/>
      <c r="EN108" s="612"/>
      <c r="EO108" s="612"/>
      <c r="EP108" s="612"/>
      <c r="EQ108" s="612"/>
      <c r="ER108" s="612"/>
      <c r="ES108" s="612"/>
      <c r="ET108" s="612"/>
      <c r="EU108" s="612"/>
      <c r="EV108" s="612"/>
      <c r="EW108" s="612"/>
      <c r="EX108" s="612"/>
      <c r="EY108" s="612"/>
      <c r="EZ108" s="612"/>
      <c r="FA108" s="612"/>
      <c r="FB108" s="612"/>
      <c r="FC108" s="612"/>
      <c r="FD108" s="612"/>
      <c r="FE108" s="612"/>
      <c r="FF108" s="612"/>
      <c r="FG108" s="612"/>
      <c r="FH108" s="612"/>
      <c r="FI108" s="612"/>
      <c r="FJ108" s="612"/>
      <c r="FK108" s="612"/>
      <c r="FL108" s="612"/>
      <c r="FM108" s="612"/>
      <c r="FN108" s="612"/>
      <c r="FO108" s="612"/>
      <c r="FP108" s="612"/>
      <c r="FQ108" s="612"/>
      <c r="FR108" s="612"/>
      <c r="FS108" s="612"/>
      <c r="FT108" s="612"/>
      <c r="FU108" s="612"/>
      <c r="FV108" s="612"/>
      <c r="FW108" s="612"/>
      <c r="FX108" s="612"/>
      <c r="FY108" s="612"/>
      <c r="FZ108" s="612"/>
      <c r="GA108" s="612"/>
      <c r="GB108" s="612"/>
      <c r="GC108" s="612"/>
      <c r="GD108" s="612"/>
      <c r="GE108" s="245"/>
      <c r="GF108" s="612"/>
      <c r="GG108" s="612"/>
      <c r="GH108" s="612"/>
      <c r="GI108" s="612"/>
      <c r="GJ108" s="612"/>
      <c r="GK108" s="612"/>
      <c r="GL108" s="612"/>
      <c r="GM108" s="612"/>
      <c r="GN108" s="612"/>
      <c r="GO108" s="612"/>
      <c r="GP108" s="612"/>
      <c r="GQ108" s="612"/>
      <c r="GR108" s="612"/>
      <c r="GS108" s="612"/>
      <c r="GT108" s="612"/>
      <c r="GU108" s="612"/>
      <c r="GV108" s="612"/>
      <c r="GW108" s="612"/>
      <c r="GX108" s="612"/>
      <c r="GY108" s="612"/>
      <c r="GZ108" s="612"/>
      <c r="HA108" s="612"/>
      <c r="HB108" s="612"/>
      <c r="HC108" s="612"/>
      <c r="HD108" s="612"/>
      <c r="HE108" s="612"/>
      <c r="HF108" s="612"/>
      <c r="HG108" s="612"/>
      <c r="HH108" s="612"/>
      <c r="HI108" s="612"/>
      <c r="HJ108" s="612"/>
      <c r="HK108" s="612"/>
      <c r="HL108" s="612"/>
      <c r="HM108" s="612"/>
      <c r="HN108" s="612"/>
      <c r="HO108" s="612"/>
      <c r="HP108" s="612"/>
      <c r="HQ108" s="612"/>
      <c r="HR108" s="612"/>
      <c r="HS108" s="612"/>
      <c r="HT108" s="612"/>
      <c r="HU108" s="612"/>
      <c r="HV108" s="612"/>
      <c r="HW108" s="612"/>
      <c r="HX108" s="612"/>
      <c r="HY108" s="612"/>
      <c r="HZ108" s="612"/>
      <c r="IA108" s="612"/>
      <c r="IB108" s="612"/>
      <c r="IC108" s="612"/>
      <c r="ID108" s="612"/>
      <c r="IE108" s="612"/>
      <c r="IF108" s="612"/>
      <c r="IG108" s="612"/>
      <c r="IH108" s="612"/>
      <c r="II108" s="612"/>
    </row>
    <row r="109" spans="1:243" ht="15" customHeight="1">
      <c r="A109" s="72"/>
      <c r="B109" s="72"/>
      <c r="C109" s="72"/>
      <c r="D109" s="89"/>
      <c r="E109" s="230"/>
      <c r="F109" s="230"/>
      <c r="G109" s="230"/>
      <c r="H109" s="230"/>
      <c r="I109" s="230"/>
      <c r="J109" s="230"/>
      <c r="K109" s="230"/>
      <c r="L109" s="230"/>
      <c r="M109" s="230"/>
      <c r="N109" s="230"/>
      <c r="O109" s="230"/>
      <c r="P109" s="230"/>
      <c r="Q109" s="230"/>
      <c r="R109" s="230"/>
      <c r="S109" s="230"/>
      <c r="T109" s="230"/>
      <c r="U109" s="230"/>
      <c r="V109" s="230"/>
      <c r="W109" s="230"/>
      <c r="X109" s="230"/>
      <c r="Y109" s="230"/>
      <c r="Z109" s="230"/>
      <c r="AA109" s="230"/>
      <c r="AB109" s="230"/>
      <c r="AC109" s="230"/>
      <c r="AD109" s="230"/>
      <c r="AE109" s="230"/>
      <c r="AF109" s="230"/>
      <c r="AG109" s="230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  <c r="AU109" s="48"/>
      <c r="AV109" s="48"/>
      <c r="AW109" s="48"/>
      <c r="AX109" s="48"/>
      <c r="AY109" s="48"/>
      <c r="AZ109" s="50"/>
      <c r="BA109" s="612"/>
      <c r="BB109" s="612"/>
      <c r="BC109" s="612"/>
      <c r="BD109" s="612"/>
      <c r="BE109" s="612"/>
      <c r="BF109" s="612"/>
      <c r="BG109" s="612"/>
      <c r="BH109" s="612"/>
      <c r="BI109" s="612"/>
      <c r="BJ109" s="612"/>
      <c r="BK109" s="612"/>
      <c r="BL109" s="612"/>
      <c r="BM109" s="612"/>
      <c r="BN109" s="612"/>
      <c r="BO109" s="612"/>
      <c r="BP109" s="612"/>
      <c r="BQ109" s="612"/>
      <c r="BR109" s="612"/>
      <c r="BS109" s="612"/>
      <c r="BT109" s="612"/>
      <c r="BU109" s="612"/>
      <c r="BV109" s="612"/>
      <c r="BW109" s="612"/>
      <c r="BX109" s="612"/>
      <c r="BY109" s="612"/>
      <c r="BZ109" s="612"/>
      <c r="CA109" s="612"/>
      <c r="CB109" s="612"/>
      <c r="CC109" s="612"/>
      <c r="CD109" s="612"/>
      <c r="CE109" s="612"/>
      <c r="CF109" s="612"/>
      <c r="CG109" s="612"/>
      <c r="CH109" s="612"/>
      <c r="CI109" s="612"/>
      <c r="CJ109" s="612"/>
      <c r="CK109" s="612"/>
      <c r="CL109" s="612"/>
      <c r="CM109" s="612"/>
      <c r="CN109" s="612"/>
      <c r="CO109" s="612"/>
      <c r="CP109" s="612"/>
      <c r="CQ109" s="612"/>
      <c r="CR109" s="612"/>
      <c r="CS109" s="612"/>
      <c r="CT109" s="612"/>
      <c r="CU109" s="612"/>
      <c r="CV109" s="612"/>
      <c r="CW109" s="612"/>
      <c r="CX109" s="612"/>
      <c r="CY109" s="612"/>
      <c r="CZ109" s="612"/>
      <c r="DA109" s="612"/>
      <c r="DB109" s="612"/>
      <c r="DC109" s="612"/>
      <c r="DD109" s="612"/>
      <c r="DE109" s="612"/>
      <c r="DF109" s="612"/>
      <c r="DG109" s="612"/>
      <c r="DH109" s="612"/>
      <c r="DI109" s="612"/>
      <c r="DJ109" s="612"/>
      <c r="DK109" s="612"/>
      <c r="DL109" s="612"/>
      <c r="DM109" s="612"/>
      <c r="DN109" s="612"/>
      <c r="DO109" s="612"/>
      <c r="DP109" s="612"/>
      <c r="DQ109" s="612"/>
      <c r="DR109" s="612"/>
      <c r="DS109" s="612"/>
      <c r="DT109" s="612"/>
      <c r="DU109" s="612"/>
      <c r="DV109" s="612"/>
      <c r="DW109" s="612"/>
      <c r="DX109" s="612"/>
      <c r="DY109" s="612"/>
      <c r="DZ109" s="612"/>
      <c r="EA109" s="612"/>
      <c r="EB109" s="612"/>
      <c r="EC109" s="612"/>
      <c r="ED109" s="612"/>
      <c r="EE109" s="612"/>
      <c r="EF109" s="612"/>
      <c r="EG109" s="612"/>
      <c r="EH109" s="612"/>
      <c r="EI109" s="612"/>
      <c r="EJ109" s="612"/>
      <c r="EK109" s="612"/>
      <c r="EL109" s="612"/>
      <c r="EM109" s="612"/>
      <c r="EN109" s="612"/>
      <c r="EO109" s="612"/>
      <c r="EP109" s="612"/>
      <c r="EQ109" s="612"/>
      <c r="ER109" s="612"/>
      <c r="ES109" s="612"/>
      <c r="ET109" s="612"/>
      <c r="EU109" s="612"/>
      <c r="EV109" s="612"/>
      <c r="EW109" s="612"/>
      <c r="EX109" s="612"/>
      <c r="EY109" s="612"/>
      <c r="EZ109" s="612"/>
      <c r="FA109" s="612"/>
      <c r="FB109" s="612"/>
      <c r="FC109" s="612"/>
      <c r="FD109" s="612"/>
      <c r="FE109" s="612"/>
      <c r="FF109" s="612"/>
      <c r="FG109" s="612"/>
      <c r="FH109" s="612"/>
      <c r="FI109" s="612"/>
      <c r="FJ109" s="612"/>
      <c r="FK109" s="612"/>
      <c r="FL109" s="612"/>
      <c r="FM109" s="612"/>
      <c r="FN109" s="612"/>
      <c r="FO109" s="612"/>
      <c r="FP109" s="612"/>
      <c r="FQ109" s="612"/>
      <c r="FR109" s="612"/>
      <c r="FS109" s="612"/>
      <c r="FT109" s="612"/>
      <c r="FU109" s="612"/>
      <c r="FV109" s="612"/>
      <c r="FW109" s="612"/>
      <c r="FX109" s="612"/>
      <c r="FY109" s="612"/>
      <c r="FZ109" s="612"/>
      <c r="GA109" s="612"/>
      <c r="GB109" s="612"/>
      <c r="GC109" s="612"/>
      <c r="GD109" s="612"/>
      <c r="GE109" s="245"/>
      <c r="GF109" s="612"/>
      <c r="GG109" s="612"/>
      <c r="GH109" s="612"/>
      <c r="GI109" s="612"/>
      <c r="GJ109" s="612"/>
      <c r="GK109" s="612"/>
      <c r="GL109" s="612"/>
      <c r="GM109" s="612"/>
      <c r="GN109" s="612"/>
      <c r="GO109" s="612"/>
      <c r="GP109" s="612"/>
      <c r="GQ109" s="612"/>
      <c r="GR109" s="612"/>
      <c r="GS109" s="612"/>
      <c r="GT109" s="612"/>
      <c r="GU109" s="612"/>
      <c r="GV109" s="612"/>
      <c r="GW109" s="612"/>
      <c r="GX109" s="612"/>
      <c r="GY109" s="612"/>
      <c r="GZ109" s="612"/>
      <c r="HA109" s="612"/>
      <c r="HB109" s="612"/>
      <c r="HC109" s="612"/>
      <c r="HD109" s="612"/>
      <c r="HE109" s="612"/>
      <c r="HF109" s="612"/>
      <c r="HG109" s="612"/>
      <c r="HH109" s="612"/>
      <c r="HI109" s="612"/>
      <c r="HJ109" s="612"/>
      <c r="HK109" s="612"/>
      <c r="HL109" s="612"/>
      <c r="HM109" s="612"/>
      <c r="HN109" s="612"/>
      <c r="HO109" s="612"/>
      <c r="HP109" s="612"/>
      <c r="HQ109" s="612"/>
      <c r="HR109" s="612"/>
      <c r="HS109" s="612"/>
      <c r="HT109" s="612"/>
      <c r="HU109" s="612"/>
      <c r="HV109" s="612"/>
      <c r="HW109" s="612"/>
      <c r="HX109" s="612"/>
      <c r="HY109" s="612"/>
      <c r="HZ109" s="612"/>
      <c r="IA109" s="612"/>
      <c r="IB109" s="612"/>
      <c r="IC109" s="612"/>
      <c r="ID109" s="612"/>
      <c r="IE109" s="612"/>
      <c r="IF109" s="612"/>
      <c r="IG109" s="612"/>
      <c r="IH109" s="612"/>
      <c r="II109" s="612"/>
    </row>
    <row r="110" spans="1:243" ht="15" customHeight="1">
      <c r="A110" s="72"/>
      <c r="B110" s="72"/>
      <c r="C110" s="72"/>
      <c r="D110" s="88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48"/>
      <c r="AW110" s="48"/>
      <c r="AX110" s="48"/>
      <c r="AY110" s="48"/>
      <c r="AZ110" s="50"/>
      <c r="BA110" s="612"/>
      <c r="BB110" s="612"/>
      <c r="BC110" s="612"/>
      <c r="BD110" s="612"/>
      <c r="BE110" s="612"/>
      <c r="BF110" s="612"/>
      <c r="BG110" s="612"/>
      <c r="BH110" s="612"/>
      <c r="BI110" s="612"/>
      <c r="BJ110" s="612"/>
      <c r="BK110" s="612"/>
      <c r="BL110" s="612"/>
      <c r="BM110" s="612"/>
      <c r="BN110" s="612"/>
      <c r="BO110" s="612"/>
      <c r="BP110" s="612"/>
      <c r="BQ110" s="612"/>
      <c r="BR110" s="612"/>
      <c r="BS110" s="612"/>
      <c r="BT110" s="612"/>
      <c r="BU110" s="612"/>
      <c r="BV110" s="612"/>
      <c r="BW110" s="612"/>
      <c r="BX110" s="612"/>
      <c r="BY110" s="612"/>
      <c r="BZ110" s="612"/>
      <c r="CA110" s="612"/>
      <c r="CB110" s="612"/>
      <c r="CC110" s="612"/>
      <c r="CD110" s="612"/>
      <c r="CE110" s="612"/>
      <c r="CF110" s="612"/>
      <c r="CG110" s="612"/>
      <c r="CH110" s="612"/>
      <c r="CI110" s="612"/>
      <c r="CJ110" s="612"/>
      <c r="CK110" s="612"/>
      <c r="CL110" s="612"/>
      <c r="CM110" s="612"/>
      <c r="CN110" s="612"/>
      <c r="CO110" s="612"/>
      <c r="CP110" s="612"/>
      <c r="CQ110" s="612"/>
      <c r="CR110" s="612"/>
      <c r="CS110" s="612"/>
      <c r="CT110" s="612"/>
      <c r="CU110" s="612"/>
      <c r="CV110" s="612"/>
      <c r="CW110" s="612"/>
      <c r="CX110" s="612"/>
      <c r="CY110" s="612"/>
      <c r="CZ110" s="612"/>
      <c r="DA110" s="612"/>
      <c r="DB110" s="612"/>
      <c r="DC110" s="612"/>
      <c r="DD110" s="612"/>
      <c r="DE110" s="612"/>
      <c r="DF110" s="612"/>
      <c r="DG110" s="612"/>
      <c r="DH110" s="612"/>
      <c r="DI110" s="612"/>
      <c r="DJ110" s="612"/>
      <c r="DK110" s="612"/>
      <c r="DL110" s="612"/>
      <c r="DM110" s="612"/>
      <c r="DN110" s="612"/>
      <c r="DO110" s="612"/>
      <c r="DP110" s="612"/>
      <c r="DQ110" s="612"/>
      <c r="DR110" s="612"/>
      <c r="DS110" s="612"/>
      <c r="DT110" s="612"/>
      <c r="DU110" s="612"/>
      <c r="DV110" s="612"/>
      <c r="DW110" s="612"/>
      <c r="DX110" s="612"/>
      <c r="DY110" s="612"/>
      <c r="DZ110" s="612"/>
      <c r="EA110" s="612"/>
      <c r="EB110" s="612"/>
      <c r="EC110" s="612"/>
      <c r="ED110" s="612"/>
      <c r="EE110" s="612"/>
      <c r="EF110" s="612"/>
      <c r="EG110" s="612"/>
      <c r="EH110" s="612"/>
      <c r="EI110" s="612"/>
      <c r="EJ110" s="612"/>
      <c r="EK110" s="612"/>
      <c r="EL110" s="612"/>
      <c r="EM110" s="612"/>
      <c r="EN110" s="612"/>
      <c r="EO110" s="612"/>
      <c r="EP110" s="612"/>
      <c r="EQ110" s="612"/>
      <c r="ER110" s="612"/>
      <c r="ES110" s="612"/>
      <c r="ET110" s="612"/>
      <c r="EU110" s="612"/>
      <c r="EV110" s="612"/>
      <c r="EW110" s="612"/>
      <c r="EX110" s="612"/>
      <c r="EY110" s="612"/>
      <c r="EZ110" s="612"/>
      <c r="FA110" s="612"/>
      <c r="FB110" s="612"/>
      <c r="FC110" s="612"/>
      <c r="FD110" s="612"/>
      <c r="FE110" s="612"/>
      <c r="FF110" s="612"/>
      <c r="FG110" s="612"/>
      <c r="FH110" s="612"/>
      <c r="FI110" s="612"/>
      <c r="FJ110" s="612"/>
      <c r="FK110" s="612"/>
      <c r="FL110" s="612"/>
      <c r="FM110" s="612"/>
      <c r="FN110" s="612"/>
      <c r="FO110" s="612"/>
      <c r="FP110" s="612"/>
      <c r="FQ110" s="612"/>
      <c r="FR110" s="612"/>
      <c r="FS110" s="612"/>
      <c r="FT110" s="612"/>
      <c r="FU110" s="612"/>
      <c r="FV110" s="612"/>
      <c r="FW110" s="612"/>
      <c r="FX110" s="612"/>
      <c r="FY110" s="612"/>
      <c r="FZ110" s="612"/>
      <c r="GA110" s="612"/>
      <c r="GB110" s="612"/>
      <c r="GC110" s="612"/>
      <c r="GD110" s="612"/>
      <c r="GE110" s="245"/>
      <c r="GF110" s="612"/>
      <c r="GG110" s="612"/>
      <c r="GH110" s="612"/>
      <c r="GI110" s="612"/>
      <c r="GJ110" s="612"/>
      <c r="GK110" s="612"/>
      <c r="GL110" s="612"/>
      <c r="GM110" s="612"/>
      <c r="GN110" s="612"/>
      <c r="GO110" s="612"/>
      <c r="GP110" s="612"/>
      <c r="GQ110" s="612"/>
      <c r="GR110" s="612"/>
      <c r="GS110" s="612"/>
      <c r="GT110" s="612"/>
      <c r="GU110" s="612"/>
      <c r="GV110" s="612"/>
      <c r="GW110" s="612"/>
      <c r="GX110" s="612"/>
      <c r="GY110" s="612"/>
      <c r="GZ110" s="612"/>
      <c r="HA110" s="612"/>
      <c r="HB110" s="612"/>
      <c r="HC110" s="612"/>
      <c r="HD110" s="612"/>
      <c r="HE110" s="612"/>
      <c r="HF110" s="612"/>
      <c r="HG110" s="612"/>
      <c r="HH110" s="612"/>
      <c r="HI110" s="612"/>
      <c r="HJ110" s="612"/>
      <c r="HK110" s="612"/>
      <c r="HL110" s="612"/>
      <c r="HM110" s="612"/>
      <c r="HN110" s="612"/>
      <c r="HO110" s="612"/>
      <c r="HP110" s="612"/>
      <c r="HQ110" s="612"/>
      <c r="HR110" s="612"/>
      <c r="HS110" s="612"/>
      <c r="HT110" s="612"/>
      <c r="HU110" s="612"/>
      <c r="HV110" s="612"/>
      <c r="HW110" s="612"/>
      <c r="HX110" s="612"/>
      <c r="HY110" s="612"/>
      <c r="HZ110" s="612"/>
      <c r="IA110" s="612"/>
      <c r="IB110" s="612"/>
      <c r="IC110" s="612"/>
      <c r="ID110" s="612"/>
      <c r="IE110" s="612"/>
      <c r="IF110" s="612"/>
      <c r="IG110" s="612"/>
      <c r="IH110" s="612"/>
      <c r="II110" s="612"/>
    </row>
    <row r="111" spans="1:243" ht="15" customHeight="1">
      <c r="A111" s="72"/>
      <c r="B111" s="72"/>
      <c r="C111" s="72"/>
      <c r="D111" s="88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48"/>
      <c r="AW111" s="48"/>
      <c r="AX111" s="48"/>
      <c r="AY111" s="48"/>
      <c r="AZ111" s="50"/>
      <c r="BA111" s="612"/>
      <c r="BB111" s="612"/>
      <c r="BC111" s="612"/>
      <c r="BD111" s="612"/>
      <c r="BE111" s="612"/>
      <c r="BF111" s="612"/>
      <c r="BG111" s="612"/>
      <c r="BH111" s="612"/>
      <c r="BI111" s="612"/>
      <c r="BJ111" s="612"/>
      <c r="BK111" s="612"/>
      <c r="BL111" s="612"/>
      <c r="BM111" s="612"/>
      <c r="BN111" s="612"/>
      <c r="BO111" s="612"/>
      <c r="BP111" s="612"/>
      <c r="BQ111" s="612"/>
      <c r="BR111" s="612"/>
      <c r="BS111" s="612"/>
      <c r="BT111" s="612"/>
      <c r="BU111" s="612"/>
      <c r="BV111" s="612"/>
      <c r="BW111" s="612"/>
      <c r="BX111" s="612"/>
      <c r="BY111" s="612"/>
      <c r="BZ111" s="612"/>
      <c r="CA111" s="612"/>
      <c r="CB111" s="612"/>
      <c r="CC111" s="612"/>
      <c r="CD111" s="612"/>
      <c r="CE111" s="612"/>
      <c r="CF111" s="612"/>
      <c r="CG111" s="612"/>
      <c r="CH111" s="612"/>
      <c r="CI111" s="612"/>
      <c r="CJ111" s="612"/>
      <c r="CK111" s="612"/>
      <c r="CL111" s="612"/>
      <c r="CM111" s="612"/>
      <c r="CN111" s="612"/>
      <c r="CO111" s="612"/>
      <c r="CP111" s="612"/>
      <c r="CQ111" s="612"/>
      <c r="CR111" s="612"/>
      <c r="CS111" s="612"/>
      <c r="CT111" s="612"/>
      <c r="CU111" s="612"/>
      <c r="CV111" s="612"/>
      <c r="CW111" s="612"/>
      <c r="CX111" s="612"/>
      <c r="CY111" s="612"/>
      <c r="CZ111" s="612"/>
      <c r="DA111" s="612"/>
      <c r="DB111" s="612"/>
      <c r="DC111" s="612"/>
      <c r="DD111" s="612"/>
      <c r="DE111" s="612"/>
      <c r="DF111" s="612"/>
      <c r="DG111" s="612"/>
      <c r="DH111" s="612"/>
      <c r="DI111" s="612"/>
      <c r="DJ111" s="612"/>
      <c r="DK111" s="612"/>
      <c r="DL111" s="612"/>
      <c r="DM111" s="612"/>
      <c r="DN111" s="612"/>
      <c r="DO111" s="612"/>
      <c r="DP111" s="612"/>
      <c r="DQ111" s="612"/>
      <c r="DR111" s="612"/>
      <c r="DS111" s="612"/>
      <c r="DT111" s="612"/>
      <c r="DU111" s="612"/>
      <c r="DV111" s="612"/>
      <c r="DW111" s="612"/>
      <c r="DX111" s="612"/>
      <c r="DY111" s="612"/>
      <c r="DZ111" s="612"/>
      <c r="EA111" s="612"/>
      <c r="EB111" s="612"/>
      <c r="EC111" s="612"/>
      <c r="ED111" s="612"/>
      <c r="EE111" s="612"/>
      <c r="EF111" s="612"/>
      <c r="EG111" s="612"/>
      <c r="EH111" s="612"/>
      <c r="EI111" s="612"/>
      <c r="EJ111" s="612"/>
      <c r="EK111" s="612"/>
      <c r="EL111" s="612"/>
      <c r="EM111" s="612"/>
      <c r="EN111" s="612"/>
      <c r="EO111" s="612"/>
      <c r="EP111" s="612"/>
      <c r="EQ111" s="612"/>
      <c r="ER111" s="612"/>
      <c r="ES111" s="612"/>
      <c r="ET111" s="612"/>
      <c r="EU111" s="612"/>
      <c r="EV111" s="612"/>
      <c r="EW111" s="612"/>
      <c r="EX111" s="612"/>
      <c r="EY111" s="612"/>
      <c r="EZ111" s="612"/>
      <c r="FA111" s="612"/>
      <c r="FB111" s="612"/>
      <c r="FC111" s="612"/>
      <c r="FD111" s="612"/>
      <c r="FE111" s="612"/>
      <c r="FF111" s="612"/>
      <c r="FG111" s="612"/>
      <c r="FH111" s="612"/>
      <c r="FI111" s="612"/>
      <c r="FJ111" s="612"/>
      <c r="FK111" s="612"/>
      <c r="FL111" s="612"/>
      <c r="FM111" s="612"/>
      <c r="FN111" s="612"/>
      <c r="FO111" s="612"/>
      <c r="FP111" s="612"/>
      <c r="FQ111" s="612"/>
      <c r="FR111" s="612"/>
      <c r="FS111" s="612"/>
      <c r="FT111" s="612"/>
      <c r="FU111" s="612"/>
      <c r="FV111" s="612"/>
      <c r="FW111" s="612"/>
      <c r="FX111" s="612"/>
      <c r="FY111" s="612"/>
      <c r="FZ111" s="612"/>
      <c r="GA111" s="612"/>
      <c r="GB111" s="612"/>
      <c r="GC111" s="612"/>
      <c r="GD111" s="612"/>
      <c r="GE111" s="245"/>
      <c r="GF111" s="612"/>
      <c r="GG111" s="612"/>
      <c r="GH111" s="612"/>
      <c r="GI111" s="612"/>
      <c r="GJ111" s="612"/>
      <c r="GK111" s="612"/>
      <c r="GL111" s="612"/>
      <c r="GM111" s="612"/>
      <c r="GN111" s="612"/>
      <c r="GO111" s="612"/>
      <c r="GP111" s="612"/>
      <c r="GQ111" s="612"/>
      <c r="GR111" s="612"/>
      <c r="GS111" s="612"/>
      <c r="GT111" s="612"/>
      <c r="GU111" s="612"/>
      <c r="GV111" s="612"/>
      <c r="GW111" s="612"/>
      <c r="GX111" s="612"/>
      <c r="GY111" s="612"/>
      <c r="GZ111" s="612"/>
      <c r="HA111" s="612"/>
      <c r="HB111" s="612"/>
      <c r="HC111" s="612"/>
      <c r="HD111" s="612"/>
      <c r="HE111" s="612"/>
      <c r="HF111" s="612"/>
      <c r="HG111" s="612"/>
      <c r="HH111" s="612"/>
      <c r="HI111" s="612"/>
      <c r="HJ111" s="612"/>
      <c r="HK111" s="612"/>
      <c r="HL111" s="612"/>
      <c r="HM111" s="612"/>
      <c r="HN111" s="612"/>
      <c r="HO111" s="612"/>
      <c r="HP111" s="612"/>
      <c r="HQ111" s="612"/>
      <c r="HR111" s="612"/>
      <c r="HS111" s="612"/>
      <c r="HT111" s="612"/>
      <c r="HU111" s="612"/>
      <c r="HV111" s="612"/>
      <c r="HW111" s="612"/>
      <c r="HX111" s="612"/>
      <c r="HY111" s="612"/>
      <c r="HZ111" s="612"/>
      <c r="IA111" s="612"/>
      <c r="IB111" s="612"/>
      <c r="IC111" s="612"/>
      <c r="ID111" s="612"/>
      <c r="IE111" s="612"/>
      <c r="IF111" s="612"/>
      <c r="IG111" s="612"/>
      <c r="IH111" s="612"/>
      <c r="II111" s="612"/>
    </row>
    <row r="112" spans="1:243" ht="15" customHeight="1">
      <c r="A112" s="72"/>
      <c r="B112" s="72"/>
      <c r="C112" s="72"/>
      <c r="D112" s="88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48"/>
      <c r="AW112" s="48"/>
      <c r="AX112" s="48"/>
      <c r="AY112" s="48"/>
      <c r="AZ112" s="50"/>
      <c r="BA112" s="612"/>
      <c r="BB112" s="612"/>
      <c r="BC112" s="612"/>
      <c r="BD112" s="612"/>
      <c r="BE112" s="612"/>
      <c r="BF112" s="612"/>
      <c r="BG112" s="612"/>
      <c r="BH112" s="612"/>
      <c r="BI112" s="612"/>
      <c r="BJ112" s="612"/>
      <c r="BK112" s="612"/>
      <c r="BL112" s="612"/>
      <c r="BM112" s="612"/>
      <c r="BN112" s="612"/>
      <c r="BO112" s="612"/>
      <c r="BP112" s="612"/>
      <c r="BQ112" s="612"/>
      <c r="BR112" s="612"/>
      <c r="BS112" s="612"/>
      <c r="BT112" s="612"/>
      <c r="BU112" s="612"/>
      <c r="BV112" s="612"/>
      <c r="BW112" s="612"/>
      <c r="BX112" s="612"/>
      <c r="BY112" s="612"/>
      <c r="BZ112" s="612"/>
      <c r="CA112" s="612"/>
      <c r="CB112" s="612"/>
      <c r="CC112" s="612"/>
      <c r="CD112" s="612"/>
      <c r="CE112" s="612"/>
      <c r="CF112" s="612"/>
      <c r="CG112" s="612"/>
      <c r="CH112" s="612"/>
      <c r="CI112" s="612"/>
      <c r="CJ112" s="612"/>
      <c r="CK112" s="612"/>
      <c r="CL112" s="612"/>
      <c r="CM112" s="612"/>
      <c r="CN112" s="612"/>
      <c r="CO112" s="612"/>
      <c r="CP112" s="612"/>
      <c r="CQ112" s="612"/>
      <c r="CR112" s="612"/>
      <c r="CS112" s="612"/>
      <c r="CT112" s="612"/>
      <c r="CU112" s="612"/>
      <c r="CV112" s="612"/>
      <c r="CW112" s="612"/>
      <c r="CX112" s="612"/>
      <c r="CY112" s="612"/>
      <c r="CZ112" s="612"/>
      <c r="DA112" s="612"/>
      <c r="DB112" s="612"/>
      <c r="DC112" s="612"/>
      <c r="DD112" s="612"/>
      <c r="DE112" s="612"/>
      <c r="DF112" s="612"/>
      <c r="DG112" s="612"/>
      <c r="DH112" s="612"/>
      <c r="DI112" s="612"/>
      <c r="DJ112" s="612"/>
      <c r="DK112" s="612"/>
      <c r="DL112" s="612"/>
      <c r="DM112" s="612"/>
      <c r="DN112" s="612"/>
      <c r="DO112" s="612"/>
      <c r="DP112" s="612"/>
      <c r="DQ112" s="612"/>
      <c r="DR112" s="612"/>
      <c r="DS112" s="612"/>
      <c r="DT112" s="612"/>
      <c r="DU112" s="612"/>
      <c r="DV112" s="612"/>
      <c r="DW112" s="612"/>
      <c r="DX112" s="612"/>
      <c r="DY112" s="612"/>
      <c r="DZ112" s="612"/>
      <c r="EA112" s="612"/>
      <c r="EB112" s="612"/>
      <c r="EC112" s="612"/>
      <c r="ED112" s="612"/>
      <c r="EE112" s="612"/>
      <c r="EF112" s="612"/>
      <c r="EG112" s="612"/>
      <c r="EH112" s="612"/>
      <c r="EI112" s="612"/>
      <c r="EJ112" s="612"/>
      <c r="EK112" s="612"/>
      <c r="EL112" s="612"/>
      <c r="EM112" s="612"/>
      <c r="EN112" s="612"/>
      <c r="EO112" s="612"/>
      <c r="EP112" s="612"/>
      <c r="EQ112" s="612"/>
      <c r="ER112" s="612"/>
      <c r="ES112" s="612"/>
      <c r="ET112" s="612"/>
      <c r="EU112" s="612"/>
      <c r="EV112" s="612"/>
      <c r="EW112" s="612"/>
      <c r="EX112" s="612"/>
      <c r="EY112" s="612"/>
      <c r="EZ112" s="612"/>
      <c r="FA112" s="612"/>
      <c r="FB112" s="612"/>
      <c r="FC112" s="612"/>
      <c r="FD112" s="612"/>
      <c r="FE112" s="612"/>
      <c r="FF112" s="612"/>
      <c r="FG112" s="612"/>
      <c r="FH112" s="612"/>
      <c r="FI112" s="612"/>
      <c r="FJ112" s="612"/>
      <c r="FK112" s="612"/>
      <c r="FL112" s="612"/>
      <c r="FM112" s="612"/>
      <c r="FN112" s="612"/>
      <c r="FO112" s="612"/>
      <c r="FP112" s="612"/>
      <c r="FQ112" s="612"/>
      <c r="FR112" s="612"/>
      <c r="FS112" s="612"/>
      <c r="FT112" s="612"/>
      <c r="FU112" s="612"/>
      <c r="FV112" s="612"/>
      <c r="FW112" s="612"/>
      <c r="FX112" s="612"/>
      <c r="FY112" s="612"/>
      <c r="FZ112" s="612"/>
      <c r="GA112" s="612"/>
      <c r="GB112" s="612"/>
      <c r="GC112" s="612"/>
      <c r="GD112" s="612"/>
      <c r="GE112" s="245"/>
      <c r="GF112" s="612"/>
      <c r="GG112" s="612"/>
      <c r="GH112" s="612"/>
      <c r="GI112" s="612"/>
      <c r="GJ112" s="612"/>
      <c r="GK112" s="612"/>
      <c r="GL112" s="612"/>
      <c r="GM112" s="612"/>
      <c r="GN112" s="612"/>
      <c r="GO112" s="612"/>
      <c r="GP112" s="612"/>
      <c r="GQ112" s="612"/>
      <c r="GR112" s="612"/>
      <c r="GS112" s="612"/>
      <c r="GT112" s="612"/>
      <c r="GU112" s="612"/>
      <c r="GV112" s="612"/>
      <c r="GW112" s="612"/>
      <c r="GX112" s="612"/>
      <c r="GY112" s="612"/>
      <c r="GZ112" s="612"/>
      <c r="HA112" s="612"/>
      <c r="HB112" s="612"/>
      <c r="HC112" s="612"/>
      <c r="HD112" s="612"/>
      <c r="HE112" s="612"/>
      <c r="HF112" s="612"/>
      <c r="HG112" s="612"/>
      <c r="HH112" s="612"/>
      <c r="HI112" s="612"/>
      <c r="HJ112" s="612"/>
      <c r="HK112" s="612"/>
      <c r="HL112" s="612"/>
      <c r="HM112" s="612"/>
      <c r="HN112" s="612"/>
      <c r="HO112" s="612"/>
      <c r="HP112" s="612"/>
      <c r="HQ112" s="612"/>
      <c r="HR112" s="612"/>
      <c r="HS112" s="612"/>
      <c r="HT112" s="612"/>
      <c r="HU112" s="612"/>
      <c r="HV112" s="612"/>
      <c r="HW112" s="612"/>
      <c r="HX112" s="612"/>
      <c r="HY112" s="612"/>
      <c r="HZ112" s="612"/>
      <c r="IA112" s="612"/>
      <c r="IB112" s="612"/>
      <c r="IC112" s="612"/>
      <c r="ID112" s="612"/>
      <c r="IE112" s="612"/>
      <c r="IF112" s="612"/>
      <c r="IG112" s="612"/>
      <c r="IH112" s="612"/>
      <c r="II112" s="612"/>
    </row>
    <row r="113" spans="1:243" ht="15" customHeight="1">
      <c r="A113" s="72"/>
      <c r="B113" s="72"/>
      <c r="C113" s="72"/>
      <c r="D113" s="88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48"/>
      <c r="AW113" s="48"/>
      <c r="AX113" s="48"/>
      <c r="AY113" s="48"/>
      <c r="AZ113" s="50"/>
      <c r="BA113" s="612"/>
      <c r="BB113" s="612"/>
      <c r="BC113" s="612"/>
      <c r="BD113" s="612"/>
      <c r="BE113" s="612"/>
      <c r="BF113" s="612"/>
      <c r="BG113" s="612"/>
      <c r="BH113" s="612"/>
      <c r="BI113" s="612"/>
      <c r="BJ113" s="612"/>
      <c r="BK113" s="612"/>
      <c r="BL113" s="612"/>
      <c r="BM113" s="612"/>
      <c r="BN113" s="612"/>
      <c r="BO113" s="612"/>
      <c r="BP113" s="612"/>
      <c r="BQ113" s="612"/>
      <c r="BR113" s="612"/>
      <c r="BS113" s="612"/>
      <c r="BT113" s="612"/>
      <c r="BU113" s="612"/>
      <c r="BV113" s="612"/>
      <c r="BW113" s="612"/>
      <c r="BX113" s="612"/>
      <c r="BY113" s="612"/>
      <c r="BZ113" s="612"/>
      <c r="CA113" s="612"/>
      <c r="CB113" s="612"/>
      <c r="CC113" s="612"/>
      <c r="CD113" s="612"/>
      <c r="CE113" s="612"/>
      <c r="CF113" s="612"/>
      <c r="CG113" s="612"/>
      <c r="CH113" s="612"/>
      <c r="CI113" s="612"/>
      <c r="CJ113" s="612"/>
      <c r="CK113" s="612"/>
      <c r="CL113" s="612"/>
      <c r="CM113" s="612"/>
      <c r="CN113" s="612"/>
      <c r="CO113" s="612"/>
      <c r="CP113" s="612"/>
      <c r="CQ113" s="612"/>
      <c r="CR113" s="612"/>
      <c r="CS113" s="612"/>
      <c r="CT113" s="612"/>
      <c r="CU113" s="612"/>
      <c r="CV113" s="612"/>
      <c r="CW113" s="612"/>
      <c r="CX113" s="612"/>
      <c r="CY113" s="612"/>
      <c r="CZ113" s="612"/>
      <c r="DA113" s="612"/>
      <c r="DB113" s="612"/>
      <c r="DC113" s="612"/>
      <c r="DD113" s="612"/>
      <c r="DE113" s="612"/>
      <c r="DF113" s="612"/>
      <c r="DG113" s="612"/>
      <c r="DH113" s="612"/>
      <c r="DI113" s="612"/>
      <c r="DJ113" s="612"/>
      <c r="DK113" s="612"/>
      <c r="DL113" s="612"/>
      <c r="DM113" s="612"/>
      <c r="DN113" s="612"/>
      <c r="DO113" s="612"/>
      <c r="DP113" s="612"/>
      <c r="DQ113" s="612"/>
      <c r="DR113" s="612"/>
      <c r="DS113" s="612"/>
      <c r="DT113" s="612"/>
      <c r="DU113" s="612"/>
      <c r="DV113" s="612"/>
      <c r="DW113" s="612"/>
      <c r="DX113" s="612"/>
      <c r="DY113" s="612"/>
      <c r="DZ113" s="612"/>
      <c r="EA113" s="612"/>
      <c r="EB113" s="612"/>
      <c r="EC113" s="612"/>
      <c r="ED113" s="612"/>
      <c r="EE113" s="612"/>
      <c r="EF113" s="612"/>
      <c r="EG113" s="612"/>
      <c r="EH113" s="612"/>
      <c r="EI113" s="612"/>
      <c r="EJ113" s="612"/>
      <c r="EK113" s="612"/>
      <c r="EL113" s="612"/>
      <c r="EM113" s="612"/>
      <c r="EN113" s="612"/>
      <c r="EO113" s="612"/>
      <c r="EP113" s="612"/>
      <c r="EQ113" s="612"/>
      <c r="ER113" s="612"/>
      <c r="ES113" s="612"/>
      <c r="ET113" s="612"/>
      <c r="EU113" s="612"/>
      <c r="EV113" s="612"/>
      <c r="EW113" s="612"/>
      <c r="EX113" s="612"/>
      <c r="EY113" s="612"/>
      <c r="EZ113" s="612"/>
      <c r="FA113" s="612"/>
      <c r="FB113" s="612"/>
      <c r="FC113" s="612"/>
      <c r="FD113" s="612"/>
      <c r="FE113" s="612"/>
      <c r="FF113" s="612"/>
      <c r="FG113" s="612"/>
      <c r="FH113" s="612"/>
      <c r="FI113" s="612"/>
      <c r="FJ113" s="612"/>
      <c r="FK113" s="612"/>
      <c r="FL113" s="612"/>
      <c r="FM113" s="612"/>
      <c r="FN113" s="612"/>
      <c r="FO113" s="612"/>
      <c r="FP113" s="612"/>
      <c r="FQ113" s="612"/>
      <c r="FR113" s="612"/>
      <c r="FS113" s="612"/>
      <c r="FT113" s="612"/>
      <c r="FU113" s="612"/>
      <c r="FV113" s="612"/>
      <c r="FW113" s="612"/>
      <c r="FX113" s="612"/>
      <c r="FY113" s="612"/>
      <c r="FZ113" s="612"/>
      <c r="GA113" s="612"/>
      <c r="GB113" s="612"/>
      <c r="GC113" s="612"/>
      <c r="GD113" s="612"/>
      <c r="GE113" s="245"/>
      <c r="GF113" s="612"/>
      <c r="GG113" s="612"/>
      <c r="GH113" s="612"/>
      <c r="GI113" s="612"/>
      <c r="GJ113" s="612"/>
      <c r="GK113" s="612"/>
      <c r="GL113" s="612"/>
      <c r="GM113" s="612"/>
      <c r="GN113" s="612"/>
      <c r="GO113" s="612"/>
      <c r="GP113" s="612"/>
      <c r="GQ113" s="612"/>
      <c r="GR113" s="612"/>
      <c r="GS113" s="612"/>
      <c r="GT113" s="612"/>
      <c r="GU113" s="612"/>
      <c r="GV113" s="612"/>
      <c r="GW113" s="612"/>
      <c r="GX113" s="612"/>
      <c r="GY113" s="612"/>
      <c r="GZ113" s="612"/>
      <c r="HA113" s="612"/>
      <c r="HB113" s="612"/>
      <c r="HC113" s="612"/>
      <c r="HD113" s="612"/>
      <c r="HE113" s="612"/>
      <c r="HF113" s="612"/>
      <c r="HG113" s="612"/>
      <c r="HH113" s="612"/>
      <c r="HI113" s="612"/>
      <c r="HJ113" s="612"/>
      <c r="HK113" s="612"/>
      <c r="HL113" s="612"/>
      <c r="HM113" s="612"/>
      <c r="HN113" s="612"/>
      <c r="HO113" s="612"/>
      <c r="HP113" s="612"/>
      <c r="HQ113" s="612"/>
      <c r="HR113" s="612"/>
      <c r="HS113" s="612"/>
      <c r="HT113" s="612"/>
      <c r="HU113" s="612"/>
      <c r="HV113" s="612"/>
      <c r="HW113" s="612"/>
      <c r="HX113" s="612"/>
      <c r="HY113" s="612"/>
      <c r="HZ113" s="612"/>
      <c r="IA113" s="612"/>
      <c r="IB113" s="612"/>
      <c r="IC113" s="612"/>
      <c r="ID113" s="612"/>
      <c r="IE113" s="612"/>
      <c r="IF113" s="612"/>
      <c r="IG113" s="612"/>
      <c r="IH113" s="612"/>
      <c r="II113" s="612"/>
    </row>
    <row r="114" spans="1:243" ht="15" customHeight="1">
      <c r="A114" s="72"/>
      <c r="B114" s="72"/>
      <c r="C114" s="72"/>
      <c r="D114" s="88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48"/>
      <c r="AW114" s="48"/>
      <c r="AX114" s="48"/>
      <c r="AY114" s="48"/>
      <c r="AZ114" s="50"/>
      <c r="BA114" s="612"/>
      <c r="BB114" s="612"/>
      <c r="BC114" s="612"/>
      <c r="BD114" s="612"/>
      <c r="BE114" s="612"/>
      <c r="BF114" s="612"/>
      <c r="BG114" s="612"/>
      <c r="BH114" s="612"/>
      <c r="BI114" s="612"/>
      <c r="BJ114" s="612"/>
      <c r="BK114" s="612"/>
      <c r="BL114" s="612"/>
      <c r="BM114" s="612"/>
      <c r="BN114" s="612"/>
      <c r="BO114" s="612"/>
      <c r="BP114" s="612"/>
      <c r="BQ114" s="612"/>
      <c r="BR114" s="612"/>
      <c r="BS114" s="612"/>
      <c r="BT114" s="612"/>
      <c r="BU114" s="612"/>
      <c r="BV114" s="612"/>
      <c r="BW114" s="612"/>
      <c r="BX114" s="612"/>
      <c r="BY114" s="612"/>
      <c r="BZ114" s="612"/>
      <c r="CA114" s="612"/>
      <c r="CB114" s="612"/>
      <c r="CC114" s="612"/>
      <c r="CD114" s="612"/>
      <c r="CE114" s="612"/>
      <c r="CF114" s="612"/>
      <c r="CG114" s="612"/>
      <c r="CH114" s="612"/>
      <c r="CI114" s="612"/>
      <c r="CJ114" s="612"/>
      <c r="CK114" s="612"/>
      <c r="CL114" s="612"/>
      <c r="CM114" s="612"/>
      <c r="CN114" s="612"/>
      <c r="CO114" s="612"/>
      <c r="CP114" s="612"/>
      <c r="CQ114" s="612"/>
      <c r="CR114" s="612"/>
      <c r="CS114" s="612"/>
      <c r="CT114" s="612"/>
      <c r="CU114" s="612"/>
      <c r="CV114" s="612"/>
      <c r="CW114" s="612"/>
      <c r="CX114" s="612"/>
      <c r="CY114" s="612"/>
      <c r="CZ114" s="612"/>
      <c r="DA114" s="612"/>
      <c r="DB114" s="612"/>
      <c r="DC114" s="612"/>
      <c r="DD114" s="612"/>
      <c r="DE114" s="612"/>
      <c r="DF114" s="612"/>
      <c r="DG114" s="612"/>
      <c r="DH114" s="612"/>
      <c r="DI114" s="612"/>
      <c r="DJ114" s="612"/>
      <c r="DK114" s="612"/>
      <c r="DL114" s="612"/>
      <c r="DM114" s="612"/>
      <c r="DN114" s="612"/>
      <c r="DO114" s="612"/>
      <c r="DP114" s="612"/>
      <c r="DQ114" s="612"/>
      <c r="DR114" s="612"/>
      <c r="DS114" s="612"/>
      <c r="DT114" s="612"/>
      <c r="DU114" s="612"/>
      <c r="DV114" s="612"/>
      <c r="DW114" s="612"/>
      <c r="DX114" s="612"/>
      <c r="DY114" s="612"/>
      <c r="DZ114" s="612"/>
      <c r="EA114" s="612"/>
      <c r="EB114" s="612"/>
      <c r="EC114" s="612"/>
      <c r="ED114" s="612"/>
      <c r="EE114" s="612"/>
      <c r="EF114" s="612"/>
      <c r="EG114" s="612"/>
      <c r="EH114" s="612"/>
      <c r="EI114" s="612"/>
      <c r="EJ114" s="612"/>
      <c r="EK114" s="612"/>
      <c r="EL114" s="612"/>
      <c r="EM114" s="612"/>
      <c r="EN114" s="612"/>
      <c r="EO114" s="612"/>
      <c r="EP114" s="612"/>
      <c r="EQ114" s="612"/>
      <c r="ER114" s="612"/>
      <c r="ES114" s="612"/>
      <c r="ET114" s="612"/>
      <c r="EU114" s="612"/>
      <c r="EV114" s="612"/>
      <c r="EW114" s="612"/>
      <c r="EX114" s="612"/>
      <c r="EY114" s="612"/>
      <c r="EZ114" s="612"/>
      <c r="FA114" s="612"/>
      <c r="FB114" s="612"/>
      <c r="FC114" s="612"/>
      <c r="FD114" s="612"/>
      <c r="FE114" s="612"/>
      <c r="FF114" s="612"/>
      <c r="FG114" s="612"/>
      <c r="FH114" s="612"/>
      <c r="FI114" s="612"/>
      <c r="FJ114" s="612"/>
      <c r="FK114" s="612"/>
      <c r="FL114" s="612"/>
      <c r="FM114" s="612"/>
      <c r="FN114" s="612"/>
      <c r="FO114" s="612"/>
      <c r="FP114" s="612"/>
      <c r="FQ114" s="612"/>
      <c r="FR114" s="612"/>
      <c r="FS114" s="612"/>
      <c r="FT114" s="612"/>
      <c r="FU114" s="612"/>
      <c r="FV114" s="612"/>
      <c r="FW114" s="612"/>
      <c r="FX114" s="612"/>
      <c r="FY114" s="612"/>
      <c r="FZ114" s="612"/>
      <c r="GA114" s="612"/>
      <c r="GB114" s="612"/>
      <c r="GC114" s="612"/>
      <c r="GD114" s="612"/>
      <c r="GE114" s="245"/>
      <c r="GF114" s="612"/>
      <c r="GG114" s="612"/>
      <c r="GH114" s="612"/>
      <c r="GI114" s="612"/>
      <c r="GJ114" s="612"/>
      <c r="GK114" s="612"/>
      <c r="GL114" s="612"/>
      <c r="GM114" s="612"/>
      <c r="GN114" s="612"/>
      <c r="GO114" s="612"/>
      <c r="GP114" s="612"/>
      <c r="GQ114" s="612"/>
      <c r="GR114" s="612"/>
      <c r="GS114" s="612"/>
      <c r="GT114" s="612"/>
      <c r="GU114" s="612"/>
      <c r="GV114" s="612"/>
      <c r="GW114" s="612"/>
      <c r="GX114" s="612"/>
      <c r="GY114" s="612"/>
      <c r="GZ114" s="612"/>
      <c r="HA114" s="612"/>
      <c r="HB114" s="612"/>
      <c r="HC114" s="612"/>
      <c r="HD114" s="612"/>
      <c r="HE114" s="612"/>
      <c r="HF114" s="612"/>
      <c r="HG114" s="612"/>
      <c r="HH114" s="612"/>
      <c r="HI114" s="612"/>
      <c r="HJ114" s="612"/>
      <c r="HK114" s="612"/>
      <c r="HL114" s="612"/>
      <c r="HM114" s="612"/>
      <c r="HN114" s="612"/>
      <c r="HO114" s="612"/>
      <c r="HP114" s="612"/>
      <c r="HQ114" s="612"/>
      <c r="HR114" s="612"/>
      <c r="HS114" s="612"/>
      <c r="HT114" s="612"/>
      <c r="HU114" s="612"/>
      <c r="HV114" s="612"/>
      <c r="HW114" s="612"/>
      <c r="HX114" s="612"/>
      <c r="HY114" s="612"/>
      <c r="HZ114" s="612"/>
      <c r="IA114" s="612"/>
      <c r="IB114" s="612"/>
      <c r="IC114" s="612"/>
      <c r="ID114" s="612"/>
      <c r="IE114" s="612"/>
      <c r="IF114" s="612"/>
      <c r="IG114" s="612"/>
      <c r="IH114" s="612"/>
      <c r="II114" s="612"/>
    </row>
    <row r="115" spans="1:243" ht="15" customHeight="1">
      <c r="A115" s="72"/>
      <c r="B115" s="72"/>
      <c r="C115" s="72"/>
      <c r="D115" s="88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48"/>
      <c r="AW115" s="48"/>
      <c r="AX115" s="48"/>
      <c r="AY115" s="48"/>
      <c r="AZ115" s="50"/>
      <c r="BA115" s="612"/>
      <c r="BB115" s="612"/>
      <c r="BC115" s="612"/>
      <c r="BD115" s="612"/>
      <c r="BE115" s="612"/>
      <c r="BF115" s="612"/>
      <c r="BG115" s="612"/>
      <c r="BH115" s="612"/>
      <c r="BI115" s="612"/>
      <c r="BJ115" s="612"/>
      <c r="BK115" s="612"/>
      <c r="BL115" s="612"/>
      <c r="BM115" s="612"/>
      <c r="BN115" s="612"/>
      <c r="BO115" s="612"/>
      <c r="BP115" s="612"/>
      <c r="BQ115" s="612"/>
      <c r="BR115" s="612"/>
      <c r="BS115" s="612"/>
      <c r="BT115" s="612"/>
      <c r="BU115" s="612"/>
      <c r="BV115" s="612"/>
      <c r="BW115" s="612"/>
      <c r="BX115" s="612"/>
      <c r="BY115" s="612"/>
      <c r="BZ115" s="612"/>
      <c r="CA115" s="612"/>
      <c r="CB115" s="612"/>
      <c r="CC115" s="612"/>
      <c r="CD115" s="612"/>
      <c r="CE115" s="612"/>
      <c r="CF115" s="612"/>
      <c r="CG115" s="612"/>
      <c r="CH115" s="612"/>
      <c r="CI115" s="612"/>
      <c r="CJ115" s="612"/>
      <c r="CK115" s="612"/>
      <c r="CL115" s="612"/>
      <c r="CM115" s="612"/>
      <c r="CN115" s="612"/>
      <c r="CO115" s="612"/>
      <c r="CP115" s="612"/>
      <c r="CQ115" s="612"/>
      <c r="CR115" s="612"/>
      <c r="CS115" s="612"/>
      <c r="CT115" s="612"/>
      <c r="CU115" s="612"/>
      <c r="CV115" s="612"/>
      <c r="CW115" s="612"/>
      <c r="CX115" s="612"/>
      <c r="CY115" s="612"/>
      <c r="CZ115" s="612"/>
      <c r="DA115" s="612"/>
      <c r="DB115" s="612"/>
      <c r="DC115" s="612"/>
      <c r="DD115" s="612"/>
      <c r="DE115" s="612"/>
      <c r="DF115" s="612"/>
      <c r="DG115" s="612"/>
      <c r="DH115" s="612"/>
      <c r="DI115" s="612"/>
      <c r="DJ115" s="612"/>
      <c r="DK115" s="612"/>
      <c r="DL115" s="612"/>
      <c r="DM115" s="612"/>
      <c r="DN115" s="612"/>
      <c r="DO115" s="612"/>
      <c r="DP115" s="612"/>
      <c r="DQ115" s="612"/>
      <c r="DR115" s="612"/>
      <c r="DS115" s="612"/>
      <c r="DT115" s="612"/>
      <c r="DU115" s="612"/>
      <c r="DV115" s="612"/>
      <c r="DW115" s="612"/>
      <c r="DX115" s="612"/>
      <c r="DY115" s="612"/>
      <c r="DZ115" s="612"/>
      <c r="EA115" s="612"/>
      <c r="EB115" s="612"/>
      <c r="EC115" s="612"/>
      <c r="ED115" s="612"/>
      <c r="EE115" s="612"/>
      <c r="EF115" s="612"/>
      <c r="EG115" s="612"/>
      <c r="EH115" s="612"/>
      <c r="EI115" s="612"/>
      <c r="EJ115" s="612"/>
      <c r="EK115" s="612"/>
      <c r="EL115" s="612"/>
      <c r="EM115" s="612"/>
      <c r="EN115" s="612"/>
      <c r="EO115" s="612"/>
      <c r="EP115" s="612"/>
      <c r="EQ115" s="612"/>
      <c r="ER115" s="612"/>
      <c r="ES115" s="612"/>
      <c r="ET115" s="612"/>
      <c r="EU115" s="612"/>
      <c r="EV115" s="612"/>
      <c r="EW115" s="612"/>
      <c r="EX115" s="612"/>
      <c r="EY115" s="612"/>
      <c r="EZ115" s="612"/>
      <c r="FA115" s="612"/>
      <c r="FB115" s="612"/>
      <c r="FC115" s="612"/>
      <c r="FD115" s="612"/>
      <c r="FE115" s="612"/>
      <c r="FF115" s="612"/>
      <c r="FG115" s="612"/>
      <c r="FH115" s="612"/>
      <c r="FI115" s="612"/>
      <c r="FJ115" s="612"/>
      <c r="FK115" s="612"/>
      <c r="FL115" s="612"/>
      <c r="FM115" s="612"/>
      <c r="FN115" s="612"/>
      <c r="FO115" s="612"/>
      <c r="FP115" s="612"/>
      <c r="FQ115" s="612"/>
      <c r="FR115" s="612"/>
      <c r="FS115" s="612"/>
      <c r="FT115" s="612"/>
      <c r="FU115" s="612"/>
      <c r="FV115" s="612"/>
      <c r="FW115" s="612"/>
      <c r="FX115" s="612"/>
      <c r="FY115" s="612"/>
      <c r="FZ115" s="612"/>
      <c r="GA115" s="612"/>
      <c r="GB115" s="612"/>
      <c r="GC115" s="612"/>
      <c r="GD115" s="612"/>
      <c r="GE115" s="245"/>
      <c r="GF115" s="612"/>
      <c r="GG115" s="612"/>
      <c r="GH115" s="612"/>
      <c r="GI115" s="612"/>
      <c r="GJ115" s="612"/>
      <c r="GK115" s="612"/>
      <c r="GL115" s="612"/>
      <c r="GM115" s="612"/>
      <c r="GN115" s="612"/>
      <c r="GO115" s="612"/>
      <c r="GP115" s="612"/>
      <c r="GQ115" s="612"/>
      <c r="GR115" s="612"/>
      <c r="GS115" s="612"/>
      <c r="GT115" s="612"/>
      <c r="GU115" s="612"/>
      <c r="GV115" s="612"/>
      <c r="GW115" s="612"/>
      <c r="GX115" s="612"/>
      <c r="GY115" s="612"/>
      <c r="GZ115" s="612"/>
      <c r="HA115" s="612"/>
      <c r="HB115" s="612"/>
      <c r="HC115" s="612"/>
      <c r="HD115" s="612"/>
      <c r="HE115" s="612"/>
      <c r="HF115" s="612"/>
      <c r="HG115" s="612"/>
      <c r="HH115" s="612"/>
      <c r="HI115" s="612"/>
      <c r="HJ115" s="612"/>
      <c r="HK115" s="612"/>
      <c r="HL115" s="612"/>
      <c r="HM115" s="612"/>
      <c r="HN115" s="612"/>
      <c r="HO115" s="612"/>
      <c r="HP115" s="612"/>
      <c r="HQ115" s="612"/>
      <c r="HR115" s="612"/>
      <c r="HS115" s="612"/>
      <c r="HT115" s="612"/>
      <c r="HU115" s="612"/>
      <c r="HV115" s="612"/>
      <c r="HW115" s="612"/>
      <c r="HX115" s="612"/>
      <c r="HY115" s="612"/>
      <c r="HZ115" s="612"/>
      <c r="IA115" s="612"/>
      <c r="IB115" s="612"/>
      <c r="IC115" s="612"/>
      <c r="ID115" s="612"/>
      <c r="IE115" s="612"/>
      <c r="IF115" s="612"/>
      <c r="IG115" s="612"/>
      <c r="IH115" s="612"/>
      <c r="II115" s="612"/>
    </row>
    <row r="116" spans="1:243" ht="15" customHeight="1">
      <c r="A116" s="72"/>
      <c r="B116" s="72"/>
      <c r="C116" s="72"/>
      <c r="D116" s="88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48"/>
      <c r="AW116" s="48"/>
      <c r="AX116" s="48"/>
      <c r="AY116" s="48"/>
      <c r="AZ116" s="50"/>
      <c r="BA116" s="612"/>
      <c r="BB116" s="612"/>
      <c r="BC116" s="612"/>
      <c r="BD116" s="612"/>
      <c r="BE116" s="612"/>
      <c r="BF116" s="612"/>
      <c r="BG116" s="612"/>
      <c r="BH116" s="612"/>
      <c r="BI116" s="612"/>
      <c r="BJ116" s="612"/>
      <c r="BK116" s="612"/>
      <c r="BL116" s="612"/>
      <c r="BM116" s="612"/>
      <c r="BN116" s="612"/>
      <c r="BO116" s="612"/>
      <c r="BP116" s="612"/>
      <c r="BQ116" s="612"/>
      <c r="BR116" s="612"/>
      <c r="BS116" s="612"/>
      <c r="BT116" s="612"/>
      <c r="BU116" s="612"/>
      <c r="BV116" s="612"/>
      <c r="BW116" s="612"/>
      <c r="BX116" s="612"/>
      <c r="BY116" s="612"/>
      <c r="BZ116" s="612"/>
      <c r="CA116" s="612"/>
      <c r="CB116" s="612"/>
      <c r="CC116" s="612"/>
      <c r="CD116" s="612"/>
      <c r="CE116" s="612"/>
      <c r="CF116" s="612"/>
      <c r="CG116" s="612"/>
      <c r="CH116" s="612"/>
      <c r="CI116" s="612"/>
      <c r="CJ116" s="612"/>
      <c r="CK116" s="612"/>
      <c r="CL116" s="612"/>
      <c r="CM116" s="612"/>
      <c r="CN116" s="612"/>
      <c r="CO116" s="612"/>
      <c r="CP116" s="612"/>
      <c r="CQ116" s="612"/>
      <c r="CR116" s="612"/>
      <c r="CS116" s="612"/>
      <c r="CT116" s="612"/>
      <c r="CU116" s="612"/>
      <c r="CV116" s="612"/>
      <c r="CW116" s="612"/>
      <c r="CX116" s="612"/>
      <c r="CY116" s="612"/>
      <c r="CZ116" s="612"/>
      <c r="DA116" s="612"/>
      <c r="DB116" s="612"/>
      <c r="DC116" s="612"/>
      <c r="DD116" s="612"/>
      <c r="DE116" s="612"/>
      <c r="DF116" s="612"/>
      <c r="DG116" s="612"/>
      <c r="DH116" s="612"/>
      <c r="DI116" s="612"/>
      <c r="DJ116" s="612"/>
      <c r="DK116" s="612"/>
      <c r="DL116" s="612"/>
      <c r="DM116" s="612"/>
      <c r="DN116" s="612"/>
      <c r="DO116" s="612"/>
      <c r="DP116" s="612"/>
      <c r="DQ116" s="612"/>
      <c r="DR116" s="612"/>
      <c r="DS116" s="612"/>
      <c r="DT116" s="612"/>
      <c r="DU116" s="612"/>
      <c r="DV116" s="612"/>
      <c r="DW116" s="612"/>
      <c r="DX116" s="612"/>
      <c r="DY116" s="612"/>
      <c r="DZ116" s="612"/>
      <c r="EA116" s="612"/>
      <c r="EB116" s="612"/>
      <c r="EC116" s="612"/>
      <c r="ED116" s="612"/>
      <c r="EE116" s="612"/>
      <c r="EF116" s="612"/>
      <c r="EG116" s="612"/>
      <c r="EH116" s="612"/>
      <c r="EI116" s="612"/>
      <c r="EJ116" s="612"/>
      <c r="EK116" s="612"/>
      <c r="EL116" s="612"/>
      <c r="EM116" s="612"/>
      <c r="EN116" s="612"/>
      <c r="EO116" s="612"/>
      <c r="EP116" s="612"/>
      <c r="EQ116" s="612"/>
      <c r="ER116" s="612"/>
      <c r="ES116" s="612"/>
      <c r="ET116" s="612"/>
      <c r="EU116" s="612"/>
      <c r="EV116" s="612"/>
      <c r="EW116" s="612"/>
      <c r="EX116" s="612"/>
      <c r="EY116" s="612"/>
      <c r="EZ116" s="612"/>
      <c r="FA116" s="612"/>
      <c r="FB116" s="612"/>
      <c r="FC116" s="612"/>
      <c r="FD116" s="612"/>
      <c r="FE116" s="612"/>
      <c r="FF116" s="612"/>
      <c r="FG116" s="612"/>
      <c r="FH116" s="612"/>
      <c r="FI116" s="612"/>
      <c r="FJ116" s="612"/>
      <c r="FK116" s="612"/>
      <c r="FL116" s="612"/>
      <c r="FM116" s="612"/>
      <c r="FN116" s="612"/>
      <c r="FO116" s="612"/>
      <c r="FP116" s="612"/>
      <c r="FQ116" s="612"/>
      <c r="FR116" s="612"/>
      <c r="FS116" s="612"/>
      <c r="FT116" s="612"/>
      <c r="FU116" s="612"/>
      <c r="FV116" s="612"/>
      <c r="FW116" s="612"/>
      <c r="FX116" s="612"/>
      <c r="FY116" s="612"/>
      <c r="FZ116" s="612"/>
      <c r="GA116" s="612"/>
      <c r="GB116" s="612"/>
      <c r="GC116" s="612"/>
      <c r="GD116" s="612"/>
      <c r="GE116" s="245"/>
      <c r="GF116" s="612"/>
      <c r="GG116" s="612"/>
      <c r="GH116" s="612"/>
      <c r="GI116" s="612"/>
      <c r="GJ116" s="612"/>
      <c r="GK116" s="612"/>
      <c r="GL116" s="612"/>
      <c r="GM116" s="612"/>
      <c r="GN116" s="612"/>
      <c r="GO116" s="612"/>
      <c r="GP116" s="612"/>
      <c r="GQ116" s="612"/>
      <c r="GR116" s="612"/>
      <c r="GS116" s="612"/>
      <c r="GT116" s="612"/>
      <c r="GU116" s="612"/>
      <c r="GV116" s="612"/>
      <c r="GW116" s="612"/>
      <c r="GX116" s="612"/>
      <c r="GY116" s="612"/>
      <c r="GZ116" s="612"/>
      <c r="HA116" s="612"/>
      <c r="HB116" s="612"/>
      <c r="HC116" s="612"/>
      <c r="HD116" s="612"/>
      <c r="HE116" s="612"/>
      <c r="HF116" s="612"/>
      <c r="HG116" s="612"/>
      <c r="HH116" s="612"/>
      <c r="HI116" s="612"/>
      <c r="HJ116" s="612"/>
      <c r="HK116" s="612"/>
      <c r="HL116" s="612"/>
      <c r="HM116" s="612"/>
      <c r="HN116" s="612"/>
      <c r="HO116" s="612"/>
      <c r="HP116" s="612"/>
      <c r="HQ116" s="612"/>
      <c r="HR116" s="612"/>
      <c r="HS116" s="612"/>
      <c r="HT116" s="612"/>
      <c r="HU116" s="612"/>
      <c r="HV116" s="612"/>
      <c r="HW116" s="612"/>
      <c r="HX116" s="612"/>
      <c r="HY116" s="612"/>
      <c r="HZ116" s="612"/>
      <c r="IA116" s="612"/>
      <c r="IB116" s="612"/>
      <c r="IC116" s="612"/>
      <c r="ID116" s="612"/>
      <c r="IE116" s="612"/>
      <c r="IF116" s="612"/>
      <c r="IG116" s="612"/>
      <c r="IH116" s="612"/>
      <c r="II116" s="612"/>
    </row>
    <row r="117" spans="1:243" ht="15" customHeight="1">
      <c r="A117" s="72"/>
      <c r="B117" s="72"/>
      <c r="C117" s="72"/>
      <c r="D117" s="88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48"/>
      <c r="AW117" s="48"/>
      <c r="AX117" s="48"/>
      <c r="AY117" s="48"/>
      <c r="AZ117" s="50"/>
      <c r="BA117" s="612"/>
      <c r="BB117" s="612"/>
      <c r="BC117" s="612"/>
      <c r="BD117" s="612"/>
      <c r="BE117" s="612"/>
      <c r="BF117" s="612"/>
      <c r="BG117" s="612"/>
      <c r="BH117" s="612"/>
      <c r="BI117" s="612"/>
      <c r="BJ117" s="612"/>
      <c r="BK117" s="612"/>
      <c r="BL117" s="612"/>
      <c r="BM117" s="612"/>
      <c r="BN117" s="612"/>
      <c r="BO117" s="612"/>
      <c r="BP117" s="612"/>
      <c r="BQ117" s="612"/>
      <c r="BR117" s="612"/>
      <c r="BS117" s="612"/>
      <c r="BT117" s="612"/>
      <c r="BU117" s="612"/>
      <c r="BV117" s="612"/>
      <c r="BW117" s="612"/>
      <c r="BX117" s="612"/>
      <c r="BY117" s="612"/>
      <c r="BZ117" s="612"/>
      <c r="CA117" s="612"/>
      <c r="CB117" s="612"/>
      <c r="CC117" s="612"/>
      <c r="CD117" s="612"/>
      <c r="CE117" s="612"/>
      <c r="CF117" s="612"/>
      <c r="CG117" s="612"/>
      <c r="CH117" s="612"/>
      <c r="CI117" s="612"/>
      <c r="CJ117" s="612"/>
      <c r="CK117" s="612"/>
      <c r="CL117" s="612"/>
      <c r="CM117" s="612"/>
      <c r="CN117" s="612"/>
      <c r="CO117" s="612"/>
      <c r="CP117" s="612"/>
      <c r="CQ117" s="612"/>
      <c r="CR117" s="612"/>
      <c r="CS117" s="612"/>
      <c r="CT117" s="612"/>
      <c r="CU117" s="612"/>
      <c r="CV117" s="612"/>
      <c r="CW117" s="612"/>
      <c r="CX117" s="612"/>
      <c r="CY117" s="612"/>
      <c r="CZ117" s="612"/>
      <c r="DA117" s="612"/>
      <c r="DB117" s="612"/>
      <c r="DC117" s="612"/>
      <c r="DD117" s="612"/>
      <c r="DE117" s="612"/>
      <c r="DF117" s="612"/>
      <c r="DG117" s="612"/>
      <c r="DH117" s="612"/>
      <c r="DI117" s="612"/>
      <c r="DJ117" s="612"/>
      <c r="DK117" s="612"/>
      <c r="DL117" s="612"/>
      <c r="DM117" s="612"/>
      <c r="DN117" s="612"/>
      <c r="DO117" s="612"/>
      <c r="DP117" s="612"/>
      <c r="DQ117" s="612"/>
      <c r="DR117" s="612"/>
      <c r="DS117" s="612"/>
      <c r="DT117" s="612"/>
      <c r="DU117" s="612"/>
      <c r="DV117" s="612"/>
      <c r="DW117" s="612"/>
      <c r="DX117" s="612"/>
      <c r="DY117" s="612"/>
      <c r="DZ117" s="612"/>
      <c r="EA117" s="612"/>
      <c r="EB117" s="612"/>
      <c r="EC117" s="612"/>
      <c r="ED117" s="612"/>
      <c r="EE117" s="612"/>
      <c r="EF117" s="612"/>
      <c r="EG117" s="612"/>
      <c r="EH117" s="612"/>
      <c r="EI117" s="612"/>
      <c r="EJ117" s="612"/>
      <c r="EK117" s="612"/>
      <c r="EL117" s="612"/>
      <c r="EM117" s="612"/>
      <c r="EN117" s="612"/>
      <c r="EO117" s="612"/>
      <c r="EP117" s="612"/>
      <c r="EQ117" s="612"/>
      <c r="ER117" s="612"/>
      <c r="ES117" s="612"/>
      <c r="ET117" s="612"/>
      <c r="EU117" s="612"/>
      <c r="EV117" s="612"/>
      <c r="EW117" s="612"/>
      <c r="EX117" s="612"/>
      <c r="EY117" s="612"/>
      <c r="EZ117" s="612"/>
      <c r="FA117" s="612"/>
      <c r="FB117" s="612"/>
      <c r="FC117" s="612"/>
      <c r="FD117" s="612"/>
      <c r="FE117" s="612"/>
      <c r="FF117" s="612"/>
      <c r="FG117" s="612"/>
      <c r="FH117" s="612"/>
      <c r="FI117" s="612"/>
      <c r="FJ117" s="612"/>
      <c r="FK117" s="612"/>
      <c r="FL117" s="612"/>
      <c r="FM117" s="612"/>
      <c r="FN117" s="612"/>
      <c r="FO117" s="612"/>
      <c r="FP117" s="612"/>
      <c r="FQ117" s="612"/>
      <c r="FR117" s="612"/>
      <c r="FS117" s="612"/>
      <c r="FT117" s="612"/>
      <c r="FU117" s="612"/>
      <c r="FV117" s="612"/>
      <c r="FW117" s="612"/>
      <c r="FX117" s="612"/>
      <c r="FY117" s="612"/>
      <c r="FZ117" s="612"/>
      <c r="GA117" s="612"/>
      <c r="GB117" s="612"/>
      <c r="GC117" s="612"/>
      <c r="GD117" s="612"/>
      <c r="GE117" s="245"/>
      <c r="GF117" s="612"/>
      <c r="GG117" s="612"/>
      <c r="GH117" s="612"/>
      <c r="GI117" s="612"/>
      <c r="GJ117" s="612"/>
      <c r="GK117" s="612"/>
      <c r="GL117" s="612"/>
      <c r="GM117" s="612"/>
      <c r="GN117" s="612"/>
      <c r="GO117" s="612"/>
      <c r="GP117" s="612"/>
      <c r="GQ117" s="612"/>
      <c r="GR117" s="612"/>
      <c r="GS117" s="612"/>
      <c r="GT117" s="612"/>
      <c r="GU117" s="612"/>
      <c r="GV117" s="612"/>
      <c r="GW117" s="612"/>
      <c r="GX117" s="612"/>
      <c r="GY117" s="612"/>
      <c r="GZ117" s="612"/>
      <c r="HA117" s="612"/>
      <c r="HB117" s="612"/>
      <c r="HC117" s="612"/>
      <c r="HD117" s="612"/>
      <c r="HE117" s="612"/>
      <c r="HF117" s="612"/>
      <c r="HG117" s="612"/>
      <c r="HH117" s="612"/>
      <c r="HI117" s="612"/>
      <c r="HJ117" s="612"/>
      <c r="HK117" s="612"/>
      <c r="HL117" s="612"/>
      <c r="HM117" s="612"/>
      <c r="HN117" s="612"/>
      <c r="HO117" s="612"/>
      <c r="HP117" s="612"/>
      <c r="HQ117" s="612"/>
      <c r="HR117" s="612"/>
      <c r="HS117" s="612"/>
      <c r="HT117" s="612"/>
      <c r="HU117" s="612"/>
      <c r="HV117" s="612"/>
      <c r="HW117" s="612"/>
      <c r="HX117" s="612"/>
      <c r="HY117" s="612"/>
      <c r="HZ117" s="612"/>
      <c r="IA117" s="612"/>
      <c r="IB117" s="612"/>
      <c r="IC117" s="612"/>
      <c r="ID117" s="612"/>
      <c r="IE117" s="612"/>
      <c r="IF117" s="612"/>
      <c r="IG117" s="612"/>
      <c r="IH117" s="612"/>
      <c r="II117" s="612"/>
    </row>
    <row r="118" spans="1:243" ht="15" customHeight="1">
      <c r="A118" s="72"/>
      <c r="B118" s="72"/>
      <c r="C118" s="72"/>
      <c r="D118" s="88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48"/>
      <c r="AW118" s="48"/>
      <c r="AX118" s="48"/>
      <c r="AY118" s="48"/>
      <c r="AZ118" s="50"/>
      <c r="BA118" s="612"/>
      <c r="BB118" s="612"/>
      <c r="BC118" s="612"/>
      <c r="BD118" s="612"/>
      <c r="BE118" s="612"/>
      <c r="BF118" s="612"/>
      <c r="BG118" s="612"/>
      <c r="BH118" s="612"/>
      <c r="BI118" s="612"/>
      <c r="BJ118" s="612"/>
      <c r="BK118" s="612"/>
      <c r="BL118" s="612"/>
      <c r="BM118" s="612"/>
      <c r="BN118" s="612"/>
      <c r="BO118" s="612"/>
      <c r="BP118" s="612"/>
      <c r="BQ118" s="612"/>
      <c r="BR118" s="612"/>
      <c r="BS118" s="612"/>
      <c r="BT118" s="612"/>
      <c r="BU118" s="612"/>
      <c r="BV118" s="612"/>
      <c r="BW118" s="612"/>
      <c r="BX118" s="612"/>
      <c r="BY118" s="612"/>
      <c r="BZ118" s="612"/>
      <c r="CA118" s="612"/>
      <c r="CB118" s="612"/>
      <c r="CC118" s="612"/>
      <c r="CD118" s="612"/>
      <c r="CE118" s="612"/>
      <c r="CF118" s="612"/>
      <c r="CG118" s="612"/>
      <c r="CH118" s="612"/>
      <c r="CI118" s="612"/>
      <c r="CJ118" s="612"/>
      <c r="CK118" s="612"/>
      <c r="CL118" s="612"/>
      <c r="CM118" s="612"/>
      <c r="CN118" s="612"/>
      <c r="CO118" s="612"/>
      <c r="CP118" s="612"/>
      <c r="CQ118" s="612"/>
      <c r="CR118" s="612"/>
      <c r="CS118" s="612"/>
      <c r="CT118" s="612"/>
      <c r="CU118" s="612"/>
      <c r="CV118" s="612"/>
      <c r="CW118" s="612"/>
      <c r="CX118" s="612"/>
      <c r="CY118" s="612"/>
      <c r="CZ118" s="612"/>
      <c r="DA118" s="612"/>
      <c r="DB118" s="612"/>
      <c r="DC118" s="612"/>
      <c r="DD118" s="612"/>
      <c r="DE118" s="612"/>
      <c r="DF118" s="612"/>
      <c r="DG118" s="612"/>
      <c r="DH118" s="612"/>
      <c r="DI118" s="612"/>
      <c r="DJ118" s="612"/>
      <c r="DK118" s="612"/>
      <c r="DL118" s="612"/>
      <c r="DM118" s="612"/>
      <c r="DN118" s="612"/>
      <c r="DO118" s="612"/>
      <c r="DP118" s="612"/>
      <c r="DQ118" s="612"/>
      <c r="DR118" s="612"/>
      <c r="DS118" s="612"/>
      <c r="DT118" s="612"/>
      <c r="DU118" s="612"/>
      <c r="DV118" s="612"/>
      <c r="DW118" s="612"/>
      <c r="DX118" s="612"/>
      <c r="DY118" s="612"/>
      <c r="DZ118" s="612"/>
      <c r="EA118" s="612"/>
      <c r="EB118" s="612"/>
      <c r="EC118" s="612"/>
      <c r="ED118" s="612"/>
      <c r="EE118" s="612"/>
      <c r="EF118" s="612"/>
      <c r="EG118" s="612"/>
      <c r="EH118" s="612"/>
      <c r="EI118" s="612"/>
      <c r="EJ118" s="612"/>
      <c r="EK118" s="612"/>
      <c r="EL118" s="612"/>
      <c r="EM118" s="612"/>
      <c r="EN118" s="612"/>
      <c r="EO118" s="612"/>
      <c r="EP118" s="612"/>
      <c r="EQ118" s="612"/>
      <c r="ER118" s="612"/>
      <c r="ES118" s="612"/>
      <c r="ET118" s="612"/>
      <c r="EU118" s="612"/>
      <c r="EV118" s="612"/>
      <c r="EW118" s="612"/>
      <c r="EX118" s="612"/>
      <c r="EY118" s="612"/>
      <c r="EZ118" s="612"/>
      <c r="FA118" s="612"/>
      <c r="FB118" s="612"/>
      <c r="FC118" s="612"/>
      <c r="FD118" s="612"/>
      <c r="FE118" s="612"/>
      <c r="FF118" s="612"/>
      <c r="FG118" s="612"/>
      <c r="FH118" s="612"/>
      <c r="FI118" s="612"/>
      <c r="FJ118" s="612"/>
      <c r="FK118" s="612"/>
      <c r="FL118" s="612"/>
      <c r="FM118" s="612"/>
      <c r="FN118" s="612"/>
      <c r="FO118" s="612"/>
      <c r="FP118" s="612"/>
      <c r="FQ118" s="612"/>
      <c r="FR118" s="612"/>
      <c r="FS118" s="612"/>
      <c r="FT118" s="612"/>
      <c r="FU118" s="612"/>
      <c r="FV118" s="612"/>
      <c r="FW118" s="612"/>
      <c r="FX118" s="612"/>
      <c r="FY118" s="612"/>
      <c r="FZ118" s="612"/>
      <c r="GA118" s="612"/>
      <c r="GB118" s="612"/>
      <c r="GC118" s="612"/>
      <c r="GD118" s="612"/>
      <c r="GE118" s="245"/>
      <c r="GF118" s="612"/>
      <c r="GG118" s="612"/>
      <c r="GH118" s="612"/>
      <c r="GI118" s="612"/>
      <c r="GJ118" s="612"/>
      <c r="GK118" s="612"/>
      <c r="GL118" s="612"/>
      <c r="GM118" s="612"/>
      <c r="GN118" s="612"/>
      <c r="GO118" s="612"/>
      <c r="GP118" s="612"/>
      <c r="GQ118" s="612"/>
      <c r="GR118" s="612"/>
      <c r="GS118" s="612"/>
      <c r="GT118" s="612"/>
      <c r="GU118" s="612"/>
      <c r="GV118" s="612"/>
      <c r="GW118" s="612"/>
      <c r="GX118" s="612"/>
      <c r="GY118" s="612"/>
      <c r="GZ118" s="612"/>
      <c r="HA118" s="612"/>
      <c r="HB118" s="612"/>
      <c r="HC118" s="612"/>
      <c r="HD118" s="612"/>
      <c r="HE118" s="612"/>
      <c r="HF118" s="612"/>
      <c r="HG118" s="612"/>
      <c r="HH118" s="612"/>
      <c r="HI118" s="612"/>
      <c r="HJ118" s="612"/>
      <c r="HK118" s="612"/>
      <c r="HL118" s="612"/>
      <c r="HM118" s="612"/>
      <c r="HN118" s="612"/>
      <c r="HO118" s="612"/>
      <c r="HP118" s="612"/>
      <c r="HQ118" s="612"/>
      <c r="HR118" s="612"/>
      <c r="HS118" s="612"/>
      <c r="HT118" s="612"/>
      <c r="HU118" s="612"/>
      <c r="HV118" s="612"/>
      <c r="HW118" s="612"/>
      <c r="HX118" s="612"/>
      <c r="HY118" s="612"/>
      <c r="HZ118" s="612"/>
      <c r="IA118" s="612"/>
      <c r="IB118" s="612"/>
      <c r="IC118" s="612"/>
      <c r="ID118" s="612"/>
      <c r="IE118" s="612"/>
      <c r="IF118" s="612"/>
      <c r="IG118" s="612"/>
      <c r="IH118" s="612"/>
      <c r="II118" s="612"/>
    </row>
    <row r="119" spans="1:243" ht="15" customHeight="1">
      <c r="A119" s="72"/>
      <c r="B119" s="72"/>
      <c r="C119" s="72"/>
      <c r="D119" s="88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48"/>
      <c r="AW119" s="48"/>
      <c r="AX119" s="48"/>
      <c r="AY119" s="48"/>
      <c r="AZ119" s="50"/>
      <c r="BA119" s="612"/>
      <c r="BB119" s="612"/>
      <c r="BC119" s="612"/>
      <c r="BD119" s="612"/>
      <c r="BE119" s="612"/>
      <c r="BF119" s="612"/>
      <c r="BG119" s="612"/>
      <c r="BH119" s="612"/>
      <c r="BI119" s="612"/>
      <c r="BJ119" s="612"/>
      <c r="BK119" s="612"/>
      <c r="BL119" s="612"/>
      <c r="BM119" s="612"/>
      <c r="BN119" s="612"/>
      <c r="BO119" s="612"/>
      <c r="BP119" s="612"/>
      <c r="BQ119" s="612"/>
      <c r="BR119" s="612"/>
      <c r="BS119" s="612"/>
      <c r="BT119" s="612"/>
      <c r="BU119" s="612"/>
      <c r="BV119" s="612"/>
      <c r="BW119" s="612"/>
      <c r="BX119" s="612"/>
      <c r="BY119" s="612"/>
      <c r="BZ119" s="612"/>
      <c r="CA119" s="612"/>
      <c r="CB119" s="612"/>
      <c r="CC119" s="612"/>
      <c r="CD119" s="612"/>
      <c r="CE119" s="612"/>
      <c r="CF119" s="612"/>
      <c r="CG119" s="612"/>
      <c r="CH119" s="612"/>
      <c r="CI119" s="612"/>
      <c r="CJ119" s="612"/>
      <c r="CK119" s="612"/>
      <c r="CL119" s="612"/>
      <c r="CM119" s="612"/>
      <c r="CN119" s="612"/>
      <c r="CO119" s="612"/>
      <c r="CP119" s="612"/>
      <c r="CQ119" s="612"/>
      <c r="CR119" s="612"/>
      <c r="CS119" s="612"/>
      <c r="CT119" s="612"/>
      <c r="CU119" s="612"/>
      <c r="CV119" s="612"/>
      <c r="CW119" s="612"/>
      <c r="CX119" s="612"/>
      <c r="CY119" s="612"/>
      <c r="CZ119" s="612"/>
      <c r="DA119" s="612"/>
      <c r="DB119" s="612"/>
      <c r="DC119" s="612"/>
      <c r="DD119" s="612"/>
      <c r="DE119" s="612"/>
      <c r="DF119" s="612"/>
      <c r="DG119" s="612"/>
      <c r="DH119" s="612"/>
      <c r="DI119" s="612"/>
      <c r="DJ119" s="612"/>
      <c r="DK119" s="612"/>
      <c r="DL119" s="612"/>
      <c r="DM119" s="612"/>
      <c r="DN119" s="612"/>
      <c r="DO119" s="612"/>
      <c r="DP119" s="612"/>
      <c r="DQ119" s="612"/>
      <c r="DR119" s="612"/>
      <c r="DS119" s="612"/>
      <c r="DT119" s="612"/>
      <c r="DU119" s="612"/>
      <c r="DV119" s="612"/>
      <c r="DW119" s="612"/>
      <c r="DX119" s="612"/>
      <c r="DY119" s="612"/>
      <c r="DZ119" s="612"/>
      <c r="EA119" s="612"/>
      <c r="EB119" s="612"/>
      <c r="EC119" s="612"/>
      <c r="ED119" s="612"/>
      <c r="EE119" s="612"/>
      <c r="EF119" s="612"/>
      <c r="EG119" s="612"/>
      <c r="EH119" s="612"/>
      <c r="EI119" s="612"/>
      <c r="EJ119" s="612"/>
      <c r="EK119" s="612"/>
      <c r="EL119" s="612"/>
      <c r="EM119" s="612"/>
      <c r="EN119" s="612"/>
      <c r="EO119" s="612"/>
      <c r="EP119" s="612"/>
      <c r="EQ119" s="612"/>
      <c r="ER119" s="612"/>
      <c r="ES119" s="612"/>
      <c r="ET119" s="612"/>
      <c r="EU119" s="612"/>
      <c r="EV119" s="612"/>
      <c r="EW119" s="612"/>
      <c r="EX119" s="612"/>
      <c r="EY119" s="612"/>
      <c r="EZ119" s="612"/>
      <c r="FA119" s="612"/>
      <c r="FB119" s="612"/>
      <c r="FC119" s="612"/>
      <c r="FD119" s="612"/>
      <c r="FE119" s="612"/>
      <c r="FF119" s="612"/>
      <c r="FG119" s="612"/>
      <c r="FH119" s="612"/>
      <c r="FI119" s="612"/>
      <c r="FJ119" s="612"/>
      <c r="FK119" s="612"/>
      <c r="FL119" s="612"/>
      <c r="FM119" s="612"/>
      <c r="FN119" s="612"/>
      <c r="FO119" s="612"/>
      <c r="FP119" s="612"/>
      <c r="FQ119" s="612"/>
      <c r="FR119" s="612"/>
      <c r="FS119" s="612"/>
      <c r="FT119" s="612"/>
      <c r="FU119" s="612"/>
      <c r="FV119" s="612"/>
      <c r="FW119" s="612"/>
      <c r="FX119" s="612"/>
      <c r="FY119" s="612"/>
      <c r="FZ119" s="612"/>
      <c r="GA119" s="612"/>
      <c r="GB119" s="612"/>
      <c r="GC119" s="612"/>
      <c r="GD119" s="612"/>
      <c r="GE119" s="245"/>
      <c r="GF119" s="612"/>
      <c r="GG119" s="612"/>
      <c r="GH119" s="612"/>
      <c r="GI119" s="612"/>
      <c r="GJ119" s="612"/>
      <c r="GK119" s="612"/>
      <c r="GL119" s="612"/>
      <c r="GM119" s="612"/>
      <c r="GN119" s="612"/>
      <c r="GO119" s="612"/>
      <c r="GP119" s="612"/>
      <c r="GQ119" s="612"/>
      <c r="GR119" s="612"/>
      <c r="GS119" s="612"/>
      <c r="GT119" s="612"/>
      <c r="GU119" s="612"/>
      <c r="GV119" s="612"/>
      <c r="GW119" s="612"/>
      <c r="GX119" s="612"/>
      <c r="GY119" s="612"/>
      <c r="GZ119" s="612"/>
      <c r="HA119" s="612"/>
      <c r="HB119" s="612"/>
      <c r="HC119" s="612"/>
      <c r="HD119" s="612"/>
      <c r="HE119" s="612"/>
      <c r="HF119" s="612"/>
      <c r="HG119" s="612"/>
      <c r="HH119" s="612"/>
      <c r="HI119" s="612"/>
      <c r="HJ119" s="612"/>
      <c r="HK119" s="612"/>
      <c r="HL119" s="612"/>
      <c r="HM119" s="612"/>
      <c r="HN119" s="612"/>
      <c r="HO119" s="612"/>
      <c r="HP119" s="612"/>
      <c r="HQ119" s="612"/>
      <c r="HR119" s="612"/>
      <c r="HS119" s="612"/>
      <c r="HT119" s="612"/>
      <c r="HU119" s="612"/>
      <c r="HV119" s="612"/>
      <c r="HW119" s="612"/>
      <c r="HX119" s="612"/>
      <c r="HY119" s="612"/>
      <c r="HZ119" s="612"/>
      <c r="IA119" s="612"/>
      <c r="IB119" s="612"/>
      <c r="IC119" s="612"/>
      <c r="ID119" s="612"/>
      <c r="IE119" s="612"/>
      <c r="IF119" s="612"/>
      <c r="IG119" s="612"/>
      <c r="IH119" s="612"/>
      <c r="II119" s="612"/>
    </row>
    <row r="120" spans="1:243" ht="15" customHeight="1">
      <c r="A120" s="72"/>
      <c r="B120" s="72"/>
      <c r="C120" s="72"/>
      <c r="D120" s="88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48"/>
      <c r="AW120" s="48"/>
      <c r="AX120" s="48"/>
      <c r="AY120" s="48"/>
      <c r="AZ120" s="50"/>
      <c r="BA120" s="612"/>
      <c r="BB120" s="612"/>
      <c r="BC120" s="612"/>
      <c r="BD120" s="612"/>
      <c r="BE120" s="612"/>
      <c r="BF120" s="612"/>
      <c r="BG120" s="612"/>
      <c r="BH120" s="612"/>
      <c r="BI120" s="612"/>
      <c r="BJ120" s="612"/>
      <c r="BK120" s="612"/>
      <c r="BL120" s="612"/>
      <c r="BM120" s="612"/>
      <c r="BN120" s="612"/>
      <c r="BO120" s="612"/>
      <c r="BP120" s="612"/>
      <c r="BQ120" s="612"/>
      <c r="BR120" s="612"/>
      <c r="BS120" s="612"/>
      <c r="BT120" s="612"/>
      <c r="BU120" s="612"/>
      <c r="BV120" s="612"/>
      <c r="BW120" s="612"/>
      <c r="BX120" s="612"/>
      <c r="BY120" s="612"/>
      <c r="BZ120" s="612"/>
      <c r="CA120" s="612"/>
      <c r="CB120" s="612"/>
      <c r="CC120" s="612"/>
      <c r="CD120" s="612"/>
      <c r="CE120" s="612"/>
      <c r="CF120" s="612"/>
      <c r="CG120" s="612"/>
      <c r="CH120" s="612"/>
      <c r="CI120" s="612"/>
      <c r="CJ120" s="612"/>
      <c r="CK120" s="612"/>
      <c r="CL120" s="612"/>
      <c r="CM120" s="612"/>
      <c r="CN120" s="612"/>
      <c r="CO120" s="612"/>
      <c r="CP120" s="612"/>
      <c r="CQ120" s="612"/>
      <c r="CR120" s="612"/>
      <c r="CS120" s="612"/>
      <c r="CT120" s="612"/>
      <c r="CU120" s="612"/>
      <c r="CV120" s="612"/>
      <c r="CW120" s="612"/>
      <c r="CX120" s="612"/>
      <c r="CY120" s="612"/>
      <c r="CZ120" s="612"/>
      <c r="DA120" s="612"/>
      <c r="DB120" s="612"/>
      <c r="DC120" s="612"/>
      <c r="DD120" s="612"/>
      <c r="DE120" s="612"/>
      <c r="DF120" s="612"/>
      <c r="DG120" s="612"/>
      <c r="DH120" s="612"/>
      <c r="DI120" s="612"/>
      <c r="DJ120" s="612"/>
      <c r="DK120" s="612"/>
      <c r="DL120" s="612"/>
      <c r="DM120" s="612"/>
      <c r="DN120" s="612"/>
      <c r="DO120" s="612"/>
      <c r="DP120" s="612"/>
      <c r="DQ120" s="612"/>
      <c r="DR120" s="612"/>
      <c r="DS120" s="612"/>
      <c r="DT120" s="612"/>
      <c r="DU120" s="612"/>
      <c r="DV120" s="612"/>
      <c r="DW120" s="612"/>
      <c r="DX120" s="612"/>
      <c r="DY120" s="612"/>
      <c r="DZ120" s="612"/>
      <c r="EA120" s="612"/>
      <c r="EB120" s="612"/>
      <c r="EC120" s="612"/>
      <c r="ED120" s="612"/>
      <c r="EE120" s="612"/>
      <c r="EF120" s="612"/>
      <c r="EG120" s="612"/>
      <c r="EH120" s="612"/>
      <c r="EI120" s="612"/>
      <c r="EJ120" s="612"/>
      <c r="EK120" s="612"/>
      <c r="EL120" s="612"/>
      <c r="EM120" s="612"/>
      <c r="EN120" s="612"/>
      <c r="EO120" s="612"/>
      <c r="EP120" s="612"/>
      <c r="EQ120" s="612"/>
      <c r="ER120" s="612"/>
      <c r="ES120" s="612"/>
      <c r="ET120" s="612"/>
      <c r="EU120" s="612"/>
      <c r="EV120" s="612"/>
      <c r="EW120" s="612"/>
      <c r="EX120" s="612"/>
      <c r="EY120" s="612"/>
      <c r="EZ120" s="612"/>
      <c r="FA120" s="612"/>
      <c r="FB120" s="612"/>
      <c r="FC120" s="612"/>
      <c r="FD120" s="612"/>
      <c r="FE120" s="612"/>
      <c r="FF120" s="612"/>
      <c r="FG120" s="612"/>
      <c r="FH120" s="612"/>
      <c r="FI120" s="612"/>
      <c r="FJ120" s="612"/>
      <c r="FK120" s="612"/>
      <c r="FL120" s="612"/>
      <c r="FM120" s="612"/>
      <c r="FN120" s="612"/>
      <c r="FO120" s="612"/>
      <c r="FP120" s="612"/>
      <c r="FQ120" s="612"/>
      <c r="FR120" s="612"/>
      <c r="FS120" s="612"/>
      <c r="FT120" s="612"/>
      <c r="FU120" s="612"/>
      <c r="FV120" s="612"/>
      <c r="FW120" s="612"/>
      <c r="FX120" s="612"/>
      <c r="FY120" s="612"/>
      <c r="FZ120" s="612"/>
      <c r="GA120" s="612"/>
      <c r="GB120" s="612"/>
      <c r="GC120" s="612"/>
      <c r="GD120" s="612"/>
      <c r="GE120" s="245"/>
      <c r="GF120" s="612"/>
      <c r="GG120" s="612"/>
      <c r="GH120" s="612"/>
      <c r="GI120" s="612"/>
      <c r="GJ120" s="612"/>
      <c r="GK120" s="612"/>
      <c r="GL120" s="612"/>
      <c r="GM120" s="612"/>
      <c r="GN120" s="612"/>
      <c r="GO120" s="612"/>
      <c r="GP120" s="612"/>
      <c r="GQ120" s="612"/>
      <c r="GR120" s="612"/>
      <c r="GS120" s="612"/>
      <c r="GT120" s="612"/>
      <c r="GU120" s="612"/>
      <c r="GV120" s="612"/>
      <c r="GW120" s="612"/>
      <c r="GX120" s="612"/>
      <c r="GY120" s="612"/>
      <c r="GZ120" s="612"/>
      <c r="HA120" s="612"/>
      <c r="HB120" s="612"/>
      <c r="HC120" s="612"/>
      <c r="HD120" s="612"/>
      <c r="HE120" s="612"/>
      <c r="HF120" s="612"/>
      <c r="HG120" s="612"/>
      <c r="HH120" s="612"/>
      <c r="HI120" s="612"/>
      <c r="HJ120" s="612"/>
      <c r="HK120" s="612"/>
      <c r="HL120" s="612"/>
      <c r="HM120" s="612"/>
      <c r="HN120" s="612"/>
      <c r="HO120" s="612"/>
      <c r="HP120" s="612"/>
      <c r="HQ120" s="612"/>
      <c r="HR120" s="612"/>
      <c r="HS120" s="612"/>
      <c r="HT120" s="612"/>
      <c r="HU120" s="612"/>
      <c r="HV120" s="612"/>
      <c r="HW120" s="612"/>
      <c r="HX120" s="612"/>
      <c r="HY120" s="612"/>
      <c r="HZ120" s="612"/>
      <c r="IA120" s="612"/>
      <c r="IB120" s="612"/>
      <c r="IC120" s="612"/>
      <c r="ID120" s="612"/>
      <c r="IE120" s="612"/>
      <c r="IF120" s="612"/>
      <c r="IG120" s="612"/>
      <c r="IH120" s="612"/>
      <c r="II120" s="612"/>
    </row>
    <row r="121" spans="1:243" ht="15" customHeight="1">
      <c r="A121" s="72"/>
      <c r="B121" s="72"/>
      <c r="C121" s="72"/>
      <c r="D121" s="88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48"/>
      <c r="AW121" s="48"/>
      <c r="AX121" s="48"/>
      <c r="AY121" s="48"/>
      <c r="AZ121" s="50"/>
      <c r="BA121" s="612"/>
      <c r="BB121" s="612"/>
      <c r="BC121" s="612"/>
      <c r="BD121" s="612"/>
      <c r="BE121" s="612"/>
      <c r="BF121" s="612"/>
      <c r="BG121" s="612"/>
      <c r="BH121" s="612"/>
      <c r="BI121" s="612"/>
      <c r="BJ121" s="612"/>
      <c r="BK121" s="612"/>
      <c r="BL121" s="612"/>
      <c r="BM121" s="612"/>
      <c r="BN121" s="612"/>
      <c r="BO121" s="612"/>
      <c r="BP121" s="612"/>
      <c r="BQ121" s="612"/>
      <c r="BR121" s="612"/>
      <c r="BS121" s="612"/>
      <c r="BT121" s="612"/>
      <c r="BU121" s="612"/>
      <c r="BV121" s="612"/>
      <c r="BW121" s="612"/>
      <c r="BX121" s="612"/>
      <c r="BY121" s="612"/>
      <c r="BZ121" s="612"/>
      <c r="CA121" s="612"/>
      <c r="CB121" s="612"/>
      <c r="CC121" s="612"/>
      <c r="CD121" s="612"/>
      <c r="CE121" s="612"/>
      <c r="CF121" s="612"/>
      <c r="CG121" s="612"/>
      <c r="CH121" s="612"/>
      <c r="CI121" s="612"/>
      <c r="CJ121" s="612"/>
      <c r="CK121" s="612"/>
      <c r="CL121" s="612"/>
      <c r="CM121" s="612"/>
      <c r="CN121" s="612"/>
      <c r="CO121" s="612"/>
      <c r="CP121" s="612"/>
      <c r="CQ121" s="612"/>
      <c r="CR121" s="612"/>
      <c r="CS121" s="612"/>
      <c r="CT121" s="612"/>
      <c r="CU121" s="612"/>
      <c r="CV121" s="612"/>
      <c r="CW121" s="612"/>
      <c r="CX121" s="612"/>
      <c r="CY121" s="612"/>
      <c r="CZ121" s="612"/>
      <c r="DA121" s="612"/>
      <c r="DB121" s="612"/>
      <c r="DC121" s="612"/>
      <c r="DD121" s="612"/>
      <c r="DE121" s="612"/>
      <c r="DF121" s="612"/>
      <c r="DG121" s="612"/>
      <c r="DH121" s="612"/>
      <c r="DI121" s="612"/>
      <c r="DJ121" s="612"/>
      <c r="DK121" s="612"/>
      <c r="DL121" s="612"/>
      <c r="DM121" s="612"/>
      <c r="DN121" s="612"/>
      <c r="DO121" s="612"/>
      <c r="DP121" s="612"/>
      <c r="DQ121" s="612"/>
      <c r="DR121" s="612"/>
      <c r="DS121" s="612"/>
      <c r="DT121" s="612"/>
      <c r="DU121" s="612"/>
      <c r="DV121" s="612"/>
      <c r="DW121" s="612"/>
      <c r="DX121" s="612"/>
      <c r="DY121" s="612"/>
      <c r="DZ121" s="612"/>
      <c r="EA121" s="612"/>
      <c r="EB121" s="612"/>
      <c r="EC121" s="612"/>
      <c r="ED121" s="612"/>
      <c r="EE121" s="612"/>
      <c r="EF121" s="612"/>
      <c r="EG121" s="612"/>
      <c r="EH121" s="612"/>
      <c r="EI121" s="612"/>
      <c r="EJ121" s="612"/>
      <c r="EK121" s="612"/>
      <c r="EL121" s="612"/>
      <c r="EM121" s="612"/>
      <c r="EN121" s="612"/>
      <c r="EO121" s="612"/>
      <c r="EP121" s="612"/>
      <c r="EQ121" s="612"/>
      <c r="ER121" s="612"/>
      <c r="ES121" s="612"/>
      <c r="ET121" s="612"/>
      <c r="EU121" s="612"/>
      <c r="EV121" s="612"/>
      <c r="EW121" s="612"/>
      <c r="EX121" s="612"/>
      <c r="EY121" s="612"/>
      <c r="EZ121" s="612"/>
      <c r="FA121" s="612"/>
      <c r="FB121" s="612"/>
      <c r="FC121" s="612"/>
      <c r="FD121" s="612"/>
      <c r="FE121" s="612"/>
      <c r="FF121" s="612"/>
      <c r="FG121" s="612"/>
      <c r="FH121" s="612"/>
      <c r="FI121" s="612"/>
      <c r="FJ121" s="612"/>
      <c r="FK121" s="612"/>
      <c r="FL121" s="612"/>
      <c r="FM121" s="612"/>
      <c r="FN121" s="612"/>
      <c r="FO121" s="612"/>
      <c r="FP121" s="612"/>
      <c r="FQ121" s="612"/>
      <c r="FR121" s="612"/>
      <c r="FS121" s="612"/>
      <c r="FT121" s="612"/>
      <c r="FU121" s="612"/>
      <c r="FV121" s="612"/>
      <c r="FW121" s="612"/>
      <c r="FX121" s="612"/>
      <c r="FY121" s="612"/>
      <c r="FZ121" s="612"/>
      <c r="GA121" s="612"/>
      <c r="GB121" s="612"/>
      <c r="GC121" s="612"/>
      <c r="GD121" s="612"/>
      <c r="GE121" s="245"/>
      <c r="GF121" s="612"/>
      <c r="GG121" s="612"/>
      <c r="GH121" s="612"/>
      <c r="GI121" s="612"/>
      <c r="GJ121" s="612"/>
      <c r="GK121" s="612"/>
      <c r="GL121" s="612"/>
      <c r="GM121" s="612"/>
      <c r="GN121" s="612"/>
      <c r="GO121" s="612"/>
      <c r="GP121" s="612"/>
      <c r="GQ121" s="612"/>
      <c r="GR121" s="612"/>
      <c r="GS121" s="612"/>
      <c r="GT121" s="612"/>
      <c r="GU121" s="612"/>
      <c r="GV121" s="612"/>
      <c r="GW121" s="612"/>
      <c r="GX121" s="612"/>
      <c r="GY121" s="612"/>
      <c r="GZ121" s="612"/>
      <c r="HA121" s="612"/>
      <c r="HB121" s="612"/>
      <c r="HC121" s="612"/>
      <c r="HD121" s="612"/>
      <c r="HE121" s="612"/>
      <c r="HF121" s="612"/>
      <c r="HG121" s="612"/>
      <c r="HH121" s="612"/>
      <c r="HI121" s="612"/>
      <c r="HJ121" s="612"/>
      <c r="HK121" s="612"/>
      <c r="HL121" s="612"/>
      <c r="HM121" s="612"/>
      <c r="HN121" s="612"/>
      <c r="HO121" s="612"/>
      <c r="HP121" s="612"/>
      <c r="HQ121" s="612"/>
      <c r="HR121" s="612"/>
      <c r="HS121" s="612"/>
      <c r="HT121" s="612"/>
      <c r="HU121" s="612"/>
      <c r="HV121" s="612"/>
      <c r="HW121" s="612"/>
      <c r="HX121" s="612"/>
      <c r="HY121" s="612"/>
      <c r="HZ121" s="612"/>
      <c r="IA121" s="612"/>
      <c r="IB121" s="612"/>
      <c r="IC121" s="612"/>
      <c r="ID121" s="612"/>
      <c r="IE121" s="612"/>
      <c r="IF121" s="612"/>
      <c r="IG121" s="612"/>
      <c r="IH121" s="612"/>
      <c r="II121" s="612"/>
    </row>
    <row r="122" spans="1:243" ht="15" customHeight="1">
      <c r="A122" s="72"/>
      <c r="B122" s="72"/>
      <c r="C122" s="72"/>
      <c r="D122" s="88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48"/>
      <c r="AW122" s="48"/>
      <c r="AX122" s="48"/>
      <c r="AY122" s="48"/>
      <c r="AZ122" s="50"/>
      <c r="BA122" s="612"/>
      <c r="BB122" s="612"/>
      <c r="BC122" s="612"/>
      <c r="BD122" s="612"/>
      <c r="BE122" s="612"/>
      <c r="BF122" s="612"/>
      <c r="BG122" s="612"/>
      <c r="BH122" s="612"/>
      <c r="BI122" s="612"/>
      <c r="BJ122" s="612"/>
      <c r="BK122" s="612"/>
      <c r="BL122" s="612"/>
      <c r="BM122" s="612"/>
      <c r="BN122" s="612"/>
      <c r="BO122" s="612"/>
      <c r="BP122" s="612"/>
      <c r="BQ122" s="612"/>
      <c r="BR122" s="612"/>
      <c r="BS122" s="612"/>
      <c r="BT122" s="612"/>
      <c r="BU122" s="612"/>
      <c r="BV122" s="612"/>
      <c r="BW122" s="612"/>
      <c r="BX122" s="612"/>
      <c r="BY122" s="612"/>
      <c r="BZ122" s="612"/>
      <c r="CA122" s="612"/>
      <c r="CB122" s="612"/>
      <c r="CC122" s="612"/>
      <c r="CD122" s="612"/>
      <c r="CE122" s="612"/>
      <c r="CF122" s="612"/>
      <c r="CG122" s="612"/>
      <c r="CH122" s="612"/>
      <c r="CI122" s="612"/>
      <c r="CJ122" s="612"/>
      <c r="CK122" s="612"/>
      <c r="CL122" s="612"/>
      <c r="CM122" s="612"/>
      <c r="CN122" s="612"/>
      <c r="CO122" s="612"/>
      <c r="CP122" s="612"/>
      <c r="CQ122" s="612"/>
      <c r="CR122" s="612"/>
      <c r="CS122" s="612"/>
      <c r="CT122" s="612"/>
      <c r="CU122" s="612"/>
      <c r="CV122" s="612"/>
      <c r="CW122" s="612"/>
      <c r="CX122" s="612"/>
      <c r="CY122" s="612"/>
      <c r="CZ122" s="612"/>
      <c r="DA122" s="612"/>
      <c r="DB122" s="612"/>
      <c r="DC122" s="612"/>
      <c r="DD122" s="612"/>
      <c r="DE122" s="612"/>
      <c r="DF122" s="612"/>
      <c r="DG122" s="612"/>
      <c r="DH122" s="612"/>
      <c r="DI122" s="612"/>
      <c r="DJ122" s="612"/>
      <c r="DK122" s="612"/>
      <c r="DL122" s="612"/>
      <c r="DM122" s="612"/>
      <c r="DN122" s="612"/>
      <c r="DO122" s="612"/>
      <c r="DP122" s="612"/>
      <c r="DQ122" s="612"/>
      <c r="DR122" s="612"/>
      <c r="DS122" s="612"/>
      <c r="DT122" s="612"/>
      <c r="DU122" s="612"/>
      <c r="DV122" s="612"/>
      <c r="DW122" s="612"/>
      <c r="DX122" s="612"/>
      <c r="DY122" s="612"/>
      <c r="DZ122" s="612"/>
      <c r="EA122" s="612"/>
      <c r="EB122" s="612"/>
      <c r="EC122" s="612"/>
      <c r="ED122" s="612"/>
      <c r="EE122" s="612"/>
      <c r="EF122" s="612"/>
      <c r="EG122" s="612"/>
      <c r="EH122" s="612"/>
      <c r="EI122" s="612"/>
      <c r="EJ122" s="612"/>
      <c r="EK122" s="612"/>
      <c r="EL122" s="612"/>
      <c r="EM122" s="612"/>
      <c r="EN122" s="612"/>
      <c r="EO122" s="612"/>
      <c r="EP122" s="612"/>
      <c r="EQ122" s="612"/>
      <c r="ER122" s="612"/>
      <c r="ES122" s="612"/>
      <c r="ET122" s="612"/>
      <c r="EU122" s="612"/>
      <c r="EV122" s="612"/>
      <c r="EW122" s="612"/>
      <c r="EX122" s="612"/>
      <c r="EY122" s="612"/>
      <c r="EZ122" s="612"/>
      <c r="FA122" s="612"/>
      <c r="FB122" s="612"/>
      <c r="FC122" s="612"/>
      <c r="FD122" s="612"/>
      <c r="FE122" s="612"/>
      <c r="FF122" s="612"/>
      <c r="FG122" s="612"/>
      <c r="FH122" s="612"/>
      <c r="FI122" s="612"/>
      <c r="FJ122" s="612"/>
      <c r="FK122" s="612"/>
      <c r="FL122" s="612"/>
      <c r="FM122" s="612"/>
      <c r="FN122" s="612"/>
      <c r="FO122" s="612"/>
      <c r="FP122" s="612"/>
      <c r="FQ122" s="612"/>
      <c r="FR122" s="612"/>
      <c r="FS122" s="612"/>
      <c r="FT122" s="612"/>
      <c r="FU122" s="612"/>
      <c r="FV122" s="612"/>
      <c r="FW122" s="612"/>
      <c r="FX122" s="612"/>
      <c r="FY122" s="612"/>
      <c r="FZ122" s="612"/>
      <c r="GA122" s="612"/>
      <c r="GB122" s="612"/>
      <c r="GC122" s="612"/>
      <c r="GD122" s="612"/>
      <c r="GE122" s="245"/>
      <c r="GF122" s="612"/>
      <c r="GG122" s="612"/>
      <c r="GH122" s="612"/>
      <c r="GI122" s="612"/>
      <c r="GJ122" s="612"/>
      <c r="GK122" s="612"/>
      <c r="GL122" s="612"/>
      <c r="GM122" s="612"/>
      <c r="GN122" s="612"/>
      <c r="GO122" s="612"/>
      <c r="GP122" s="612"/>
      <c r="GQ122" s="612"/>
      <c r="GR122" s="612"/>
      <c r="GS122" s="612"/>
      <c r="GT122" s="612"/>
      <c r="GU122" s="612"/>
      <c r="GV122" s="612"/>
      <c r="GW122" s="612"/>
      <c r="GX122" s="612"/>
      <c r="GY122" s="612"/>
      <c r="GZ122" s="612"/>
      <c r="HA122" s="612"/>
      <c r="HB122" s="612"/>
      <c r="HC122" s="612"/>
      <c r="HD122" s="612"/>
      <c r="HE122" s="612"/>
      <c r="HF122" s="612"/>
      <c r="HG122" s="612"/>
      <c r="HH122" s="612"/>
      <c r="HI122" s="612"/>
      <c r="HJ122" s="612"/>
      <c r="HK122" s="612"/>
      <c r="HL122" s="612"/>
      <c r="HM122" s="612"/>
      <c r="HN122" s="612"/>
      <c r="HO122" s="612"/>
      <c r="HP122" s="612"/>
      <c r="HQ122" s="612"/>
      <c r="HR122" s="612"/>
      <c r="HS122" s="612"/>
      <c r="HT122" s="612"/>
      <c r="HU122" s="612"/>
      <c r="HV122" s="612"/>
      <c r="HW122" s="612"/>
      <c r="HX122" s="612"/>
      <c r="HY122" s="612"/>
      <c r="HZ122" s="612"/>
      <c r="IA122" s="612"/>
      <c r="IB122" s="612"/>
      <c r="IC122" s="612"/>
      <c r="ID122" s="612"/>
      <c r="IE122" s="612"/>
      <c r="IF122" s="612"/>
      <c r="IG122" s="612"/>
      <c r="IH122" s="612"/>
      <c r="II122" s="612"/>
    </row>
    <row r="123" spans="1:243" ht="15" customHeight="1">
      <c r="A123" s="72"/>
      <c r="B123" s="72"/>
      <c r="C123" s="72"/>
      <c r="D123" s="88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48"/>
      <c r="AW123" s="48"/>
      <c r="AX123" s="48"/>
      <c r="AY123" s="48"/>
      <c r="AZ123" s="50"/>
      <c r="BA123" s="612"/>
      <c r="BB123" s="612"/>
      <c r="BC123" s="612"/>
      <c r="BD123" s="612"/>
      <c r="BE123" s="612"/>
      <c r="BF123" s="612"/>
      <c r="BG123" s="612"/>
      <c r="BH123" s="612"/>
      <c r="BI123" s="612"/>
      <c r="BJ123" s="612"/>
      <c r="BK123" s="612"/>
      <c r="BL123" s="612"/>
      <c r="BM123" s="612"/>
      <c r="BN123" s="612"/>
      <c r="BO123" s="612"/>
      <c r="BP123" s="612"/>
      <c r="BQ123" s="612"/>
      <c r="BR123" s="612"/>
      <c r="BS123" s="612"/>
      <c r="BT123" s="612"/>
      <c r="BU123" s="612"/>
      <c r="BV123" s="612"/>
      <c r="BW123" s="612"/>
      <c r="BX123" s="612"/>
      <c r="BY123" s="612"/>
      <c r="BZ123" s="612"/>
      <c r="CA123" s="612"/>
      <c r="CB123" s="612"/>
      <c r="CC123" s="612"/>
      <c r="CD123" s="612"/>
      <c r="CE123" s="612"/>
      <c r="CF123" s="612"/>
      <c r="CG123" s="612"/>
      <c r="CH123" s="612"/>
      <c r="CI123" s="612"/>
      <c r="CJ123" s="612"/>
      <c r="CK123" s="612"/>
      <c r="CL123" s="612"/>
      <c r="CM123" s="612"/>
      <c r="CN123" s="612"/>
      <c r="CO123" s="612"/>
      <c r="CP123" s="612"/>
      <c r="CQ123" s="612"/>
      <c r="CR123" s="612"/>
      <c r="CS123" s="612"/>
      <c r="CT123" s="612"/>
      <c r="CU123" s="612"/>
      <c r="CV123" s="612"/>
      <c r="CW123" s="612"/>
      <c r="CX123" s="612"/>
      <c r="CY123" s="612"/>
      <c r="CZ123" s="612"/>
      <c r="DA123" s="612"/>
      <c r="DB123" s="612"/>
      <c r="DC123" s="612"/>
      <c r="DD123" s="612"/>
      <c r="DE123" s="612"/>
      <c r="DF123" s="612"/>
      <c r="DG123" s="612"/>
      <c r="DH123" s="612"/>
      <c r="DI123" s="612"/>
      <c r="DJ123" s="612"/>
      <c r="DK123" s="612"/>
      <c r="DL123" s="612"/>
      <c r="DM123" s="612"/>
      <c r="DN123" s="612"/>
      <c r="DO123" s="612"/>
      <c r="DP123" s="612"/>
      <c r="DQ123" s="612"/>
      <c r="DR123" s="612"/>
      <c r="DS123" s="612"/>
      <c r="DT123" s="612"/>
      <c r="DU123" s="612"/>
      <c r="DV123" s="612"/>
      <c r="DW123" s="612"/>
      <c r="DX123" s="612"/>
      <c r="DY123" s="612"/>
      <c r="DZ123" s="612"/>
      <c r="EA123" s="612"/>
      <c r="EB123" s="612"/>
      <c r="EC123" s="612"/>
      <c r="ED123" s="612"/>
      <c r="EE123" s="612"/>
      <c r="EF123" s="612"/>
      <c r="EG123" s="612"/>
      <c r="EH123" s="612"/>
      <c r="EI123" s="612"/>
      <c r="EJ123" s="612"/>
      <c r="EK123" s="612"/>
      <c r="EL123" s="612"/>
      <c r="EM123" s="612"/>
      <c r="EN123" s="612"/>
      <c r="EO123" s="612"/>
      <c r="EP123" s="612"/>
      <c r="EQ123" s="612"/>
      <c r="ER123" s="612"/>
      <c r="ES123" s="612"/>
      <c r="ET123" s="612"/>
      <c r="EU123" s="612"/>
      <c r="EV123" s="612"/>
      <c r="EW123" s="612"/>
      <c r="EX123" s="612"/>
      <c r="EY123" s="612"/>
      <c r="EZ123" s="612"/>
      <c r="FA123" s="612"/>
      <c r="FB123" s="612"/>
      <c r="FC123" s="612"/>
      <c r="FD123" s="612"/>
      <c r="FE123" s="612"/>
      <c r="FF123" s="612"/>
      <c r="FG123" s="612"/>
      <c r="FH123" s="612"/>
      <c r="FI123" s="612"/>
      <c r="FJ123" s="612"/>
      <c r="FK123" s="612"/>
      <c r="FL123" s="612"/>
      <c r="FM123" s="612"/>
      <c r="FN123" s="612"/>
      <c r="FO123" s="612"/>
      <c r="FP123" s="612"/>
      <c r="FQ123" s="612"/>
      <c r="FR123" s="612"/>
      <c r="FS123" s="612"/>
      <c r="FT123" s="612"/>
      <c r="FU123" s="612"/>
      <c r="FV123" s="612"/>
      <c r="FW123" s="612"/>
      <c r="FX123" s="612"/>
      <c r="FY123" s="612"/>
      <c r="FZ123" s="612"/>
      <c r="GA123" s="612"/>
      <c r="GB123" s="612"/>
      <c r="GC123" s="612"/>
      <c r="GD123" s="612"/>
      <c r="GE123" s="245"/>
      <c r="GF123" s="612"/>
      <c r="GG123" s="612"/>
      <c r="GH123" s="612"/>
      <c r="GI123" s="612"/>
      <c r="GJ123" s="612"/>
      <c r="GK123" s="612"/>
      <c r="GL123" s="612"/>
      <c r="GM123" s="612"/>
      <c r="GN123" s="612"/>
      <c r="GO123" s="612"/>
      <c r="GP123" s="612"/>
      <c r="GQ123" s="612"/>
      <c r="GR123" s="612"/>
      <c r="GS123" s="612"/>
      <c r="GT123" s="612"/>
      <c r="GU123" s="612"/>
      <c r="GV123" s="612"/>
      <c r="GW123" s="612"/>
      <c r="GX123" s="612"/>
      <c r="GY123" s="612"/>
      <c r="GZ123" s="612"/>
      <c r="HA123" s="612"/>
      <c r="HB123" s="612"/>
      <c r="HC123" s="612"/>
      <c r="HD123" s="612"/>
      <c r="HE123" s="612"/>
      <c r="HF123" s="612"/>
      <c r="HG123" s="612"/>
      <c r="HH123" s="612"/>
      <c r="HI123" s="612"/>
      <c r="HJ123" s="612"/>
      <c r="HK123" s="612"/>
      <c r="HL123" s="612"/>
      <c r="HM123" s="612"/>
      <c r="HN123" s="612"/>
      <c r="HO123" s="612"/>
      <c r="HP123" s="612"/>
      <c r="HQ123" s="612"/>
      <c r="HR123" s="612"/>
      <c r="HS123" s="612"/>
      <c r="HT123" s="612"/>
      <c r="HU123" s="612"/>
      <c r="HV123" s="612"/>
      <c r="HW123" s="612"/>
      <c r="HX123" s="612"/>
      <c r="HY123" s="612"/>
      <c r="HZ123" s="612"/>
      <c r="IA123" s="612"/>
      <c r="IB123" s="612"/>
      <c r="IC123" s="612"/>
      <c r="ID123" s="612"/>
      <c r="IE123" s="612"/>
      <c r="IF123" s="612"/>
      <c r="IG123" s="612"/>
      <c r="IH123" s="612"/>
      <c r="II123" s="612"/>
    </row>
    <row r="124" spans="1:243" ht="15" customHeight="1">
      <c r="A124" s="72"/>
      <c r="B124" s="72"/>
      <c r="C124" s="72"/>
      <c r="D124" s="88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48"/>
      <c r="AW124" s="48"/>
      <c r="AX124" s="48"/>
      <c r="AY124" s="48"/>
      <c r="AZ124" s="50"/>
      <c r="BA124" s="612"/>
      <c r="BB124" s="612"/>
      <c r="BC124" s="612"/>
      <c r="BD124" s="612"/>
      <c r="BE124" s="612"/>
      <c r="BF124" s="612"/>
      <c r="BG124" s="612"/>
      <c r="BH124" s="612"/>
      <c r="BI124" s="612"/>
      <c r="BJ124" s="612"/>
      <c r="BK124" s="612"/>
      <c r="BL124" s="612"/>
      <c r="BM124" s="612"/>
      <c r="BN124" s="612"/>
      <c r="BO124" s="612"/>
      <c r="BP124" s="612"/>
      <c r="BQ124" s="612"/>
      <c r="BR124" s="612"/>
      <c r="BS124" s="612"/>
      <c r="BT124" s="612"/>
      <c r="BU124" s="612"/>
      <c r="BV124" s="612"/>
      <c r="BW124" s="612"/>
      <c r="BX124" s="612"/>
      <c r="BY124" s="612"/>
      <c r="BZ124" s="612"/>
      <c r="CA124" s="612"/>
      <c r="CB124" s="612"/>
      <c r="CC124" s="612"/>
      <c r="CD124" s="612"/>
      <c r="CE124" s="612"/>
      <c r="CF124" s="612"/>
      <c r="CG124" s="612"/>
      <c r="CH124" s="612"/>
      <c r="CI124" s="612"/>
      <c r="CJ124" s="612"/>
      <c r="CK124" s="612"/>
      <c r="CL124" s="612"/>
      <c r="CM124" s="612"/>
      <c r="CN124" s="612"/>
      <c r="CO124" s="612"/>
      <c r="CP124" s="612"/>
      <c r="CQ124" s="612"/>
      <c r="CR124" s="612"/>
      <c r="CS124" s="612"/>
      <c r="CT124" s="612"/>
      <c r="CU124" s="612"/>
      <c r="CV124" s="612"/>
      <c r="CW124" s="612"/>
      <c r="CX124" s="612"/>
      <c r="CY124" s="612"/>
      <c r="CZ124" s="612"/>
      <c r="DA124" s="612"/>
      <c r="DB124" s="612"/>
      <c r="DC124" s="612"/>
      <c r="DD124" s="612"/>
      <c r="DE124" s="612"/>
      <c r="DF124" s="612"/>
      <c r="DG124" s="612"/>
      <c r="DH124" s="612"/>
      <c r="DI124" s="612"/>
      <c r="DJ124" s="612"/>
      <c r="DK124" s="612"/>
      <c r="DL124" s="612"/>
      <c r="DM124" s="612"/>
      <c r="DN124" s="612"/>
      <c r="DO124" s="612"/>
      <c r="DP124" s="612"/>
      <c r="DQ124" s="612"/>
      <c r="DR124" s="612"/>
      <c r="DS124" s="612"/>
      <c r="DT124" s="612"/>
      <c r="DU124" s="612"/>
      <c r="DV124" s="612"/>
      <c r="DW124" s="612"/>
      <c r="DX124" s="612"/>
      <c r="DY124" s="612"/>
      <c r="DZ124" s="612"/>
      <c r="EA124" s="612"/>
      <c r="EB124" s="612"/>
      <c r="EC124" s="612"/>
      <c r="ED124" s="612"/>
      <c r="EE124" s="612"/>
      <c r="EF124" s="612"/>
      <c r="EG124" s="612"/>
      <c r="EH124" s="612"/>
      <c r="EI124" s="612"/>
      <c r="EJ124" s="612"/>
      <c r="EK124" s="612"/>
      <c r="EL124" s="612"/>
      <c r="EM124" s="612"/>
      <c r="EN124" s="612"/>
      <c r="EO124" s="612"/>
      <c r="EP124" s="612"/>
      <c r="EQ124" s="612"/>
      <c r="ER124" s="612"/>
      <c r="ES124" s="612"/>
      <c r="ET124" s="612"/>
      <c r="EU124" s="612"/>
      <c r="EV124" s="612"/>
      <c r="EW124" s="612"/>
      <c r="EX124" s="612"/>
      <c r="EY124" s="612"/>
      <c r="EZ124" s="612"/>
      <c r="FA124" s="612"/>
      <c r="FB124" s="612"/>
      <c r="FC124" s="612"/>
      <c r="FD124" s="612"/>
      <c r="FE124" s="612"/>
      <c r="FF124" s="612"/>
      <c r="FG124" s="612"/>
      <c r="FH124" s="612"/>
      <c r="FI124" s="612"/>
      <c r="FJ124" s="612"/>
      <c r="FK124" s="612"/>
      <c r="FL124" s="612"/>
      <c r="FM124" s="612"/>
      <c r="FN124" s="612"/>
      <c r="FO124" s="612"/>
      <c r="FP124" s="612"/>
      <c r="FQ124" s="612"/>
      <c r="FR124" s="612"/>
      <c r="FS124" s="612"/>
      <c r="FT124" s="612"/>
      <c r="FU124" s="612"/>
      <c r="FV124" s="612"/>
      <c r="FW124" s="612"/>
      <c r="FX124" s="612"/>
      <c r="FY124" s="612"/>
      <c r="FZ124" s="612"/>
      <c r="GA124" s="612"/>
      <c r="GB124" s="612"/>
      <c r="GC124" s="612"/>
      <c r="GD124" s="612"/>
      <c r="GE124" s="245"/>
      <c r="GF124" s="612"/>
      <c r="GG124" s="612"/>
      <c r="GH124" s="612"/>
      <c r="GI124" s="612"/>
      <c r="GJ124" s="612"/>
      <c r="GK124" s="612"/>
      <c r="GL124" s="612"/>
      <c r="GM124" s="612"/>
      <c r="GN124" s="612"/>
      <c r="GO124" s="612"/>
      <c r="GP124" s="612"/>
      <c r="GQ124" s="612"/>
      <c r="GR124" s="612"/>
      <c r="GS124" s="612"/>
      <c r="GT124" s="612"/>
      <c r="GU124" s="612"/>
      <c r="GV124" s="612"/>
      <c r="GW124" s="612"/>
      <c r="GX124" s="612"/>
      <c r="GY124" s="612"/>
      <c r="GZ124" s="612"/>
      <c r="HA124" s="612"/>
      <c r="HB124" s="612"/>
      <c r="HC124" s="612"/>
      <c r="HD124" s="612"/>
      <c r="HE124" s="612"/>
      <c r="HF124" s="612"/>
      <c r="HG124" s="612"/>
      <c r="HH124" s="612"/>
      <c r="HI124" s="612"/>
      <c r="HJ124" s="612"/>
      <c r="HK124" s="612"/>
      <c r="HL124" s="612"/>
      <c r="HM124" s="612"/>
      <c r="HN124" s="612"/>
      <c r="HO124" s="612"/>
      <c r="HP124" s="612"/>
      <c r="HQ124" s="612"/>
      <c r="HR124" s="612"/>
      <c r="HS124" s="612"/>
      <c r="HT124" s="612"/>
      <c r="HU124" s="612"/>
      <c r="HV124" s="612"/>
      <c r="HW124" s="612"/>
      <c r="HX124" s="612"/>
      <c r="HY124" s="612"/>
      <c r="HZ124" s="612"/>
      <c r="IA124" s="612"/>
      <c r="IB124" s="612"/>
      <c r="IC124" s="612"/>
      <c r="ID124" s="612"/>
      <c r="IE124" s="612"/>
      <c r="IF124" s="612"/>
      <c r="IG124" s="612"/>
      <c r="IH124" s="612"/>
      <c r="II124" s="612"/>
    </row>
    <row r="125" spans="1:243" ht="15" customHeight="1">
      <c r="A125" s="72"/>
      <c r="B125" s="72"/>
      <c r="C125" s="72"/>
      <c r="D125" s="88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48"/>
      <c r="AW125" s="48"/>
      <c r="AX125" s="48"/>
      <c r="AY125" s="48"/>
      <c r="AZ125" s="50"/>
      <c r="BA125" s="612"/>
      <c r="BB125" s="612"/>
      <c r="BC125" s="612"/>
      <c r="BD125" s="612"/>
      <c r="BE125" s="612"/>
      <c r="BF125" s="612"/>
      <c r="BG125" s="612"/>
      <c r="BH125" s="612"/>
      <c r="BI125" s="612"/>
      <c r="BJ125" s="612"/>
      <c r="BK125" s="612"/>
      <c r="BL125" s="612"/>
      <c r="BM125" s="612"/>
      <c r="BN125" s="612"/>
      <c r="BO125" s="612"/>
      <c r="BP125" s="612"/>
      <c r="BQ125" s="612"/>
      <c r="BR125" s="612"/>
      <c r="BS125" s="612"/>
      <c r="BT125" s="612"/>
      <c r="BU125" s="612"/>
      <c r="BV125" s="612"/>
      <c r="BW125" s="612"/>
      <c r="BX125" s="612"/>
      <c r="BY125" s="612"/>
      <c r="BZ125" s="612"/>
      <c r="CA125" s="612"/>
      <c r="CB125" s="612"/>
      <c r="CC125" s="612"/>
      <c r="CD125" s="612"/>
      <c r="CE125" s="612"/>
      <c r="CF125" s="612"/>
      <c r="CG125" s="612"/>
      <c r="CH125" s="612"/>
      <c r="CI125" s="612"/>
      <c r="CJ125" s="612"/>
      <c r="CK125" s="612"/>
      <c r="CL125" s="612"/>
      <c r="CM125" s="612"/>
      <c r="CN125" s="612"/>
      <c r="CO125" s="612"/>
      <c r="CP125" s="612"/>
      <c r="CQ125" s="612"/>
      <c r="CR125" s="612"/>
      <c r="CS125" s="612"/>
      <c r="CT125" s="612"/>
      <c r="CU125" s="612"/>
      <c r="CV125" s="612"/>
      <c r="CW125" s="612"/>
      <c r="CX125" s="612"/>
      <c r="CY125" s="612"/>
      <c r="CZ125" s="612"/>
      <c r="DA125" s="612"/>
      <c r="DB125" s="612"/>
      <c r="DC125" s="612"/>
      <c r="DD125" s="612"/>
      <c r="DE125" s="612"/>
      <c r="DF125" s="612"/>
      <c r="DG125" s="612"/>
      <c r="DH125" s="612"/>
      <c r="DI125" s="612"/>
      <c r="DJ125" s="612"/>
      <c r="DK125" s="612"/>
      <c r="DL125" s="612"/>
      <c r="DM125" s="612"/>
      <c r="DN125" s="612"/>
      <c r="DO125" s="612"/>
      <c r="DP125" s="612"/>
      <c r="DQ125" s="612"/>
      <c r="DR125" s="612"/>
      <c r="DS125" s="612"/>
      <c r="DT125" s="612"/>
      <c r="DU125" s="612"/>
      <c r="DV125" s="612"/>
      <c r="DW125" s="612"/>
      <c r="DX125" s="612"/>
      <c r="DY125" s="612"/>
      <c r="DZ125" s="612"/>
      <c r="EA125" s="612"/>
      <c r="EB125" s="612"/>
      <c r="EC125" s="612"/>
      <c r="ED125" s="612"/>
      <c r="EE125" s="612"/>
      <c r="EF125" s="612"/>
      <c r="EG125" s="612"/>
      <c r="EH125" s="612"/>
      <c r="EI125" s="612"/>
      <c r="EJ125" s="612"/>
      <c r="EK125" s="612"/>
      <c r="EL125" s="612"/>
      <c r="EM125" s="612"/>
      <c r="EN125" s="612"/>
      <c r="EO125" s="612"/>
      <c r="EP125" s="612"/>
      <c r="EQ125" s="612"/>
      <c r="ER125" s="612"/>
      <c r="ES125" s="612"/>
      <c r="ET125" s="612"/>
      <c r="EU125" s="612"/>
      <c r="EV125" s="612"/>
      <c r="EW125" s="612"/>
      <c r="EX125" s="612"/>
      <c r="EY125" s="612"/>
      <c r="EZ125" s="612"/>
      <c r="FA125" s="612"/>
      <c r="FB125" s="612"/>
      <c r="FC125" s="612"/>
      <c r="FD125" s="612"/>
      <c r="FE125" s="612"/>
      <c r="FF125" s="612"/>
      <c r="FG125" s="612"/>
      <c r="FH125" s="612"/>
      <c r="FI125" s="612"/>
      <c r="FJ125" s="612"/>
      <c r="FK125" s="612"/>
      <c r="FL125" s="612"/>
      <c r="FM125" s="612"/>
      <c r="FN125" s="612"/>
      <c r="FO125" s="612"/>
      <c r="FP125" s="612"/>
      <c r="FQ125" s="612"/>
      <c r="FR125" s="612"/>
      <c r="FS125" s="612"/>
      <c r="FT125" s="612"/>
      <c r="FU125" s="612"/>
      <c r="FV125" s="612"/>
      <c r="FW125" s="612"/>
      <c r="FX125" s="612"/>
      <c r="FY125" s="612"/>
      <c r="FZ125" s="612"/>
      <c r="GA125" s="612"/>
      <c r="GB125" s="612"/>
      <c r="GC125" s="612"/>
      <c r="GD125" s="612"/>
      <c r="GE125" s="245"/>
      <c r="GF125" s="612"/>
      <c r="GG125" s="612"/>
      <c r="GH125" s="612"/>
      <c r="GI125" s="612"/>
      <c r="GJ125" s="612"/>
      <c r="GK125" s="612"/>
      <c r="GL125" s="612"/>
      <c r="GM125" s="612"/>
      <c r="GN125" s="612"/>
      <c r="GO125" s="612"/>
      <c r="GP125" s="612"/>
      <c r="GQ125" s="612"/>
      <c r="GR125" s="612"/>
      <c r="GS125" s="612"/>
      <c r="GT125" s="612"/>
      <c r="GU125" s="612"/>
      <c r="GV125" s="612"/>
      <c r="GW125" s="612"/>
      <c r="GX125" s="612"/>
      <c r="GY125" s="612"/>
      <c r="GZ125" s="612"/>
      <c r="HA125" s="612"/>
      <c r="HB125" s="612"/>
      <c r="HC125" s="612"/>
      <c r="HD125" s="612"/>
      <c r="HE125" s="612"/>
      <c r="HF125" s="612"/>
      <c r="HG125" s="612"/>
      <c r="HH125" s="612"/>
      <c r="HI125" s="612"/>
      <c r="HJ125" s="612"/>
      <c r="HK125" s="612"/>
      <c r="HL125" s="612"/>
      <c r="HM125" s="612"/>
      <c r="HN125" s="612"/>
      <c r="HO125" s="612"/>
      <c r="HP125" s="612"/>
      <c r="HQ125" s="612"/>
      <c r="HR125" s="612"/>
      <c r="HS125" s="612"/>
      <c r="HT125" s="612"/>
      <c r="HU125" s="612"/>
      <c r="HV125" s="612"/>
      <c r="HW125" s="612"/>
      <c r="HX125" s="612"/>
      <c r="HY125" s="612"/>
      <c r="HZ125" s="612"/>
      <c r="IA125" s="612"/>
      <c r="IB125" s="612"/>
      <c r="IC125" s="612"/>
      <c r="ID125" s="612"/>
      <c r="IE125" s="612"/>
      <c r="IF125" s="612"/>
      <c r="IG125" s="612"/>
      <c r="IH125" s="612"/>
      <c r="II125" s="612"/>
    </row>
    <row r="126" spans="1:243" ht="15" customHeight="1">
      <c r="A126" s="72"/>
      <c r="B126" s="72"/>
      <c r="C126" s="72"/>
      <c r="D126" s="88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48"/>
      <c r="AW126" s="48"/>
      <c r="AX126" s="48"/>
      <c r="AY126" s="48"/>
      <c r="AZ126" s="50"/>
      <c r="BA126" s="612"/>
      <c r="BB126" s="612"/>
      <c r="BC126" s="612"/>
      <c r="BD126" s="612"/>
      <c r="BE126" s="612"/>
      <c r="BF126" s="612"/>
      <c r="BG126" s="612"/>
      <c r="BH126" s="612"/>
      <c r="BI126" s="612"/>
      <c r="BJ126" s="612"/>
      <c r="BK126" s="612"/>
      <c r="BL126" s="612"/>
      <c r="BM126" s="612"/>
      <c r="BN126" s="612"/>
      <c r="BO126" s="612"/>
      <c r="BP126" s="612"/>
      <c r="BQ126" s="612"/>
      <c r="BR126" s="612"/>
      <c r="BS126" s="612"/>
      <c r="BT126" s="612"/>
      <c r="BU126" s="612"/>
      <c r="BV126" s="612"/>
      <c r="BW126" s="612"/>
      <c r="BX126" s="612"/>
      <c r="BY126" s="612"/>
      <c r="BZ126" s="612"/>
      <c r="CA126" s="612"/>
      <c r="CB126" s="612"/>
      <c r="CC126" s="612"/>
      <c r="CD126" s="612"/>
      <c r="CE126" s="612"/>
      <c r="CF126" s="612"/>
      <c r="CG126" s="612"/>
      <c r="CH126" s="612"/>
      <c r="CI126" s="612"/>
      <c r="CJ126" s="612"/>
      <c r="CK126" s="612"/>
      <c r="CL126" s="612"/>
      <c r="CM126" s="612"/>
      <c r="CN126" s="612"/>
      <c r="CO126" s="612"/>
      <c r="CP126" s="612"/>
      <c r="CQ126" s="612"/>
      <c r="CR126" s="612"/>
      <c r="CS126" s="612"/>
      <c r="CT126" s="612"/>
      <c r="CU126" s="612"/>
      <c r="CV126" s="612"/>
      <c r="CW126" s="612"/>
      <c r="CX126" s="612"/>
      <c r="CY126" s="612"/>
      <c r="CZ126" s="612"/>
      <c r="DA126" s="612"/>
      <c r="DB126" s="612"/>
      <c r="DC126" s="612"/>
      <c r="DD126" s="612"/>
      <c r="DE126" s="612"/>
      <c r="DF126" s="612"/>
      <c r="DG126" s="612"/>
      <c r="DH126" s="612"/>
      <c r="DI126" s="612"/>
      <c r="DJ126" s="612"/>
      <c r="DK126" s="612"/>
      <c r="DL126" s="612"/>
      <c r="DM126" s="612"/>
      <c r="DN126" s="612"/>
      <c r="DO126" s="612"/>
      <c r="DP126" s="612"/>
      <c r="DQ126" s="612"/>
      <c r="DR126" s="612"/>
      <c r="DS126" s="612"/>
      <c r="DT126" s="612"/>
      <c r="DU126" s="612"/>
      <c r="DV126" s="612"/>
      <c r="DW126" s="612"/>
      <c r="DX126" s="612"/>
      <c r="DY126" s="612"/>
      <c r="DZ126" s="612"/>
      <c r="EA126" s="612"/>
      <c r="EB126" s="612"/>
      <c r="EC126" s="612"/>
      <c r="ED126" s="612"/>
      <c r="EE126" s="612"/>
      <c r="EF126" s="612"/>
      <c r="EG126" s="612"/>
      <c r="EH126" s="612"/>
      <c r="EI126" s="612"/>
      <c r="EJ126" s="612"/>
      <c r="EK126" s="612"/>
      <c r="EL126" s="612"/>
      <c r="EM126" s="612"/>
      <c r="EN126" s="612"/>
      <c r="EO126" s="612"/>
      <c r="EP126" s="612"/>
      <c r="EQ126" s="612"/>
      <c r="ER126" s="612"/>
      <c r="ES126" s="612"/>
      <c r="ET126" s="612"/>
      <c r="EU126" s="612"/>
      <c r="EV126" s="612"/>
      <c r="EW126" s="612"/>
      <c r="EX126" s="612"/>
      <c r="EY126" s="612"/>
      <c r="EZ126" s="612"/>
      <c r="FA126" s="612"/>
      <c r="FB126" s="612"/>
      <c r="FC126" s="612"/>
      <c r="FD126" s="612"/>
      <c r="FE126" s="612"/>
      <c r="FF126" s="612"/>
      <c r="FG126" s="612"/>
      <c r="FH126" s="612"/>
      <c r="FI126" s="612"/>
      <c r="FJ126" s="612"/>
      <c r="FK126" s="612"/>
      <c r="FL126" s="612"/>
      <c r="FM126" s="612"/>
      <c r="FN126" s="612"/>
      <c r="FO126" s="612"/>
      <c r="FP126" s="612"/>
      <c r="FQ126" s="612"/>
      <c r="FR126" s="612"/>
      <c r="FS126" s="612"/>
      <c r="FT126" s="612"/>
      <c r="FU126" s="612"/>
      <c r="FV126" s="612"/>
      <c r="FW126" s="612"/>
      <c r="FX126" s="612"/>
      <c r="FY126" s="612"/>
      <c r="FZ126" s="612"/>
      <c r="GA126" s="612"/>
      <c r="GB126" s="612"/>
      <c r="GC126" s="612"/>
      <c r="GD126" s="612"/>
      <c r="GE126" s="245"/>
      <c r="GF126" s="612"/>
      <c r="GG126" s="612"/>
      <c r="GH126" s="612"/>
      <c r="GI126" s="612"/>
      <c r="GJ126" s="612"/>
      <c r="GK126" s="612"/>
      <c r="GL126" s="612"/>
      <c r="GM126" s="612"/>
      <c r="GN126" s="612"/>
      <c r="GO126" s="612"/>
      <c r="GP126" s="612"/>
      <c r="GQ126" s="612"/>
      <c r="GR126" s="612"/>
      <c r="GS126" s="612"/>
      <c r="GT126" s="612"/>
      <c r="GU126" s="612"/>
      <c r="GV126" s="612"/>
      <c r="GW126" s="612"/>
      <c r="GX126" s="612"/>
      <c r="GY126" s="612"/>
      <c r="GZ126" s="612"/>
      <c r="HA126" s="612"/>
      <c r="HB126" s="612"/>
      <c r="HC126" s="612"/>
      <c r="HD126" s="612"/>
      <c r="HE126" s="612"/>
      <c r="HF126" s="612"/>
      <c r="HG126" s="612"/>
      <c r="HH126" s="612"/>
      <c r="HI126" s="612"/>
      <c r="HJ126" s="612"/>
      <c r="HK126" s="612"/>
      <c r="HL126" s="612"/>
      <c r="HM126" s="612"/>
      <c r="HN126" s="612"/>
      <c r="HO126" s="612"/>
      <c r="HP126" s="612"/>
      <c r="HQ126" s="612"/>
      <c r="HR126" s="612"/>
      <c r="HS126" s="612"/>
      <c r="HT126" s="612"/>
      <c r="HU126" s="612"/>
      <c r="HV126" s="612"/>
      <c r="HW126" s="612"/>
      <c r="HX126" s="612"/>
      <c r="HY126" s="612"/>
      <c r="HZ126" s="612"/>
      <c r="IA126" s="612"/>
      <c r="IB126" s="612"/>
      <c r="IC126" s="612"/>
      <c r="ID126" s="612"/>
      <c r="IE126" s="612"/>
      <c r="IF126" s="612"/>
      <c r="IG126" s="612"/>
      <c r="IH126" s="612"/>
      <c r="II126" s="612"/>
    </row>
    <row r="127" spans="1:243" ht="15" customHeight="1">
      <c r="A127" s="72"/>
      <c r="B127" s="72"/>
      <c r="C127" s="72"/>
      <c r="D127" s="88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  <c r="P127" s="87"/>
      <c r="Q127" s="87"/>
      <c r="R127" s="87"/>
      <c r="S127" s="87"/>
      <c r="T127" s="87"/>
      <c r="U127" s="87"/>
      <c r="V127" s="87"/>
      <c r="W127" s="87"/>
      <c r="X127" s="87"/>
      <c r="Y127" s="87"/>
      <c r="Z127" s="87"/>
      <c r="AA127" s="87"/>
      <c r="AB127" s="87"/>
      <c r="AC127" s="87"/>
      <c r="AD127" s="87"/>
      <c r="AE127" s="87"/>
      <c r="AF127" s="87"/>
      <c r="AG127" s="87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48"/>
      <c r="AW127" s="48"/>
      <c r="AX127" s="48"/>
      <c r="AY127" s="48"/>
      <c r="AZ127" s="50"/>
      <c r="BA127" s="612"/>
      <c r="BB127" s="612"/>
      <c r="BC127" s="612"/>
      <c r="BD127" s="612"/>
      <c r="BE127" s="612"/>
      <c r="BF127" s="612"/>
      <c r="BG127" s="612"/>
      <c r="BH127" s="612"/>
      <c r="BI127" s="612"/>
      <c r="BJ127" s="612"/>
      <c r="BK127" s="612"/>
      <c r="BL127" s="612"/>
      <c r="BM127" s="612"/>
      <c r="BN127" s="612"/>
      <c r="BO127" s="612"/>
      <c r="BP127" s="612"/>
      <c r="BQ127" s="612"/>
      <c r="BR127" s="612"/>
      <c r="BS127" s="612"/>
      <c r="BT127" s="612"/>
      <c r="BU127" s="612"/>
      <c r="BV127" s="612"/>
      <c r="BW127" s="612"/>
      <c r="BX127" s="612"/>
      <c r="BY127" s="612"/>
      <c r="BZ127" s="612"/>
      <c r="CA127" s="612"/>
      <c r="CB127" s="612"/>
      <c r="CC127" s="612"/>
      <c r="CD127" s="612"/>
      <c r="CE127" s="612"/>
      <c r="CF127" s="612"/>
      <c r="CG127" s="612"/>
      <c r="CH127" s="612"/>
      <c r="CI127" s="612"/>
      <c r="CJ127" s="612"/>
      <c r="CK127" s="612"/>
      <c r="CL127" s="612"/>
      <c r="CM127" s="612"/>
      <c r="CN127" s="612"/>
      <c r="CO127" s="612"/>
      <c r="CP127" s="612"/>
      <c r="CQ127" s="612"/>
      <c r="CR127" s="612"/>
      <c r="CS127" s="612"/>
      <c r="CT127" s="612"/>
      <c r="CU127" s="612"/>
      <c r="CV127" s="612"/>
      <c r="CW127" s="612"/>
      <c r="CX127" s="612"/>
      <c r="CY127" s="612"/>
      <c r="CZ127" s="612"/>
      <c r="DA127" s="612"/>
      <c r="DB127" s="612"/>
      <c r="DC127" s="612"/>
      <c r="DD127" s="612"/>
      <c r="DE127" s="612"/>
      <c r="DF127" s="612"/>
      <c r="DG127" s="612"/>
      <c r="DH127" s="612"/>
      <c r="DI127" s="612"/>
      <c r="DJ127" s="612"/>
      <c r="DK127" s="612"/>
      <c r="DL127" s="612"/>
      <c r="DM127" s="612"/>
      <c r="DN127" s="612"/>
      <c r="DO127" s="612"/>
      <c r="DP127" s="612"/>
      <c r="DQ127" s="612"/>
      <c r="DR127" s="612"/>
      <c r="DS127" s="612"/>
      <c r="DT127" s="612"/>
      <c r="DU127" s="612"/>
      <c r="DV127" s="612"/>
      <c r="DW127" s="612"/>
      <c r="DX127" s="612"/>
      <c r="DY127" s="612"/>
      <c r="DZ127" s="612"/>
      <c r="EA127" s="612"/>
      <c r="EB127" s="612"/>
      <c r="EC127" s="612"/>
      <c r="ED127" s="612"/>
      <c r="EE127" s="612"/>
      <c r="EF127" s="612"/>
      <c r="EG127" s="612"/>
      <c r="EH127" s="612"/>
      <c r="EI127" s="612"/>
      <c r="EJ127" s="612"/>
      <c r="EK127" s="612"/>
      <c r="EL127" s="612"/>
      <c r="EM127" s="612"/>
      <c r="EN127" s="612"/>
      <c r="EO127" s="612"/>
      <c r="EP127" s="612"/>
      <c r="EQ127" s="612"/>
      <c r="ER127" s="612"/>
      <c r="ES127" s="612"/>
      <c r="ET127" s="612"/>
      <c r="EU127" s="612"/>
      <c r="EV127" s="612"/>
      <c r="EW127" s="612"/>
      <c r="EX127" s="612"/>
      <c r="EY127" s="612"/>
      <c r="EZ127" s="612"/>
      <c r="FA127" s="612"/>
      <c r="FB127" s="612"/>
      <c r="FC127" s="612"/>
      <c r="FD127" s="612"/>
      <c r="FE127" s="612"/>
      <c r="FF127" s="612"/>
      <c r="FG127" s="612"/>
      <c r="FH127" s="612"/>
      <c r="FI127" s="612"/>
      <c r="FJ127" s="612"/>
      <c r="FK127" s="612"/>
      <c r="FL127" s="612"/>
      <c r="FM127" s="612"/>
      <c r="FN127" s="612"/>
      <c r="FO127" s="612"/>
      <c r="FP127" s="612"/>
      <c r="FQ127" s="612"/>
      <c r="FR127" s="612"/>
      <c r="FS127" s="612"/>
      <c r="FT127" s="612"/>
      <c r="FU127" s="612"/>
      <c r="FV127" s="612"/>
      <c r="FW127" s="612"/>
      <c r="FX127" s="612"/>
      <c r="FY127" s="612"/>
      <c r="FZ127" s="612"/>
      <c r="GA127" s="612"/>
      <c r="GB127" s="612"/>
      <c r="GC127" s="612"/>
      <c r="GD127" s="612"/>
      <c r="GE127" s="245"/>
      <c r="GF127" s="612"/>
      <c r="GG127" s="612"/>
      <c r="GH127" s="612"/>
      <c r="GI127" s="612"/>
      <c r="GJ127" s="612"/>
      <c r="GK127" s="612"/>
      <c r="GL127" s="612"/>
      <c r="GM127" s="612"/>
      <c r="GN127" s="612"/>
      <c r="GO127" s="612"/>
      <c r="GP127" s="612"/>
      <c r="GQ127" s="612"/>
      <c r="GR127" s="612"/>
      <c r="GS127" s="612"/>
      <c r="GT127" s="612"/>
      <c r="GU127" s="612"/>
      <c r="GV127" s="612"/>
      <c r="GW127" s="612"/>
      <c r="GX127" s="612"/>
      <c r="GY127" s="612"/>
      <c r="GZ127" s="612"/>
      <c r="HA127" s="612"/>
      <c r="HB127" s="612"/>
      <c r="HC127" s="612"/>
      <c r="HD127" s="612"/>
      <c r="HE127" s="612"/>
      <c r="HF127" s="612"/>
      <c r="HG127" s="612"/>
      <c r="HH127" s="612"/>
      <c r="HI127" s="612"/>
      <c r="HJ127" s="612"/>
      <c r="HK127" s="612"/>
      <c r="HL127" s="612"/>
      <c r="HM127" s="612"/>
      <c r="HN127" s="612"/>
      <c r="HO127" s="612"/>
      <c r="HP127" s="612"/>
      <c r="HQ127" s="612"/>
      <c r="HR127" s="612"/>
      <c r="HS127" s="612"/>
      <c r="HT127" s="612"/>
      <c r="HU127" s="612"/>
      <c r="HV127" s="612"/>
      <c r="HW127" s="612"/>
      <c r="HX127" s="612"/>
      <c r="HY127" s="612"/>
      <c r="HZ127" s="612"/>
      <c r="IA127" s="612"/>
      <c r="IB127" s="612"/>
      <c r="IC127" s="612"/>
      <c r="ID127" s="612"/>
      <c r="IE127" s="612"/>
      <c r="IF127" s="612"/>
      <c r="IG127" s="612"/>
      <c r="IH127" s="612"/>
      <c r="II127" s="612"/>
    </row>
    <row r="128" spans="1:243" ht="15" customHeight="1">
      <c r="A128" s="72"/>
      <c r="B128" s="72"/>
      <c r="C128" s="72"/>
      <c r="D128" s="88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87"/>
      <c r="Q128" s="87"/>
      <c r="R128" s="87"/>
      <c r="S128" s="87"/>
      <c r="T128" s="87"/>
      <c r="U128" s="87"/>
      <c r="V128" s="87"/>
      <c r="W128" s="87"/>
      <c r="X128" s="87"/>
      <c r="Y128" s="87"/>
      <c r="Z128" s="87"/>
      <c r="AA128" s="87"/>
      <c r="AB128" s="87"/>
      <c r="AC128" s="87"/>
      <c r="AD128" s="87"/>
      <c r="AE128" s="87"/>
      <c r="AF128" s="87"/>
      <c r="AG128" s="87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48"/>
      <c r="AW128" s="48"/>
      <c r="AX128" s="48"/>
      <c r="AY128" s="48"/>
      <c r="AZ128" s="50"/>
      <c r="BA128" s="612"/>
      <c r="BB128" s="612"/>
      <c r="BC128" s="612"/>
      <c r="BD128" s="612"/>
      <c r="BE128" s="612"/>
      <c r="BF128" s="612"/>
      <c r="BG128" s="612"/>
      <c r="BH128" s="612"/>
      <c r="BI128" s="612"/>
      <c r="BJ128" s="612"/>
      <c r="BK128" s="612"/>
      <c r="BL128" s="612"/>
      <c r="BM128" s="612"/>
      <c r="BN128" s="612"/>
      <c r="BO128" s="612"/>
      <c r="BP128" s="612"/>
      <c r="BQ128" s="612"/>
      <c r="BR128" s="612"/>
      <c r="BS128" s="612"/>
      <c r="BT128" s="612"/>
      <c r="BU128" s="612"/>
      <c r="BV128" s="612"/>
      <c r="BW128" s="612"/>
      <c r="BX128" s="612"/>
      <c r="BY128" s="612"/>
      <c r="BZ128" s="612"/>
      <c r="CA128" s="612"/>
      <c r="CB128" s="612"/>
      <c r="CC128" s="612"/>
      <c r="CD128" s="612"/>
      <c r="CE128" s="612"/>
      <c r="CF128" s="612"/>
      <c r="CG128" s="612"/>
      <c r="CH128" s="612"/>
      <c r="CI128" s="612"/>
      <c r="CJ128" s="612"/>
      <c r="CK128" s="612"/>
      <c r="CL128" s="612"/>
      <c r="CM128" s="612"/>
      <c r="CN128" s="612"/>
      <c r="CO128" s="612"/>
      <c r="CP128" s="612"/>
      <c r="CQ128" s="612"/>
      <c r="CR128" s="612"/>
      <c r="CS128" s="612"/>
      <c r="CT128" s="612"/>
      <c r="CU128" s="612"/>
      <c r="CV128" s="612"/>
      <c r="CW128" s="612"/>
      <c r="CX128" s="612"/>
      <c r="CY128" s="612"/>
      <c r="CZ128" s="612"/>
      <c r="DA128" s="612"/>
      <c r="DB128" s="612"/>
      <c r="DC128" s="612"/>
      <c r="DD128" s="612"/>
      <c r="DE128" s="612"/>
      <c r="DF128" s="612"/>
      <c r="DG128" s="612"/>
      <c r="DH128" s="612"/>
      <c r="DI128" s="612"/>
      <c r="DJ128" s="612"/>
      <c r="DK128" s="612"/>
      <c r="DL128" s="612"/>
      <c r="DM128" s="612"/>
      <c r="DN128" s="612"/>
      <c r="DO128" s="612"/>
      <c r="DP128" s="612"/>
      <c r="DQ128" s="612"/>
      <c r="DR128" s="612"/>
      <c r="DS128" s="612"/>
      <c r="DT128" s="612"/>
      <c r="DU128" s="612"/>
      <c r="DV128" s="612"/>
      <c r="DW128" s="612"/>
      <c r="DX128" s="612"/>
      <c r="DY128" s="612"/>
      <c r="DZ128" s="612"/>
      <c r="EA128" s="612"/>
      <c r="EB128" s="612"/>
      <c r="EC128" s="612"/>
      <c r="ED128" s="612"/>
      <c r="EE128" s="612"/>
      <c r="EF128" s="612"/>
      <c r="EG128" s="612"/>
      <c r="EH128" s="612"/>
      <c r="EI128" s="612"/>
      <c r="EJ128" s="612"/>
      <c r="EK128" s="612"/>
      <c r="EL128" s="612"/>
      <c r="EM128" s="612"/>
      <c r="EN128" s="612"/>
      <c r="EO128" s="612"/>
      <c r="EP128" s="612"/>
      <c r="EQ128" s="612"/>
      <c r="ER128" s="612"/>
      <c r="ES128" s="612"/>
      <c r="ET128" s="612"/>
      <c r="EU128" s="612"/>
      <c r="EV128" s="612"/>
      <c r="EW128" s="612"/>
      <c r="EX128" s="612"/>
      <c r="EY128" s="612"/>
      <c r="EZ128" s="612"/>
      <c r="FA128" s="612"/>
      <c r="FB128" s="612"/>
      <c r="FC128" s="612"/>
      <c r="FD128" s="612"/>
      <c r="FE128" s="612"/>
      <c r="FF128" s="612"/>
      <c r="FG128" s="612"/>
      <c r="FH128" s="612"/>
      <c r="FI128" s="612"/>
      <c r="FJ128" s="612"/>
      <c r="FK128" s="612"/>
      <c r="FL128" s="612"/>
      <c r="FM128" s="612"/>
      <c r="FN128" s="612"/>
      <c r="FO128" s="612"/>
      <c r="FP128" s="612"/>
      <c r="FQ128" s="612"/>
      <c r="FR128" s="612"/>
      <c r="FS128" s="612"/>
      <c r="FT128" s="612"/>
      <c r="FU128" s="612"/>
      <c r="FV128" s="612"/>
      <c r="FW128" s="612"/>
      <c r="FX128" s="612"/>
      <c r="FY128" s="612"/>
      <c r="FZ128" s="612"/>
      <c r="GA128" s="612"/>
      <c r="GB128" s="612"/>
      <c r="GC128" s="612"/>
      <c r="GD128" s="612"/>
      <c r="GE128" s="245"/>
      <c r="GF128" s="612"/>
      <c r="GG128" s="612"/>
      <c r="GH128" s="612"/>
      <c r="GI128" s="612"/>
      <c r="GJ128" s="612"/>
      <c r="GK128" s="612"/>
      <c r="GL128" s="612"/>
      <c r="GM128" s="612"/>
      <c r="GN128" s="612"/>
      <c r="GO128" s="612"/>
      <c r="GP128" s="612"/>
      <c r="GQ128" s="612"/>
      <c r="GR128" s="612"/>
      <c r="GS128" s="612"/>
      <c r="GT128" s="612"/>
      <c r="GU128" s="612"/>
      <c r="GV128" s="612"/>
      <c r="GW128" s="612"/>
      <c r="GX128" s="612"/>
      <c r="GY128" s="612"/>
      <c r="GZ128" s="612"/>
      <c r="HA128" s="612"/>
      <c r="HB128" s="612"/>
      <c r="HC128" s="612"/>
      <c r="HD128" s="612"/>
      <c r="HE128" s="612"/>
      <c r="HF128" s="612"/>
      <c r="HG128" s="612"/>
      <c r="HH128" s="612"/>
      <c r="HI128" s="612"/>
      <c r="HJ128" s="612"/>
      <c r="HK128" s="612"/>
      <c r="HL128" s="612"/>
      <c r="HM128" s="612"/>
      <c r="HN128" s="612"/>
      <c r="HO128" s="612"/>
      <c r="HP128" s="612"/>
      <c r="HQ128" s="612"/>
      <c r="HR128" s="612"/>
      <c r="HS128" s="612"/>
      <c r="HT128" s="612"/>
      <c r="HU128" s="612"/>
      <c r="HV128" s="612"/>
      <c r="HW128" s="612"/>
      <c r="HX128" s="612"/>
      <c r="HY128" s="612"/>
      <c r="HZ128" s="612"/>
      <c r="IA128" s="612"/>
      <c r="IB128" s="612"/>
      <c r="IC128" s="612"/>
      <c r="ID128" s="612"/>
      <c r="IE128" s="612"/>
      <c r="IF128" s="612"/>
      <c r="IG128" s="612"/>
      <c r="IH128" s="612"/>
      <c r="II128" s="612"/>
    </row>
    <row r="129" spans="1:243" ht="15" customHeight="1">
      <c r="A129" s="72"/>
      <c r="B129" s="72"/>
      <c r="C129" s="72"/>
      <c r="D129" s="88"/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  <c r="P129" s="87"/>
      <c r="Q129" s="87"/>
      <c r="R129" s="87"/>
      <c r="S129" s="87"/>
      <c r="T129" s="87"/>
      <c r="U129" s="87"/>
      <c r="V129" s="87"/>
      <c r="W129" s="87"/>
      <c r="X129" s="87"/>
      <c r="Y129" s="87"/>
      <c r="Z129" s="87"/>
      <c r="AA129" s="87"/>
      <c r="AB129" s="87"/>
      <c r="AC129" s="87"/>
      <c r="AD129" s="87"/>
      <c r="AE129" s="87"/>
      <c r="AF129" s="87"/>
      <c r="AG129" s="87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48"/>
      <c r="AW129" s="48"/>
      <c r="AX129" s="48"/>
      <c r="AY129" s="48"/>
      <c r="AZ129" s="50"/>
      <c r="BA129" s="612"/>
      <c r="BB129" s="612"/>
      <c r="BC129" s="612"/>
      <c r="BD129" s="612"/>
      <c r="BE129" s="612"/>
      <c r="BF129" s="612"/>
      <c r="BG129" s="612"/>
      <c r="BH129" s="612"/>
      <c r="BI129" s="612"/>
      <c r="BJ129" s="612"/>
      <c r="BK129" s="612"/>
      <c r="BL129" s="612"/>
      <c r="BM129" s="612"/>
      <c r="BN129" s="612"/>
      <c r="BO129" s="612"/>
      <c r="BP129" s="612"/>
      <c r="BQ129" s="612"/>
      <c r="BR129" s="612"/>
      <c r="BS129" s="612"/>
      <c r="BT129" s="612"/>
      <c r="BU129" s="612"/>
      <c r="BV129" s="612"/>
      <c r="BW129" s="612"/>
      <c r="BX129" s="612"/>
      <c r="BY129" s="612"/>
      <c r="BZ129" s="612"/>
      <c r="CA129" s="612"/>
      <c r="CB129" s="612"/>
      <c r="CC129" s="612"/>
      <c r="CD129" s="612"/>
      <c r="CE129" s="612"/>
      <c r="CF129" s="612"/>
      <c r="CG129" s="612"/>
      <c r="CH129" s="612"/>
      <c r="CI129" s="612"/>
      <c r="CJ129" s="612"/>
      <c r="CK129" s="612"/>
      <c r="CL129" s="612"/>
      <c r="CM129" s="612"/>
      <c r="CN129" s="612"/>
      <c r="CO129" s="612"/>
      <c r="CP129" s="612"/>
      <c r="CQ129" s="612"/>
      <c r="CR129" s="612"/>
      <c r="CS129" s="612"/>
      <c r="CT129" s="612"/>
      <c r="CU129" s="612"/>
      <c r="CV129" s="612"/>
      <c r="CW129" s="612"/>
      <c r="CX129" s="612"/>
      <c r="CY129" s="612"/>
      <c r="CZ129" s="612"/>
      <c r="DA129" s="612"/>
      <c r="DB129" s="612"/>
      <c r="DC129" s="612"/>
      <c r="DD129" s="612"/>
      <c r="DE129" s="612"/>
      <c r="DF129" s="612"/>
      <c r="DG129" s="612"/>
      <c r="DH129" s="612"/>
      <c r="DI129" s="612"/>
      <c r="DJ129" s="612"/>
      <c r="DK129" s="612"/>
      <c r="DL129" s="612"/>
      <c r="DM129" s="612"/>
      <c r="DN129" s="612"/>
      <c r="DO129" s="612"/>
      <c r="DP129" s="612"/>
      <c r="DQ129" s="612"/>
      <c r="DR129" s="612"/>
      <c r="DS129" s="612"/>
      <c r="DT129" s="612"/>
      <c r="DU129" s="612"/>
      <c r="DV129" s="612"/>
      <c r="DW129" s="612"/>
      <c r="DX129" s="612"/>
      <c r="DY129" s="612"/>
      <c r="DZ129" s="612"/>
      <c r="EA129" s="612"/>
      <c r="EB129" s="612"/>
      <c r="EC129" s="612"/>
      <c r="ED129" s="612"/>
      <c r="EE129" s="612"/>
      <c r="EF129" s="612"/>
      <c r="EG129" s="612"/>
      <c r="EH129" s="612"/>
      <c r="EI129" s="612"/>
      <c r="EJ129" s="612"/>
      <c r="EK129" s="612"/>
      <c r="EL129" s="612"/>
      <c r="EM129" s="612"/>
      <c r="EN129" s="612"/>
      <c r="EO129" s="612"/>
      <c r="EP129" s="612"/>
      <c r="EQ129" s="612"/>
      <c r="ER129" s="612"/>
      <c r="ES129" s="612"/>
      <c r="ET129" s="612"/>
      <c r="EU129" s="612"/>
      <c r="EV129" s="612"/>
      <c r="EW129" s="612"/>
      <c r="EX129" s="612"/>
      <c r="EY129" s="612"/>
      <c r="EZ129" s="612"/>
      <c r="FA129" s="612"/>
      <c r="FB129" s="612"/>
      <c r="FC129" s="612"/>
      <c r="FD129" s="612"/>
      <c r="FE129" s="612"/>
      <c r="FF129" s="612"/>
      <c r="FG129" s="612"/>
      <c r="FH129" s="612"/>
      <c r="FI129" s="612"/>
      <c r="FJ129" s="612"/>
      <c r="FK129" s="612"/>
      <c r="FL129" s="612"/>
      <c r="FM129" s="612"/>
      <c r="FN129" s="612"/>
      <c r="FO129" s="612"/>
      <c r="FP129" s="612"/>
      <c r="FQ129" s="612"/>
      <c r="FR129" s="612"/>
      <c r="FS129" s="612"/>
      <c r="FT129" s="612"/>
      <c r="FU129" s="612"/>
      <c r="FV129" s="612"/>
      <c r="FW129" s="612"/>
      <c r="FX129" s="612"/>
      <c r="FY129" s="612"/>
      <c r="FZ129" s="612"/>
      <c r="GA129" s="612"/>
      <c r="GB129" s="612"/>
      <c r="GC129" s="612"/>
      <c r="GD129" s="612"/>
      <c r="GE129" s="245"/>
      <c r="GF129" s="612"/>
      <c r="GG129" s="612"/>
      <c r="GH129" s="612"/>
      <c r="GI129" s="612"/>
      <c r="GJ129" s="612"/>
      <c r="GK129" s="612"/>
      <c r="GL129" s="612"/>
      <c r="GM129" s="612"/>
      <c r="GN129" s="612"/>
      <c r="GO129" s="612"/>
      <c r="GP129" s="612"/>
      <c r="GQ129" s="612"/>
      <c r="GR129" s="612"/>
      <c r="GS129" s="612"/>
      <c r="GT129" s="612"/>
      <c r="GU129" s="612"/>
      <c r="GV129" s="612"/>
      <c r="GW129" s="612"/>
      <c r="GX129" s="612"/>
      <c r="GY129" s="612"/>
      <c r="GZ129" s="612"/>
      <c r="HA129" s="612"/>
      <c r="HB129" s="612"/>
      <c r="HC129" s="612"/>
      <c r="HD129" s="612"/>
      <c r="HE129" s="612"/>
      <c r="HF129" s="612"/>
      <c r="HG129" s="612"/>
      <c r="HH129" s="612"/>
      <c r="HI129" s="612"/>
      <c r="HJ129" s="612"/>
      <c r="HK129" s="612"/>
      <c r="HL129" s="612"/>
      <c r="HM129" s="612"/>
      <c r="HN129" s="612"/>
      <c r="HO129" s="612"/>
      <c r="HP129" s="612"/>
      <c r="HQ129" s="612"/>
      <c r="HR129" s="612"/>
      <c r="HS129" s="612"/>
      <c r="HT129" s="612"/>
      <c r="HU129" s="612"/>
      <c r="HV129" s="612"/>
      <c r="HW129" s="612"/>
      <c r="HX129" s="612"/>
      <c r="HY129" s="612"/>
      <c r="HZ129" s="612"/>
      <c r="IA129" s="612"/>
      <c r="IB129" s="612"/>
      <c r="IC129" s="612"/>
      <c r="ID129" s="612"/>
      <c r="IE129" s="612"/>
      <c r="IF129" s="612"/>
      <c r="IG129" s="612"/>
      <c r="IH129" s="612"/>
      <c r="II129" s="612"/>
    </row>
    <row r="130" spans="1:243" ht="15" customHeight="1">
      <c r="A130" s="72"/>
      <c r="B130" s="72"/>
      <c r="C130" s="72"/>
      <c r="D130" s="88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  <c r="Q130" s="87"/>
      <c r="R130" s="87"/>
      <c r="S130" s="87"/>
      <c r="T130" s="87"/>
      <c r="U130" s="87"/>
      <c r="V130" s="87"/>
      <c r="W130" s="87"/>
      <c r="X130" s="87"/>
      <c r="Y130" s="87"/>
      <c r="Z130" s="87"/>
      <c r="AA130" s="87"/>
      <c r="AB130" s="87"/>
      <c r="AC130" s="87"/>
      <c r="AD130" s="87"/>
      <c r="AE130" s="87"/>
      <c r="AF130" s="87"/>
      <c r="AG130" s="87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48"/>
      <c r="AW130" s="48"/>
      <c r="AX130" s="48"/>
      <c r="AY130" s="48"/>
      <c r="AZ130" s="50"/>
      <c r="BA130" s="612"/>
      <c r="BB130" s="612"/>
      <c r="BC130" s="612"/>
      <c r="BD130" s="612"/>
      <c r="BE130" s="612"/>
      <c r="BF130" s="612"/>
      <c r="BG130" s="612"/>
      <c r="BH130" s="612"/>
      <c r="BI130" s="612"/>
      <c r="BJ130" s="612"/>
      <c r="BK130" s="612"/>
      <c r="BL130" s="612"/>
      <c r="BM130" s="612"/>
      <c r="BN130" s="612"/>
      <c r="BO130" s="612"/>
      <c r="BP130" s="612"/>
      <c r="BQ130" s="612"/>
      <c r="BR130" s="612"/>
      <c r="BS130" s="612"/>
      <c r="BT130" s="612"/>
      <c r="BU130" s="612"/>
      <c r="BV130" s="612"/>
      <c r="BW130" s="612"/>
      <c r="BX130" s="612"/>
      <c r="BY130" s="612"/>
      <c r="BZ130" s="612"/>
      <c r="CA130" s="612"/>
      <c r="CB130" s="612"/>
      <c r="CC130" s="612"/>
      <c r="CD130" s="612"/>
      <c r="CE130" s="612"/>
      <c r="CF130" s="612"/>
      <c r="CG130" s="612"/>
      <c r="CH130" s="612"/>
      <c r="CI130" s="612"/>
      <c r="CJ130" s="612"/>
      <c r="CK130" s="612"/>
      <c r="CL130" s="612"/>
      <c r="CM130" s="612"/>
      <c r="CN130" s="612"/>
      <c r="CO130" s="612"/>
      <c r="CP130" s="612"/>
      <c r="CQ130" s="612"/>
      <c r="CR130" s="612"/>
      <c r="CS130" s="612"/>
      <c r="CT130" s="612"/>
      <c r="CU130" s="612"/>
      <c r="CV130" s="612"/>
      <c r="CW130" s="612"/>
      <c r="CX130" s="612"/>
      <c r="CY130" s="612"/>
      <c r="CZ130" s="612"/>
      <c r="DA130" s="612"/>
      <c r="DB130" s="612"/>
      <c r="DC130" s="612"/>
      <c r="DD130" s="612"/>
      <c r="DE130" s="612"/>
      <c r="DF130" s="612"/>
      <c r="DG130" s="612"/>
      <c r="DH130" s="612"/>
      <c r="DI130" s="612"/>
      <c r="DJ130" s="612"/>
      <c r="DK130" s="612"/>
      <c r="DL130" s="612"/>
      <c r="DM130" s="612"/>
      <c r="DN130" s="612"/>
      <c r="DO130" s="612"/>
      <c r="DP130" s="612"/>
      <c r="DQ130" s="612"/>
      <c r="DR130" s="612"/>
      <c r="DS130" s="612"/>
      <c r="DT130" s="612"/>
      <c r="DU130" s="612"/>
      <c r="DV130" s="612"/>
      <c r="DW130" s="612"/>
      <c r="DX130" s="612"/>
      <c r="DY130" s="612"/>
      <c r="DZ130" s="612"/>
      <c r="EA130" s="612"/>
      <c r="EB130" s="612"/>
      <c r="EC130" s="612"/>
      <c r="ED130" s="612"/>
      <c r="EE130" s="612"/>
      <c r="EF130" s="612"/>
      <c r="EG130" s="612"/>
      <c r="EH130" s="612"/>
      <c r="EI130" s="612"/>
      <c r="EJ130" s="612"/>
      <c r="EK130" s="612"/>
      <c r="EL130" s="612"/>
      <c r="EM130" s="612"/>
      <c r="EN130" s="612"/>
      <c r="EO130" s="612"/>
      <c r="EP130" s="612"/>
      <c r="EQ130" s="612"/>
      <c r="ER130" s="612"/>
      <c r="ES130" s="612"/>
      <c r="ET130" s="612"/>
      <c r="EU130" s="612"/>
      <c r="EV130" s="612"/>
      <c r="EW130" s="612"/>
      <c r="EX130" s="612"/>
      <c r="EY130" s="612"/>
      <c r="EZ130" s="612"/>
      <c r="FA130" s="612"/>
      <c r="FB130" s="612"/>
      <c r="FC130" s="612"/>
      <c r="FD130" s="612"/>
      <c r="FE130" s="612"/>
      <c r="FF130" s="612"/>
      <c r="FG130" s="612"/>
      <c r="FH130" s="612"/>
      <c r="FI130" s="612"/>
      <c r="FJ130" s="612"/>
      <c r="FK130" s="612"/>
      <c r="FL130" s="612"/>
      <c r="FM130" s="612"/>
      <c r="FN130" s="612"/>
      <c r="FO130" s="612"/>
      <c r="FP130" s="612"/>
      <c r="FQ130" s="612"/>
      <c r="FR130" s="612"/>
      <c r="FS130" s="612"/>
      <c r="FT130" s="612"/>
      <c r="FU130" s="612"/>
      <c r="FV130" s="612"/>
      <c r="FW130" s="612"/>
      <c r="FX130" s="612"/>
      <c r="FY130" s="612"/>
      <c r="FZ130" s="612"/>
      <c r="GA130" s="612"/>
      <c r="GB130" s="612"/>
      <c r="GC130" s="612"/>
      <c r="GD130" s="612"/>
      <c r="GE130" s="245"/>
      <c r="GF130" s="612"/>
      <c r="GG130" s="612"/>
      <c r="GH130" s="612"/>
      <c r="GI130" s="612"/>
      <c r="GJ130" s="612"/>
      <c r="GK130" s="612"/>
      <c r="GL130" s="612"/>
      <c r="GM130" s="612"/>
      <c r="GN130" s="612"/>
      <c r="GO130" s="612"/>
      <c r="GP130" s="612"/>
      <c r="GQ130" s="612"/>
      <c r="GR130" s="612"/>
      <c r="GS130" s="612"/>
      <c r="GT130" s="612"/>
      <c r="GU130" s="612"/>
      <c r="GV130" s="612"/>
      <c r="GW130" s="612"/>
      <c r="GX130" s="612"/>
      <c r="GY130" s="612"/>
      <c r="GZ130" s="612"/>
      <c r="HA130" s="612"/>
      <c r="HB130" s="612"/>
      <c r="HC130" s="612"/>
      <c r="HD130" s="612"/>
      <c r="HE130" s="612"/>
      <c r="HF130" s="612"/>
      <c r="HG130" s="612"/>
      <c r="HH130" s="612"/>
      <c r="HI130" s="612"/>
      <c r="HJ130" s="612"/>
      <c r="HK130" s="612"/>
      <c r="HL130" s="612"/>
      <c r="HM130" s="612"/>
      <c r="HN130" s="612"/>
      <c r="HO130" s="612"/>
      <c r="HP130" s="612"/>
      <c r="HQ130" s="612"/>
      <c r="HR130" s="612"/>
      <c r="HS130" s="612"/>
      <c r="HT130" s="612"/>
      <c r="HU130" s="612"/>
      <c r="HV130" s="612"/>
      <c r="HW130" s="612"/>
      <c r="HX130" s="612"/>
      <c r="HY130" s="612"/>
      <c r="HZ130" s="612"/>
      <c r="IA130" s="612"/>
      <c r="IB130" s="612"/>
      <c r="IC130" s="612"/>
      <c r="ID130" s="612"/>
      <c r="IE130" s="612"/>
      <c r="IF130" s="612"/>
      <c r="IG130" s="612"/>
      <c r="IH130" s="612"/>
      <c r="II130" s="612"/>
    </row>
    <row r="131" spans="1:243" ht="15" customHeight="1">
      <c r="A131" s="72"/>
      <c r="B131" s="72"/>
      <c r="C131" s="72"/>
      <c r="D131" s="88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87"/>
      <c r="Q131" s="87"/>
      <c r="R131" s="87"/>
      <c r="S131" s="87"/>
      <c r="T131" s="87"/>
      <c r="U131" s="87"/>
      <c r="V131" s="87"/>
      <c r="W131" s="87"/>
      <c r="X131" s="87"/>
      <c r="Y131" s="87"/>
      <c r="Z131" s="87"/>
      <c r="AA131" s="87"/>
      <c r="AB131" s="87"/>
      <c r="AC131" s="87"/>
      <c r="AD131" s="87"/>
      <c r="AE131" s="87"/>
      <c r="AF131" s="87"/>
      <c r="AG131" s="87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48"/>
      <c r="AW131" s="48"/>
      <c r="AX131" s="48"/>
      <c r="AY131" s="48"/>
      <c r="AZ131" s="50"/>
      <c r="BA131" s="612"/>
      <c r="BB131" s="612"/>
      <c r="BC131" s="612"/>
      <c r="BD131" s="612"/>
      <c r="BE131" s="612"/>
      <c r="BF131" s="612"/>
      <c r="BG131" s="612"/>
      <c r="BH131" s="612"/>
      <c r="BI131" s="612"/>
      <c r="BJ131" s="612"/>
      <c r="BK131" s="612"/>
      <c r="BL131" s="612"/>
      <c r="BM131" s="612"/>
      <c r="BN131" s="612"/>
      <c r="BO131" s="612"/>
      <c r="BP131" s="612"/>
      <c r="BQ131" s="612"/>
      <c r="BR131" s="612"/>
      <c r="BS131" s="612"/>
      <c r="BT131" s="612"/>
      <c r="BU131" s="612"/>
      <c r="BV131" s="612"/>
      <c r="BW131" s="612"/>
      <c r="BX131" s="612"/>
      <c r="BY131" s="612"/>
      <c r="BZ131" s="612"/>
      <c r="CA131" s="612"/>
      <c r="CB131" s="612"/>
      <c r="CC131" s="612"/>
      <c r="CD131" s="612"/>
      <c r="CE131" s="612"/>
      <c r="CF131" s="612"/>
      <c r="CG131" s="612"/>
      <c r="CH131" s="612"/>
      <c r="CI131" s="612"/>
      <c r="CJ131" s="612"/>
      <c r="CK131" s="612"/>
      <c r="CL131" s="612"/>
      <c r="CM131" s="612"/>
      <c r="CN131" s="612"/>
      <c r="CO131" s="612"/>
      <c r="CP131" s="612"/>
      <c r="CQ131" s="612"/>
      <c r="CR131" s="612"/>
      <c r="CS131" s="612"/>
      <c r="CT131" s="612"/>
      <c r="CU131" s="612"/>
      <c r="CV131" s="612"/>
      <c r="CW131" s="612"/>
      <c r="CX131" s="612"/>
      <c r="CY131" s="612"/>
      <c r="CZ131" s="612"/>
      <c r="DA131" s="612"/>
      <c r="DB131" s="612"/>
      <c r="DC131" s="612"/>
      <c r="DD131" s="612"/>
      <c r="DE131" s="612"/>
      <c r="DF131" s="612"/>
      <c r="DG131" s="612"/>
      <c r="DH131" s="612"/>
      <c r="DI131" s="612"/>
      <c r="DJ131" s="612"/>
      <c r="DK131" s="612"/>
      <c r="DL131" s="612"/>
      <c r="DM131" s="612"/>
      <c r="DN131" s="612"/>
      <c r="DO131" s="612"/>
      <c r="DP131" s="612"/>
      <c r="DQ131" s="612"/>
      <c r="DR131" s="612"/>
      <c r="DS131" s="612"/>
      <c r="DT131" s="612"/>
      <c r="DU131" s="612"/>
      <c r="DV131" s="612"/>
      <c r="DW131" s="612"/>
      <c r="DX131" s="612"/>
      <c r="DY131" s="612"/>
      <c r="DZ131" s="612"/>
      <c r="EA131" s="612"/>
      <c r="EB131" s="612"/>
      <c r="EC131" s="612"/>
      <c r="ED131" s="612"/>
      <c r="EE131" s="612"/>
      <c r="EF131" s="612"/>
      <c r="EG131" s="612"/>
      <c r="EH131" s="612"/>
      <c r="EI131" s="612"/>
      <c r="EJ131" s="612"/>
      <c r="EK131" s="612"/>
      <c r="EL131" s="612"/>
      <c r="EM131" s="612"/>
      <c r="EN131" s="612"/>
      <c r="EO131" s="612"/>
      <c r="EP131" s="612"/>
      <c r="EQ131" s="612"/>
      <c r="ER131" s="612"/>
      <c r="ES131" s="612"/>
      <c r="ET131" s="612"/>
      <c r="EU131" s="612"/>
      <c r="EV131" s="612"/>
      <c r="EW131" s="612"/>
      <c r="EX131" s="612"/>
      <c r="EY131" s="612"/>
      <c r="EZ131" s="612"/>
      <c r="FA131" s="612"/>
      <c r="FB131" s="612"/>
      <c r="FC131" s="612"/>
      <c r="FD131" s="612"/>
      <c r="FE131" s="612"/>
      <c r="FF131" s="612"/>
      <c r="FG131" s="612"/>
      <c r="FH131" s="612"/>
      <c r="FI131" s="612"/>
      <c r="FJ131" s="612"/>
      <c r="FK131" s="612"/>
      <c r="FL131" s="612"/>
      <c r="FM131" s="612"/>
      <c r="FN131" s="612"/>
      <c r="FO131" s="612"/>
      <c r="FP131" s="612"/>
      <c r="FQ131" s="612"/>
      <c r="FR131" s="612"/>
      <c r="FS131" s="612"/>
      <c r="FT131" s="612"/>
      <c r="FU131" s="612"/>
      <c r="FV131" s="612"/>
      <c r="FW131" s="612"/>
      <c r="FX131" s="612"/>
      <c r="FY131" s="612"/>
      <c r="FZ131" s="612"/>
      <c r="GA131" s="612"/>
      <c r="GB131" s="612"/>
      <c r="GC131" s="612"/>
      <c r="GD131" s="612"/>
      <c r="GE131" s="245"/>
      <c r="GF131" s="612"/>
      <c r="GG131" s="612"/>
      <c r="GH131" s="612"/>
      <c r="GI131" s="612"/>
      <c r="GJ131" s="612"/>
      <c r="GK131" s="612"/>
      <c r="GL131" s="612"/>
      <c r="GM131" s="612"/>
      <c r="GN131" s="612"/>
      <c r="GO131" s="612"/>
      <c r="GP131" s="612"/>
      <c r="GQ131" s="612"/>
      <c r="GR131" s="612"/>
      <c r="GS131" s="612"/>
      <c r="GT131" s="612"/>
      <c r="GU131" s="612"/>
      <c r="GV131" s="612"/>
      <c r="GW131" s="612"/>
      <c r="GX131" s="612"/>
      <c r="GY131" s="612"/>
      <c r="GZ131" s="612"/>
      <c r="HA131" s="612"/>
      <c r="HB131" s="612"/>
      <c r="HC131" s="612"/>
      <c r="HD131" s="612"/>
      <c r="HE131" s="612"/>
      <c r="HF131" s="612"/>
      <c r="HG131" s="612"/>
      <c r="HH131" s="612"/>
      <c r="HI131" s="612"/>
      <c r="HJ131" s="612"/>
      <c r="HK131" s="612"/>
      <c r="HL131" s="612"/>
      <c r="HM131" s="612"/>
      <c r="HN131" s="612"/>
      <c r="HO131" s="612"/>
      <c r="HP131" s="612"/>
      <c r="HQ131" s="612"/>
      <c r="HR131" s="612"/>
      <c r="HS131" s="612"/>
      <c r="HT131" s="612"/>
      <c r="HU131" s="612"/>
      <c r="HV131" s="612"/>
      <c r="HW131" s="612"/>
      <c r="HX131" s="612"/>
      <c r="HY131" s="612"/>
      <c r="HZ131" s="612"/>
      <c r="IA131" s="612"/>
      <c r="IB131" s="612"/>
      <c r="IC131" s="612"/>
      <c r="ID131" s="612"/>
      <c r="IE131" s="612"/>
      <c r="IF131" s="612"/>
      <c r="IG131" s="612"/>
      <c r="IH131" s="612"/>
      <c r="II131" s="612"/>
    </row>
    <row r="132" spans="1:243" ht="15" customHeight="1">
      <c r="A132" s="72"/>
      <c r="B132" s="72"/>
      <c r="C132" s="72"/>
      <c r="D132" s="88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  <c r="R132" s="87"/>
      <c r="S132" s="87"/>
      <c r="T132" s="87"/>
      <c r="U132" s="87"/>
      <c r="V132" s="87"/>
      <c r="W132" s="87"/>
      <c r="X132" s="87"/>
      <c r="Y132" s="87"/>
      <c r="Z132" s="87"/>
      <c r="AA132" s="87"/>
      <c r="AB132" s="87"/>
      <c r="AC132" s="87"/>
      <c r="AD132" s="87"/>
      <c r="AE132" s="87"/>
      <c r="AF132" s="87"/>
      <c r="AG132" s="87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48"/>
      <c r="AW132" s="48"/>
      <c r="AX132" s="48"/>
      <c r="AY132" s="48"/>
      <c r="AZ132" s="50"/>
      <c r="BA132" s="612"/>
      <c r="BB132" s="612"/>
      <c r="BC132" s="612"/>
      <c r="BD132" s="612"/>
      <c r="BE132" s="612"/>
      <c r="BF132" s="612"/>
      <c r="BG132" s="612"/>
      <c r="BH132" s="612"/>
      <c r="BI132" s="612"/>
      <c r="BJ132" s="612"/>
      <c r="BK132" s="612"/>
      <c r="BL132" s="612"/>
      <c r="BM132" s="612"/>
      <c r="BN132" s="612"/>
      <c r="BO132" s="612"/>
      <c r="BP132" s="612"/>
      <c r="BQ132" s="612"/>
      <c r="BR132" s="612"/>
      <c r="BS132" s="612"/>
      <c r="BT132" s="612"/>
      <c r="BU132" s="612"/>
      <c r="BV132" s="612"/>
      <c r="BW132" s="612"/>
      <c r="BX132" s="612"/>
      <c r="BY132" s="612"/>
      <c r="BZ132" s="612"/>
      <c r="CA132" s="612"/>
      <c r="CB132" s="612"/>
      <c r="CC132" s="612"/>
      <c r="CD132" s="612"/>
      <c r="CE132" s="612"/>
      <c r="CF132" s="612"/>
      <c r="CG132" s="612"/>
      <c r="CH132" s="612"/>
      <c r="CI132" s="612"/>
      <c r="CJ132" s="612"/>
      <c r="CK132" s="612"/>
      <c r="CL132" s="612"/>
      <c r="CM132" s="612"/>
      <c r="CN132" s="612"/>
      <c r="CO132" s="612"/>
      <c r="CP132" s="612"/>
      <c r="CQ132" s="612"/>
      <c r="CR132" s="612"/>
      <c r="CS132" s="612"/>
      <c r="CT132" s="612"/>
      <c r="CU132" s="612"/>
      <c r="CV132" s="612"/>
      <c r="CW132" s="612"/>
      <c r="CX132" s="612"/>
      <c r="CY132" s="612"/>
      <c r="CZ132" s="612"/>
      <c r="DA132" s="612"/>
      <c r="DB132" s="612"/>
      <c r="DC132" s="612"/>
      <c r="DD132" s="612"/>
      <c r="DE132" s="612"/>
      <c r="DF132" s="612"/>
      <c r="DG132" s="612"/>
      <c r="DH132" s="612"/>
      <c r="DI132" s="612"/>
      <c r="DJ132" s="612"/>
      <c r="DK132" s="612"/>
      <c r="DL132" s="612"/>
      <c r="DM132" s="612"/>
      <c r="DN132" s="612"/>
      <c r="DO132" s="612"/>
      <c r="DP132" s="612"/>
      <c r="DQ132" s="612"/>
      <c r="DR132" s="612"/>
      <c r="DS132" s="612"/>
      <c r="DT132" s="612"/>
      <c r="DU132" s="612"/>
      <c r="DV132" s="612"/>
      <c r="DW132" s="612"/>
      <c r="DX132" s="612"/>
      <c r="DY132" s="612"/>
      <c r="DZ132" s="612"/>
      <c r="EA132" s="612"/>
      <c r="EB132" s="612"/>
      <c r="EC132" s="612"/>
      <c r="ED132" s="612"/>
      <c r="EE132" s="612"/>
      <c r="EF132" s="612"/>
      <c r="EG132" s="612"/>
      <c r="EH132" s="612"/>
      <c r="EI132" s="612"/>
      <c r="EJ132" s="612"/>
      <c r="EK132" s="612"/>
      <c r="EL132" s="612"/>
      <c r="EM132" s="612"/>
      <c r="EN132" s="612"/>
      <c r="EO132" s="612"/>
      <c r="EP132" s="612"/>
      <c r="EQ132" s="612"/>
      <c r="ER132" s="612"/>
      <c r="ES132" s="612"/>
      <c r="ET132" s="612"/>
      <c r="EU132" s="612"/>
      <c r="EV132" s="612"/>
      <c r="EW132" s="612"/>
      <c r="EX132" s="612"/>
      <c r="EY132" s="612"/>
      <c r="EZ132" s="612"/>
      <c r="FA132" s="612"/>
      <c r="FB132" s="612"/>
      <c r="FC132" s="612"/>
      <c r="FD132" s="612"/>
      <c r="FE132" s="612"/>
      <c r="FF132" s="612"/>
      <c r="FG132" s="612"/>
      <c r="FH132" s="612"/>
      <c r="FI132" s="612"/>
      <c r="FJ132" s="612"/>
      <c r="FK132" s="612"/>
      <c r="FL132" s="612"/>
      <c r="FM132" s="612"/>
      <c r="FN132" s="612"/>
      <c r="FO132" s="612"/>
      <c r="FP132" s="612"/>
      <c r="FQ132" s="612"/>
      <c r="FR132" s="612"/>
      <c r="FS132" s="612"/>
      <c r="FT132" s="612"/>
      <c r="FU132" s="612"/>
      <c r="FV132" s="612"/>
      <c r="FW132" s="612"/>
      <c r="FX132" s="612"/>
      <c r="FY132" s="612"/>
      <c r="FZ132" s="612"/>
      <c r="GA132" s="612"/>
      <c r="GB132" s="612"/>
      <c r="GC132" s="612"/>
      <c r="GD132" s="612"/>
      <c r="GE132" s="245"/>
      <c r="GF132" s="612"/>
      <c r="GG132" s="612"/>
      <c r="GH132" s="612"/>
      <c r="GI132" s="612"/>
      <c r="GJ132" s="612"/>
      <c r="GK132" s="612"/>
      <c r="GL132" s="612"/>
      <c r="GM132" s="612"/>
      <c r="GN132" s="612"/>
      <c r="GO132" s="612"/>
      <c r="GP132" s="612"/>
      <c r="GQ132" s="612"/>
      <c r="GR132" s="612"/>
      <c r="GS132" s="612"/>
      <c r="GT132" s="612"/>
      <c r="GU132" s="612"/>
      <c r="GV132" s="612"/>
      <c r="GW132" s="612"/>
      <c r="GX132" s="612"/>
      <c r="GY132" s="612"/>
      <c r="GZ132" s="612"/>
      <c r="HA132" s="612"/>
      <c r="HB132" s="612"/>
      <c r="HC132" s="612"/>
      <c r="HD132" s="612"/>
      <c r="HE132" s="612"/>
      <c r="HF132" s="612"/>
      <c r="HG132" s="612"/>
      <c r="HH132" s="612"/>
      <c r="HI132" s="612"/>
      <c r="HJ132" s="612"/>
      <c r="HK132" s="612"/>
      <c r="HL132" s="612"/>
      <c r="HM132" s="612"/>
      <c r="HN132" s="612"/>
      <c r="HO132" s="612"/>
      <c r="HP132" s="612"/>
      <c r="HQ132" s="612"/>
      <c r="HR132" s="612"/>
      <c r="HS132" s="612"/>
      <c r="HT132" s="612"/>
      <c r="HU132" s="612"/>
      <c r="HV132" s="612"/>
      <c r="HW132" s="612"/>
      <c r="HX132" s="612"/>
      <c r="HY132" s="612"/>
      <c r="HZ132" s="612"/>
      <c r="IA132" s="612"/>
      <c r="IB132" s="612"/>
      <c r="IC132" s="612"/>
      <c r="ID132" s="612"/>
      <c r="IE132" s="612"/>
      <c r="IF132" s="612"/>
      <c r="IG132" s="612"/>
      <c r="IH132" s="612"/>
      <c r="II132" s="612"/>
    </row>
    <row r="133" spans="1:243" ht="15" customHeight="1">
      <c r="A133" s="72"/>
      <c r="B133" s="72"/>
      <c r="C133" s="72"/>
      <c r="D133" s="88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  <c r="R133" s="87"/>
      <c r="S133" s="87"/>
      <c r="T133" s="87"/>
      <c r="U133" s="87"/>
      <c r="V133" s="87"/>
      <c r="W133" s="87"/>
      <c r="X133" s="87"/>
      <c r="Y133" s="87"/>
      <c r="Z133" s="87"/>
      <c r="AA133" s="87"/>
      <c r="AB133" s="87"/>
      <c r="AC133" s="87"/>
      <c r="AD133" s="87"/>
      <c r="AE133" s="87"/>
      <c r="AF133" s="87"/>
      <c r="AG133" s="87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48"/>
      <c r="AW133" s="48"/>
      <c r="AX133" s="48"/>
      <c r="AY133" s="48"/>
      <c r="AZ133" s="50"/>
      <c r="BA133" s="612"/>
      <c r="BB133" s="612"/>
      <c r="BC133" s="612"/>
      <c r="BD133" s="612"/>
      <c r="BE133" s="612"/>
      <c r="BF133" s="612"/>
      <c r="BG133" s="612"/>
      <c r="BH133" s="612"/>
      <c r="BI133" s="612"/>
      <c r="BJ133" s="612"/>
      <c r="BK133" s="612"/>
      <c r="BL133" s="612"/>
      <c r="BM133" s="612"/>
      <c r="BN133" s="612"/>
      <c r="BO133" s="612"/>
      <c r="BP133" s="612"/>
      <c r="BQ133" s="612"/>
      <c r="BR133" s="612"/>
      <c r="BS133" s="612"/>
      <c r="BT133" s="612"/>
      <c r="BU133" s="612"/>
      <c r="BV133" s="612"/>
      <c r="BW133" s="612"/>
      <c r="BX133" s="612"/>
      <c r="BY133" s="612"/>
      <c r="BZ133" s="612"/>
      <c r="CA133" s="612"/>
      <c r="CB133" s="612"/>
      <c r="CC133" s="612"/>
      <c r="CD133" s="612"/>
      <c r="CE133" s="612"/>
      <c r="CF133" s="612"/>
      <c r="CG133" s="612"/>
      <c r="CH133" s="612"/>
      <c r="CI133" s="612"/>
      <c r="CJ133" s="612"/>
      <c r="CK133" s="612"/>
      <c r="CL133" s="612"/>
      <c r="CM133" s="612"/>
      <c r="CN133" s="612"/>
      <c r="CO133" s="612"/>
      <c r="CP133" s="612"/>
      <c r="CQ133" s="612"/>
      <c r="CR133" s="612"/>
      <c r="CS133" s="612"/>
      <c r="CT133" s="612"/>
      <c r="CU133" s="612"/>
      <c r="CV133" s="612"/>
      <c r="CW133" s="612"/>
      <c r="CX133" s="612"/>
      <c r="CY133" s="612"/>
      <c r="CZ133" s="612"/>
      <c r="DA133" s="612"/>
      <c r="DB133" s="612"/>
      <c r="DC133" s="612"/>
      <c r="DD133" s="612"/>
      <c r="DE133" s="612"/>
      <c r="DF133" s="612"/>
      <c r="DG133" s="612"/>
      <c r="DH133" s="612"/>
      <c r="DI133" s="612"/>
      <c r="DJ133" s="612"/>
      <c r="DK133" s="612"/>
      <c r="DL133" s="612"/>
      <c r="DM133" s="612"/>
      <c r="DN133" s="612"/>
      <c r="DO133" s="612"/>
      <c r="DP133" s="612"/>
      <c r="DQ133" s="612"/>
      <c r="DR133" s="612"/>
      <c r="DS133" s="612"/>
      <c r="DT133" s="612"/>
      <c r="DU133" s="612"/>
      <c r="DV133" s="612"/>
      <c r="DW133" s="612"/>
      <c r="DX133" s="612"/>
      <c r="DY133" s="612"/>
      <c r="DZ133" s="612"/>
      <c r="EA133" s="612"/>
      <c r="EB133" s="612"/>
      <c r="EC133" s="612"/>
      <c r="ED133" s="612"/>
      <c r="EE133" s="612"/>
      <c r="EF133" s="612"/>
      <c r="EG133" s="612"/>
      <c r="EH133" s="612"/>
      <c r="EI133" s="612"/>
      <c r="EJ133" s="612"/>
      <c r="EK133" s="612"/>
      <c r="EL133" s="612"/>
      <c r="EM133" s="612"/>
      <c r="EN133" s="612"/>
      <c r="EO133" s="612"/>
      <c r="EP133" s="612"/>
      <c r="EQ133" s="612"/>
      <c r="ER133" s="612"/>
      <c r="ES133" s="612"/>
      <c r="ET133" s="612"/>
      <c r="EU133" s="612"/>
      <c r="EV133" s="612"/>
      <c r="EW133" s="612"/>
      <c r="EX133" s="612"/>
      <c r="EY133" s="612"/>
      <c r="EZ133" s="612"/>
      <c r="FA133" s="612"/>
      <c r="FB133" s="612"/>
      <c r="FC133" s="612"/>
      <c r="FD133" s="612"/>
      <c r="FE133" s="612"/>
      <c r="FF133" s="612"/>
      <c r="FG133" s="612"/>
      <c r="FH133" s="612"/>
      <c r="FI133" s="612"/>
      <c r="FJ133" s="612"/>
      <c r="FK133" s="612"/>
      <c r="FL133" s="612"/>
      <c r="FM133" s="612"/>
      <c r="FN133" s="612"/>
      <c r="FO133" s="612"/>
      <c r="FP133" s="612"/>
      <c r="FQ133" s="612"/>
      <c r="FR133" s="612"/>
      <c r="FS133" s="612"/>
      <c r="FT133" s="612"/>
      <c r="FU133" s="612"/>
      <c r="FV133" s="612"/>
      <c r="FW133" s="612"/>
      <c r="FX133" s="612"/>
      <c r="FY133" s="612"/>
      <c r="FZ133" s="612"/>
      <c r="GA133" s="612"/>
      <c r="GB133" s="612"/>
      <c r="GC133" s="612"/>
      <c r="GD133" s="612"/>
      <c r="GE133" s="245"/>
      <c r="GF133" s="612"/>
      <c r="GG133" s="612"/>
      <c r="GH133" s="612"/>
      <c r="GI133" s="612"/>
      <c r="GJ133" s="612"/>
      <c r="GK133" s="612"/>
      <c r="GL133" s="612"/>
      <c r="GM133" s="612"/>
      <c r="GN133" s="612"/>
      <c r="GO133" s="612"/>
      <c r="GP133" s="612"/>
      <c r="GQ133" s="612"/>
      <c r="GR133" s="612"/>
      <c r="GS133" s="612"/>
      <c r="GT133" s="612"/>
      <c r="GU133" s="612"/>
      <c r="GV133" s="612"/>
      <c r="GW133" s="612"/>
      <c r="GX133" s="612"/>
      <c r="GY133" s="612"/>
      <c r="GZ133" s="612"/>
      <c r="HA133" s="612"/>
      <c r="HB133" s="612"/>
      <c r="HC133" s="612"/>
      <c r="HD133" s="612"/>
      <c r="HE133" s="612"/>
      <c r="HF133" s="612"/>
      <c r="HG133" s="612"/>
      <c r="HH133" s="612"/>
      <c r="HI133" s="612"/>
      <c r="HJ133" s="612"/>
      <c r="HK133" s="612"/>
      <c r="HL133" s="612"/>
      <c r="HM133" s="612"/>
      <c r="HN133" s="612"/>
      <c r="HO133" s="612"/>
      <c r="HP133" s="612"/>
      <c r="HQ133" s="612"/>
      <c r="HR133" s="612"/>
      <c r="HS133" s="612"/>
      <c r="HT133" s="612"/>
      <c r="HU133" s="612"/>
      <c r="HV133" s="612"/>
      <c r="HW133" s="612"/>
      <c r="HX133" s="612"/>
      <c r="HY133" s="612"/>
      <c r="HZ133" s="612"/>
      <c r="IA133" s="612"/>
      <c r="IB133" s="612"/>
      <c r="IC133" s="612"/>
      <c r="ID133" s="612"/>
      <c r="IE133" s="612"/>
      <c r="IF133" s="612"/>
      <c r="IG133" s="612"/>
      <c r="IH133" s="612"/>
      <c r="II133" s="612"/>
    </row>
    <row r="134" spans="1:243" ht="15" customHeight="1">
      <c r="A134" s="72"/>
      <c r="B134" s="72"/>
      <c r="C134" s="72"/>
      <c r="D134" s="88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87"/>
      <c r="Q134" s="87"/>
      <c r="R134" s="87"/>
      <c r="S134" s="87"/>
      <c r="T134" s="87"/>
      <c r="U134" s="87"/>
      <c r="V134" s="87"/>
      <c r="W134" s="87"/>
      <c r="X134" s="87"/>
      <c r="Y134" s="87"/>
      <c r="Z134" s="87"/>
      <c r="AA134" s="87"/>
      <c r="AB134" s="87"/>
      <c r="AC134" s="87"/>
      <c r="AD134" s="87"/>
      <c r="AE134" s="87"/>
      <c r="AF134" s="87"/>
      <c r="AG134" s="87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48"/>
      <c r="AW134" s="48"/>
      <c r="AX134" s="48"/>
      <c r="AY134" s="48"/>
      <c r="AZ134" s="50"/>
      <c r="BA134" s="612"/>
      <c r="BB134" s="612"/>
      <c r="BC134" s="612"/>
      <c r="BD134" s="612"/>
      <c r="BE134" s="612"/>
      <c r="BF134" s="612"/>
      <c r="BG134" s="612"/>
      <c r="BH134" s="612"/>
      <c r="BI134" s="612"/>
      <c r="BJ134" s="612"/>
      <c r="BK134" s="612"/>
      <c r="BL134" s="612"/>
      <c r="BM134" s="612"/>
      <c r="BN134" s="612"/>
      <c r="BO134" s="612"/>
      <c r="BP134" s="612"/>
      <c r="BQ134" s="612"/>
      <c r="BR134" s="612"/>
      <c r="BS134" s="612"/>
      <c r="BT134" s="612"/>
      <c r="BU134" s="612"/>
      <c r="BV134" s="612"/>
      <c r="BW134" s="612"/>
      <c r="BX134" s="612"/>
      <c r="BY134" s="612"/>
      <c r="BZ134" s="612"/>
      <c r="CA134" s="612"/>
      <c r="CB134" s="612"/>
      <c r="CC134" s="612"/>
      <c r="CD134" s="612"/>
      <c r="CE134" s="612"/>
      <c r="CF134" s="612"/>
      <c r="CG134" s="612"/>
      <c r="CH134" s="612"/>
      <c r="CI134" s="612"/>
      <c r="CJ134" s="612"/>
      <c r="CK134" s="612"/>
      <c r="CL134" s="612"/>
      <c r="CM134" s="612"/>
      <c r="CN134" s="612"/>
      <c r="CO134" s="612"/>
      <c r="CP134" s="612"/>
      <c r="CQ134" s="612"/>
      <c r="CR134" s="612"/>
      <c r="CS134" s="612"/>
      <c r="CT134" s="612"/>
      <c r="CU134" s="612"/>
      <c r="CV134" s="612"/>
      <c r="CW134" s="612"/>
      <c r="CX134" s="612"/>
      <c r="CY134" s="612"/>
      <c r="CZ134" s="612"/>
      <c r="DA134" s="612"/>
      <c r="DB134" s="612"/>
      <c r="DC134" s="612"/>
      <c r="DD134" s="612"/>
      <c r="DE134" s="612"/>
      <c r="DF134" s="612"/>
      <c r="DG134" s="612"/>
      <c r="DH134" s="612"/>
      <c r="DI134" s="612"/>
      <c r="DJ134" s="612"/>
      <c r="DK134" s="612"/>
      <c r="DL134" s="612"/>
      <c r="DM134" s="612"/>
      <c r="DN134" s="612"/>
      <c r="DO134" s="612"/>
      <c r="DP134" s="612"/>
      <c r="DQ134" s="612"/>
      <c r="DR134" s="612"/>
      <c r="DS134" s="612"/>
      <c r="DT134" s="612"/>
      <c r="DU134" s="612"/>
      <c r="DV134" s="612"/>
      <c r="DW134" s="612"/>
      <c r="DX134" s="612"/>
      <c r="DY134" s="612"/>
      <c r="DZ134" s="612"/>
      <c r="EA134" s="612"/>
      <c r="EB134" s="612"/>
      <c r="EC134" s="612"/>
      <c r="ED134" s="612"/>
      <c r="EE134" s="612"/>
      <c r="EF134" s="612"/>
      <c r="EG134" s="612"/>
      <c r="EH134" s="612"/>
      <c r="EI134" s="612"/>
      <c r="EJ134" s="612"/>
      <c r="EK134" s="612"/>
      <c r="EL134" s="612"/>
      <c r="EM134" s="612"/>
      <c r="EN134" s="612"/>
      <c r="EO134" s="612"/>
      <c r="EP134" s="612"/>
      <c r="EQ134" s="612"/>
      <c r="ER134" s="612"/>
      <c r="ES134" s="612"/>
      <c r="ET134" s="612"/>
      <c r="EU134" s="612"/>
      <c r="EV134" s="612"/>
      <c r="EW134" s="612"/>
      <c r="EX134" s="612"/>
      <c r="EY134" s="612"/>
      <c r="EZ134" s="612"/>
      <c r="FA134" s="612"/>
      <c r="FB134" s="612"/>
      <c r="FC134" s="612"/>
      <c r="FD134" s="612"/>
      <c r="FE134" s="612"/>
      <c r="FF134" s="612"/>
      <c r="FG134" s="612"/>
      <c r="FH134" s="612"/>
      <c r="FI134" s="612"/>
      <c r="FJ134" s="612"/>
      <c r="FK134" s="612"/>
      <c r="FL134" s="612"/>
      <c r="FM134" s="612"/>
      <c r="FN134" s="612"/>
      <c r="FO134" s="612"/>
      <c r="FP134" s="612"/>
      <c r="FQ134" s="612"/>
      <c r="FR134" s="612"/>
      <c r="FS134" s="612"/>
      <c r="FT134" s="612"/>
      <c r="FU134" s="612"/>
      <c r="FV134" s="612"/>
      <c r="FW134" s="612"/>
      <c r="FX134" s="612"/>
      <c r="FY134" s="612"/>
      <c r="FZ134" s="612"/>
      <c r="GA134" s="612"/>
      <c r="GB134" s="612"/>
      <c r="GC134" s="612"/>
      <c r="GD134" s="612"/>
      <c r="GE134" s="245"/>
      <c r="GF134" s="612"/>
      <c r="GG134" s="612"/>
      <c r="GH134" s="612"/>
      <c r="GI134" s="612"/>
      <c r="GJ134" s="612"/>
      <c r="GK134" s="612"/>
      <c r="GL134" s="612"/>
      <c r="GM134" s="612"/>
      <c r="GN134" s="612"/>
      <c r="GO134" s="612"/>
      <c r="GP134" s="612"/>
      <c r="GQ134" s="612"/>
      <c r="GR134" s="612"/>
      <c r="GS134" s="612"/>
      <c r="GT134" s="612"/>
      <c r="GU134" s="612"/>
      <c r="GV134" s="612"/>
      <c r="GW134" s="612"/>
      <c r="GX134" s="612"/>
      <c r="GY134" s="612"/>
      <c r="GZ134" s="612"/>
      <c r="HA134" s="612"/>
      <c r="HB134" s="612"/>
      <c r="HC134" s="612"/>
      <c r="HD134" s="612"/>
      <c r="HE134" s="612"/>
      <c r="HF134" s="612"/>
      <c r="HG134" s="612"/>
      <c r="HH134" s="612"/>
      <c r="HI134" s="612"/>
      <c r="HJ134" s="612"/>
      <c r="HK134" s="612"/>
      <c r="HL134" s="612"/>
      <c r="HM134" s="612"/>
      <c r="HN134" s="612"/>
      <c r="HO134" s="612"/>
      <c r="HP134" s="612"/>
      <c r="HQ134" s="612"/>
      <c r="HR134" s="612"/>
      <c r="HS134" s="612"/>
      <c r="HT134" s="612"/>
      <c r="HU134" s="612"/>
      <c r="HV134" s="612"/>
      <c r="HW134" s="612"/>
      <c r="HX134" s="612"/>
      <c r="HY134" s="612"/>
      <c r="HZ134" s="612"/>
      <c r="IA134" s="612"/>
      <c r="IB134" s="612"/>
      <c r="IC134" s="612"/>
      <c r="ID134" s="612"/>
      <c r="IE134" s="612"/>
      <c r="IF134" s="612"/>
      <c r="IG134" s="612"/>
      <c r="IH134" s="612"/>
      <c r="II134" s="612"/>
    </row>
    <row r="135" spans="1:243" ht="15" customHeight="1">
      <c r="A135" s="72"/>
      <c r="B135" s="72"/>
      <c r="C135" s="72"/>
      <c r="D135" s="88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87"/>
      <c r="Q135" s="87"/>
      <c r="R135" s="87"/>
      <c r="S135" s="87"/>
      <c r="T135" s="87"/>
      <c r="U135" s="87"/>
      <c r="V135" s="87"/>
      <c r="W135" s="87"/>
      <c r="X135" s="87"/>
      <c r="Y135" s="87"/>
      <c r="Z135" s="87"/>
      <c r="AA135" s="87"/>
      <c r="AB135" s="87"/>
      <c r="AC135" s="87"/>
      <c r="AD135" s="87"/>
      <c r="AE135" s="87"/>
      <c r="AF135" s="87"/>
      <c r="AG135" s="87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48"/>
      <c r="AW135" s="48"/>
      <c r="AX135" s="48"/>
      <c r="AY135" s="48"/>
      <c r="AZ135" s="50"/>
      <c r="BA135" s="612"/>
      <c r="BB135" s="612"/>
      <c r="BC135" s="612"/>
      <c r="BD135" s="612"/>
      <c r="BE135" s="612"/>
      <c r="BF135" s="612"/>
      <c r="BG135" s="612"/>
      <c r="BH135" s="612"/>
      <c r="BI135" s="612"/>
      <c r="BJ135" s="612"/>
      <c r="BK135" s="612"/>
      <c r="BL135" s="612"/>
      <c r="BM135" s="612"/>
      <c r="BN135" s="612"/>
      <c r="BO135" s="612"/>
      <c r="BP135" s="612"/>
      <c r="BQ135" s="612"/>
      <c r="BR135" s="612"/>
      <c r="BS135" s="612"/>
      <c r="BT135" s="612"/>
      <c r="BU135" s="612"/>
      <c r="BV135" s="612"/>
      <c r="BW135" s="612"/>
      <c r="BX135" s="612"/>
      <c r="BY135" s="612"/>
      <c r="BZ135" s="612"/>
      <c r="CA135" s="612"/>
      <c r="CB135" s="612"/>
      <c r="CC135" s="612"/>
      <c r="CD135" s="612"/>
      <c r="CE135" s="612"/>
      <c r="CF135" s="612"/>
      <c r="CG135" s="612"/>
      <c r="CH135" s="612"/>
      <c r="CI135" s="612"/>
      <c r="CJ135" s="612"/>
      <c r="CK135" s="612"/>
      <c r="CL135" s="612"/>
      <c r="CM135" s="612"/>
      <c r="CN135" s="612"/>
      <c r="CO135" s="612"/>
      <c r="CP135" s="612"/>
      <c r="CQ135" s="612"/>
      <c r="CR135" s="612"/>
      <c r="CS135" s="612"/>
      <c r="CT135" s="612"/>
      <c r="CU135" s="612"/>
      <c r="CV135" s="612"/>
      <c r="CW135" s="612"/>
      <c r="CX135" s="612"/>
      <c r="CY135" s="612"/>
      <c r="CZ135" s="612"/>
      <c r="DA135" s="612"/>
      <c r="DB135" s="612"/>
      <c r="DC135" s="612"/>
      <c r="DD135" s="612"/>
      <c r="DE135" s="612"/>
      <c r="DF135" s="612"/>
      <c r="DG135" s="612"/>
      <c r="DH135" s="612"/>
      <c r="DI135" s="612"/>
      <c r="DJ135" s="612"/>
      <c r="DK135" s="612"/>
      <c r="DL135" s="612"/>
      <c r="DM135" s="612"/>
      <c r="DN135" s="612"/>
      <c r="DO135" s="612"/>
      <c r="DP135" s="612"/>
      <c r="DQ135" s="612"/>
      <c r="DR135" s="612"/>
      <c r="DS135" s="612"/>
      <c r="DT135" s="612"/>
      <c r="DU135" s="612"/>
      <c r="DV135" s="612"/>
      <c r="DW135" s="612"/>
      <c r="DX135" s="612"/>
      <c r="DY135" s="612"/>
      <c r="DZ135" s="612"/>
      <c r="EA135" s="612"/>
      <c r="EB135" s="612"/>
      <c r="EC135" s="612"/>
      <c r="ED135" s="612"/>
      <c r="EE135" s="612"/>
      <c r="EF135" s="612"/>
      <c r="EG135" s="612"/>
      <c r="EH135" s="612"/>
      <c r="EI135" s="612"/>
      <c r="EJ135" s="612"/>
      <c r="EK135" s="612"/>
      <c r="EL135" s="612"/>
      <c r="EM135" s="612"/>
      <c r="EN135" s="612"/>
      <c r="EO135" s="612"/>
      <c r="EP135" s="612"/>
      <c r="EQ135" s="612"/>
      <c r="ER135" s="612"/>
      <c r="ES135" s="612"/>
      <c r="ET135" s="612"/>
      <c r="EU135" s="612"/>
      <c r="EV135" s="612"/>
      <c r="EW135" s="612"/>
      <c r="EX135" s="612"/>
      <c r="EY135" s="612"/>
      <c r="EZ135" s="612"/>
      <c r="FA135" s="612"/>
      <c r="FB135" s="612"/>
      <c r="FC135" s="612"/>
      <c r="FD135" s="612"/>
      <c r="FE135" s="612"/>
      <c r="FF135" s="612"/>
      <c r="FG135" s="612"/>
      <c r="FH135" s="612"/>
      <c r="FI135" s="612"/>
      <c r="FJ135" s="612"/>
      <c r="FK135" s="612"/>
      <c r="FL135" s="612"/>
      <c r="FM135" s="612"/>
      <c r="FN135" s="612"/>
      <c r="FO135" s="612"/>
      <c r="FP135" s="612"/>
      <c r="FQ135" s="612"/>
      <c r="FR135" s="612"/>
      <c r="FS135" s="612"/>
      <c r="FT135" s="612"/>
      <c r="FU135" s="612"/>
      <c r="FV135" s="612"/>
      <c r="FW135" s="612"/>
      <c r="FX135" s="612"/>
      <c r="FY135" s="612"/>
      <c r="FZ135" s="612"/>
      <c r="GA135" s="612"/>
      <c r="GB135" s="612"/>
      <c r="GC135" s="612"/>
      <c r="GD135" s="612"/>
      <c r="GE135" s="245"/>
      <c r="GF135" s="612"/>
      <c r="GG135" s="612"/>
      <c r="GH135" s="612"/>
      <c r="GI135" s="612"/>
      <c r="GJ135" s="612"/>
      <c r="GK135" s="612"/>
      <c r="GL135" s="612"/>
      <c r="GM135" s="612"/>
      <c r="GN135" s="612"/>
      <c r="GO135" s="612"/>
      <c r="GP135" s="612"/>
      <c r="GQ135" s="612"/>
      <c r="GR135" s="612"/>
      <c r="GS135" s="612"/>
      <c r="GT135" s="612"/>
      <c r="GU135" s="612"/>
      <c r="GV135" s="612"/>
      <c r="GW135" s="612"/>
      <c r="GX135" s="612"/>
      <c r="GY135" s="612"/>
      <c r="GZ135" s="612"/>
      <c r="HA135" s="612"/>
      <c r="HB135" s="612"/>
      <c r="HC135" s="612"/>
      <c r="HD135" s="612"/>
      <c r="HE135" s="612"/>
      <c r="HF135" s="612"/>
      <c r="HG135" s="612"/>
      <c r="HH135" s="612"/>
      <c r="HI135" s="612"/>
      <c r="HJ135" s="612"/>
      <c r="HK135" s="612"/>
      <c r="HL135" s="612"/>
      <c r="HM135" s="612"/>
      <c r="HN135" s="612"/>
      <c r="HO135" s="612"/>
      <c r="HP135" s="612"/>
      <c r="HQ135" s="612"/>
      <c r="HR135" s="612"/>
      <c r="HS135" s="612"/>
      <c r="HT135" s="612"/>
      <c r="HU135" s="612"/>
      <c r="HV135" s="612"/>
      <c r="HW135" s="612"/>
      <c r="HX135" s="612"/>
      <c r="HY135" s="612"/>
      <c r="HZ135" s="612"/>
      <c r="IA135" s="612"/>
      <c r="IB135" s="612"/>
      <c r="IC135" s="612"/>
      <c r="ID135" s="612"/>
      <c r="IE135" s="612"/>
      <c r="IF135" s="612"/>
      <c r="IG135" s="612"/>
      <c r="IH135" s="612"/>
      <c r="II135" s="612"/>
    </row>
    <row r="136" spans="1:243" ht="15" customHeight="1">
      <c r="A136" s="72"/>
      <c r="B136" s="72"/>
      <c r="C136" s="72"/>
      <c r="D136" s="88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87"/>
      <c r="R136" s="87"/>
      <c r="S136" s="87"/>
      <c r="T136" s="87"/>
      <c r="U136" s="87"/>
      <c r="V136" s="87"/>
      <c r="W136" s="87"/>
      <c r="X136" s="87"/>
      <c r="Y136" s="87"/>
      <c r="Z136" s="87"/>
      <c r="AA136" s="87"/>
      <c r="AB136" s="87"/>
      <c r="AC136" s="87"/>
      <c r="AD136" s="87"/>
      <c r="AE136" s="87"/>
      <c r="AF136" s="87"/>
      <c r="AG136" s="87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48"/>
      <c r="AW136" s="48"/>
      <c r="AX136" s="48"/>
      <c r="AY136" s="48"/>
      <c r="AZ136" s="50"/>
      <c r="BA136" s="612"/>
      <c r="BB136" s="612"/>
      <c r="BC136" s="612"/>
      <c r="BD136" s="612"/>
      <c r="BE136" s="612"/>
      <c r="BF136" s="612"/>
      <c r="BG136" s="612"/>
      <c r="BH136" s="612"/>
      <c r="BI136" s="612"/>
      <c r="BJ136" s="612"/>
      <c r="BK136" s="612"/>
      <c r="BL136" s="612"/>
      <c r="BM136" s="612"/>
      <c r="BN136" s="612"/>
      <c r="BO136" s="612"/>
      <c r="BP136" s="612"/>
      <c r="BQ136" s="612"/>
      <c r="BR136" s="612"/>
      <c r="BS136" s="612"/>
      <c r="BT136" s="612"/>
      <c r="BU136" s="612"/>
      <c r="BV136" s="612"/>
      <c r="BW136" s="612"/>
      <c r="BX136" s="612"/>
      <c r="BY136" s="612"/>
      <c r="BZ136" s="612"/>
      <c r="CA136" s="612"/>
      <c r="CB136" s="612"/>
      <c r="CC136" s="612"/>
      <c r="CD136" s="612"/>
      <c r="CE136" s="612"/>
      <c r="CF136" s="612"/>
      <c r="CG136" s="612"/>
      <c r="CH136" s="612"/>
      <c r="CI136" s="612"/>
      <c r="CJ136" s="612"/>
      <c r="CK136" s="612"/>
      <c r="CL136" s="612"/>
      <c r="CM136" s="612"/>
      <c r="CN136" s="612"/>
      <c r="CO136" s="612"/>
      <c r="CP136" s="612"/>
      <c r="CQ136" s="612"/>
      <c r="CR136" s="612"/>
      <c r="CS136" s="612"/>
      <c r="CT136" s="612"/>
      <c r="CU136" s="612"/>
      <c r="CV136" s="612"/>
      <c r="CW136" s="612"/>
      <c r="CX136" s="612"/>
      <c r="CY136" s="612"/>
      <c r="CZ136" s="612"/>
      <c r="DA136" s="612"/>
      <c r="DB136" s="612"/>
      <c r="DC136" s="612"/>
      <c r="DD136" s="612"/>
      <c r="DE136" s="612"/>
      <c r="DF136" s="612"/>
      <c r="DG136" s="612"/>
      <c r="DH136" s="612"/>
      <c r="DI136" s="612"/>
      <c r="DJ136" s="612"/>
      <c r="DK136" s="612"/>
      <c r="DL136" s="612"/>
      <c r="DM136" s="612"/>
      <c r="DN136" s="612"/>
      <c r="DO136" s="612"/>
      <c r="DP136" s="612"/>
      <c r="DQ136" s="612"/>
      <c r="DR136" s="612"/>
      <c r="DS136" s="612"/>
      <c r="DT136" s="612"/>
      <c r="DU136" s="612"/>
      <c r="DV136" s="612"/>
      <c r="DW136" s="612"/>
      <c r="DX136" s="612"/>
      <c r="DY136" s="612"/>
      <c r="DZ136" s="612"/>
      <c r="EA136" s="612"/>
      <c r="EB136" s="612"/>
      <c r="EC136" s="612"/>
      <c r="ED136" s="612"/>
      <c r="EE136" s="612"/>
      <c r="EF136" s="612"/>
      <c r="EG136" s="612"/>
      <c r="EH136" s="612"/>
      <c r="EI136" s="612"/>
      <c r="EJ136" s="612"/>
      <c r="EK136" s="612"/>
      <c r="EL136" s="612"/>
      <c r="EM136" s="612"/>
      <c r="EN136" s="612"/>
      <c r="EO136" s="612"/>
      <c r="EP136" s="612"/>
      <c r="EQ136" s="612"/>
      <c r="ER136" s="612"/>
      <c r="ES136" s="612"/>
      <c r="ET136" s="612"/>
      <c r="EU136" s="612"/>
      <c r="EV136" s="612"/>
      <c r="EW136" s="612"/>
      <c r="EX136" s="612"/>
      <c r="EY136" s="612"/>
      <c r="EZ136" s="612"/>
      <c r="FA136" s="612"/>
      <c r="FB136" s="612"/>
      <c r="FC136" s="612"/>
      <c r="FD136" s="612"/>
      <c r="FE136" s="612"/>
      <c r="FF136" s="612"/>
      <c r="FG136" s="612"/>
      <c r="FH136" s="612"/>
      <c r="FI136" s="612"/>
      <c r="FJ136" s="612"/>
      <c r="FK136" s="612"/>
      <c r="FL136" s="612"/>
      <c r="FM136" s="612"/>
      <c r="FN136" s="612"/>
      <c r="FO136" s="612"/>
      <c r="FP136" s="612"/>
      <c r="FQ136" s="612"/>
      <c r="FR136" s="612"/>
      <c r="FS136" s="612"/>
      <c r="FT136" s="612"/>
      <c r="FU136" s="612"/>
      <c r="FV136" s="612"/>
      <c r="FW136" s="612"/>
      <c r="FX136" s="612"/>
      <c r="FY136" s="612"/>
      <c r="FZ136" s="612"/>
      <c r="GA136" s="612"/>
      <c r="GB136" s="612"/>
      <c r="GC136" s="612"/>
      <c r="GD136" s="612"/>
      <c r="GE136" s="245"/>
      <c r="GF136" s="612"/>
      <c r="GG136" s="612"/>
      <c r="GH136" s="612"/>
      <c r="GI136" s="612"/>
      <c r="GJ136" s="612"/>
      <c r="GK136" s="612"/>
      <c r="GL136" s="612"/>
      <c r="GM136" s="612"/>
      <c r="GN136" s="612"/>
      <c r="GO136" s="612"/>
      <c r="GP136" s="612"/>
      <c r="GQ136" s="612"/>
      <c r="GR136" s="612"/>
      <c r="GS136" s="612"/>
      <c r="GT136" s="612"/>
      <c r="GU136" s="612"/>
      <c r="GV136" s="612"/>
      <c r="GW136" s="612"/>
      <c r="GX136" s="612"/>
      <c r="GY136" s="612"/>
      <c r="GZ136" s="612"/>
      <c r="HA136" s="612"/>
      <c r="HB136" s="612"/>
      <c r="HC136" s="612"/>
      <c r="HD136" s="612"/>
      <c r="HE136" s="612"/>
      <c r="HF136" s="612"/>
      <c r="HG136" s="612"/>
      <c r="HH136" s="612"/>
      <c r="HI136" s="612"/>
      <c r="HJ136" s="612"/>
      <c r="HK136" s="612"/>
      <c r="HL136" s="612"/>
      <c r="HM136" s="612"/>
      <c r="HN136" s="612"/>
      <c r="HO136" s="612"/>
      <c r="HP136" s="612"/>
      <c r="HQ136" s="612"/>
      <c r="HR136" s="612"/>
      <c r="HS136" s="612"/>
      <c r="HT136" s="612"/>
      <c r="HU136" s="612"/>
      <c r="HV136" s="612"/>
      <c r="HW136" s="612"/>
      <c r="HX136" s="612"/>
      <c r="HY136" s="612"/>
      <c r="HZ136" s="612"/>
      <c r="IA136" s="612"/>
      <c r="IB136" s="612"/>
      <c r="IC136" s="612"/>
      <c r="ID136" s="612"/>
      <c r="IE136" s="612"/>
      <c r="IF136" s="612"/>
      <c r="IG136" s="612"/>
      <c r="IH136" s="612"/>
      <c r="II136" s="612"/>
    </row>
    <row r="137" spans="1:243" ht="15" customHeight="1">
      <c r="A137" s="72"/>
      <c r="B137" s="72"/>
      <c r="C137" s="72"/>
      <c r="D137" s="88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87"/>
      <c r="R137" s="87"/>
      <c r="S137" s="87"/>
      <c r="T137" s="87"/>
      <c r="U137" s="87"/>
      <c r="V137" s="87"/>
      <c r="W137" s="87"/>
      <c r="X137" s="87"/>
      <c r="Y137" s="87"/>
      <c r="Z137" s="87"/>
      <c r="AA137" s="87"/>
      <c r="AB137" s="87"/>
      <c r="AC137" s="87"/>
      <c r="AD137" s="87"/>
      <c r="AE137" s="87"/>
      <c r="AF137" s="87"/>
      <c r="AG137" s="87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48"/>
      <c r="AW137" s="48"/>
      <c r="AX137" s="48"/>
      <c r="AY137" s="48"/>
      <c r="AZ137" s="50"/>
      <c r="BA137" s="612"/>
      <c r="BB137" s="612"/>
      <c r="BC137" s="612"/>
      <c r="BD137" s="612"/>
      <c r="BE137" s="612"/>
      <c r="BF137" s="612"/>
      <c r="BG137" s="612"/>
      <c r="BH137" s="612"/>
      <c r="BI137" s="612"/>
      <c r="BJ137" s="612"/>
      <c r="BK137" s="612"/>
      <c r="BL137" s="612"/>
      <c r="BM137" s="612"/>
      <c r="BN137" s="612"/>
      <c r="BO137" s="612"/>
      <c r="BP137" s="612"/>
      <c r="BQ137" s="612"/>
      <c r="BR137" s="612"/>
      <c r="BS137" s="612"/>
      <c r="BT137" s="612"/>
      <c r="BU137" s="612"/>
      <c r="BV137" s="612"/>
      <c r="BW137" s="612"/>
      <c r="BX137" s="612"/>
      <c r="BY137" s="612"/>
      <c r="BZ137" s="612"/>
      <c r="CA137" s="612"/>
      <c r="CB137" s="612"/>
      <c r="CC137" s="612"/>
      <c r="CD137" s="612"/>
      <c r="CE137" s="612"/>
      <c r="CF137" s="612"/>
      <c r="CG137" s="612"/>
      <c r="CH137" s="612"/>
      <c r="CI137" s="612"/>
      <c r="CJ137" s="612"/>
      <c r="CK137" s="612"/>
      <c r="CL137" s="612"/>
      <c r="CM137" s="612"/>
      <c r="CN137" s="612"/>
      <c r="CO137" s="612"/>
      <c r="CP137" s="612"/>
      <c r="CQ137" s="612"/>
      <c r="CR137" s="612"/>
      <c r="CS137" s="612"/>
      <c r="CT137" s="612"/>
      <c r="CU137" s="612"/>
      <c r="CV137" s="612"/>
      <c r="CW137" s="612"/>
      <c r="CX137" s="612"/>
      <c r="CY137" s="612"/>
      <c r="CZ137" s="612"/>
      <c r="DA137" s="612"/>
      <c r="DB137" s="612"/>
      <c r="DC137" s="612"/>
      <c r="DD137" s="612"/>
      <c r="DE137" s="612"/>
      <c r="DF137" s="612"/>
      <c r="DG137" s="612"/>
      <c r="DH137" s="612"/>
      <c r="DI137" s="612"/>
      <c r="DJ137" s="612"/>
      <c r="DK137" s="612"/>
      <c r="DL137" s="612"/>
      <c r="DM137" s="612"/>
      <c r="DN137" s="612"/>
      <c r="DO137" s="612"/>
      <c r="DP137" s="612"/>
      <c r="DQ137" s="612"/>
      <c r="DR137" s="612"/>
      <c r="DS137" s="612"/>
      <c r="DT137" s="612"/>
      <c r="DU137" s="612"/>
      <c r="DV137" s="612"/>
      <c r="DW137" s="612"/>
      <c r="DX137" s="612"/>
      <c r="DY137" s="612"/>
      <c r="DZ137" s="612"/>
      <c r="EA137" s="612"/>
      <c r="EB137" s="612"/>
      <c r="EC137" s="612"/>
      <c r="ED137" s="612"/>
      <c r="EE137" s="612"/>
      <c r="EF137" s="612"/>
      <c r="EG137" s="612"/>
      <c r="EH137" s="612"/>
      <c r="EI137" s="612"/>
      <c r="EJ137" s="612"/>
      <c r="EK137" s="612"/>
      <c r="EL137" s="612"/>
      <c r="EM137" s="612"/>
      <c r="EN137" s="612"/>
      <c r="EO137" s="612"/>
      <c r="EP137" s="612"/>
      <c r="EQ137" s="612"/>
      <c r="ER137" s="612"/>
      <c r="ES137" s="612"/>
      <c r="ET137" s="612"/>
      <c r="EU137" s="612"/>
      <c r="EV137" s="612"/>
      <c r="EW137" s="612"/>
      <c r="EX137" s="612"/>
      <c r="EY137" s="612"/>
      <c r="EZ137" s="612"/>
      <c r="FA137" s="612"/>
      <c r="FB137" s="612"/>
      <c r="FC137" s="612"/>
      <c r="FD137" s="612"/>
      <c r="FE137" s="612"/>
      <c r="FF137" s="612"/>
      <c r="FG137" s="612"/>
      <c r="FH137" s="612"/>
      <c r="FI137" s="612"/>
      <c r="FJ137" s="612"/>
      <c r="FK137" s="612"/>
      <c r="FL137" s="612"/>
      <c r="FM137" s="612"/>
      <c r="FN137" s="612"/>
      <c r="FO137" s="612"/>
      <c r="FP137" s="612"/>
      <c r="FQ137" s="612"/>
      <c r="FR137" s="612"/>
      <c r="FS137" s="612"/>
      <c r="FT137" s="612"/>
      <c r="FU137" s="612"/>
      <c r="FV137" s="612"/>
      <c r="FW137" s="612"/>
      <c r="FX137" s="612"/>
      <c r="FY137" s="612"/>
      <c r="FZ137" s="612"/>
      <c r="GA137" s="612"/>
      <c r="GB137" s="612"/>
      <c r="GC137" s="612"/>
      <c r="GD137" s="612"/>
      <c r="GE137" s="245"/>
      <c r="GF137" s="612"/>
      <c r="GG137" s="612"/>
      <c r="GH137" s="612"/>
      <c r="GI137" s="612"/>
      <c r="GJ137" s="612"/>
      <c r="GK137" s="612"/>
      <c r="GL137" s="612"/>
      <c r="GM137" s="612"/>
      <c r="GN137" s="612"/>
      <c r="GO137" s="612"/>
      <c r="GP137" s="612"/>
      <c r="GQ137" s="612"/>
      <c r="GR137" s="612"/>
      <c r="GS137" s="612"/>
      <c r="GT137" s="612"/>
      <c r="GU137" s="612"/>
      <c r="GV137" s="612"/>
      <c r="GW137" s="612"/>
      <c r="GX137" s="612"/>
      <c r="GY137" s="612"/>
      <c r="GZ137" s="612"/>
      <c r="HA137" s="612"/>
      <c r="HB137" s="612"/>
      <c r="HC137" s="612"/>
      <c r="HD137" s="612"/>
      <c r="HE137" s="612"/>
      <c r="HF137" s="612"/>
      <c r="HG137" s="612"/>
      <c r="HH137" s="612"/>
      <c r="HI137" s="612"/>
      <c r="HJ137" s="612"/>
      <c r="HK137" s="612"/>
      <c r="HL137" s="612"/>
      <c r="HM137" s="612"/>
      <c r="HN137" s="612"/>
      <c r="HO137" s="612"/>
      <c r="HP137" s="612"/>
      <c r="HQ137" s="612"/>
      <c r="HR137" s="612"/>
      <c r="HS137" s="612"/>
      <c r="HT137" s="612"/>
      <c r="HU137" s="612"/>
      <c r="HV137" s="612"/>
      <c r="HW137" s="612"/>
      <c r="HX137" s="612"/>
      <c r="HY137" s="612"/>
      <c r="HZ137" s="612"/>
      <c r="IA137" s="612"/>
      <c r="IB137" s="612"/>
      <c r="IC137" s="612"/>
      <c r="ID137" s="612"/>
      <c r="IE137" s="612"/>
      <c r="IF137" s="612"/>
      <c r="IG137" s="612"/>
      <c r="IH137" s="612"/>
      <c r="II137" s="612"/>
    </row>
    <row r="138" spans="1:243" ht="15" customHeight="1">
      <c r="A138" s="72"/>
      <c r="B138" s="72"/>
      <c r="C138" s="72"/>
      <c r="D138" s="88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87"/>
      <c r="R138" s="87"/>
      <c r="S138" s="87"/>
      <c r="T138" s="87"/>
      <c r="U138" s="87"/>
      <c r="V138" s="87"/>
      <c r="W138" s="87"/>
      <c r="X138" s="87"/>
      <c r="Y138" s="87"/>
      <c r="Z138" s="87"/>
      <c r="AA138" s="87"/>
      <c r="AB138" s="87"/>
      <c r="AC138" s="87"/>
      <c r="AD138" s="87"/>
      <c r="AE138" s="87"/>
      <c r="AF138" s="87"/>
      <c r="AG138" s="87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48"/>
      <c r="AW138" s="48"/>
      <c r="AX138" s="48"/>
      <c r="AY138" s="48"/>
      <c r="AZ138" s="50"/>
      <c r="BA138" s="612"/>
      <c r="BB138" s="612"/>
      <c r="BC138" s="612"/>
      <c r="BD138" s="612"/>
      <c r="BE138" s="612"/>
      <c r="BF138" s="612"/>
      <c r="BG138" s="612"/>
      <c r="BH138" s="612"/>
      <c r="BI138" s="612"/>
      <c r="BJ138" s="612"/>
      <c r="BK138" s="612"/>
      <c r="BL138" s="612"/>
      <c r="BM138" s="612"/>
      <c r="BN138" s="612"/>
      <c r="BO138" s="612"/>
      <c r="BP138" s="612"/>
      <c r="BQ138" s="612"/>
      <c r="BR138" s="612"/>
      <c r="BS138" s="612"/>
      <c r="BT138" s="612"/>
      <c r="BU138" s="612"/>
      <c r="BV138" s="612"/>
      <c r="BW138" s="612"/>
      <c r="BX138" s="612"/>
      <c r="BY138" s="612"/>
      <c r="BZ138" s="612"/>
      <c r="CA138" s="612"/>
      <c r="CB138" s="612"/>
      <c r="CC138" s="612"/>
      <c r="CD138" s="612"/>
      <c r="CE138" s="612"/>
      <c r="CF138" s="612"/>
      <c r="CG138" s="612"/>
      <c r="CH138" s="612"/>
      <c r="CI138" s="612"/>
      <c r="CJ138" s="612"/>
      <c r="CK138" s="612"/>
      <c r="CL138" s="612"/>
      <c r="CM138" s="612"/>
      <c r="CN138" s="612"/>
      <c r="CO138" s="612"/>
      <c r="CP138" s="612"/>
      <c r="CQ138" s="612"/>
      <c r="CR138" s="612"/>
      <c r="CS138" s="612"/>
      <c r="CT138" s="612"/>
      <c r="CU138" s="612"/>
      <c r="CV138" s="612"/>
      <c r="CW138" s="612"/>
      <c r="CX138" s="612"/>
      <c r="CY138" s="612"/>
      <c r="CZ138" s="612"/>
      <c r="DA138" s="612"/>
      <c r="DB138" s="612"/>
      <c r="DC138" s="612"/>
      <c r="DD138" s="612"/>
      <c r="DE138" s="612"/>
      <c r="DF138" s="612"/>
      <c r="DG138" s="612"/>
      <c r="DH138" s="612"/>
      <c r="DI138" s="612"/>
      <c r="DJ138" s="612"/>
      <c r="DK138" s="612"/>
      <c r="DL138" s="612"/>
      <c r="DM138" s="612"/>
      <c r="DN138" s="612"/>
      <c r="DO138" s="612"/>
      <c r="DP138" s="612"/>
      <c r="DQ138" s="612"/>
      <c r="DR138" s="612"/>
      <c r="DS138" s="612"/>
      <c r="DT138" s="612"/>
      <c r="DU138" s="612"/>
      <c r="DV138" s="612"/>
      <c r="DW138" s="612"/>
      <c r="DX138" s="612"/>
      <c r="DY138" s="612"/>
      <c r="DZ138" s="612"/>
      <c r="EA138" s="612"/>
      <c r="EB138" s="612"/>
      <c r="EC138" s="612"/>
      <c r="ED138" s="612"/>
      <c r="EE138" s="612"/>
      <c r="EF138" s="612"/>
      <c r="EG138" s="612"/>
      <c r="EH138" s="612"/>
      <c r="EI138" s="612"/>
      <c r="EJ138" s="612"/>
      <c r="EK138" s="612"/>
      <c r="EL138" s="612"/>
      <c r="EM138" s="612"/>
      <c r="EN138" s="612"/>
      <c r="EO138" s="612"/>
      <c r="EP138" s="612"/>
      <c r="EQ138" s="612"/>
      <c r="ER138" s="612"/>
      <c r="ES138" s="612"/>
      <c r="ET138" s="612"/>
      <c r="EU138" s="612"/>
      <c r="EV138" s="612"/>
      <c r="EW138" s="612"/>
      <c r="EX138" s="612"/>
      <c r="EY138" s="612"/>
      <c r="EZ138" s="612"/>
      <c r="FA138" s="612"/>
      <c r="FB138" s="612"/>
      <c r="FC138" s="612"/>
      <c r="FD138" s="612"/>
      <c r="FE138" s="612"/>
      <c r="FF138" s="612"/>
      <c r="FG138" s="612"/>
      <c r="FH138" s="612"/>
      <c r="FI138" s="612"/>
      <c r="FJ138" s="612"/>
      <c r="FK138" s="612"/>
      <c r="FL138" s="612"/>
      <c r="FM138" s="612"/>
      <c r="FN138" s="612"/>
      <c r="FO138" s="612"/>
      <c r="FP138" s="612"/>
      <c r="FQ138" s="612"/>
      <c r="FR138" s="612"/>
      <c r="FS138" s="612"/>
      <c r="FT138" s="612"/>
      <c r="FU138" s="612"/>
      <c r="FV138" s="612"/>
      <c r="FW138" s="612"/>
      <c r="FX138" s="612"/>
      <c r="FY138" s="612"/>
      <c r="FZ138" s="612"/>
      <c r="GA138" s="612"/>
      <c r="GB138" s="612"/>
      <c r="GC138" s="612"/>
      <c r="GD138" s="612"/>
      <c r="GE138" s="245"/>
      <c r="GF138" s="612"/>
      <c r="GG138" s="612"/>
      <c r="GH138" s="612"/>
      <c r="GI138" s="612"/>
      <c r="GJ138" s="612"/>
      <c r="GK138" s="612"/>
      <c r="GL138" s="612"/>
      <c r="GM138" s="612"/>
      <c r="GN138" s="612"/>
      <c r="GO138" s="612"/>
      <c r="GP138" s="612"/>
      <c r="GQ138" s="612"/>
      <c r="GR138" s="612"/>
      <c r="GS138" s="612"/>
      <c r="GT138" s="612"/>
      <c r="GU138" s="612"/>
      <c r="GV138" s="612"/>
      <c r="GW138" s="612"/>
      <c r="GX138" s="612"/>
      <c r="GY138" s="612"/>
      <c r="GZ138" s="612"/>
      <c r="HA138" s="612"/>
      <c r="HB138" s="612"/>
      <c r="HC138" s="612"/>
      <c r="HD138" s="612"/>
      <c r="HE138" s="612"/>
      <c r="HF138" s="612"/>
      <c r="HG138" s="612"/>
      <c r="HH138" s="612"/>
      <c r="HI138" s="612"/>
      <c r="HJ138" s="612"/>
      <c r="HK138" s="612"/>
      <c r="HL138" s="612"/>
      <c r="HM138" s="612"/>
      <c r="HN138" s="612"/>
      <c r="HO138" s="612"/>
      <c r="HP138" s="612"/>
      <c r="HQ138" s="612"/>
      <c r="HR138" s="612"/>
      <c r="HS138" s="612"/>
      <c r="HT138" s="612"/>
      <c r="HU138" s="612"/>
      <c r="HV138" s="612"/>
      <c r="HW138" s="612"/>
      <c r="HX138" s="612"/>
      <c r="HY138" s="612"/>
      <c r="HZ138" s="612"/>
      <c r="IA138" s="612"/>
      <c r="IB138" s="612"/>
      <c r="IC138" s="612"/>
      <c r="ID138" s="612"/>
      <c r="IE138" s="612"/>
      <c r="IF138" s="612"/>
      <c r="IG138" s="612"/>
      <c r="IH138" s="612"/>
      <c r="II138" s="612"/>
    </row>
    <row r="139" spans="1:243" ht="15" customHeight="1">
      <c r="A139" s="72"/>
      <c r="B139" s="72"/>
      <c r="C139" s="72"/>
      <c r="D139" s="88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7"/>
      <c r="X139" s="87"/>
      <c r="Y139" s="87"/>
      <c r="Z139" s="87"/>
      <c r="AA139" s="87"/>
      <c r="AB139" s="87"/>
      <c r="AC139" s="87"/>
      <c r="AD139" s="87"/>
      <c r="AE139" s="87"/>
      <c r="AF139" s="87"/>
      <c r="AG139" s="87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48"/>
      <c r="AW139" s="48"/>
      <c r="AX139" s="48"/>
      <c r="AY139" s="48"/>
      <c r="AZ139" s="50"/>
      <c r="BA139" s="612"/>
      <c r="BB139" s="612"/>
      <c r="BC139" s="612"/>
      <c r="BD139" s="612"/>
      <c r="BE139" s="612"/>
      <c r="BF139" s="612"/>
      <c r="BG139" s="612"/>
      <c r="BH139" s="612"/>
      <c r="BI139" s="612"/>
      <c r="BJ139" s="612"/>
      <c r="BK139" s="612"/>
      <c r="BL139" s="612"/>
      <c r="BM139" s="612"/>
      <c r="BN139" s="612"/>
      <c r="BO139" s="612"/>
      <c r="BP139" s="612"/>
      <c r="BQ139" s="612"/>
      <c r="BR139" s="612"/>
      <c r="BS139" s="612"/>
      <c r="BT139" s="612"/>
      <c r="BU139" s="612"/>
      <c r="BV139" s="612"/>
      <c r="BW139" s="612"/>
      <c r="BX139" s="612"/>
      <c r="BY139" s="612"/>
      <c r="BZ139" s="612"/>
      <c r="CA139" s="612"/>
      <c r="CB139" s="612"/>
      <c r="CC139" s="612"/>
      <c r="CD139" s="612"/>
      <c r="CE139" s="612"/>
      <c r="CF139" s="612"/>
      <c r="CG139" s="612"/>
      <c r="CH139" s="612"/>
      <c r="CI139" s="612"/>
      <c r="CJ139" s="612"/>
      <c r="CK139" s="612"/>
      <c r="CL139" s="612"/>
      <c r="CM139" s="612"/>
      <c r="CN139" s="612"/>
      <c r="CO139" s="612"/>
      <c r="CP139" s="612"/>
      <c r="CQ139" s="612"/>
      <c r="CR139" s="612"/>
      <c r="CS139" s="612"/>
      <c r="CT139" s="612"/>
      <c r="CU139" s="612"/>
      <c r="CV139" s="612"/>
      <c r="CW139" s="612"/>
      <c r="CX139" s="612"/>
      <c r="CY139" s="612"/>
      <c r="CZ139" s="612"/>
      <c r="DA139" s="612"/>
      <c r="DB139" s="612"/>
      <c r="DC139" s="612"/>
      <c r="DD139" s="612"/>
      <c r="DE139" s="612"/>
      <c r="DF139" s="612"/>
      <c r="DG139" s="612"/>
      <c r="DH139" s="612"/>
      <c r="DI139" s="612"/>
      <c r="DJ139" s="612"/>
      <c r="DK139" s="612"/>
      <c r="DL139" s="612"/>
      <c r="DM139" s="612"/>
      <c r="DN139" s="612"/>
      <c r="DO139" s="612"/>
      <c r="DP139" s="612"/>
      <c r="DQ139" s="612"/>
      <c r="DR139" s="612"/>
      <c r="DS139" s="612"/>
      <c r="DT139" s="612"/>
      <c r="DU139" s="612"/>
      <c r="DV139" s="612"/>
      <c r="DW139" s="612"/>
      <c r="DX139" s="612"/>
      <c r="DY139" s="612"/>
      <c r="DZ139" s="612"/>
      <c r="EA139" s="612"/>
      <c r="EB139" s="612"/>
      <c r="EC139" s="612"/>
      <c r="ED139" s="612"/>
      <c r="EE139" s="612"/>
      <c r="EF139" s="612"/>
      <c r="EG139" s="612"/>
      <c r="EH139" s="612"/>
      <c r="EI139" s="612"/>
      <c r="EJ139" s="612"/>
      <c r="EK139" s="612"/>
      <c r="EL139" s="612"/>
      <c r="EM139" s="612"/>
      <c r="EN139" s="612"/>
      <c r="EO139" s="612"/>
      <c r="EP139" s="612"/>
      <c r="EQ139" s="612"/>
      <c r="ER139" s="612"/>
      <c r="ES139" s="612"/>
      <c r="ET139" s="612"/>
      <c r="EU139" s="612"/>
      <c r="EV139" s="612"/>
      <c r="EW139" s="612"/>
      <c r="EX139" s="612"/>
      <c r="EY139" s="612"/>
      <c r="EZ139" s="612"/>
      <c r="FA139" s="612"/>
      <c r="FB139" s="612"/>
      <c r="FC139" s="612"/>
      <c r="FD139" s="612"/>
      <c r="FE139" s="612"/>
      <c r="FF139" s="612"/>
      <c r="FG139" s="612"/>
      <c r="FH139" s="612"/>
      <c r="FI139" s="612"/>
      <c r="FJ139" s="612"/>
      <c r="FK139" s="612"/>
      <c r="FL139" s="612"/>
      <c r="FM139" s="612"/>
      <c r="FN139" s="612"/>
      <c r="FO139" s="612"/>
      <c r="FP139" s="612"/>
      <c r="FQ139" s="612"/>
      <c r="FR139" s="612"/>
      <c r="FS139" s="612"/>
      <c r="FT139" s="612"/>
      <c r="FU139" s="612"/>
      <c r="FV139" s="612"/>
      <c r="FW139" s="612"/>
      <c r="FX139" s="612"/>
      <c r="FY139" s="612"/>
      <c r="FZ139" s="612"/>
      <c r="GA139" s="612"/>
      <c r="GB139" s="612"/>
      <c r="GC139" s="612"/>
      <c r="GD139" s="612"/>
      <c r="GE139" s="245"/>
      <c r="GF139" s="612"/>
      <c r="GG139" s="612"/>
      <c r="GH139" s="612"/>
      <c r="GI139" s="612"/>
      <c r="GJ139" s="612"/>
      <c r="GK139" s="612"/>
      <c r="GL139" s="612"/>
      <c r="GM139" s="612"/>
      <c r="GN139" s="612"/>
      <c r="GO139" s="612"/>
      <c r="GP139" s="612"/>
      <c r="GQ139" s="612"/>
      <c r="GR139" s="612"/>
      <c r="GS139" s="612"/>
      <c r="GT139" s="612"/>
      <c r="GU139" s="612"/>
      <c r="GV139" s="612"/>
      <c r="GW139" s="612"/>
      <c r="GX139" s="612"/>
      <c r="GY139" s="612"/>
      <c r="GZ139" s="612"/>
      <c r="HA139" s="612"/>
      <c r="HB139" s="612"/>
      <c r="HC139" s="612"/>
      <c r="HD139" s="612"/>
      <c r="HE139" s="612"/>
      <c r="HF139" s="612"/>
      <c r="HG139" s="612"/>
      <c r="HH139" s="612"/>
      <c r="HI139" s="612"/>
      <c r="HJ139" s="612"/>
      <c r="HK139" s="612"/>
      <c r="HL139" s="612"/>
      <c r="HM139" s="612"/>
      <c r="HN139" s="612"/>
      <c r="HO139" s="612"/>
      <c r="HP139" s="612"/>
      <c r="HQ139" s="612"/>
      <c r="HR139" s="612"/>
      <c r="HS139" s="612"/>
      <c r="HT139" s="612"/>
      <c r="HU139" s="612"/>
      <c r="HV139" s="612"/>
      <c r="HW139" s="612"/>
      <c r="HX139" s="612"/>
      <c r="HY139" s="612"/>
      <c r="HZ139" s="612"/>
      <c r="IA139" s="612"/>
      <c r="IB139" s="612"/>
      <c r="IC139" s="612"/>
      <c r="ID139" s="612"/>
      <c r="IE139" s="612"/>
      <c r="IF139" s="612"/>
      <c r="IG139" s="612"/>
      <c r="IH139" s="612"/>
      <c r="II139" s="612"/>
    </row>
    <row r="140" spans="1:243" ht="15" customHeight="1">
      <c r="A140" s="72"/>
      <c r="B140" s="72"/>
      <c r="C140" s="72"/>
      <c r="D140" s="88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7"/>
      <c r="X140" s="87"/>
      <c r="Y140" s="87"/>
      <c r="Z140" s="87"/>
      <c r="AA140" s="87"/>
      <c r="AB140" s="87"/>
      <c r="AC140" s="87"/>
      <c r="AD140" s="87"/>
      <c r="AE140" s="87"/>
      <c r="AF140" s="87"/>
      <c r="AG140" s="87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48"/>
      <c r="AW140" s="48"/>
      <c r="AX140" s="48"/>
      <c r="AY140" s="48"/>
      <c r="AZ140" s="50"/>
      <c r="BA140" s="612"/>
      <c r="BB140" s="612"/>
      <c r="BC140" s="612"/>
      <c r="BD140" s="612"/>
      <c r="BE140" s="612"/>
      <c r="BF140" s="612"/>
      <c r="BG140" s="612"/>
      <c r="BH140" s="612"/>
      <c r="BI140" s="612"/>
      <c r="BJ140" s="612"/>
      <c r="BK140" s="612"/>
      <c r="BL140" s="612"/>
      <c r="BM140" s="612"/>
      <c r="BN140" s="612"/>
      <c r="BO140" s="612"/>
      <c r="BP140" s="612"/>
      <c r="BQ140" s="612"/>
      <c r="BR140" s="612"/>
      <c r="BS140" s="612"/>
      <c r="BT140" s="612"/>
      <c r="BU140" s="612"/>
      <c r="BV140" s="612"/>
      <c r="BW140" s="612"/>
      <c r="BX140" s="612"/>
      <c r="BY140" s="612"/>
      <c r="BZ140" s="612"/>
      <c r="CA140" s="612"/>
      <c r="CB140" s="612"/>
      <c r="CC140" s="612"/>
      <c r="CD140" s="612"/>
      <c r="CE140" s="612"/>
      <c r="CF140" s="612"/>
      <c r="CG140" s="612"/>
      <c r="CH140" s="612"/>
      <c r="CI140" s="612"/>
      <c r="CJ140" s="612"/>
      <c r="CK140" s="612"/>
      <c r="CL140" s="612"/>
      <c r="CM140" s="612"/>
      <c r="CN140" s="612"/>
      <c r="CO140" s="612"/>
      <c r="CP140" s="612"/>
      <c r="CQ140" s="612"/>
      <c r="CR140" s="612"/>
      <c r="CS140" s="612"/>
      <c r="CT140" s="612"/>
      <c r="CU140" s="612"/>
      <c r="CV140" s="612"/>
      <c r="CW140" s="612"/>
      <c r="CX140" s="612"/>
      <c r="CY140" s="612"/>
      <c r="CZ140" s="612"/>
      <c r="DA140" s="612"/>
      <c r="DB140" s="612"/>
      <c r="DC140" s="612"/>
      <c r="DD140" s="612"/>
      <c r="DE140" s="612"/>
      <c r="DF140" s="612"/>
      <c r="DG140" s="612"/>
      <c r="DH140" s="612"/>
      <c r="DI140" s="612"/>
      <c r="DJ140" s="612"/>
      <c r="DK140" s="612"/>
      <c r="DL140" s="612"/>
      <c r="DM140" s="612"/>
      <c r="DN140" s="612"/>
      <c r="DO140" s="612"/>
      <c r="DP140" s="612"/>
      <c r="DQ140" s="612"/>
      <c r="DR140" s="612"/>
      <c r="DS140" s="612"/>
      <c r="DT140" s="612"/>
      <c r="DU140" s="612"/>
      <c r="DV140" s="612"/>
      <c r="DW140" s="612"/>
      <c r="DX140" s="612"/>
      <c r="DY140" s="612"/>
      <c r="DZ140" s="612"/>
      <c r="EA140" s="612"/>
      <c r="EB140" s="612"/>
      <c r="EC140" s="612"/>
      <c r="ED140" s="612"/>
      <c r="EE140" s="612"/>
      <c r="EF140" s="612"/>
      <c r="EG140" s="612"/>
      <c r="EH140" s="612"/>
      <c r="EI140" s="612"/>
      <c r="EJ140" s="612"/>
      <c r="EK140" s="612"/>
      <c r="EL140" s="612"/>
      <c r="EM140" s="612"/>
      <c r="EN140" s="612"/>
      <c r="EO140" s="612"/>
      <c r="EP140" s="612"/>
      <c r="EQ140" s="612"/>
      <c r="ER140" s="612"/>
      <c r="ES140" s="612"/>
      <c r="ET140" s="612"/>
      <c r="EU140" s="612"/>
      <c r="EV140" s="612"/>
      <c r="EW140" s="612"/>
      <c r="EX140" s="612"/>
      <c r="EY140" s="612"/>
      <c r="EZ140" s="612"/>
      <c r="FA140" s="612"/>
      <c r="FB140" s="612"/>
      <c r="FC140" s="612"/>
      <c r="FD140" s="612"/>
      <c r="FE140" s="612"/>
      <c r="FF140" s="612"/>
      <c r="FG140" s="612"/>
      <c r="FH140" s="612"/>
      <c r="FI140" s="612"/>
      <c r="FJ140" s="612"/>
      <c r="FK140" s="612"/>
      <c r="FL140" s="612"/>
      <c r="FM140" s="612"/>
      <c r="FN140" s="612"/>
      <c r="FO140" s="612"/>
      <c r="FP140" s="612"/>
      <c r="FQ140" s="612"/>
      <c r="FR140" s="612"/>
      <c r="FS140" s="612"/>
      <c r="FT140" s="612"/>
      <c r="FU140" s="612"/>
      <c r="FV140" s="612"/>
      <c r="FW140" s="612"/>
      <c r="FX140" s="612"/>
      <c r="FY140" s="612"/>
      <c r="FZ140" s="612"/>
      <c r="GA140" s="612"/>
      <c r="GB140" s="612"/>
      <c r="GC140" s="612"/>
      <c r="GD140" s="612"/>
      <c r="GE140" s="245"/>
      <c r="GF140" s="612"/>
      <c r="GG140" s="612"/>
      <c r="GH140" s="612"/>
      <c r="GI140" s="612"/>
      <c r="GJ140" s="612"/>
      <c r="GK140" s="612"/>
      <c r="GL140" s="612"/>
      <c r="GM140" s="612"/>
      <c r="GN140" s="612"/>
      <c r="GO140" s="612"/>
      <c r="GP140" s="612"/>
      <c r="GQ140" s="612"/>
      <c r="GR140" s="612"/>
      <c r="GS140" s="612"/>
      <c r="GT140" s="612"/>
      <c r="GU140" s="612"/>
      <c r="GV140" s="612"/>
      <c r="GW140" s="612"/>
      <c r="GX140" s="612"/>
      <c r="GY140" s="612"/>
      <c r="GZ140" s="612"/>
      <c r="HA140" s="612"/>
      <c r="HB140" s="612"/>
      <c r="HC140" s="612"/>
      <c r="HD140" s="612"/>
      <c r="HE140" s="612"/>
      <c r="HF140" s="612"/>
      <c r="HG140" s="612"/>
      <c r="HH140" s="612"/>
      <c r="HI140" s="612"/>
      <c r="HJ140" s="612"/>
      <c r="HK140" s="612"/>
      <c r="HL140" s="612"/>
      <c r="HM140" s="612"/>
      <c r="HN140" s="612"/>
      <c r="HO140" s="612"/>
      <c r="HP140" s="612"/>
      <c r="HQ140" s="612"/>
      <c r="HR140" s="612"/>
      <c r="HS140" s="612"/>
      <c r="HT140" s="612"/>
      <c r="HU140" s="612"/>
      <c r="HV140" s="612"/>
      <c r="HW140" s="612"/>
      <c r="HX140" s="612"/>
      <c r="HY140" s="612"/>
      <c r="HZ140" s="612"/>
      <c r="IA140" s="612"/>
      <c r="IB140" s="612"/>
      <c r="IC140" s="612"/>
      <c r="ID140" s="612"/>
      <c r="IE140" s="612"/>
      <c r="IF140" s="612"/>
      <c r="IG140" s="612"/>
      <c r="IH140" s="612"/>
      <c r="II140" s="612"/>
    </row>
    <row r="141" spans="1:243" ht="15" customHeight="1">
      <c r="A141" s="72"/>
      <c r="B141" s="72"/>
      <c r="C141" s="72"/>
      <c r="D141" s="88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  <c r="R141" s="87"/>
      <c r="S141" s="87"/>
      <c r="T141" s="87"/>
      <c r="U141" s="87"/>
      <c r="V141" s="87"/>
      <c r="W141" s="87"/>
      <c r="X141" s="87"/>
      <c r="Y141" s="87"/>
      <c r="Z141" s="87"/>
      <c r="AA141" s="87"/>
      <c r="AB141" s="87"/>
      <c r="AC141" s="87"/>
      <c r="AD141" s="87"/>
      <c r="AE141" s="87"/>
      <c r="AF141" s="87"/>
      <c r="AG141" s="87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GE141" s="17"/>
    </row>
    <row r="142" spans="1:243" ht="15" customHeight="1">
      <c r="A142" s="72"/>
      <c r="B142" s="72"/>
      <c r="C142" s="72"/>
      <c r="D142" s="88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87"/>
      <c r="R142" s="87"/>
      <c r="S142" s="87"/>
      <c r="T142" s="87"/>
      <c r="U142" s="87"/>
      <c r="V142" s="87"/>
      <c r="W142" s="87"/>
      <c r="X142" s="87"/>
      <c r="Y142" s="87"/>
      <c r="Z142" s="87"/>
      <c r="AA142" s="87"/>
      <c r="AB142" s="87"/>
      <c r="AC142" s="87"/>
      <c r="AD142" s="87"/>
      <c r="AE142" s="87"/>
      <c r="AF142" s="87"/>
      <c r="AG142" s="87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</row>
    <row r="143" spans="1:243" ht="15" customHeight="1">
      <c r="A143" s="72"/>
      <c r="B143" s="72"/>
      <c r="C143" s="72"/>
      <c r="D143" s="88"/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  <c r="P143" s="87"/>
      <c r="Q143" s="87"/>
      <c r="R143" s="87"/>
      <c r="S143" s="87"/>
      <c r="T143" s="87"/>
      <c r="U143" s="87"/>
      <c r="V143" s="87"/>
      <c r="W143" s="87"/>
      <c r="X143" s="87"/>
      <c r="Y143" s="87"/>
      <c r="Z143" s="87"/>
      <c r="AA143" s="87"/>
      <c r="AB143" s="87"/>
      <c r="AC143" s="87"/>
      <c r="AD143" s="87"/>
      <c r="AE143" s="87"/>
      <c r="AF143" s="87"/>
      <c r="AG143" s="87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</row>
    <row r="144" spans="1:243" ht="15" customHeight="1">
      <c r="A144" s="72"/>
      <c r="B144" s="72"/>
      <c r="C144" s="72"/>
      <c r="D144" s="88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87"/>
      <c r="W144" s="87"/>
      <c r="X144" s="87"/>
      <c r="Y144" s="87"/>
      <c r="Z144" s="87"/>
      <c r="AA144" s="87"/>
      <c r="AB144" s="87"/>
      <c r="AC144" s="87"/>
      <c r="AD144" s="87"/>
      <c r="AE144" s="87"/>
      <c r="AF144" s="87"/>
      <c r="AG144" s="87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</row>
    <row r="145" spans="1:51" ht="15" customHeight="1">
      <c r="A145" s="72"/>
      <c r="B145" s="72"/>
      <c r="C145" s="72"/>
      <c r="D145" s="88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87"/>
      <c r="Q145" s="87"/>
      <c r="R145" s="87"/>
      <c r="S145" s="87"/>
      <c r="T145" s="87"/>
      <c r="U145" s="87"/>
      <c r="V145" s="87"/>
      <c r="W145" s="87"/>
      <c r="X145" s="87"/>
      <c r="Y145" s="87"/>
      <c r="Z145" s="87"/>
      <c r="AA145" s="87"/>
      <c r="AB145" s="87"/>
      <c r="AC145" s="87"/>
      <c r="AD145" s="87"/>
      <c r="AE145" s="87"/>
      <c r="AF145" s="87"/>
      <c r="AG145" s="87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</row>
    <row r="146" spans="1:51" ht="15" customHeight="1">
      <c r="A146" s="72"/>
      <c r="B146" s="72"/>
      <c r="C146" s="72"/>
      <c r="D146" s="88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87"/>
      <c r="W146" s="87"/>
      <c r="X146" s="87"/>
      <c r="Y146" s="87"/>
      <c r="Z146" s="87"/>
      <c r="AA146" s="87"/>
      <c r="AB146" s="87"/>
      <c r="AC146" s="87"/>
      <c r="AD146" s="87"/>
      <c r="AE146" s="87"/>
      <c r="AF146" s="87"/>
      <c r="AG146" s="87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</row>
    <row r="147" spans="1:51" ht="15" customHeight="1">
      <c r="A147" s="72"/>
      <c r="B147" s="72"/>
      <c r="C147" s="72"/>
      <c r="D147" s="88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7"/>
      <c r="X147" s="87"/>
      <c r="Y147" s="87"/>
      <c r="Z147" s="87"/>
      <c r="AA147" s="87"/>
      <c r="AB147" s="87"/>
      <c r="AC147" s="87"/>
      <c r="AD147" s="87"/>
      <c r="AE147" s="87"/>
      <c r="AF147" s="87"/>
      <c r="AG147" s="87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</row>
    <row r="148" spans="1:51" ht="15" customHeight="1">
      <c r="A148" s="72"/>
      <c r="B148" s="72"/>
      <c r="C148" s="72"/>
      <c r="D148" s="88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87"/>
      <c r="X148" s="87"/>
      <c r="Y148" s="87"/>
      <c r="Z148" s="87"/>
      <c r="AA148" s="87"/>
      <c r="AB148" s="87"/>
      <c r="AC148" s="87"/>
      <c r="AD148" s="87"/>
      <c r="AE148" s="87"/>
      <c r="AF148" s="87"/>
      <c r="AG148" s="87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</row>
    <row r="149" spans="1:51" ht="15" customHeight="1">
      <c r="A149" s="72"/>
      <c r="B149" s="72"/>
      <c r="C149" s="72"/>
      <c r="D149" s="88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  <c r="Z149" s="87"/>
      <c r="AA149" s="87"/>
      <c r="AB149" s="87"/>
      <c r="AC149" s="87"/>
      <c r="AD149" s="87"/>
      <c r="AE149" s="87"/>
      <c r="AF149" s="87"/>
      <c r="AG149" s="87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</row>
    <row r="150" spans="1:51" ht="15" customHeight="1">
      <c r="A150" s="72"/>
      <c r="B150" s="72"/>
      <c r="C150" s="72"/>
      <c r="D150" s="88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  <c r="AA150" s="87"/>
      <c r="AB150" s="87"/>
      <c r="AC150" s="87"/>
      <c r="AD150" s="87"/>
      <c r="AE150" s="87"/>
      <c r="AF150" s="87"/>
      <c r="AG150" s="87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</row>
    <row r="151" spans="1:51" ht="15" customHeight="1">
      <c r="A151" s="72"/>
      <c r="B151" s="72"/>
      <c r="C151" s="72"/>
      <c r="D151" s="88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  <c r="Z151" s="87"/>
      <c r="AA151" s="87"/>
      <c r="AB151" s="87"/>
      <c r="AC151" s="87"/>
      <c r="AD151" s="87"/>
      <c r="AE151" s="87"/>
      <c r="AF151" s="87"/>
      <c r="AG151" s="87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</row>
    <row r="152" spans="1:51" ht="15" customHeight="1">
      <c r="D152" s="19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</row>
    <row r="153" spans="1:51" ht="15" customHeight="1">
      <c r="D153" s="19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</row>
    <row r="154" spans="1:51" ht="15" customHeight="1">
      <c r="D154" s="19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</row>
    <row r="155" spans="1:51" ht="15" customHeight="1">
      <c r="D155" s="19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</row>
    <row r="156" spans="1:51" ht="15" customHeight="1">
      <c r="D156" s="19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</row>
    <row r="157" spans="1:51" ht="15" customHeight="1">
      <c r="D157" s="19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</row>
    <row r="158" spans="1:51" ht="15" customHeight="1">
      <c r="D158" s="19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</row>
    <row r="159" spans="1:51" ht="15" customHeight="1">
      <c r="D159" s="19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</row>
    <row r="160" spans="1:51" ht="15" customHeight="1">
      <c r="D160" s="19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</row>
    <row r="161" spans="4:51" ht="15" customHeight="1">
      <c r="D161" s="19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</row>
    <row r="162" spans="4:51" ht="15" customHeight="1">
      <c r="D162" s="19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</row>
    <row r="163" spans="4:51" ht="15" customHeight="1">
      <c r="D163" s="19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</row>
    <row r="164" spans="4:51" ht="15" customHeight="1">
      <c r="D164" s="19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</row>
    <row r="165" spans="4:51" ht="15" customHeight="1">
      <c r="D165" s="19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</row>
    <row r="166" spans="4:51" ht="15" customHeight="1">
      <c r="D166" s="19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</row>
    <row r="167" spans="4:51" ht="15" customHeight="1">
      <c r="D167" s="19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</row>
    <row r="168" spans="4:51" ht="15" customHeight="1">
      <c r="D168" s="19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</row>
    <row r="169" spans="4:51" ht="15" customHeight="1">
      <c r="D169" s="19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</row>
    <row r="170" spans="4:51" ht="15" customHeight="1">
      <c r="D170" s="19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</row>
    <row r="171" spans="4:51" ht="15" customHeight="1">
      <c r="D171" s="19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</row>
    <row r="172" spans="4:51" ht="15" customHeight="1">
      <c r="D172" s="19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</row>
    <row r="173" spans="4:51" ht="15" customHeight="1">
      <c r="D173" s="19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</row>
    <row r="174" spans="4:51" ht="15" customHeight="1">
      <c r="D174" s="19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</row>
    <row r="175" spans="4:51" ht="15" customHeight="1">
      <c r="D175" s="19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</row>
    <row r="176" spans="4:51" ht="15" customHeight="1">
      <c r="D176" s="19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</row>
    <row r="177" spans="4:51" ht="15" customHeight="1">
      <c r="D177" s="19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</row>
    <row r="178" spans="4:51" ht="15" customHeight="1">
      <c r="D178" s="19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</row>
    <row r="179" spans="4:51" ht="15" customHeight="1">
      <c r="D179" s="19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</row>
    <row r="180" spans="4:51" ht="15" customHeight="1">
      <c r="D180" s="19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</row>
    <row r="181" spans="4:51" ht="15" customHeight="1">
      <c r="D181" s="19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</row>
    <row r="182" spans="4:51" ht="15" customHeight="1">
      <c r="D182" s="19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</row>
    <row r="183" spans="4:51" ht="15" customHeight="1">
      <c r="D183" s="19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</row>
    <row r="184" spans="4:51" ht="15" customHeight="1">
      <c r="D184" s="19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</row>
    <row r="185" spans="4:51" ht="15" customHeight="1">
      <c r="D185" s="19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</row>
    <row r="186" spans="4:51" ht="15" customHeight="1">
      <c r="D186" s="19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</row>
    <row r="187" spans="4:51" ht="15" customHeight="1">
      <c r="D187" s="19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</row>
    <row r="188" spans="4:51" ht="15" customHeight="1">
      <c r="D188" s="19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</row>
    <row r="189" spans="4:51" ht="15" customHeight="1">
      <c r="D189" s="19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</row>
    <row r="190" spans="4:51" ht="15" customHeight="1">
      <c r="D190" s="19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</row>
    <row r="191" spans="4:51" ht="15" customHeight="1">
      <c r="D191" s="19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</row>
    <row r="192" spans="4:51" ht="15" customHeight="1">
      <c r="D192" s="19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</row>
    <row r="193" spans="4:51" ht="15" customHeight="1">
      <c r="D193" s="19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</row>
    <row r="194" spans="4:51" ht="15" customHeight="1">
      <c r="D194" s="19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</row>
    <row r="195" spans="4:51" ht="15" customHeight="1">
      <c r="D195" s="19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</row>
    <row r="196" spans="4:51" ht="15" customHeight="1">
      <c r="D196" s="19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</row>
    <row r="197" spans="4:51" ht="15" customHeight="1">
      <c r="D197" s="19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</row>
    <row r="198" spans="4:51" ht="15" customHeight="1">
      <c r="D198" s="19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</row>
    <row r="199" spans="4:51" ht="15" customHeight="1">
      <c r="D199" s="19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</row>
    <row r="200" spans="4:51" ht="15" customHeight="1">
      <c r="D200" s="19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</row>
    <row r="201" spans="4:51" ht="15" customHeight="1">
      <c r="D201" s="19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</row>
    <row r="202" spans="4:51" ht="15" customHeight="1">
      <c r="D202" s="19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</row>
    <row r="203" spans="4:51" ht="15" customHeight="1">
      <c r="D203" s="19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</row>
    <row r="204" spans="4:51" ht="15" customHeight="1">
      <c r="D204" s="19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</row>
    <row r="205" spans="4:51" ht="15" customHeight="1">
      <c r="D205" s="19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</row>
    <row r="206" spans="4:51" ht="15" customHeight="1">
      <c r="D206" s="19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</row>
    <row r="207" spans="4:51" ht="15" customHeight="1">
      <c r="D207" s="19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</row>
    <row r="208" spans="4:51" ht="15" customHeight="1">
      <c r="D208" s="19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</row>
    <row r="209" spans="4:51" ht="15" customHeight="1">
      <c r="D209" s="19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</row>
    <row r="210" spans="4:51" ht="15" customHeight="1">
      <c r="D210" s="19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</row>
    <row r="211" spans="4:51" ht="15" customHeight="1">
      <c r="D211" s="19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</row>
    <row r="212" spans="4:51" ht="15" customHeight="1">
      <c r="D212" s="19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</row>
    <row r="213" spans="4:51" ht="15" customHeight="1">
      <c r="D213" s="19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</row>
    <row r="214" spans="4:51" ht="15" customHeight="1">
      <c r="D214" s="19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</row>
    <row r="215" spans="4:51" ht="15" customHeight="1">
      <c r="D215" s="19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</row>
    <row r="216" spans="4:51" ht="15" customHeight="1">
      <c r="D216" s="19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</row>
    <row r="217" spans="4:51" ht="15" customHeight="1">
      <c r="D217" s="19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</row>
    <row r="218" spans="4:51" ht="15" customHeight="1">
      <c r="D218" s="19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</row>
    <row r="219" spans="4:51" ht="15" customHeight="1">
      <c r="D219" s="19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</row>
    <row r="220" spans="4:51" ht="15" customHeight="1"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</row>
    <row r="221" spans="4:51" ht="15" customHeight="1"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</row>
    <row r="222" spans="4:51" ht="15" customHeight="1"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</row>
    <row r="223" spans="4:51" ht="15" customHeight="1"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</row>
    <row r="224" spans="4:51" ht="15" customHeight="1"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</row>
    <row r="225" spans="4:51" ht="15" customHeight="1"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</row>
    <row r="226" spans="4:51" ht="15" customHeight="1"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</row>
    <row r="227" spans="4:51" ht="15" customHeight="1"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</row>
    <row r="228" spans="4:51" ht="15" customHeight="1"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</row>
    <row r="229" spans="4:51" ht="15" customHeight="1"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</row>
    <row r="230" spans="4:51" ht="15" customHeight="1"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</row>
    <row r="231" spans="4:51" ht="15" customHeight="1"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</row>
    <row r="232" spans="4:51" ht="15" customHeight="1"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</row>
    <row r="233" spans="4:51" ht="15" customHeight="1"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</row>
    <row r="234" spans="4:51" ht="15" customHeight="1"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</row>
    <row r="235" spans="4:51" ht="15" customHeight="1"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</row>
    <row r="236" spans="4:51" ht="15" customHeight="1"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</row>
    <row r="237" spans="4:51" ht="15" customHeight="1"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</row>
    <row r="238" spans="4:51" ht="15" customHeight="1"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</row>
    <row r="239" spans="4:51" ht="15" customHeight="1"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</row>
    <row r="240" spans="4:51" ht="15" customHeight="1"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</row>
    <row r="241" spans="4:51" ht="15" customHeight="1"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</row>
    <row r="242" spans="4:51" ht="15" customHeight="1"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</row>
    <row r="243" spans="4:51" ht="15" customHeight="1"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</row>
    <row r="244" spans="4:51" ht="15" customHeight="1"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</row>
    <row r="245" spans="4:51" ht="15" customHeight="1"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</row>
    <row r="246" spans="4:51" ht="15" customHeight="1"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</row>
    <row r="247" spans="4:51" ht="15" customHeight="1"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</row>
    <row r="248" spans="4:51" ht="15" customHeight="1"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</row>
    <row r="249" spans="4:51" ht="15" customHeight="1"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</row>
    <row r="250" spans="4:51" ht="15" customHeight="1"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</row>
    <row r="251" spans="4:51" ht="15" customHeight="1"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</row>
    <row r="252" spans="4:51" ht="15" customHeight="1"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</row>
    <row r="253" spans="4:51" ht="15" customHeight="1"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</row>
    <row r="254" spans="4:51" ht="15" customHeight="1"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</row>
    <row r="255" spans="4:51" ht="15" customHeight="1"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</row>
    <row r="256" spans="4:51" ht="15" customHeight="1"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</row>
    <row r="257" spans="4:51" ht="15" customHeight="1"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</row>
    <row r="258" spans="4:51" ht="15" customHeight="1"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</row>
    <row r="259" spans="4:51" ht="15" customHeight="1"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</row>
    <row r="260" spans="4:51" ht="15" customHeight="1"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</row>
    <row r="261" spans="4:51" ht="15" customHeight="1"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</row>
    <row r="262" spans="4:51" ht="15" customHeight="1"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</row>
    <row r="263" spans="4:51" ht="15" customHeight="1"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</row>
    <row r="264" spans="4:51" ht="15" customHeight="1"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</row>
    <row r="265" spans="4:51" ht="15" customHeight="1"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</row>
    <row r="266" spans="4:51" ht="15" customHeight="1"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</row>
    <row r="267" spans="4:51" ht="15" customHeight="1"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</row>
    <row r="268" spans="4:51" ht="15" customHeight="1"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</row>
    <row r="269" spans="4:51" ht="15" customHeight="1"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</row>
    <row r="270" spans="4:51" ht="15" customHeight="1"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</row>
    <row r="271" spans="4:51" ht="15" customHeight="1"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</row>
    <row r="272" spans="4:51" ht="15" customHeight="1"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</row>
    <row r="273" spans="4:51" ht="15" customHeight="1"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</row>
    <row r="274" spans="4:51" ht="15" customHeight="1"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</row>
    <row r="275" spans="4:51" ht="15" customHeight="1"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</row>
    <row r="276" spans="4:51" ht="15" customHeight="1"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</row>
    <row r="277" spans="4:51" ht="15" customHeight="1"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</row>
    <row r="278" spans="4:51" ht="15" customHeight="1"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</row>
    <row r="279" spans="4:51" ht="15" customHeight="1"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</row>
    <row r="280" spans="4:51" ht="15" customHeight="1"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</row>
    <row r="281" spans="4:51" ht="15" customHeight="1"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</row>
    <row r="282" spans="4:51" ht="15" customHeight="1"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</row>
    <row r="283" spans="4:51" ht="15" customHeight="1"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</row>
    <row r="284" spans="4:51" ht="15" customHeight="1"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</row>
    <row r="285" spans="4:51" ht="15" customHeight="1"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</row>
    <row r="286" spans="4:51" ht="15" customHeight="1"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</row>
    <row r="287" spans="4:51" ht="15" customHeight="1"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</row>
    <row r="288" spans="4:51" ht="15" customHeight="1"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</row>
    <row r="289" spans="4:51" ht="15" customHeight="1"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</row>
    <row r="290" spans="4:51" ht="15" customHeight="1"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</row>
    <row r="291" spans="4:51" ht="15" customHeight="1"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</row>
    <row r="292" spans="4:51" ht="15" customHeight="1"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</row>
    <row r="293" spans="4:51" ht="15" customHeight="1"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</row>
    <row r="294" spans="4:51" ht="15" customHeight="1"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</row>
    <row r="295" spans="4:51" ht="15" customHeight="1"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</row>
    <row r="296" spans="4:51" ht="15" customHeight="1"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</row>
    <row r="297" spans="4:51" ht="15" customHeight="1"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</row>
    <row r="298" spans="4:51" ht="15" customHeight="1"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</row>
    <row r="299" spans="4:51" ht="15" customHeight="1"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</row>
    <row r="300" spans="4:51" ht="15" customHeight="1"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</row>
    <row r="301" spans="4:51" ht="15" customHeight="1"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</row>
    <row r="302" spans="4:51" ht="15" customHeight="1"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</row>
    <row r="303" spans="4:51" ht="15" customHeight="1"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</row>
    <row r="304" spans="4:51" ht="15" customHeight="1"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</row>
    <row r="305" spans="4:51" ht="15" customHeight="1"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</row>
    <row r="306" spans="4:51" ht="15" customHeight="1"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</row>
    <row r="307" spans="4:51" ht="15" customHeight="1"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</row>
    <row r="308" spans="4:51" ht="15" customHeight="1"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</row>
    <row r="309" spans="4:51" ht="15" customHeight="1"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</row>
    <row r="310" spans="4:51" ht="15" customHeight="1"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</row>
    <row r="311" spans="4:51" ht="15" customHeight="1"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</row>
    <row r="312" spans="4:51" ht="15" customHeight="1"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</row>
    <row r="313" spans="4:51" ht="15" customHeight="1"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</row>
    <row r="314" spans="4:51" ht="15" customHeight="1"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</row>
    <row r="315" spans="4:51" ht="15" customHeight="1"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</row>
    <row r="316" spans="4:51" ht="15" customHeight="1"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</row>
    <row r="317" spans="4:51" ht="15" customHeight="1"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</row>
    <row r="318" spans="4:51" ht="15" customHeight="1"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</row>
    <row r="319" spans="4:51" ht="15" customHeight="1"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</row>
    <row r="320" spans="4:51" ht="15" customHeight="1"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</row>
    <row r="321" spans="4:51" ht="15" customHeight="1"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</row>
    <row r="322" spans="4:51" ht="15" customHeight="1"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</row>
    <row r="323" spans="4:51" ht="15" customHeight="1"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</row>
    <row r="324" spans="4:51" ht="15" customHeight="1"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</row>
    <row r="325" spans="4:51" ht="15" customHeight="1"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</row>
    <row r="326" spans="4:51" ht="15" customHeight="1"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</row>
    <row r="327" spans="4:51" ht="15" customHeight="1"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</row>
    <row r="328" spans="4:51" ht="15" customHeight="1"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</row>
    <row r="329" spans="4:51" ht="15" customHeight="1"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</row>
    <row r="330" spans="4:51" ht="15" customHeight="1"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</row>
    <row r="331" spans="4:51" ht="15" customHeight="1"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</row>
    <row r="332" spans="4:51" ht="15" customHeight="1"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</row>
    <row r="333" spans="4:51" ht="15" customHeight="1"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</row>
    <row r="334" spans="4:51" ht="15" customHeight="1"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</row>
    <row r="335" spans="4:51" ht="15" customHeight="1"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</row>
    <row r="336" spans="4:51" ht="15" customHeight="1"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</row>
    <row r="337" spans="4:51" ht="15" customHeight="1"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</row>
    <row r="338" spans="4:51" ht="15" customHeight="1"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</row>
    <row r="339" spans="4:51" ht="15" customHeight="1"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</row>
    <row r="340" spans="4:51" ht="15" customHeight="1"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</row>
    <row r="341" spans="4:51" ht="15" customHeight="1"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</row>
    <row r="342" spans="4:51" ht="15" customHeight="1"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</row>
    <row r="343" spans="4:51" ht="15" customHeight="1"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</row>
    <row r="344" spans="4:51" ht="15" customHeight="1"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</row>
    <row r="345" spans="4:51" ht="15" customHeight="1"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</row>
    <row r="346" spans="4:51" ht="15" customHeight="1"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</row>
    <row r="347" spans="4:51" ht="15" customHeight="1"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</row>
    <row r="348" spans="4:51" ht="15" customHeight="1"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</row>
    <row r="349" spans="4:51" ht="15" customHeight="1"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</row>
    <row r="350" spans="4:51" ht="15" customHeight="1"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</row>
    <row r="351" spans="4:51" ht="15" customHeight="1"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</row>
    <row r="352" spans="4:51" ht="15" customHeight="1"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</row>
    <row r="353" spans="4:51" ht="15" customHeight="1"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</row>
    <row r="354" spans="4:51" ht="15" customHeight="1"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</row>
    <row r="355" spans="4:51" ht="15" customHeight="1"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</row>
    <row r="356" spans="4:51" ht="15" customHeight="1"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</row>
    <row r="357" spans="4:51" ht="15" customHeight="1"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</row>
    <row r="358" spans="4:51" ht="15" customHeight="1"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</row>
    <row r="359" spans="4:51" ht="15" customHeight="1"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</row>
    <row r="360" spans="4:51" ht="15" customHeight="1"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</row>
    <row r="361" spans="4:51" ht="15" customHeight="1"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</row>
    <row r="362" spans="4:51" ht="15" customHeight="1"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</row>
    <row r="363" spans="4:51" ht="15" customHeight="1"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</row>
    <row r="364" spans="4:51" ht="15" customHeight="1"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</row>
    <row r="365" spans="4:51" ht="15" customHeight="1"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</row>
    <row r="366" spans="4:51" ht="15" customHeight="1"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</row>
    <row r="367" spans="4:51" ht="15" customHeight="1"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</row>
    <row r="368" spans="4:51" ht="15" customHeight="1"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</row>
    <row r="369" spans="4:51" ht="15" customHeight="1"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</row>
    <row r="370" spans="4:51" ht="15" customHeight="1"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</row>
    <row r="371" spans="4:51" ht="15" customHeight="1"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</row>
    <row r="372" spans="4:51" ht="15" customHeight="1"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</row>
    <row r="373" spans="4:51" ht="15" customHeight="1"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</row>
    <row r="374" spans="4:51" ht="15" customHeight="1"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</row>
    <row r="375" spans="4:51" ht="15" customHeight="1"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</row>
    <row r="376" spans="4:51" ht="15" customHeight="1"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</row>
    <row r="377" spans="4:51" ht="15" customHeight="1"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</row>
    <row r="378" spans="4:51" ht="15" customHeight="1"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</row>
    <row r="379" spans="4:51" ht="15" customHeight="1"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</row>
    <row r="380" spans="4:51" ht="15" customHeight="1"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</row>
    <row r="381" spans="4:51" ht="15" customHeight="1"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</row>
    <row r="382" spans="4:51" ht="15" customHeight="1"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</row>
    <row r="383" spans="4:51" ht="15" customHeight="1"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</row>
    <row r="384" spans="4:51" ht="15" customHeight="1"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</row>
    <row r="385" spans="4:51" ht="15" customHeight="1"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</row>
    <row r="386" spans="4:51" ht="15" customHeight="1"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</row>
    <row r="387" spans="4:51" ht="15" customHeight="1"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</row>
    <row r="388" spans="4:51" ht="15" customHeight="1"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</row>
    <row r="389" spans="4:51" ht="15" customHeight="1"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</row>
    <row r="390" spans="4:51" ht="15" customHeight="1"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</row>
    <row r="391" spans="4:51" ht="15" customHeight="1"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</row>
    <row r="392" spans="4:51" ht="15" customHeight="1"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</row>
    <row r="393" spans="4:51" ht="15" customHeight="1"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</row>
    <row r="394" spans="4:51" ht="15" customHeight="1"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</row>
    <row r="395" spans="4:51" ht="15" customHeight="1"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</row>
    <row r="396" spans="4:51" ht="15" customHeight="1"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</row>
    <row r="397" spans="4:51" ht="15" customHeight="1"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</row>
    <row r="398" spans="4:51" ht="15" customHeight="1"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</row>
    <row r="399" spans="4:51" ht="15" customHeight="1"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</row>
    <row r="400" spans="4:51" ht="15" customHeight="1"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</row>
    <row r="401" spans="4:51" ht="15" customHeight="1"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</row>
    <row r="402" spans="4:51" ht="15" customHeight="1"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</row>
    <row r="403" spans="4:51" ht="15" customHeight="1"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</row>
    <row r="404" spans="4:51" ht="15" customHeight="1"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</row>
    <row r="405" spans="4:51" ht="15" customHeight="1"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</row>
    <row r="406" spans="4:51" ht="15" customHeight="1"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</row>
    <row r="407" spans="4:51" ht="15" customHeight="1"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20"/>
      <c r="AP407" s="20"/>
      <c r="AQ407" s="20"/>
      <c r="AR407" s="20"/>
      <c r="AS407" s="20"/>
      <c r="AT407" s="20"/>
      <c r="AU407" s="20"/>
      <c r="AV407" s="20"/>
      <c r="AW407" s="20"/>
      <c r="AX407" s="20"/>
      <c r="AY407" s="20"/>
    </row>
    <row r="408" spans="4:51" ht="15" customHeight="1"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20"/>
      <c r="AN408" s="20"/>
      <c r="AO408" s="20"/>
      <c r="AP408" s="20"/>
      <c r="AQ408" s="20"/>
      <c r="AR408" s="20"/>
      <c r="AS408" s="20"/>
      <c r="AT408" s="20"/>
      <c r="AU408" s="20"/>
      <c r="AV408" s="20"/>
      <c r="AW408" s="20"/>
      <c r="AX408" s="20"/>
      <c r="AY408" s="20"/>
    </row>
    <row r="409" spans="4:51" ht="15" customHeight="1"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</row>
    <row r="410" spans="4:51" ht="15" customHeight="1"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</row>
    <row r="411" spans="4:51" ht="15" customHeight="1"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</row>
    <row r="412" spans="4:51" ht="15" customHeight="1"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  <c r="AN412" s="20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</row>
    <row r="413" spans="4:51" ht="15" customHeight="1"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</row>
    <row r="414" spans="4:51" ht="15" customHeight="1"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</row>
    <row r="415" spans="4:51" ht="15" customHeight="1"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  <c r="AN415" s="20"/>
      <c r="AO415" s="20"/>
      <c r="AP415" s="20"/>
      <c r="AQ415" s="20"/>
      <c r="AR415" s="20"/>
      <c r="AS415" s="20"/>
      <c r="AT415" s="20"/>
      <c r="AU415" s="20"/>
      <c r="AV415" s="20"/>
      <c r="AW415" s="20"/>
      <c r="AX415" s="20"/>
      <c r="AY415" s="20"/>
    </row>
    <row r="416" spans="4:51" ht="15" customHeight="1"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</row>
    <row r="417" spans="4:51" ht="15" customHeight="1"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</row>
    <row r="418" spans="4:51" ht="15" customHeight="1"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</row>
    <row r="419" spans="4:51" ht="15" customHeight="1"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</row>
    <row r="420" spans="4:51" ht="15" customHeight="1"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</row>
    <row r="421" spans="4:51" ht="15" customHeight="1"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  <c r="AP421" s="20"/>
      <c r="AQ421" s="20"/>
      <c r="AR421" s="20"/>
      <c r="AS421" s="20"/>
      <c r="AT421" s="20"/>
      <c r="AU421" s="20"/>
      <c r="AV421" s="20"/>
      <c r="AW421" s="20"/>
      <c r="AX421" s="20"/>
      <c r="AY421" s="20"/>
    </row>
    <row r="422" spans="4:51" ht="15" customHeight="1"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  <c r="AP422" s="20"/>
      <c r="AQ422" s="20"/>
      <c r="AR422" s="20"/>
      <c r="AS422" s="20"/>
      <c r="AT422" s="20"/>
      <c r="AU422" s="20"/>
      <c r="AV422" s="20"/>
      <c r="AW422" s="20"/>
      <c r="AX422" s="20"/>
      <c r="AY422" s="20"/>
    </row>
    <row r="423" spans="4:51" ht="15" customHeight="1"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  <c r="AP423" s="20"/>
      <c r="AQ423" s="20"/>
      <c r="AR423" s="20"/>
      <c r="AS423" s="20"/>
      <c r="AT423" s="20"/>
      <c r="AU423" s="20"/>
      <c r="AV423" s="20"/>
      <c r="AW423" s="20"/>
      <c r="AX423" s="20"/>
      <c r="AY423" s="20"/>
    </row>
    <row r="424" spans="4:51" ht="15" customHeight="1"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</row>
    <row r="425" spans="4:51" ht="15" customHeight="1"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  <c r="AP425" s="20"/>
      <c r="AQ425" s="20"/>
      <c r="AR425" s="20"/>
      <c r="AS425" s="20"/>
      <c r="AT425" s="20"/>
      <c r="AU425" s="20"/>
      <c r="AV425" s="20"/>
      <c r="AW425" s="20"/>
      <c r="AX425" s="20"/>
      <c r="AY425" s="20"/>
    </row>
    <row r="426" spans="4:51" ht="15" customHeight="1"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  <c r="AP426" s="20"/>
      <c r="AQ426" s="20"/>
      <c r="AR426" s="20"/>
      <c r="AS426" s="20"/>
      <c r="AT426" s="20"/>
      <c r="AU426" s="20"/>
      <c r="AV426" s="20"/>
      <c r="AW426" s="20"/>
      <c r="AX426" s="20"/>
      <c r="AY426" s="20"/>
    </row>
    <row r="427" spans="4:51" ht="15" customHeight="1"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  <c r="AP427" s="20"/>
      <c r="AQ427" s="20"/>
      <c r="AR427" s="20"/>
      <c r="AS427" s="20"/>
      <c r="AT427" s="20"/>
      <c r="AU427" s="20"/>
      <c r="AV427" s="20"/>
      <c r="AW427" s="20"/>
      <c r="AX427" s="20"/>
      <c r="AY427" s="20"/>
    </row>
    <row r="428" spans="4:51" ht="15" customHeight="1"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  <c r="AP428" s="20"/>
      <c r="AQ428" s="20"/>
      <c r="AR428" s="20"/>
      <c r="AS428" s="20"/>
      <c r="AT428" s="20"/>
      <c r="AU428" s="20"/>
      <c r="AV428" s="20"/>
      <c r="AW428" s="20"/>
      <c r="AX428" s="20"/>
      <c r="AY428" s="20"/>
    </row>
    <row r="429" spans="4:51" ht="15" customHeight="1"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  <c r="AP429" s="20"/>
      <c r="AQ429" s="20"/>
      <c r="AR429" s="20"/>
      <c r="AS429" s="20"/>
      <c r="AT429" s="20"/>
      <c r="AU429" s="20"/>
      <c r="AV429" s="20"/>
      <c r="AW429" s="20"/>
      <c r="AX429" s="20"/>
      <c r="AY429" s="20"/>
    </row>
    <row r="430" spans="4:51" ht="15" customHeight="1"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</row>
    <row r="431" spans="4:51" ht="15" customHeight="1"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20"/>
      <c r="AP431" s="20"/>
      <c r="AQ431" s="20"/>
      <c r="AR431" s="20"/>
      <c r="AS431" s="20"/>
      <c r="AT431" s="20"/>
      <c r="AU431" s="20"/>
      <c r="AV431" s="20"/>
      <c r="AW431" s="20"/>
      <c r="AX431" s="20"/>
      <c r="AY431" s="20"/>
    </row>
    <row r="432" spans="4:51" ht="15" customHeight="1"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  <c r="AP432" s="20"/>
      <c r="AQ432" s="20"/>
      <c r="AR432" s="20"/>
      <c r="AS432" s="20"/>
      <c r="AT432" s="20"/>
      <c r="AU432" s="20"/>
      <c r="AV432" s="20"/>
      <c r="AW432" s="20"/>
      <c r="AX432" s="20"/>
      <c r="AY432" s="20"/>
    </row>
    <row r="433" spans="4:51" ht="15" customHeight="1"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</row>
    <row r="434" spans="4:51" ht="15" customHeight="1"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  <c r="AP434" s="20"/>
      <c r="AQ434" s="20"/>
      <c r="AR434" s="20"/>
      <c r="AS434" s="20"/>
      <c r="AT434" s="20"/>
      <c r="AU434" s="20"/>
      <c r="AV434" s="20"/>
      <c r="AW434" s="20"/>
      <c r="AX434" s="20"/>
      <c r="AY434" s="20"/>
    </row>
    <row r="435" spans="4:51" ht="15" customHeight="1"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</row>
    <row r="436" spans="4:51" ht="15" customHeight="1"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</row>
    <row r="437" spans="4:51" ht="15" customHeight="1"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</row>
    <row r="438" spans="4:51" ht="15" customHeight="1"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</row>
    <row r="439" spans="4:51" ht="15" customHeight="1"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</row>
    <row r="440" spans="4:51" ht="15" customHeight="1"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</row>
    <row r="441" spans="4:51" ht="15" customHeight="1"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</row>
    <row r="442" spans="4:51" ht="15" customHeight="1"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</row>
    <row r="443" spans="4:51" ht="15" customHeight="1"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</row>
    <row r="444" spans="4:51" ht="15" customHeight="1"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</row>
    <row r="445" spans="4:51" ht="15" customHeight="1"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</row>
    <row r="446" spans="4:51" ht="15" customHeight="1"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</row>
    <row r="447" spans="4:51" ht="15" customHeight="1"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</row>
    <row r="448" spans="4:51" ht="15" customHeight="1"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</row>
    <row r="449" spans="4:51" ht="15" customHeight="1"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</row>
    <row r="450" spans="4:51" ht="15" customHeight="1"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</row>
    <row r="451" spans="4:51" ht="15" customHeight="1"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</row>
    <row r="452" spans="4:51" ht="15" customHeight="1"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</row>
    <row r="453" spans="4:51" ht="15" customHeight="1"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</row>
    <row r="454" spans="4:51" ht="15" customHeight="1"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</row>
    <row r="455" spans="4:51" ht="15" customHeight="1"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</row>
    <row r="456" spans="4:51" ht="15" customHeight="1"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</row>
    <row r="457" spans="4:51" ht="15" customHeight="1"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</row>
    <row r="458" spans="4:51" ht="15" customHeight="1"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</row>
    <row r="459" spans="4:51" ht="15" customHeight="1"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</row>
    <row r="460" spans="4:51" ht="15" customHeight="1"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</row>
    <row r="461" spans="4:51" ht="15" customHeight="1"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</row>
    <row r="462" spans="4:51" ht="15" customHeight="1"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</row>
    <row r="463" spans="4:51" ht="15" customHeight="1"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</row>
    <row r="464" spans="4:51" ht="15" customHeight="1"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</row>
    <row r="465" spans="4:51" ht="15" customHeight="1"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</row>
    <row r="466" spans="4:51" ht="15" customHeight="1"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</row>
    <row r="467" spans="4:51" ht="15" customHeight="1"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</row>
    <row r="468" spans="4:51" ht="15" customHeight="1"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</row>
    <row r="469" spans="4:51" ht="15" customHeight="1"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</row>
    <row r="470" spans="4:51" ht="15" customHeight="1"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</row>
    <row r="471" spans="4:51" ht="15" customHeight="1"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</row>
    <row r="472" spans="4:51" ht="15" customHeight="1"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</row>
    <row r="473" spans="4:51" ht="15" customHeight="1"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</row>
    <row r="474" spans="4:51" ht="15" customHeight="1"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</row>
    <row r="475" spans="4:51" ht="15" customHeight="1"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</row>
    <row r="476" spans="4:51" ht="15" customHeight="1"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</row>
    <row r="477" spans="4:51" ht="15" customHeight="1"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</row>
    <row r="478" spans="4:51" ht="15" customHeight="1"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</row>
    <row r="479" spans="4:51" ht="15" customHeight="1"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</row>
    <row r="480" spans="4:51" ht="15" customHeight="1"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</row>
    <row r="481" spans="4:51" ht="15" customHeight="1"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  <c r="AN481" s="20"/>
      <c r="AO481" s="20"/>
      <c r="AP481" s="20"/>
      <c r="AQ481" s="20"/>
      <c r="AR481" s="20"/>
      <c r="AS481" s="20"/>
      <c r="AT481" s="20"/>
      <c r="AU481" s="20"/>
      <c r="AV481" s="20"/>
      <c r="AW481" s="20"/>
      <c r="AX481" s="20"/>
      <c r="AY481" s="20"/>
    </row>
    <row r="482" spans="4:51" ht="15" customHeight="1"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  <c r="AN482" s="20"/>
      <c r="AO482" s="20"/>
      <c r="AP482" s="20"/>
      <c r="AQ482" s="20"/>
      <c r="AR482" s="20"/>
      <c r="AS482" s="20"/>
      <c r="AT482" s="20"/>
      <c r="AU482" s="20"/>
      <c r="AV482" s="20"/>
      <c r="AW482" s="20"/>
      <c r="AX482" s="20"/>
      <c r="AY482" s="20"/>
    </row>
    <row r="483" spans="4:51" ht="15" customHeight="1"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  <c r="AN483" s="20"/>
      <c r="AO483" s="20"/>
      <c r="AP483" s="20"/>
      <c r="AQ483" s="20"/>
      <c r="AR483" s="20"/>
      <c r="AS483" s="20"/>
      <c r="AT483" s="20"/>
      <c r="AU483" s="20"/>
      <c r="AV483" s="20"/>
      <c r="AW483" s="20"/>
      <c r="AX483" s="20"/>
      <c r="AY483" s="20"/>
    </row>
    <row r="484" spans="4:51" ht="15" customHeight="1"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</row>
    <row r="485" spans="4:51" ht="15" customHeight="1"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  <c r="AN485" s="20"/>
      <c r="AO485" s="20"/>
      <c r="AP485" s="20"/>
      <c r="AQ485" s="20"/>
      <c r="AR485" s="20"/>
      <c r="AS485" s="20"/>
      <c r="AT485" s="20"/>
      <c r="AU485" s="20"/>
      <c r="AV485" s="20"/>
      <c r="AW485" s="20"/>
      <c r="AX485" s="20"/>
      <c r="AY485" s="20"/>
    </row>
    <row r="486" spans="4:51" ht="15" customHeight="1"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20"/>
      <c r="AN486" s="20"/>
      <c r="AO486" s="20"/>
      <c r="AP486" s="20"/>
      <c r="AQ486" s="20"/>
      <c r="AR486" s="20"/>
      <c r="AS486" s="20"/>
      <c r="AT486" s="20"/>
      <c r="AU486" s="20"/>
      <c r="AV486" s="20"/>
      <c r="AW486" s="20"/>
      <c r="AX486" s="20"/>
      <c r="AY486" s="20"/>
    </row>
    <row r="487" spans="4:51" ht="15" customHeight="1"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</row>
    <row r="488" spans="4:51" ht="15" customHeight="1"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20"/>
      <c r="AP488" s="20"/>
      <c r="AQ488" s="20"/>
      <c r="AR488" s="20"/>
      <c r="AS488" s="20"/>
      <c r="AT488" s="20"/>
      <c r="AU488" s="20"/>
      <c r="AV488" s="20"/>
      <c r="AW488" s="20"/>
      <c r="AX488" s="20"/>
      <c r="AY488" s="20"/>
    </row>
    <row r="489" spans="4:51" ht="15" customHeight="1"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20"/>
      <c r="AN489" s="20"/>
      <c r="AO489" s="20"/>
      <c r="AP489" s="20"/>
      <c r="AQ489" s="20"/>
      <c r="AR489" s="20"/>
      <c r="AS489" s="20"/>
      <c r="AT489" s="20"/>
      <c r="AU489" s="20"/>
      <c r="AV489" s="20"/>
      <c r="AW489" s="20"/>
      <c r="AX489" s="20"/>
      <c r="AY489" s="20"/>
    </row>
    <row r="490" spans="4:51" ht="15" customHeight="1"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20"/>
      <c r="AO490" s="20"/>
      <c r="AP490" s="20"/>
      <c r="AQ490" s="20"/>
      <c r="AR490" s="20"/>
      <c r="AS490" s="20"/>
      <c r="AT490" s="20"/>
      <c r="AU490" s="20"/>
      <c r="AV490" s="20"/>
      <c r="AW490" s="20"/>
      <c r="AX490" s="20"/>
      <c r="AY490" s="20"/>
    </row>
    <row r="491" spans="4:51" ht="15" customHeight="1"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20"/>
      <c r="AP491" s="20"/>
      <c r="AQ491" s="20"/>
      <c r="AR491" s="20"/>
      <c r="AS491" s="20"/>
      <c r="AT491" s="20"/>
      <c r="AU491" s="20"/>
      <c r="AV491" s="20"/>
      <c r="AW491" s="20"/>
      <c r="AX491" s="20"/>
      <c r="AY491" s="20"/>
    </row>
    <row r="492" spans="4:51" ht="15" customHeight="1"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20"/>
      <c r="AN492" s="20"/>
      <c r="AO492" s="20"/>
      <c r="AP492" s="20"/>
      <c r="AQ492" s="20"/>
      <c r="AR492" s="20"/>
      <c r="AS492" s="20"/>
      <c r="AT492" s="20"/>
      <c r="AU492" s="20"/>
      <c r="AV492" s="20"/>
      <c r="AW492" s="20"/>
      <c r="AX492" s="20"/>
      <c r="AY492" s="20"/>
    </row>
    <row r="493" spans="4:51" ht="15" customHeight="1"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  <c r="AN493" s="20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</row>
    <row r="494" spans="4:51" ht="15" customHeight="1"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20"/>
      <c r="AN494" s="20"/>
      <c r="AO494" s="20"/>
      <c r="AP494" s="20"/>
      <c r="AQ494" s="20"/>
      <c r="AR494" s="20"/>
      <c r="AS494" s="20"/>
      <c r="AT494" s="20"/>
      <c r="AU494" s="20"/>
      <c r="AV494" s="20"/>
      <c r="AW494" s="20"/>
      <c r="AX494" s="20"/>
      <c r="AY494" s="20"/>
    </row>
    <row r="495" spans="4:51" ht="15" customHeight="1"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  <c r="AM495" s="20"/>
      <c r="AN495" s="20"/>
      <c r="AO495" s="20"/>
      <c r="AP495" s="20"/>
      <c r="AQ495" s="20"/>
      <c r="AR495" s="20"/>
      <c r="AS495" s="20"/>
      <c r="AT495" s="20"/>
      <c r="AU495" s="20"/>
      <c r="AV495" s="20"/>
      <c r="AW495" s="20"/>
      <c r="AX495" s="20"/>
      <c r="AY495" s="20"/>
    </row>
    <row r="496" spans="4:51" ht="15" customHeight="1"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20"/>
      <c r="AN496" s="20"/>
      <c r="AO496" s="20"/>
      <c r="AP496" s="20"/>
      <c r="AQ496" s="20"/>
      <c r="AR496" s="20"/>
      <c r="AS496" s="20"/>
      <c r="AT496" s="20"/>
      <c r="AU496" s="20"/>
      <c r="AV496" s="20"/>
      <c r="AW496" s="20"/>
      <c r="AX496" s="20"/>
      <c r="AY496" s="20"/>
    </row>
    <row r="497" spans="4:51" ht="15" customHeight="1"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  <c r="AM497" s="20"/>
      <c r="AN497" s="20"/>
      <c r="AO497" s="20"/>
      <c r="AP497" s="20"/>
      <c r="AQ497" s="20"/>
      <c r="AR497" s="20"/>
      <c r="AS497" s="20"/>
      <c r="AT497" s="20"/>
      <c r="AU497" s="20"/>
      <c r="AV497" s="20"/>
      <c r="AW497" s="20"/>
      <c r="AX497" s="20"/>
      <c r="AY497" s="20"/>
    </row>
    <row r="498" spans="4:51" ht="15" customHeight="1"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  <c r="AM498" s="20"/>
      <c r="AN498" s="20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</row>
    <row r="499" spans="4:51" ht="15" customHeight="1"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20"/>
      <c r="AN499" s="20"/>
      <c r="AO499" s="20"/>
      <c r="AP499" s="20"/>
      <c r="AQ499" s="20"/>
      <c r="AR499" s="20"/>
      <c r="AS499" s="20"/>
      <c r="AT499" s="20"/>
      <c r="AU499" s="20"/>
      <c r="AV499" s="20"/>
      <c r="AW499" s="20"/>
      <c r="AX499" s="20"/>
      <c r="AY499" s="20"/>
    </row>
    <row r="500" spans="4:51" ht="15" customHeight="1"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20"/>
      <c r="AN500" s="20"/>
      <c r="AO500" s="20"/>
      <c r="AP500" s="20"/>
      <c r="AQ500" s="20"/>
      <c r="AR500" s="20"/>
      <c r="AS500" s="20"/>
      <c r="AT500" s="20"/>
      <c r="AU500" s="20"/>
      <c r="AV500" s="20"/>
      <c r="AW500" s="20"/>
      <c r="AX500" s="20"/>
      <c r="AY500" s="20"/>
    </row>
    <row r="501" spans="4:51" ht="15" customHeight="1"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0"/>
      <c r="AM501" s="20"/>
      <c r="AN501" s="20"/>
      <c r="AO501" s="20"/>
      <c r="AP501" s="20"/>
      <c r="AQ501" s="20"/>
      <c r="AR501" s="20"/>
      <c r="AS501" s="20"/>
      <c r="AT501" s="20"/>
      <c r="AU501" s="20"/>
      <c r="AV501" s="20"/>
      <c r="AW501" s="20"/>
      <c r="AX501" s="20"/>
      <c r="AY501" s="20"/>
    </row>
    <row r="502" spans="4:51" ht="15" customHeight="1"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  <c r="AF502" s="20"/>
      <c r="AG502" s="20"/>
      <c r="AH502" s="20"/>
      <c r="AI502" s="20"/>
      <c r="AJ502" s="20"/>
      <c r="AK502" s="20"/>
      <c r="AL502" s="20"/>
      <c r="AM502" s="20"/>
      <c r="AN502" s="20"/>
      <c r="AO502" s="20"/>
      <c r="AP502" s="20"/>
      <c r="AQ502" s="20"/>
      <c r="AR502" s="20"/>
      <c r="AS502" s="20"/>
      <c r="AT502" s="20"/>
      <c r="AU502" s="20"/>
      <c r="AV502" s="20"/>
      <c r="AW502" s="20"/>
      <c r="AX502" s="20"/>
      <c r="AY502" s="20"/>
    </row>
    <row r="503" spans="4:51" ht="15" customHeight="1"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  <c r="AF503" s="20"/>
      <c r="AG503" s="20"/>
      <c r="AH503" s="20"/>
      <c r="AI503" s="20"/>
      <c r="AJ503" s="20"/>
      <c r="AK503" s="20"/>
      <c r="AL503" s="20"/>
      <c r="AM503" s="20"/>
      <c r="AN503" s="20"/>
      <c r="AO503" s="20"/>
      <c r="AP503" s="20"/>
      <c r="AQ503" s="20"/>
      <c r="AR503" s="20"/>
      <c r="AS503" s="20"/>
      <c r="AT503" s="20"/>
      <c r="AU503" s="20"/>
      <c r="AV503" s="20"/>
      <c r="AW503" s="20"/>
      <c r="AX503" s="20"/>
      <c r="AY503" s="20"/>
    </row>
    <row r="504" spans="4:51" ht="15" customHeight="1"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  <c r="AN504" s="20"/>
      <c r="AO504" s="20"/>
      <c r="AP504" s="20"/>
      <c r="AQ504" s="20"/>
      <c r="AR504" s="20"/>
      <c r="AS504" s="20"/>
      <c r="AT504" s="20"/>
      <c r="AU504" s="20"/>
      <c r="AV504" s="20"/>
      <c r="AW504" s="20"/>
      <c r="AX504" s="20"/>
      <c r="AY504" s="20"/>
    </row>
    <row r="505" spans="4:51" ht="15" customHeight="1"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  <c r="AI505" s="20"/>
      <c r="AJ505" s="20"/>
      <c r="AK505" s="20"/>
      <c r="AL505" s="20"/>
      <c r="AM505" s="20"/>
      <c r="AN505" s="20"/>
      <c r="AO505" s="20"/>
      <c r="AP505" s="20"/>
      <c r="AQ505" s="20"/>
      <c r="AR505" s="20"/>
      <c r="AS505" s="20"/>
      <c r="AT505" s="20"/>
      <c r="AU505" s="20"/>
      <c r="AV505" s="20"/>
      <c r="AW505" s="20"/>
      <c r="AX505" s="20"/>
      <c r="AY505" s="20"/>
    </row>
    <row r="506" spans="4:51" ht="15" customHeight="1"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  <c r="AF506" s="20"/>
      <c r="AG506" s="20"/>
      <c r="AH506" s="20"/>
      <c r="AI506" s="20"/>
      <c r="AJ506" s="20"/>
      <c r="AK506" s="20"/>
      <c r="AL506" s="20"/>
      <c r="AM506" s="20"/>
      <c r="AN506" s="20"/>
      <c r="AO506" s="20"/>
      <c r="AP506" s="20"/>
      <c r="AQ506" s="20"/>
      <c r="AR506" s="20"/>
      <c r="AS506" s="20"/>
      <c r="AT506" s="20"/>
      <c r="AU506" s="20"/>
      <c r="AV506" s="20"/>
      <c r="AW506" s="20"/>
      <c r="AX506" s="20"/>
      <c r="AY506" s="20"/>
    </row>
    <row r="507" spans="4:51" ht="15" customHeight="1"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  <c r="AF507" s="20"/>
      <c r="AG507" s="20"/>
      <c r="AH507" s="20"/>
      <c r="AI507" s="20"/>
      <c r="AJ507" s="20"/>
      <c r="AK507" s="20"/>
      <c r="AL507" s="20"/>
      <c r="AM507" s="20"/>
      <c r="AN507" s="20"/>
      <c r="AO507" s="20"/>
      <c r="AP507" s="20"/>
      <c r="AQ507" s="20"/>
      <c r="AR507" s="20"/>
      <c r="AS507" s="20"/>
      <c r="AT507" s="20"/>
      <c r="AU507" s="20"/>
      <c r="AV507" s="20"/>
      <c r="AW507" s="20"/>
      <c r="AX507" s="20"/>
      <c r="AY507" s="20"/>
    </row>
    <row r="508" spans="4:51" ht="15" customHeight="1"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  <c r="AF508" s="20"/>
      <c r="AG508" s="20"/>
      <c r="AH508" s="20"/>
      <c r="AI508" s="20"/>
      <c r="AJ508" s="20"/>
      <c r="AK508" s="20"/>
      <c r="AL508" s="20"/>
      <c r="AM508" s="20"/>
      <c r="AN508" s="20"/>
      <c r="AO508" s="20"/>
      <c r="AP508" s="20"/>
      <c r="AQ508" s="20"/>
      <c r="AR508" s="20"/>
      <c r="AS508" s="20"/>
      <c r="AT508" s="20"/>
      <c r="AU508" s="20"/>
      <c r="AV508" s="20"/>
      <c r="AW508" s="20"/>
      <c r="AX508" s="20"/>
      <c r="AY508" s="20"/>
    </row>
    <row r="509" spans="4:51" ht="15" customHeight="1"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  <c r="AF509" s="20"/>
      <c r="AG509" s="20"/>
      <c r="AH509" s="20"/>
      <c r="AI509" s="20"/>
      <c r="AJ509" s="20"/>
      <c r="AK509" s="20"/>
      <c r="AL509" s="20"/>
      <c r="AM509" s="20"/>
      <c r="AN509" s="20"/>
      <c r="AO509" s="20"/>
      <c r="AP509" s="20"/>
      <c r="AQ509" s="20"/>
      <c r="AR509" s="20"/>
      <c r="AS509" s="20"/>
      <c r="AT509" s="20"/>
      <c r="AU509" s="20"/>
      <c r="AV509" s="20"/>
      <c r="AW509" s="20"/>
      <c r="AX509" s="20"/>
      <c r="AY509" s="20"/>
    </row>
    <row r="510" spans="4:51" ht="15" customHeight="1"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  <c r="AI510" s="20"/>
      <c r="AJ510" s="20"/>
      <c r="AK510" s="20"/>
      <c r="AL510" s="20"/>
      <c r="AM510" s="20"/>
      <c r="AN510" s="20"/>
      <c r="AO510" s="20"/>
      <c r="AP510" s="20"/>
      <c r="AQ510" s="20"/>
      <c r="AR510" s="20"/>
      <c r="AS510" s="20"/>
      <c r="AT510" s="20"/>
      <c r="AU510" s="20"/>
      <c r="AV510" s="20"/>
      <c r="AW510" s="20"/>
      <c r="AX510" s="20"/>
      <c r="AY510" s="20"/>
    </row>
    <row r="511" spans="4:51" ht="15" customHeight="1"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  <c r="AF511" s="20"/>
      <c r="AG511" s="20"/>
      <c r="AH511" s="20"/>
      <c r="AI511" s="20"/>
      <c r="AJ511" s="20"/>
      <c r="AK511" s="20"/>
      <c r="AL511" s="20"/>
      <c r="AM511" s="20"/>
      <c r="AN511" s="20"/>
      <c r="AO511" s="20"/>
      <c r="AP511" s="20"/>
      <c r="AQ511" s="20"/>
      <c r="AR511" s="20"/>
      <c r="AS511" s="20"/>
      <c r="AT511" s="20"/>
      <c r="AU511" s="20"/>
      <c r="AV511" s="20"/>
      <c r="AW511" s="20"/>
      <c r="AX511" s="20"/>
      <c r="AY511" s="20"/>
    </row>
    <row r="512" spans="4:51" ht="15" customHeight="1"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  <c r="AF512" s="20"/>
      <c r="AG512" s="20"/>
      <c r="AH512" s="20"/>
      <c r="AI512" s="20"/>
      <c r="AJ512" s="20"/>
      <c r="AK512" s="20"/>
      <c r="AL512" s="20"/>
      <c r="AM512" s="20"/>
      <c r="AN512" s="20"/>
      <c r="AO512" s="20"/>
      <c r="AP512" s="20"/>
      <c r="AQ512" s="20"/>
      <c r="AR512" s="20"/>
      <c r="AS512" s="20"/>
      <c r="AT512" s="20"/>
      <c r="AU512" s="20"/>
      <c r="AV512" s="20"/>
      <c r="AW512" s="20"/>
      <c r="AX512" s="20"/>
      <c r="AY512" s="20"/>
    </row>
    <row r="513" spans="4:51" ht="15" customHeight="1"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  <c r="AF513" s="20"/>
      <c r="AG513" s="20"/>
      <c r="AH513" s="20"/>
      <c r="AI513" s="20"/>
      <c r="AJ513" s="20"/>
      <c r="AK513" s="20"/>
      <c r="AL513" s="20"/>
      <c r="AM513" s="20"/>
      <c r="AN513" s="20"/>
      <c r="AO513" s="20"/>
      <c r="AP513" s="20"/>
      <c r="AQ513" s="20"/>
      <c r="AR513" s="20"/>
      <c r="AS513" s="20"/>
      <c r="AT513" s="20"/>
      <c r="AU513" s="20"/>
      <c r="AV513" s="20"/>
      <c r="AW513" s="20"/>
      <c r="AX513" s="20"/>
      <c r="AY513" s="20"/>
    </row>
    <row r="514" spans="4:51" ht="15" customHeight="1"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0"/>
      <c r="AM514" s="20"/>
      <c r="AN514" s="20"/>
      <c r="AO514" s="20"/>
      <c r="AP514" s="20"/>
      <c r="AQ514" s="20"/>
      <c r="AR514" s="20"/>
      <c r="AS514" s="20"/>
      <c r="AT514" s="20"/>
      <c r="AU514" s="20"/>
      <c r="AV514" s="20"/>
      <c r="AW514" s="20"/>
      <c r="AX514" s="20"/>
      <c r="AY514" s="20"/>
    </row>
    <row r="515" spans="4:51" ht="15" customHeight="1"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0"/>
      <c r="AQ515" s="20"/>
      <c r="AR515" s="20"/>
      <c r="AS515" s="20"/>
      <c r="AT515" s="20"/>
      <c r="AU515" s="20"/>
      <c r="AV515" s="20"/>
      <c r="AW515" s="20"/>
      <c r="AX515" s="20"/>
      <c r="AY515" s="20"/>
    </row>
    <row r="516" spans="4:51" ht="15" customHeight="1"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0"/>
      <c r="AM516" s="20"/>
      <c r="AN516" s="20"/>
      <c r="AO516" s="20"/>
      <c r="AP516" s="20"/>
      <c r="AQ516" s="20"/>
      <c r="AR516" s="20"/>
      <c r="AS516" s="20"/>
      <c r="AT516" s="20"/>
      <c r="AU516" s="20"/>
      <c r="AV516" s="20"/>
      <c r="AW516" s="20"/>
      <c r="AX516" s="20"/>
      <c r="AY516" s="20"/>
    </row>
    <row r="517" spans="4:51" ht="15" customHeight="1"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0"/>
      <c r="AM517" s="20"/>
      <c r="AN517" s="20"/>
      <c r="AO517" s="20"/>
      <c r="AP517" s="20"/>
      <c r="AQ517" s="20"/>
      <c r="AR517" s="20"/>
      <c r="AS517" s="20"/>
      <c r="AT517" s="20"/>
      <c r="AU517" s="20"/>
      <c r="AV517" s="20"/>
      <c r="AW517" s="20"/>
      <c r="AX517" s="20"/>
      <c r="AY517" s="20"/>
    </row>
    <row r="518" spans="4:51" ht="15" customHeight="1"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  <c r="AF518" s="20"/>
      <c r="AG518" s="20"/>
      <c r="AH518" s="20"/>
      <c r="AI518" s="20"/>
      <c r="AJ518" s="20"/>
      <c r="AK518" s="20"/>
      <c r="AL518" s="20"/>
      <c r="AM518" s="20"/>
      <c r="AN518" s="20"/>
      <c r="AO518" s="20"/>
      <c r="AP518" s="20"/>
      <c r="AQ518" s="20"/>
      <c r="AR518" s="20"/>
      <c r="AS518" s="20"/>
      <c r="AT518" s="20"/>
      <c r="AU518" s="20"/>
      <c r="AV518" s="20"/>
      <c r="AW518" s="20"/>
      <c r="AX518" s="20"/>
      <c r="AY518" s="20"/>
    </row>
    <row r="519" spans="4:51" ht="15" customHeight="1"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  <c r="AI519" s="20"/>
      <c r="AJ519" s="20"/>
      <c r="AK519" s="20"/>
      <c r="AL519" s="20"/>
      <c r="AM519" s="20"/>
      <c r="AN519" s="20"/>
      <c r="AO519" s="20"/>
      <c r="AP519" s="20"/>
      <c r="AQ519" s="20"/>
      <c r="AR519" s="20"/>
      <c r="AS519" s="20"/>
      <c r="AT519" s="20"/>
      <c r="AU519" s="20"/>
      <c r="AV519" s="20"/>
      <c r="AW519" s="20"/>
      <c r="AX519" s="20"/>
      <c r="AY519" s="20"/>
    </row>
    <row r="520" spans="4:51" ht="15" customHeight="1"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  <c r="AI520" s="20"/>
      <c r="AJ520" s="20"/>
      <c r="AK520" s="20"/>
      <c r="AL520" s="20"/>
      <c r="AM520" s="20"/>
      <c r="AN520" s="20"/>
      <c r="AO520" s="20"/>
      <c r="AP520" s="20"/>
      <c r="AQ520" s="20"/>
      <c r="AR520" s="20"/>
      <c r="AS520" s="20"/>
      <c r="AT520" s="20"/>
      <c r="AU520" s="20"/>
      <c r="AV520" s="20"/>
      <c r="AW520" s="20"/>
      <c r="AX520" s="20"/>
      <c r="AY520" s="20"/>
    </row>
    <row r="521" spans="4:51" ht="15" customHeight="1"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  <c r="AF521" s="20"/>
      <c r="AG521" s="20"/>
      <c r="AH521" s="20"/>
      <c r="AI521" s="20"/>
      <c r="AJ521" s="20"/>
      <c r="AK521" s="20"/>
      <c r="AL521" s="20"/>
      <c r="AM521" s="20"/>
      <c r="AN521" s="20"/>
      <c r="AO521" s="20"/>
      <c r="AP521" s="20"/>
      <c r="AQ521" s="20"/>
      <c r="AR521" s="20"/>
      <c r="AS521" s="20"/>
      <c r="AT521" s="20"/>
      <c r="AU521" s="20"/>
      <c r="AV521" s="20"/>
      <c r="AW521" s="20"/>
      <c r="AX521" s="20"/>
      <c r="AY521" s="20"/>
    </row>
    <row r="522" spans="4:51" ht="15" customHeight="1"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  <c r="AF522" s="20"/>
      <c r="AG522" s="20"/>
      <c r="AH522" s="20"/>
      <c r="AI522" s="20"/>
      <c r="AJ522" s="20"/>
      <c r="AK522" s="20"/>
      <c r="AL522" s="20"/>
      <c r="AM522" s="20"/>
      <c r="AN522" s="20"/>
      <c r="AO522" s="20"/>
      <c r="AP522" s="20"/>
      <c r="AQ522" s="20"/>
      <c r="AR522" s="20"/>
      <c r="AS522" s="20"/>
      <c r="AT522" s="20"/>
      <c r="AU522" s="20"/>
      <c r="AV522" s="20"/>
      <c r="AW522" s="20"/>
      <c r="AX522" s="20"/>
      <c r="AY522" s="20"/>
    </row>
    <row r="523" spans="4:51" ht="15" customHeight="1"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  <c r="AF523" s="20"/>
      <c r="AG523" s="20"/>
      <c r="AH523" s="20"/>
      <c r="AI523" s="20"/>
      <c r="AJ523" s="20"/>
      <c r="AK523" s="20"/>
      <c r="AL523" s="20"/>
      <c r="AM523" s="20"/>
      <c r="AN523" s="20"/>
      <c r="AO523" s="20"/>
      <c r="AP523" s="20"/>
      <c r="AQ523" s="20"/>
      <c r="AR523" s="20"/>
      <c r="AS523" s="20"/>
      <c r="AT523" s="20"/>
      <c r="AU523" s="20"/>
      <c r="AV523" s="20"/>
      <c r="AW523" s="20"/>
      <c r="AX523" s="20"/>
      <c r="AY523" s="20"/>
    </row>
    <row r="524" spans="4:51" ht="15" customHeight="1"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  <c r="AF524" s="20"/>
      <c r="AG524" s="20"/>
      <c r="AH524" s="20"/>
      <c r="AI524" s="20"/>
      <c r="AJ524" s="20"/>
      <c r="AK524" s="20"/>
      <c r="AL524" s="20"/>
      <c r="AM524" s="20"/>
      <c r="AN524" s="20"/>
      <c r="AO524" s="20"/>
      <c r="AP524" s="20"/>
      <c r="AQ524" s="20"/>
      <c r="AR524" s="20"/>
      <c r="AS524" s="20"/>
      <c r="AT524" s="20"/>
      <c r="AU524" s="20"/>
      <c r="AV524" s="20"/>
      <c r="AW524" s="20"/>
      <c r="AX524" s="20"/>
      <c r="AY524" s="20"/>
    </row>
    <row r="525" spans="4:51" ht="15" customHeight="1"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0"/>
      <c r="AQ525" s="20"/>
      <c r="AR525" s="20"/>
      <c r="AS525" s="20"/>
      <c r="AT525" s="20"/>
      <c r="AU525" s="20"/>
      <c r="AV525" s="20"/>
      <c r="AW525" s="20"/>
      <c r="AX525" s="20"/>
      <c r="AY525" s="20"/>
    </row>
    <row r="526" spans="4:51" ht="15" customHeight="1"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  <c r="AF526" s="20"/>
      <c r="AG526" s="20"/>
      <c r="AH526" s="20"/>
      <c r="AI526" s="20"/>
      <c r="AJ526" s="20"/>
      <c r="AK526" s="20"/>
      <c r="AL526" s="20"/>
      <c r="AM526" s="20"/>
      <c r="AN526" s="20"/>
      <c r="AO526" s="20"/>
      <c r="AP526" s="20"/>
      <c r="AQ526" s="20"/>
      <c r="AR526" s="20"/>
      <c r="AS526" s="20"/>
      <c r="AT526" s="20"/>
      <c r="AU526" s="20"/>
      <c r="AV526" s="20"/>
      <c r="AW526" s="20"/>
      <c r="AX526" s="20"/>
      <c r="AY526" s="20"/>
    </row>
    <row r="527" spans="4:51" ht="15" customHeight="1"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  <c r="AF527" s="20"/>
      <c r="AG527" s="20"/>
      <c r="AH527" s="20"/>
      <c r="AI527" s="20"/>
      <c r="AJ527" s="20"/>
      <c r="AK527" s="20"/>
      <c r="AL527" s="20"/>
      <c r="AM527" s="20"/>
      <c r="AN527" s="20"/>
      <c r="AO527" s="20"/>
      <c r="AP527" s="20"/>
      <c r="AQ527" s="20"/>
      <c r="AR527" s="20"/>
      <c r="AS527" s="20"/>
      <c r="AT527" s="20"/>
      <c r="AU527" s="20"/>
      <c r="AV527" s="20"/>
      <c r="AW527" s="20"/>
      <c r="AX527" s="20"/>
      <c r="AY527" s="20"/>
    </row>
    <row r="528" spans="4:51" ht="15" customHeight="1"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  <c r="AF528" s="20"/>
      <c r="AG528" s="20"/>
      <c r="AH528" s="20"/>
      <c r="AI528" s="20"/>
      <c r="AJ528" s="20"/>
      <c r="AK528" s="20"/>
      <c r="AL528" s="20"/>
      <c r="AM528" s="20"/>
      <c r="AN528" s="20"/>
      <c r="AO528" s="20"/>
      <c r="AP528" s="20"/>
      <c r="AQ528" s="20"/>
      <c r="AR528" s="20"/>
      <c r="AS528" s="20"/>
      <c r="AT528" s="20"/>
      <c r="AU528" s="20"/>
      <c r="AV528" s="20"/>
      <c r="AW528" s="20"/>
      <c r="AX528" s="20"/>
      <c r="AY528" s="20"/>
    </row>
    <row r="529" spans="4:51" ht="15" customHeight="1"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  <c r="AF529" s="20"/>
      <c r="AG529" s="20"/>
      <c r="AH529" s="20"/>
      <c r="AI529" s="20"/>
      <c r="AJ529" s="20"/>
      <c r="AK529" s="20"/>
      <c r="AL529" s="20"/>
      <c r="AM529" s="20"/>
      <c r="AN529" s="20"/>
      <c r="AO529" s="20"/>
      <c r="AP529" s="20"/>
      <c r="AQ529" s="20"/>
      <c r="AR529" s="20"/>
      <c r="AS529" s="20"/>
      <c r="AT529" s="20"/>
      <c r="AU529" s="20"/>
      <c r="AV529" s="20"/>
      <c r="AW529" s="20"/>
      <c r="AX529" s="20"/>
      <c r="AY529" s="20"/>
    </row>
    <row r="530" spans="4:51" ht="15" customHeight="1"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20"/>
      <c r="AP530" s="20"/>
      <c r="AQ530" s="20"/>
      <c r="AR530" s="20"/>
      <c r="AS530" s="20"/>
      <c r="AT530" s="20"/>
      <c r="AU530" s="20"/>
      <c r="AV530" s="20"/>
      <c r="AW530" s="20"/>
      <c r="AX530" s="20"/>
      <c r="AY530" s="20"/>
    </row>
    <row r="531" spans="4:51" ht="15" customHeight="1"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  <c r="AF531" s="20"/>
      <c r="AG531" s="20"/>
      <c r="AH531" s="20"/>
      <c r="AI531" s="20"/>
      <c r="AJ531" s="20"/>
      <c r="AK531" s="20"/>
      <c r="AL531" s="20"/>
      <c r="AM531" s="20"/>
      <c r="AN531" s="20"/>
      <c r="AO531" s="20"/>
      <c r="AP531" s="20"/>
      <c r="AQ531" s="20"/>
      <c r="AR531" s="20"/>
      <c r="AS531" s="20"/>
      <c r="AT531" s="20"/>
      <c r="AU531" s="20"/>
      <c r="AV531" s="20"/>
      <c r="AW531" s="20"/>
      <c r="AX531" s="20"/>
      <c r="AY531" s="20"/>
    </row>
    <row r="532" spans="4:51" ht="15" customHeight="1"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  <c r="AF532" s="20"/>
      <c r="AG532" s="20"/>
      <c r="AH532" s="20"/>
      <c r="AI532" s="20"/>
      <c r="AJ532" s="20"/>
      <c r="AK532" s="20"/>
      <c r="AL532" s="20"/>
      <c r="AM532" s="20"/>
      <c r="AN532" s="20"/>
      <c r="AO532" s="20"/>
      <c r="AP532" s="20"/>
      <c r="AQ532" s="20"/>
      <c r="AR532" s="20"/>
      <c r="AS532" s="20"/>
      <c r="AT532" s="20"/>
      <c r="AU532" s="20"/>
      <c r="AV532" s="20"/>
      <c r="AW532" s="20"/>
      <c r="AX532" s="20"/>
      <c r="AY532" s="20"/>
    </row>
    <row r="533" spans="4:51" ht="15" customHeight="1"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  <c r="AF533" s="20"/>
      <c r="AG533" s="20"/>
      <c r="AH533" s="20"/>
      <c r="AI533" s="20"/>
      <c r="AJ533" s="20"/>
      <c r="AK533" s="20"/>
      <c r="AL533" s="20"/>
      <c r="AM533" s="20"/>
      <c r="AN533" s="20"/>
      <c r="AO533" s="20"/>
      <c r="AP533" s="20"/>
      <c r="AQ533" s="20"/>
      <c r="AR533" s="20"/>
      <c r="AS533" s="20"/>
      <c r="AT533" s="20"/>
      <c r="AU533" s="20"/>
      <c r="AV533" s="20"/>
      <c r="AW533" s="20"/>
      <c r="AX533" s="20"/>
      <c r="AY533" s="20"/>
    </row>
    <row r="534" spans="4:51" ht="15" customHeight="1"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  <c r="AF534" s="20"/>
      <c r="AG534" s="20"/>
      <c r="AH534" s="20"/>
      <c r="AI534" s="20"/>
      <c r="AJ534" s="20"/>
      <c r="AK534" s="20"/>
      <c r="AL534" s="20"/>
      <c r="AM534" s="20"/>
      <c r="AN534" s="20"/>
      <c r="AO534" s="20"/>
      <c r="AP534" s="20"/>
      <c r="AQ534" s="20"/>
      <c r="AR534" s="20"/>
      <c r="AS534" s="20"/>
      <c r="AT534" s="20"/>
      <c r="AU534" s="20"/>
      <c r="AV534" s="20"/>
      <c r="AW534" s="20"/>
      <c r="AX534" s="20"/>
      <c r="AY534" s="20"/>
    </row>
    <row r="535" spans="4:51" ht="15" customHeight="1"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  <c r="AF535" s="20"/>
      <c r="AG535" s="20"/>
      <c r="AH535" s="20"/>
      <c r="AI535" s="20"/>
      <c r="AJ535" s="20"/>
      <c r="AK535" s="20"/>
      <c r="AL535" s="20"/>
      <c r="AM535" s="20"/>
      <c r="AN535" s="20"/>
      <c r="AO535" s="20"/>
      <c r="AP535" s="20"/>
      <c r="AQ535" s="20"/>
      <c r="AR535" s="20"/>
      <c r="AS535" s="20"/>
      <c r="AT535" s="20"/>
      <c r="AU535" s="20"/>
      <c r="AV535" s="20"/>
      <c r="AW535" s="20"/>
      <c r="AX535" s="20"/>
      <c r="AY535" s="20"/>
    </row>
    <row r="536" spans="4:51" ht="15" customHeight="1"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  <c r="AF536" s="20"/>
      <c r="AG536" s="20"/>
      <c r="AH536" s="20"/>
      <c r="AI536" s="20"/>
      <c r="AJ536" s="20"/>
      <c r="AK536" s="20"/>
      <c r="AL536" s="20"/>
      <c r="AM536" s="20"/>
      <c r="AN536" s="20"/>
      <c r="AO536" s="20"/>
      <c r="AP536" s="20"/>
      <c r="AQ536" s="20"/>
      <c r="AR536" s="20"/>
      <c r="AS536" s="20"/>
      <c r="AT536" s="20"/>
      <c r="AU536" s="20"/>
      <c r="AV536" s="20"/>
      <c r="AW536" s="20"/>
      <c r="AX536" s="20"/>
      <c r="AY536" s="20"/>
    </row>
    <row r="537" spans="4:51" ht="15" customHeight="1"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  <c r="AF537" s="20"/>
      <c r="AG537" s="20"/>
      <c r="AH537" s="20"/>
      <c r="AI537" s="20"/>
      <c r="AJ537" s="20"/>
      <c r="AK537" s="20"/>
      <c r="AL537" s="20"/>
      <c r="AM537" s="20"/>
      <c r="AN537" s="20"/>
      <c r="AO537" s="20"/>
      <c r="AP537" s="20"/>
      <c r="AQ537" s="20"/>
      <c r="AR537" s="20"/>
      <c r="AS537" s="20"/>
      <c r="AT537" s="20"/>
      <c r="AU537" s="20"/>
      <c r="AV537" s="20"/>
      <c r="AW537" s="20"/>
      <c r="AX537" s="20"/>
      <c r="AY537" s="20"/>
    </row>
    <row r="538" spans="4:51" ht="15" customHeight="1"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  <c r="AF538" s="20"/>
      <c r="AG538" s="20"/>
      <c r="AH538" s="20"/>
      <c r="AI538" s="20"/>
      <c r="AJ538" s="20"/>
      <c r="AK538" s="20"/>
      <c r="AL538" s="20"/>
      <c r="AM538" s="20"/>
      <c r="AN538" s="20"/>
      <c r="AO538" s="20"/>
      <c r="AP538" s="20"/>
      <c r="AQ538" s="20"/>
      <c r="AR538" s="20"/>
      <c r="AS538" s="20"/>
      <c r="AT538" s="20"/>
      <c r="AU538" s="20"/>
      <c r="AV538" s="20"/>
      <c r="AW538" s="20"/>
      <c r="AX538" s="20"/>
      <c r="AY538" s="20"/>
    </row>
    <row r="539" spans="4:51" ht="15" customHeight="1"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  <c r="AF539" s="20"/>
      <c r="AG539" s="20"/>
      <c r="AH539" s="20"/>
      <c r="AI539" s="20"/>
      <c r="AJ539" s="20"/>
      <c r="AK539" s="20"/>
      <c r="AL539" s="20"/>
      <c r="AM539" s="20"/>
      <c r="AN539" s="20"/>
      <c r="AO539" s="20"/>
      <c r="AP539" s="20"/>
      <c r="AQ539" s="20"/>
      <c r="AR539" s="20"/>
      <c r="AS539" s="20"/>
      <c r="AT539" s="20"/>
      <c r="AU539" s="20"/>
      <c r="AV539" s="20"/>
      <c r="AW539" s="20"/>
      <c r="AX539" s="20"/>
      <c r="AY539" s="20"/>
    </row>
    <row r="540" spans="4:51" ht="15" customHeight="1"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  <c r="AF540" s="20"/>
      <c r="AG540" s="20"/>
      <c r="AH540" s="20"/>
      <c r="AI540" s="20"/>
      <c r="AJ540" s="20"/>
      <c r="AK540" s="20"/>
      <c r="AL540" s="20"/>
      <c r="AM540" s="20"/>
      <c r="AN540" s="20"/>
      <c r="AO540" s="20"/>
      <c r="AP540" s="20"/>
      <c r="AQ540" s="20"/>
      <c r="AR540" s="20"/>
      <c r="AS540" s="20"/>
      <c r="AT540" s="20"/>
      <c r="AU540" s="20"/>
      <c r="AV540" s="20"/>
      <c r="AW540" s="20"/>
      <c r="AX540" s="20"/>
      <c r="AY540" s="20"/>
    </row>
    <row r="541" spans="4:51" ht="15" customHeight="1"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  <c r="AF541" s="20"/>
      <c r="AG541" s="20"/>
      <c r="AH541" s="20"/>
      <c r="AI541" s="20"/>
      <c r="AJ541" s="20"/>
      <c r="AK541" s="20"/>
      <c r="AL541" s="20"/>
      <c r="AM541" s="20"/>
      <c r="AN541" s="20"/>
      <c r="AO541" s="20"/>
      <c r="AP541" s="20"/>
      <c r="AQ541" s="20"/>
      <c r="AR541" s="20"/>
      <c r="AS541" s="20"/>
      <c r="AT541" s="20"/>
      <c r="AU541" s="20"/>
      <c r="AV541" s="20"/>
      <c r="AW541" s="20"/>
      <c r="AX541" s="20"/>
      <c r="AY541" s="20"/>
    </row>
    <row r="542" spans="4:51" ht="15" customHeight="1"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  <c r="AE542" s="20"/>
      <c r="AF542" s="20"/>
      <c r="AG542" s="20"/>
      <c r="AH542" s="20"/>
      <c r="AI542" s="20"/>
      <c r="AJ542" s="20"/>
      <c r="AK542" s="20"/>
      <c r="AL542" s="20"/>
      <c r="AM542" s="20"/>
      <c r="AN542" s="20"/>
      <c r="AO542" s="20"/>
      <c r="AP542" s="20"/>
      <c r="AQ542" s="20"/>
      <c r="AR542" s="20"/>
      <c r="AS542" s="20"/>
      <c r="AT542" s="20"/>
      <c r="AU542" s="20"/>
      <c r="AV542" s="20"/>
      <c r="AW542" s="20"/>
      <c r="AX542" s="20"/>
      <c r="AY542" s="20"/>
    </row>
    <row r="543" spans="4:51" ht="15" customHeight="1"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  <c r="AF543" s="20"/>
      <c r="AG543" s="20"/>
      <c r="AH543" s="20"/>
      <c r="AI543" s="20"/>
      <c r="AJ543" s="20"/>
      <c r="AK543" s="20"/>
      <c r="AL543" s="20"/>
      <c r="AM543" s="20"/>
      <c r="AN543" s="20"/>
      <c r="AO543" s="20"/>
      <c r="AP543" s="20"/>
      <c r="AQ543" s="20"/>
      <c r="AR543" s="20"/>
      <c r="AS543" s="20"/>
      <c r="AT543" s="20"/>
      <c r="AU543" s="20"/>
      <c r="AV543" s="20"/>
      <c r="AW543" s="20"/>
      <c r="AX543" s="20"/>
      <c r="AY543" s="20"/>
    </row>
    <row r="544" spans="4:51" ht="15" customHeight="1"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  <c r="AF544" s="20"/>
      <c r="AG544" s="20"/>
      <c r="AH544" s="20"/>
      <c r="AI544" s="20"/>
      <c r="AJ544" s="20"/>
      <c r="AK544" s="20"/>
      <c r="AL544" s="20"/>
      <c r="AM544" s="20"/>
      <c r="AN544" s="20"/>
      <c r="AO544" s="20"/>
      <c r="AP544" s="20"/>
      <c r="AQ544" s="20"/>
      <c r="AR544" s="20"/>
      <c r="AS544" s="20"/>
      <c r="AT544" s="20"/>
      <c r="AU544" s="20"/>
      <c r="AV544" s="20"/>
      <c r="AW544" s="20"/>
      <c r="AX544" s="20"/>
      <c r="AY544" s="20"/>
    </row>
    <row r="545" spans="4:51" ht="15" customHeight="1"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  <c r="AF545" s="20"/>
      <c r="AG545" s="20"/>
      <c r="AH545" s="20"/>
      <c r="AI545" s="20"/>
      <c r="AJ545" s="20"/>
      <c r="AK545" s="20"/>
      <c r="AL545" s="20"/>
      <c r="AM545" s="20"/>
      <c r="AN545" s="20"/>
      <c r="AO545" s="20"/>
      <c r="AP545" s="20"/>
      <c r="AQ545" s="20"/>
      <c r="AR545" s="20"/>
      <c r="AS545" s="20"/>
      <c r="AT545" s="20"/>
      <c r="AU545" s="20"/>
      <c r="AV545" s="20"/>
      <c r="AW545" s="20"/>
      <c r="AX545" s="20"/>
      <c r="AY545" s="20"/>
    </row>
    <row r="546" spans="4:51" ht="15" customHeight="1"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  <c r="AF546" s="20"/>
      <c r="AG546" s="20"/>
      <c r="AH546" s="20"/>
      <c r="AI546" s="20"/>
      <c r="AJ546" s="20"/>
      <c r="AK546" s="20"/>
      <c r="AL546" s="20"/>
      <c r="AM546" s="20"/>
      <c r="AN546" s="20"/>
      <c r="AO546" s="20"/>
      <c r="AP546" s="20"/>
      <c r="AQ546" s="20"/>
      <c r="AR546" s="20"/>
      <c r="AS546" s="20"/>
      <c r="AT546" s="20"/>
      <c r="AU546" s="20"/>
      <c r="AV546" s="20"/>
      <c r="AW546" s="20"/>
      <c r="AX546" s="20"/>
      <c r="AY546" s="20"/>
    </row>
    <row r="547" spans="4:51" ht="15" customHeight="1"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  <c r="AF547" s="20"/>
      <c r="AG547" s="20"/>
      <c r="AH547" s="20"/>
      <c r="AI547" s="20"/>
      <c r="AJ547" s="20"/>
      <c r="AK547" s="20"/>
      <c r="AL547" s="20"/>
      <c r="AM547" s="20"/>
      <c r="AN547" s="20"/>
      <c r="AO547" s="20"/>
      <c r="AP547" s="20"/>
      <c r="AQ547" s="20"/>
      <c r="AR547" s="20"/>
      <c r="AS547" s="20"/>
      <c r="AT547" s="20"/>
      <c r="AU547" s="20"/>
      <c r="AV547" s="20"/>
      <c r="AW547" s="20"/>
      <c r="AX547" s="20"/>
      <c r="AY547" s="20"/>
    </row>
    <row r="548" spans="4:51" ht="15" customHeight="1"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AI548" s="20"/>
      <c r="AJ548" s="20"/>
      <c r="AK548" s="20"/>
      <c r="AL548" s="20"/>
      <c r="AM548" s="20"/>
      <c r="AN548" s="20"/>
      <c r="AO548" s="20"/>
      <c r="AP548" s="20"/>
      <c r="AQ548" s="20"/>
      <c r="AR548" s="20"/>
      <c r="AS548" s="20"/>
      <c r="AT548" s="20"/>
      <c r="AU548" s="20"/>
      <c r="AV548" s="20"/>
      <c r="AW548" s="20"/>
      <c r="AX548" s="20"/>
      <c r="AY548" s="20"/>
    </row>
    <row r="549" spans="4:51" ht="15" customHeight="1"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  <c r="AF549" s="20"/>
      <c r="AG549" s="20"/>
      <c r="AH549" s="20"/>
      <c r="AI549" s="20"/>
      <c r="AJ549" s="20"/>
      <c r="AK549" s="20"/>
      <c r="AL549" s="20"/>
      <c r="AM549" s="20"/>
      <c r="AN549" s="20"/>
      <c r="AO549" s="20"/>
      <c r="AP549" s="20"/>
      <c r="AQ549" s="20"/>
      <c r="AR549" s="20"/>
      <c r="AS549" s="20"/>
      <c r="AT549" s="20"/>
      <c r="AU549" s="20"/>
      <c r="AV549" s="20"/>
      <c r="AW549" s="20"/>
      <c r="AX549" s="20"/>
      <c r="AY549" s="20"/>
    </row>
    <row r="550" spans="4:51" ht="15" customHeight="1"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AG550" s="20"/>
      <c r="AH550" s="20"/>
      <c r="AI550" s="20"/>
      <c r="AJ550" s="20"/>
      <c r="AK550" s="20"/>
      <c r="AL550" s="20"/>
      <c r="AM550" s="20"/>
      <c r="AN550" s="20"/>
      <c r="AO550" s="20"/>
      <c r="AP550" s="20"/>
      <c r="AQ550" s="20"/>
      <c r="AR550" s="20"/>
      <c r="AS550" s="20"/>
      <c r="AT550" s="20"/>
      <c r="AU550" s="20"/>
      <c r="AV550" s="20"/>
      <c r="AW550" s="20"/>
      <c r="AX550" s="20"/>
      <c r="AY550" s="20"/>
    </row>
    <row r="551" spans="4:51" ht="15" customHeight="1"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  <c r="AF551" s="20"/>
      <c r="AG551" s="20"/>
      <c r="AH551" s="20"/>
      <c r="AI551" s="20"/>
      <c r="AJ551" s="20"/>
      <c r="AK551" s="20"/>
      <c r="AL551" s="20"/>
      <c r="AM551" s="20"/>
      <c r="AN551" s="20"/>
      <c r="AO551" s="20"/>
      <c r="AP551" s="20"/>
      <c r="AQ551" s="20"/>
      <c r="AR551" s="20"/>
      <c r="AS551" s="20"/>
      <c r="AT551" s="20"/>
      <c r="AU551" s="20"/>
      <c r="AV551" s="20"/>
      <c r="AW551" s="20"/>
      <c r="AX551" s="20"/>
      <c r="AY551" s="20"/>
    </row>
    <row r="552" spans="4:51" ht="15" customHeight="1"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  <c r="AF552" s="20"/>
      <c r="AG552" s="20"/>
      <c r="AH552" s="20"/>
      <c r="AI552" s="20"/>
      <c r="AJ552" s="20"/>
      <c r="AK552" s="20"/>
      <c r="AL552" s="20"/>
      <c r="AM552" s="20"/>
      <c r="AN552" s="20"/>
      <c r="AO552" s="20"/>
      <c r="AP552" s="20"/>
      <c r="AQ552" s="20"/>
      <c r="AR552" s="20"/>
      <c r="AS552" s="20"/>
      <c r="AT552" s="20"/>
      <c r="AU552" s="20"/>
      <c r="AV552" s="20"/>
      <c r="AW552" s="20"/>
      <c r="AX552" s="20"/>
      <c r="AY552" s="20"/>
    </row>
    <row r="553" spans="4:51" ht="15" customHeight="1"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  <c r="AF553" s="20"/>
      <c r="AG553" s="20"/>
      <c r="AH553" s="20"/>
      <c r="AI553" s="20"/>
      <c r="AJ553" s="20"/>
      <c r="AK553" s="20"/>
      <c r="AL553" s="20"/>
      <c r="AM553" s="20"/>
      <c r="AN553" s="20"/>
      <c r="AO553" s="20"/>
      <c r="AP553" s="20"/>
      <c r="AQ553" s="20"/>
      <c r="AR553" s="20"/>
      <c r="AS553" s="20"/>
      <c r="AT553" s="20"/>
      <c r="AU553" s="20"/>
      <c r="AV553" s="20"/>
      <c r="AW553" s="20"/>
      <c r="AX553" s="20"/>
      <c r="AY553" s="20"/>
    </row>
    <row r="554" spans="4:51" ht="15" customHeight="1"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  <c r="AF554" s="20"/>
      <c r="AG554" s="20"/>
      <c r="AH554" s="20"/>
      <c r="AI554" s="20"/>
      <c r="AJ554" s="20"/>
      <c r="AK554" s="20"/>
      <c r="AL554" s="20"/>
      <c r="AM554" s="20"/>
      <c r="AN554" s="20"/>
      <c r="AO554" s="20"/>
      <c r="AP554" s="20"/>
      <c r="AQ554" s="20"/>
      <c r="AR554" s="20"/>
      <c r="AS554" s="20"/>
      <c r="AT554" s="20"/>
      <c r="AU554" s="20"/>
      <c r="AV554" s="20"/>
      <c r="AW554" s="20"/>
      <c r="AX554" s="20"/>
      <c r="AY554" s="20"/>
    </row>
    <row r="555" spans="4:51" ht="15" customHeight="1"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  <c r="AF555" s="20"/>
      <c r="AG555" s="20"/>
      <c r="AH555" s="20"/>
      <c r="AI555" s="20"/>
      <c r="AJ555" s="20"/>
      <c r="AK555" s="20"/>
      <c r="AL555" s="20"/>
      <c r="AM555" s="20"/>
      <c r="AN555" s="20"/>
      <c r="AO555" s="20"/>
      <c r="AP555" s="20"/>
      <c r="AQ555" s="20"/>
      <c r="AR555" s="20"/>
      <c r="AS555" s="20"/>
      <c r="AT555" s="20"/>
      <c r="AU555" s="20"/>
      <c r="AV555" s="20"/>
      <c r="AW555" s="20"/>
      <c r="AX555" s="20"/>
      <c r="AY555" s="20"/>
    </row>
    <row r="556" spans="4:51" ht="15" customHeight="1"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  <c r="AF556" s="20"/>
      <c r="AG556" s="20"/>
      <c r="AH556" s="20"/>
      <c r="AI556" s="20"/>
      <c r="AJ556" s="20"/>
      <c r="AK556" s="20"/>
      <c r="AL556" s="20"/>
      <c r="AM556" s="20"/>
      <c r="AN556" s="20"/>
      <c r="AO556" s="20"/>
      <c r="AP556" s="20"/>
      <c r="AQ556" s="20"/>
      <c r="AR556" s="20"/>
      <c r="AS556" s="20"/>
      <c r="AT556" s="20"/>
      <c r="AU556" s="20"/>
      <c r="AV556" s="20"/>
      <c r="AW556" s="20"/>
      <c r="AX556" s="20"/>
      <c r="AY556" s="20"/>
    </row>
    <row r="557" spans="4:51" ht="15" customHeight="1"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  <c r="AF557" s="20"/>
      <c r="AG557" s="20"/>
      <c r="AH557" s="20"/>
      <c r="AI557" s="20"/>
      <c r="AJ557" s="20"/>
      <c r="AK557" s="20"/>
      <c r="AL557" s="20"/>
      <c r="AM557" s="20"/>
      <c r="AN557" s="20"/>
      <c r="AO557" s="20"/>
      <c r="AP557" s="20"/>
      <c r="AQ557" s="20"/>
      <c r="AR557" s="20"/>
      <c r="AS557" s="20"/>
      <c r="AT557" s="20"/>
      <c r="AU557" s="20"/>
      <c r="AV557" s="20"/>
      <c r="AW557" s="20"/>
      <c r="AX557" s="20"/>
      <c r="AY557" s="20"/>
    </row>
    <row r="558" spans="4:51" ht="15" customHeight="1"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  <c r="AF558" s="20"/>
      <c r="AG558" s="20"/>
      <c r="AH558" s="20"/>
      <c r="AI558" s="20"/>
      <c r="AJ558" s="20"/>
      <c r="AK558" s="20"/>
      <c r="AL558" s="20"/>
      <c r="AM558" s="20"/>
      <c r="AN558" s="20"/>
      <c r="AO558" s="20"/>
      <c r="AP558" s="20"/>
      <c r="AQ558" s="20"/>
      <c r="AR558" s="20"/>
      <c r="AS558" s="20"/>
      <c r="AT558" s="20"/>
      <c r="AU558" s="20"/>
      <c r="AV558" s="20"/>
      <c r="AW558" s="20"/>
      <c r="AX558" s="20"/>
      <c r="AY558" s="20"/>
    </row>
    <row r="559" spans="4:51" ht="15" customHeight="1"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  <c r="AF559" s="20"/>
      <c r="AG559" s="20"/>
      <c r="AH559" s="20"/>
      <c r="AI559" s="20"/>
      <c r="AJ559" s="20"/>
      <c r="AK559" s="20"/>
      <c r="AL559" s="20"/>
      <c r="AM559" s="20"/>
      <c r="AN559" s="20"/>
      <c r="AO559" s="20"/>
      <c r="AP559" s="20"/>
      <c r="AQ559" s="20"/>
      <c r="AR559" s="20"/>
      <c r="AS559" s="20"/>
      <c r="AT559" s="20"/>
      <c r="AU559" s="20"/>
      <c r="AV559" s="20"/>
      <c r="AW559" s="20"/>
      <c r="AX559" s="20"/>
      <c r="AY559" s="20"/>
    </row>
    <row r="560" spans="4:51" ht="15" customHeight="1"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  <c r="AF560" s="20"/>
      <c r="AG560" s="20"/>
      <c r="AH560" s="20"/>
      <c r="AI560" s="20"/>
      <c r="AJ560" s="20"/>
      <c r="AK560" s="20"/>
      <c r="AL560" s="20"/>
      <c r="AM560" s="20"/>
      <c r="AN560" s="20"/>
      <c r="AO560" s="20"/>
      <c r="AP560" s="20"/>
      <c r="AQ560" s="20"/>
      <c r="AR560" s="20"/>
      <c r="AS560" s="20"/>
      <c r="AT560" s="20"/>
      <c r="AU560" s="20"/>
      <c r="AV560" s="20"/>
      <c r="AW560" s="20"/>
      <c r="AX560" s="20"/>
      <c r="AY560" s="20"/>
    </row>
    <row r="561" spans="4:51" ht="15" customHeight="1"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  <c r="AF561" s="20"/>
      <c r="AG561" s="20"/>
      <c r="AH561" s="20"/>
      <c r="AI561" s="20"/>
      <c r="AJ561" s="20"/>
      <c r="AK561" s="20"/>
      <c r="AL561" s="20"/>
      <c r="AM561" s="20"/>
      <c r="AN561" s="20"/>
      <c r="AO561" s="20"/>
      <c r="AP561" s="20"/>
      <c r="AQ561" s="20"/>
      <c r="AR561" s="20"/>
      <c r="AS561" s="20"/>
      <c r="AT561" s="20"/>
      <c r="AU561" s="20"/>
      <c r="AV561" s="20"/>
      <c r="AW561" s="20"/>
      <c r="AX561" s="20"/>
      <c r="AY561" s="20"/>
    </row>
    <row r="562" spans="4:51" ht="15" customHeight="1"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  <c r="AF562" s="20"/>
      <c r="AG562" s="20"/>
      <c r="AH562" s="20"/>
      <c r="AI562" s="20"/>
      <c r="AJ562" s="20"/>
      <c r="AK562" s="20"/>
      <c r="AL562" s="20"/>
      <c r="AM562" s="20"/>
      <c r="AN562" s="20"/>
      <c r="AO562" s="20"/>
      <c r="AP562" s="20"/>
      <c r="AQ562" s="20"/>
      <c r="AR562" s="20"/>
      <c r="AS562" s="20"/>
      <c r="AT562" s="20"/>
      <c r="AU562" s="20"/>
      <c r="AV562" s="20"/>
      <c r="AW562" s="20"/>
      <c r="AX562" s="20"/>
      <c r="AY562" s="20"/>
    </row>
    <row r="563" spans="4:51" ht="15" customHeight="1"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20"/>
      <c r="AM563" s="20"/>
      <c r="AN563" s="20"/>
      <c r="AO563" s="20"/>
      <c r="AP563" s="20"/>
      <c r="AQ563" s="20"/>
      <c r="AR563" s="20"/>
      <c r="AS563" s="20"/>
      <c r="AT563" s="20"/>
      <c r="AU563" s="20"/>
      <c r="AV563" s="20"/>
      <c r="AW563" s="20"/>
      <c r="AX563" s="20"/>
      <c r="AY563" s="20"/>
    </row>
    <row r="564" spans="4:51" ht="15" customHeight="1"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  <c r="AJ564" s="20"/>
      <c r="AK564" s="20"/>
      <c r="AL564" s="20"/>
      <c r="AM564" s="20"/>
      <c r="AN564" s="20"/>
      <c r="AO564" s="20"/>
      <c r="AP564" s="20"/>
      <c r="AQ564" s="20"/>
      <c r="AR564" s="20"/>
      <c r="AS564" s="20"/>
      <c r="AT564" s="20"/>
      <c r="AU564" s="20"/>
      <c r="AV564" s="20"/>
      <c r="AW564" s="20"/>
      <c r="AX564" s="20"/>
      <c r="AY564" s="20"/>
    </row>
    <row r="565" spans="4:51" ht="15" customHeight="1"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  <c r="AI565" s="20"/>
      <c r="AJ565" s="20"/>
      <c r="AK565" s="20"/>
      <c r="AL565" s="20"/>
      <c r="AM565" s="20"/>
      <c r="AN565" s="20"/>
      <c r="AO565" s="20"/>
      <c r="AP565" s="20"/>
      <c r="AQ565" s="20"/>
      <c r="AR565" s="20"/>
      <c r="AS565" s="20"/>
      <c r="AT565" s="20"/>
      <c r="AU565" s="20"/>
      <c r="AV565" s="20"/>
      <c r="AW565" s="20"/>
      <c r="AX565" s="20"/>
      <c r="AY565" s="20"/>
    </row>
    <row r="566" spans="4:51" ht="15" customHeight="1"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AI566" s="20"/>
      <c r="AJ566" s="20"/>
      <c r="AK566" s="20"/>
      <c r="AL566" s="20"/>
      <c r="AM566" s="20"/>
      <c r="AN566" s="20"/>
      <c r="AO566" s="20"/>
      <c r="AP566" s="20"/>
      <c r="AQ566" s="20"/>
      <c r="AR566" s="20"/>
      <c r="AS566" s="20"/>
      <c r="AT566" s="20"/>
      <c r="AU566" s="20"/>
      <c r="AV566" s="20"/>
      <c r="AW566" s="20"/>
      <c r="AX566" s="20"/>
      <c r="AY566" s="20"/>
    </row>
    <row r="567" spans="4:51" ht="15" customHeight="1"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  <c r="AF567" s="20"/>
      <c r="AG567" s="20"/>
      <c r="AH567" s="20"/>
      <c r="AI567" s="20"/>
      <c r="AJ567" s="20"/>
      <c r="AK567" s="20"/>
      <c r="AL567" s="20"/>
      <c r="AM567" s="20"/>
      <c r="AN567" s="20"/>
      <c r="AO567" s="20"/>
      <c r="AP567" s="20"/>
      <c r="AQ567" s="20"/>
      <c r="AR567" s="20"/>
      <c r="AS567" s="20"/>
      <c r="AT567" s="20"/>
      <c r="AU567" s="20"/>
      <c r="AV567" s="20"/>
      <c r="AW567" s="20"/>
      <c r="AX567" s="20"/>
      <c r="AY567" s="20"/>
    </row>
    <row r="568" spans="4:51" ht="15" customHeight="1"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AI568" s="20"/>
      <c r="AJ568" s="20"/>
      <c r="AK568" s="20"/>
      <c r="AL568" s="20"/>
      <c r="AM568" s="20"/>
      <c r="AN568" s="20"/>
      <c r="AO568" s="20"/>
      <c r="AP568" s="20"/>
      <c r="AQ568" s="20"/>
      <c r="AR568" s="20"/>
      <c r="AS568" s="20"/>
      <c r="AT568" s="20"/>
      <c r="AU568" s="20"/>
      <c r="AV568" s="20"/>
      <c r="AW568" s="20"/>
      <c r="AX568" s="20"/>
      <c r="AY568" s="20"/>
    </row>
    <row r="569" spans="4:51" ht="15" customHeight="1"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AG569" s="20"/>
      <c r="AH569" s="20"/>
      <c r="AI569" s="20"/>
      <c r="AJ569" s="20"/>
      <c r="AK569" s="20"/>
      <c r="AL569" s="20"/>
      <c r="AM569" s="20"/>
      <c r="AN569" s="20"/>
      <c r="AO569" s="20"/>
      <c r="AP569" s="20"/>
      <c r="AQ569" s="20"/>
      <c r="AR569" s="20"/>
      <c r="AS569" s="20"/>
      <c r="AT569" s="20"/>
      <c r="AU569" s="20"/>
      <c r="AV569" s="20"/>
      <c r="AW569" s="20"/>
      <c r="AX569" s="20"/>
      <c r="AY569" s="20"/>
    </row>
    <row r="570" spans="4:51" ht="15" customHeight="1"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  <c r="AI570" s="20"/>
      <c r="AJ570" s="20"/>
      <c r="AK570" s="20"/>
      <c r="AL570" s="20"/>
      <c r="AM570" s="20"/>
      <c r="AN570" s="20"/>
      <c r="AO570" s="20"/>
      <c r="AP570" s="20"/>
      <c r="AQ570" s="20"/>
      <c r="AR570" s="20"/>
      <c r="AS570" s="20"/>
      <c r="AT570" s="20"/>
      <c r="AU570" s="20"/>
      <c r="AV570" s="20"/>
      <c r="AW570" s="20"/>
      <c r="AX570" s="20"/>
      <c r="AY570" s="20"/>
    </row>
    <row r="571" spans="4:51" ht="15" customHeight="1"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  <c r="AJ571" s="20"/>
      <c r="AK571" s="20"/>
      <c r="AL571" s="20"/>
      <c r="AM571" s="20"/>
      <c r="AN571" s="20"/>
      <c r="AO571" s="20"/>
      <c r="AP571" s="20"/>
      <c r="AQ571" s="20"/>
      <c r="AR571" s="20"/>
      <c r="AS571" s="20"/>
      <c r="AT571" s="20"/>
      <c r="AU571" s="20"/>
      <c r="AV571" s="20"/>
      <c r="AW571" s="20"/>
      <c r="AX571" s="20"/>
      <c r="AY571" s="20"/>
    </row>
    <row r="572" spans="4:51" ht="15" customHeight="1"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0"/>
      <c r="AI572" s="20"/>
      <c r="AJ572" s="20"/>
      <c r="AK572" s="20"/>
      <c r="AL572" s="20"/>
      <c r="AM572" s="20"/>
      <c r="AN572" s="20"/>
      <c r="AO572" s="20"/>
      <c r="AP572" s="20"/>
      <c r="AQ572" s="20"/>
      <c r="AR572" s="20"/>
      <c r="AS572" s="20"/>
      <c r="AT572" s="20"/>
      <c r="AU572" s="20"/>
      <c r="AV572" s="20"/>
      <c r="AW572" s="20"/>
      <c r="AX572" s="20"/>
      <c r="AY572" s="20"/>
    </row>
    <row r="573" spans="4:51" ht="15" customHeight="1"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20"/>
      <c r="AM573" s="20"/>
      <c r="AN573" s="20"/>
      <c r="AO573" s="20"/>
      <c r="AP573" s="20"/>
      <c r="AQ573" s="20"/>
      <c r="AR573" s="20"/>
      <c r="AS573" s="20"/>
      <c r="AT573" s="20"/>
      <c r="AU573" s="20"/>
      <c r="AV573" s="20"/>
      <c r="AW573" s="20"/>
      <c r="AX573" s="20"/>
      <c r="AY573" s="20"/>
    </row>
    <row r="574" spans="4:51" ht="15" customHeight="1"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0"/>
      <c r="AM574" s="20"/>
      <c r="AN574" s="20"/>
      <c r="AO574" s="20"/>
      <c r="AP574" s="20"/>
      <c r="AQ574" s="20"/>
      <c r="AR574" s="20"/>
      <c r="AS574" s="20"/>
      <c r="AT574" s="20"/>
      <c r="AU574" s="20"/>
      <c r="AV574" s="20"/>
      <c r="AW574" s="20"/>
      <c r="AX574" s="20"/>
      <c r="AY574" s="20"/>
    </row>
    <row r="575" spans="4:51" ht="15" customHeight="1"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  <c r="AI575" s="20"/>
      <c r="AJ575" s="20"/>
      <c r="AK575" s="20"/>
      <c r="AL575" s="20"/>
      <c r="AM575" s="20"/>
      <c r="AN575" s="20"/>
      <c r="AO575" s="20"/>
      <c r="AP575" s="20"/>
      <c r="AQ575" s="20"/>
      <c r="AR575" s="20"/>
      <c r="AS575" s="20"/>
      <c r="AT575" s="20"/>
      <c r="AU575" s="20"/>
      <c r="AV575" s="20"/>
      <c r="AW575" s="20"/>
      <c r="AX575" s="20"/>
      <c r="AY575" s="20"/>
    </row>
    <row r="576" spans="4:51" ht="15" customHeight="1"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  <c r="AF576" s="20"/>
      <c r="AG576" s="20"/>
      <c r="AH576" s="20"/>
      <c r="AI576" s="20"/>
      <c r="AJ576" s="20"/>
      <c r="AK576" s="20"/>
      <c r="AL576" s="20"/>
      <c r="AM576" s="20"/>
      <c r="AN576" s="20"/>
      <c r="AO576" s="20"/>
      <c r="AP576" s="20"/>
      <c r="AQ576" s="20"/>
      <c r="AR576" s="20"/>
      <c r="AS576" s="20"/>
      <c r="AT576" s="20"/>
      <c r="AU576" s="20"/>
      <c r="AV576" s="20"/>
      <c r="AW576" s="20"/>
      <c r="AX576" s="20"/>
      <c r="AY576" s="20"/>
    </row>
    <row r="577" spans="4:51" ht="15" customHeight="1"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/>
      <c r="AI577" s="20"/>
      <c r="AJ577" s="20"/>
      <c r="AK577" s="20"/>
      <c r="AL577" s="20"/>
      <c r="AM577" s="20"/>
      <c r="AN577" s="20"/>
      <c r="AO577" s="20"/>
      <c r="AP577" s="20"/>
      <c r="AQ577" s="20"/>
      <c r="AR577" s="20"/>
      <c r="AS577" s="20"/>
      <c r="AT577" s="20"/>
      <c r="AU577" s="20"/>
      <c r="AV577" s="20"/>
      <c r="AW577" s="20"/>
      <c r="AX577" s="20"/>
      <c r="AY577" s="20"/>
    </row>
    <row r="578" spans="4:51" ht="15" customHeight="1"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  <c r="AF578" s="20"/>
      <c r="AG578" s="20"/>
      <c r="AH578" s="20"/>
      <c r="AI578" s="20"/>
      <c r="AJ578" s="20"/>
      <c r="AK578" s="20"/>
      <c r="AL578" s="20"/>
      <c r="AM578" s="20"/>
      <c r="AN578" s="20"/>
      <c r="AO578" s="20"/>
      <c r="AP578" s="20"/>
      <c r="AQ578" s="20"/>
      <c r="AR578" s="20"/>
      <c r="AS578" s="20"/>
      <c r="AT578" s="20"/>
      <c r="AU578" s="20"/>
      <c r="AV578" s="20"/>
      <c r="AW578" s="20"/>
      <c r="AX578" s="20"/>
      <c r="AY578" s="20"/>
    </row>
    <row r="579" spans="4:51" ht="15" customHeight="1"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  <c r="AF579" s="20"/>
      <c r="AG579" s="20"/>
      <c r="AH579" s="20"/>
      <c r="AI579" s="20"/>
      <c r="AJ579" s="20"/>
      <c r="AK579" s="20"/>
      <c r="AL579" s="20"/>
      <c r="AM579" s="20"/>
      <c r="AN579" s="20"/>
      <c r="AO579" s="20"/>
      <c r="AP579" s="20"/>
      <c r="AQ579" s="20"/>
      <c r="AR579" s="20"/>
      <c r="AS579" s="20"/>
      <c r="AT579" s="20"/>
      <c r="AU579" s="20"/>
      <c r="AV579" s="20"/>
      <c r="AW579" s="20"/>
      <c r="AX579" s="20"/>
      <c r="AY579" s="20"/>
    </row>
    <row r="580" spans="4:51" ht="15" customHeight="1"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20"/>
      <c r="AM580" s="20"/>
      <c r="AN580" s="20"/>
      <c r="AO580" s="20"/>
      <c r="AP580" s="20"/>
      <c r="AQ580" s="20"/>
      <c r="AR580" s="20"/>
      <c r="AS580" s="20"/>
      <c r="AT580" s="20"/>
      <c r="AU580" s="20"/>
      <c r="AV580" s="20"/>
      <c r="AW580" s="20"/>
      <c r="AX580" s="20"/>
      <c r="AY580" s="20"/>
    </row>
    <row r="581" spans="4:51" ht="15" customHeight="1"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20"/>
      <c r="AM581" s="20"/>
      <c r="AN581" s="20"/>
      <c r="AO581" s="20"/>
      <c r="AP581" s="20"/>
      <c r="AQ581" s="20"/>
      <c r="AR581" s="20"/>
      <c r="AS581" s="20"/>
      <c r="AT581" s="20"/>
      <c r="AU581" s="20"/>
      <c r="AV581" s="20"/>
      <c r="AW581" s="20"/>
      <c r="AX581" s="20"/>
      <c r="AY581" s="20"/>
    </row>
    <row r="582" spans="4:51" ht="15" customHeight="1"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20"/>
      <c r="AM582" s="20"/>
      <c r="AN582" s="20"/>
      <c r="AO582" s="20"/>
      <c r="AP582" s="20"/>
      <c r="AQ582" s="20"/>
      <c r="AR582" s="20"/>
      <c r="AS582" s="20"/>
      <c r="AT582" s="20"/>
      <c r="AU582" s="20"/>
      <c r="AV582" s="20"/>
      <c r="AW582" s="20"/>
      <c r="AX582" s="20"/>
      <c r="AY582" s="20"/>
    </row>
    <row r="583" spans="4:51" ht="15" customHeight="1"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20"/>
      <c r="AM583" s="20"/>
      <c r="AN583" s="20"/>
      <c r="AO583" s="20"/>
      <c r="AP583" s="20"/>
      <c r="AQ583" s="20"/>
      <c r="AR583" s="20"/>
      <c r="AS583" s="20"/>
      <c r="AT583" s="20"/>
      <c r="AU583" s="20"/>
      <c r="AV583" s="20"/>
      <c r="AW583" s="20"/>
      <c r="AX583" s="20"/>
      <c r="AY583" s="20"/>
    </row>
    <row r="584" spans="4:51" ht="15" customHeight="1"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AI584" s="20"/>
      <c r="AJ584" s="20"/>
      <c r="AK584" s="20"/>
      <c r="AL584" s="20"/>
      <c r="AM584" s="20"/>
      <c r="AN584" s="20"/>
      <c r="AO584" s="20"/>
      <c r="AP584" s="20"/>
      <c r="AQ584" s="20"/>
      <c r="AR584" s="20"/>
      <c r="AS584" s="20"/>
      <c r="AT584" s="20"/>
      <c r="AU584" s="20"/>
      <c r="AV584" s="20"/>
      <c r="AW584" s="20"/>
      <c r="AX584" s="20"/>
      <c r="AY584" s="20"/>
    </row>
    <row r="585" spans="4:51" ht="15" customHeight="1"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  <c r="AF585" s="20"/>
      <c r="AG585" s="20"/>
      <c r="AH585" s="20"/>
      <c r="AI585" s="20"/>
      <c r="AJ585" s="20"/>
      <c r="AK585" s="20"/>
      <c r="AL585" s="20"/>
      <c r="AM585" s="20"/>
      <c r="AN585" s="20"/>
      <c r="AO585" s="20"/>
      <c r="AP585" s="20"/>
      <c r="AQ585" s="20"/>
      <c r="AR585" s="20"/>
      <c r="AS585" s="20"/>
      <c r="AT585" s="20"/>
      <c r="AU585" s="20"/>
      <c r="AV585" s="20"/>
      <c r="AW585" s="20"/>
      <c r="AX585" s="20"/>
      <c r="AY585" s="20"/>
    </row>
    <row r="586" spans="4:51" ht="15" customHeight="1"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AI586" s="20"/>
      <c r="AJ586" s="20"/>
      <c r="AK586" s="20"/>
      <c r="AL586" s="20"/>
      <c r="AM586" s="20"/>
      <c r="AN586" s="20"/>
      <c r="AO586" s="20"/>
      <c r="AP586" s="20"/>
      <c r="AQ586" s="20"/>
      <c r="AR586" s="20"/>
      <c r="AS586" s="20"/>
      <c r="AT586" s="20"/>
      <c r="AU586" s="20"/>
      <c r="AV586" s="20"/>
      <c r="AW586" s="20"/>
      <c r="AX586" s="20"/>
      <c r="AY586" s="20"/>
    </row>
    <row r="587" spans="4:51" ht="15" customHeight="1"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AG587" s="20"/>
      <c r="AH587" s="20"/>
      <c r="AI587" s="20"/>
      <c r="AJ587" s="20"/>
      <c r="AK587" s="20"/>
      <c r="AL587" s="20"/>
      <c r="AM587" s="20"/>
      <c r="AN587" s="20"/>
      <c r="AO587" s="20"/>
      <c r="AP587" s="20"/>
      <c r="AQ587" s="20"/>
      <c r="AR587" s="20"/>
      <c r="AS587" s="20"/>
      <c r="AT587" s="20"/>
      <c r="AU587" s="20"/>
      <c r="AV587" s="20"/>
      <c r="AW587" s="20"/>
      <c r="AX587" s="20"/>
      <c r="AY587" s="20"/>
    </row>
    <row r="588" spans="4:51" ht="15" customHeight="1"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  <c r="AI588" s="20"/>
      <c r="AJ588" s="20"/>
      <c r="AK588" s="20"/>
      <c r="AL588" s="20"/>
      <c r="AM588" s="20"/>
      <c r="AN588" s="20"/>
      <c r="AO588" s="20"/>
      <c r="AP588" s="20"/>
      <c r="AQ588" s="20"/>
      <c r="AR588" s="20"/>
      <c r="AS588" s="20"/>
      <c r="AT588" s="20"/>
      <c r="AU588" s="20"/>
      <c r="AV588" s="20"/>
      <c r="AW588" s="20"/>
      <c r="AX588" s="20"/>
      <c r="AY588" s="20"/>
    </row>
    <row r="589" spans="4:51" ht="15" customHeight="1"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20"/>
      <c r="AH589" s="20"/>
      <c r="AI589" s="20"/>
      <c r="AJ589" s="20"/>
      <c r="AK589" s="20"/>
      <c r="AL589" s="20"/>
      <c r="AM589" s="20"/>
      <c r="AN589" s="20"/>
      <c r="AO589" s="20"/>
      <c r="AP589" s="20"/>
      <c r="AQ589" s="20"/>
      <c r="AR589" s="20"/>
      <c r="AS589" s="20"/>
      <c r="AT589" s="20"/>
      <c r="AU589" s="20"/>
      <c r="AV589" s="20"/>
      <c r="AW589" s="20"/>
      <c r="AX589" s="20"/>
      <c r="AY589" s="20"/>
    </row>
    <row r="590" spans="4:51" ht="15" customHeight="1"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  <c r="AF590" s="20"/>
      <c r="AG590" s="20"/>
      <c r="AH590" s="20"/>
      <c r="AI590" s="20"/>
      <c r="AJ590" s="20"/>
      <c r="AK590" s="20"/>
      <c r="AL590" s="20"/>
      <c r="AM590" s="20"/>
      <c r="AN590" s="20"/>
      <c r="AO590" s="20"/>
      <c r="AP590" s="20"/>
      <c r="AQ590" s="20"/>
      <c r="AR590" s="20"/>
      <c r="AS590" s="20"/>
      <c r="AT590" s="20"/>
      <c r="AU590" s="20"/>
      <c r="AV590" s="20"/>
      <c r="AW590" s="20"/>
      <c r="AX590" s="20"/>
      <c r="AY590" s="20"/>
    </row>
    <row r="591" spans="4:51" ht="15" customHeight="1"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  <c r="AF591" s="20"/>
      <c r="AG591" s="20"/>
      <c r="AH591" s="20"/>
      <c r="AI591" s="20"/>
      <c r="AJ591" s="20"/>
      <c r="AK591" s="20"/>
      <c r="AL591" s="20"/>
      <c r="AM591" s="20"/>
      <c r="AN591" s="20"/>
      <c r="AO591" s="20"/>
      <c r="AP591" s="20"/>
      <c r="AQ591" s="20"/>
      <c r="AR591" s="20"/>
      <c r="AS591" s="20"/>
      <c r="AT591" s="20"/>
      <c r="AU591" s="20"/>
      <c r="AV591" s="20"/>
      <c r="AW591" s="20"/>
      <c r="AX591" s="20"/>
      <c r="AY591" s="20"/>
    </row>
    <row r="592" spans="4:51" ht="15" customHeight="1"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  <c r="AF592" s="20"/>
      <c r="AG592" s="20"/>
      <c r="AH592" s="20"/>
      <c r="AI592" s="20"/>
      <c r="AJ592" s="20"/>
      <c r="AK592" s="20"/>
      <c r="AL592" s="20"/>
      <c r="AM592" s="20"/>
      <c r="AN592" s="20"/>
      <c r="AO592" s="20"/>
      <c r="AP592" s="20"/>
      <c r="AQ592" s="20"/>
      <c r="AR592" s="20"/>
      <c r="AS592" s="20"/>
      <c r="AT592" s="20"/>
      <c r="AU592" s="20"/>
      <c r="AV592" s="20"/>
      <c r="AW592" s="20"/>
      <c r="AX592" s="20"/>
      <c r="AY592" s="20"/>
    </row>
    <row r="593" spans="4:51" ht="15" customHeight="1"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  <c r="AF593" s="20"/>
      <c r="AG593" s="20"/>
      <c r="AH593" s="20"/>
      <c r="AI593" s="20"/>
      <c r="AJ593" s="20"/>
      <c r="AK593" s="20"/>
      <c r="AL593" s="20"/>
      <c r="AM593" s="20"/>
      <c r="AN593" s="20"/>
      <c r="AO593" s="20"/>
      <c r="AP593" s="20"/>
      <c r="AQ593" s="20"/>
      <c r="AR593" s="20"/>
      <c r="AS593" s="20"/>
      <c r="AT593" s="20"/>
      <c r="AU593" s="20"/>
      <c r="AV593" s="20"/>
      <c r="AW593" s="20"/>
      <c r="AX593" s="20"/>
      <c r="AY593" s="20"/>
    </row>
    <row r="594" spans="4:51" ht="15" customHeight="1"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  <c r="AF594" s="20"/>
      <c r="AG594" s="20"/>
      <c r="AH594" s="20"/>
      <c r="AI594" s="20"/>
      <c r="AJ594" s="20"/>
      <c r="AK594" s="20"/>
      <c r="AL594" s="20"/>
      <c r="AM594" s="20"/>
      <c r="AN594" s="20"/>
      <c r="AO594" s="20"/>
      <c r="AP594" s="20"/>
      <c r="AQ594" s="20"/>
      <c r="AR594" s="20"/>
      <c r="AS594" s="20"/>
      <c r="AT594" s="20"/>
      <c r="AU594" s="20"/>
      <c r="AV594" s="20"/>
      <c r="AW594" s="20"/>
      <c r="AX594" s="20"/>
      <c r="AY594" s="20"/>
    </row>
    <row r="595" spans="4:51" ht="15" customHeight="1"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  <c r="AF595" s="20"/>
      <c r="AG595" s="20"/>
      <c r="AH595" s="20"/>
      <c r="AI595" s="20"/>
      <c r="AJ595" s="20"/>
      <c r="AK595" s="20"/>
      <c r="AL595" s="20"/>
      <c r="AM595" s="20"/>
      <c r="AN595" s="20"/>
      <c r="AO595" s="20"/>
      <c r="AP595" s="20"/>
      <c r="AQ595" s="20"/>
      <c r="AR595" s="20"/>
      <c r="AS595" s="20"/>
      <c r="AT595" s="20"/>
      <c r="AU595" s="20"/>
      <c r="AV595" s="20"/>
      <c r="AW595" s="20"/>
      <c r="AX595" s="20"/>
      <c r="AY595" s="20"/>
    </row>
    <row r="596" spans="4:51" ht="15" customHeight="1"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  <c r="AF596" s="20"/>
      <c r="AG596" s="20"/>
      <c r="AH596" s="20"/>
      <c r="AI596" s="20"/>
      <c r="AJ596" s="20"/>
      <c r="AK596" s="20"/>
      <c r="AL596" s="20"/>
      <c r="AM596" s="20"/>
      <c r="AN596" s="20"/>
      <c r="AO596" s="20"/>
      <c r="AP596" s="20"/>
      <c r="AQ596" s="20"/>
      <c r="AR596" s="20"/>
      <c r="AS596" s="20"/>
      <c r="AT596" s="20"/>
      <c r="AU596" s="20"/>
      <c r="AV596" s="20"/>
      <c r="AW596" s="20"/>
      <c r="AX596" s="20"/>
      <c r="AY596" s="20"/>
    </row>
    <row r="597" spans="4:51" ht="15" customHeight="1"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  <c r="AF597" s="20"/>
      <c r="AG597" s="20"/>
      <c r="AH597" s="20"/>
      <c r="AI597" s="20"/>
      <c r="AJ597" s="20"/>
      <c r="AK597" s="20"/>
      <c r="AL597" s="20"/>
      <c r="AM597" s="20"/>
      <c r="AN597" s="20"/>
      <c r="AO597" s="20"/>
      <c r="AP597" s="20"/>
      <c r="AQ597" s="20"/>
      <c r="AR597" s="20"/>
      <c r="AS597" s="20"/>
      <c r="AT597" s="20"/>
      <c r="AU597" s="20"/>
      <c r="AV597" s="20"/>
      <c r="AW597" s="20"/>
      <c r="AX597" s="20"/>
      <c r="AY597" s="20"/>
    </row>
    <row r="598" spans="4:51" ht="15" customHeight="1"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  <c r="AF598" s="20"/>
      <c r="AG598" s="20"/>
      <c r="AH598" s="20"/>
      <c r="AI598" s="20"/>
      <c r="AJ598" s="20"/>
      <c r="AK598" s="20"/>
      <c r="AL598" s="20"/>
      <c r="AM598" s="20"/>
      <c r="AN598" s="20"/>
      <c r="AO598" s="20"/>
      <c r="AP598" s="20"/>
      <c r="AQ598" s="20"/>
      <c r="AR598" s="20"/>
      <c r="AS598" s="20"/>
      <c r="AT598" s="20"/>
      <c r="AU598" s="20"/>
      <c r="AV598" s="20"/>
      <c r="AW598" s="20"/>
      <c r="AX598" s="20"/>
      <c r="AY598" s="20"/>
    </row>
    <row r="599" spans="4:51" ht="15" customHeight="1"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  <c r="AF599" s="20"/>
      <c r="AG599" s="20"/>
      <c r="AH599" s="20"/>
      <c r="AI599" s="20"/>
      <c r="AJ599" s="20"/>
      <c r="AK599" s="20"/>
      <c r="AL599" s="20"/>
      <c r="AM599" s="20"/>
      <c r="AN599" s="20"/>
      <c r="AO599" s="20"/>
      <c r="AP599" s="20"/>
      <c r="AQ599" s="20"/>
      <c r="AR599" s="20"/>
      <c r="AS599" s="20"/>
      <c r="AT599" s="20"/>
      <c r="AU599" s="20"/>
      <c r="AV599" s="20"/>
      <c r="AW599" s="20"/>
      <c r="AX599" s="20"/>
      <c r="AY599" s="20"/>
    </row>
    <row r="600" spans="4:51" ht="15" customHeight="1"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  <c r="AF600" s="20"/>
      <c r="AG600" s="20"/>
      <c r="AH600" s="20"/>
      <c r="AI600" s="20"/>
      <c r="AJ600" s="20"/>
      <c r="AK600" s="20"/>
      <c r="AL600" s="20"/>
      <c r="AM600" s="20"/>
      <c r="AN600" s="20"/>
      <c r="AO600" s="20"/>
      <c r="AP600" s="20"/>
      <c r="AQ600" s="20"/>
      <c r="AR600" s="20"/>
      <c r="AS600" s="20"/>
      <c r="AT600" s="20"/>
      <c r="AU600" s="20"/>
      <c r="AV600" s="20"/>
      <c r="AW600" s="20"/>
      <c r="AX600" s="20"/>
      <c r="AY600" s="20"/>
    </row>
    <row r="601" spans="4:51" ht="15" customHeight="1"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  <c r="AF601" s="20"/>
      <c r="AG601" s="20"/>
      <c r="AH601" s="20"/>
      <c r="AI601" s="20"/>
      <c r="AJ601" s="20"/>
      <c r="AK601" s="20"/>
      <c r="AL601" s="20"/>
      <c r="AM601" s="20"/>
      <c r="AN601" s="20"/>
      <c r="AO601" s="20"/>
      <c r="AP601" s="20"/>
      <c r="AQ601" s="20"/>
      <c r="AR601" s="20"/>
      <c r="AS601" s="20"/>
      <c r="AT601" s="20"/>
      <c r="AU601" s="20"/>
      <c r="AV601" s="20"/>
      <c r="AW601" s="20"/>
      <c r="AX601" s="20"/>
      <c r="AY601" s="20"/>
    </row>
    <row r="602" spans="4:51" ht="15" customHeight="1"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AG602" s="20"/>
      <c r="AH602" s="20"/>
      <c r="AI602" s="20"/>
      <c r="AJ602" s="20"/>
      <c r="AK602" s="20"/>
      <c r="AL602" s="20"/>
      <c r="AM602" s="20"/>
      <c r="AN602" s="20"/>
      <c r="AO602" s="20"/>
      <c r="AP602" s="20"/>
      <c r="AQ602" s="20"/>
      <c r="AR602" s="20"/>
      <c r="AS602" s="20"/>
      <c r="AT602" s="20"/>
      <c r="AU602" s="20"/>
      <c r="AV602" s="20"/>
      <c r="AW602" s="20"/>
      <c r="AX602" s="20"/>
      <c r="AY602" s="20"/>
    </row>
    <row r="603" spans="4:51" ht="15" customHeight="1"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AI603" s="20"/>
      <c r="AJ603" s="20"/>
      <c r="AK603" s="20"/>
      <c r="AL603" s="20"/>
      <c r="AM603" s="20"/>
      <c r="AN603" s="20"/>
      <c r="AO603" s="20"/>
      <c r="AP603" s="20"/>
      <c r="AQ603" s="20"/>
      <c r="AR603" s="20"/>
      <c r="AS603" s="20"/>
      <c r="AT603" s="20"/>
      <c r="AU603" s="20"/>
      <c r="AV603" s="20"/>
      <c r="AW603" s="20"/>
      <c r="AX603" s="20"/>
      <c r="AY603" s="20"/>
    </row>
    <row r="604" spans="4:51" ht="15" customHeight="1"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  <c r="AF604" s="20"/>
      <c r="AG604" s="20"/>
      <c r="AH604" s="20"/>
      <c r="AI604" s="20"/>
      <c r="AJ604" s="20"/>
      <c r="AK604" s="20"/>
      <c r="AL604" s="20"/>
      <c r="AM604" s="20"/>
      <c r="AN604" s="20"/>
      <c r="AO604" s="20"/>
      <c r="AP604" s="20"/>
      <c r="AQ604" s="20"/>
      <c r="AR604" s="20"/>
      <c r="AS604" s="20"/>
      <c r="AT604" s="20"/>
      <c r="AU604" s="20"/>
      <c r="AV604" s="20"/>
      <c r="AW604" s="20"/>
      <c r="AX604" s="20"/>
      <c r="AY604" s="20"/>
    </row>
    <row r="605" spans="4:51" ht="15" customHeight="1"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  <c r="AI605" s="20"/>
      <c r="AJ605" s="20"/>
      <c r="AK605" s="20"/>
      <c r="AL605" s="20"/>
      <c r="AM605" s="20"/>
      <c r="AN605" s="20"/>
      <c r="AO605" s="20"/>
      <c r="AP605" s="20"/>
      <c r="AQ605" s="20"/>
      <c r="AR605" s="20"/>
      <c r="AS605" s="20"/>
      <c r="AT605" s="20"/>
      <c r="AU605" s="20"/>
      <c r="AV605" s="20"/>
      <c r="AW605" s="20"/>
      <c r="AX605" s="20"/>
      <c r="AY605" s="20"/>
    </row>
    <row r="606" spans="4:51" ht="15" customHeight="1"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  <c r="AF606" s="20"/>
      <c r="AG606" s="20"/>
      <c r="AH606" s="20"/>
      <c r="AI606" s="20"/>
      <c r="AJ606" s="20"/>
      <c r="AK606" s="20"/>
      <c r="AL606" s="20"/>
      <c r="AM606" s="20"/>
      <c r="AN606" s="20"/>
      <c r="AO606" s="20"/>
      <c r="AP606" s="20"/>
      <c r="AQ606" s="20"/>
      <c r="AR606" s="20"/>
      <c r="AS606" s="20"/>
      <c r="AT606" s="20"/>
      <c r="AU606" s="20"/>
      <c r="AV606" s="20"/>
      <c r="AW606" s="20"/>
      <c r="AX606" s="20"/>
      <c r="AY606" s="20"/>
    </row>
    <row r="607" spans="4:51" ht="15" customHeight="1"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  <c r="AI607" s="20"/>
      <c r="AJ607" s="20"/>
      <c r="AK607" s="20"/>
      <c r="AL607" s="20"/>
      <c r="AM607" s="20"/>
      <c r="AN607" s="20"/>
      <c r="AO607" s="20"/>
      <c r="AP607" s="20"/>
      <c r="AQ607" s="20"/>
      <c r="AR607" s="20"/>
      <c r="AS607" s="20"/>
      <c r="AT607" s="20"/>
      <c r="AU607" s="20"/>
      <c r="AV607" s="20"/>
      <c r="AW607" s="20"/>
      <c r="AX607" s="20"/>
      <c r="AY607" s="20"/>
    </row>
    <row r="608" spans="4:51" ht="15" customHeight="1"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  <c r="AF608" s="20"/>
      <c r="AG608" s="20"/>
      <c r="AH608" s="20"/>
      <c r="AI608" s="20"/>
      <c r="AJ608" s="20"/>
      <c r="AK608" s="20"/>
      <c r="AL608" s="20"/>
      <c r="AM608" s="20"/>
      <c r="AN608" s="20"/>
      <c r="AO608" s="20"/>
      <c r="AP608" s="20"/>
      <c r="AQ608" s="20"/>
      <c r="AR608" s="20"/>
      <c r="AS608" s="20"/>
      <c r="AT608" s="20"/>
      <c r="AU608" s="20"/>
      <c r="AV608" s="20"/>
      <c r="AW608" s="20"/>
      <c r="AX608" s="20"/>
      <c r="AY608" s="20"/>
    </row>
    <row r="609" spans="4:51" ht="15" customHeight="1"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  <c r="AF609" s="20"/>
      <c r="AG609" s="20"/>
      <c r="AH609" s="20"/>
      <c r="AI609" s="20"/>
      <c r="AJ609" s="20"/>
      <c r="AK609" s="20"/>
      <c r="AL609" s="20"/>
      <c r="AM609" s="20"/>
      <c r="AN609" s="20"/>
      <c r="AO609" s="20"/>
      <c r="AP609" s="20"/>
      <c r="AQ609" s="20"/>
      <c r="AR609" s="20"/>
      <c r="AS609" s="20"/>
      <c r="AT609" s="20"/>
      <c r="AU609" s="20"/>
      <c r="AV609" s="20"/>
      <c r="AW609" s="20"/>
      <c r="AX609" s="20"/>
      <c r="AY609" s="20"/>
    </row>
    <row r="610" spans="4:51" ht="15" customHeight="1"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  <c r="AH610" s="20"/>
      <c r="AI610" s="20"/>
      <c r="AJ610" s="20"/>
      <c r="AK610" s="20"/>
      <c r="AL610" s="20"/>
      <c r="AM610" s="20"/>
      <c r="AN610" s="20"/>
      <c r="AO610" s="20"/>
      <c r="AP610" s="20"/>
      <c r="AQ610" s="20"/>
      <c r="AR610" s="20"/>
      <c r="AS610" s="20"/>
      <c r="AT610" s="20"/>
      <c r="AU610" s="20"/>
      <c r="AV610" s="20"/>
      <c r="AW610" s="20"/>
      <c r="AX610" s="20"/>
      <c r="AY610" s="20"/>
    </row>
    <row r="611" spans="4:51" ht="15" customHeight="1"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  <c r="AI611" s="20"/>
      <c r="AJ611" s="20"/>
      <c r="AK611" s="20"/>
      <c r="AL611" s="20"/>
      <c r="AM611" s="20"/>
      <c r="AN611" s="20"/>
      <c r="AO611" s="20"/>
      <c r="AP611" s="20"/>
      <c r="AQ611" s="20"/>
      <c r="AR611" s="20"/>
      <c r="AS611" s="20"/>
      <c r="AT611" s="20"/>
      <c r="AU611" s="20"/>
      <c r="AV611" s="20"/>
      <c r="AW611" s="20"/>
      <c r="AX611" s="20"/>
      <c r="AY611" s="20"/>
    </row>
    <row r="612" spans="4:51" ht="15" customHeight="1"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0"/>
      <c r="AM612" s="20"/>
      <c r="AN612" s="20"/>
      <c r="AO612" s="20"/>
      <c r="AP612" s="20"/>
      <c r="AQ612" s="20"/>
      <c r="AR612" s="20"/>
      <c r="AS612" s="20"/>
      <c r="AT612" s="20"/>
      <c r="AU612" s="20"/>
      <c r="AV612" s="20"/>
      <c r="AW612" s="20"/>
      <c r="AX612" s="20"/>
      <c r="AY612" s="20"/>
    </row>
    <row r="613" spans="4:51" ht="15" customHeight="1"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  <c r="AJ613" s="20"/>
      <c r="AK613" s="20"/>
      <c r="AL613" s="20"/>
      <c r="AM613" s="20"/>
      <c r="AN613" s="20"/>
      <c r="AO613" s="20"/>
      <c r="AP613" s="20"/>
      <c r="AQ613" s="20"/>
      <c r="AR613" s="20"/>
      <c r="AS613" s="20"/>
      <c r="AT613" s="20"/>
      <c r="AU613" s="20"/>
      <c r="AV613" s="20"/>
      <c r="AW613" s="20"/>
      <c r="AX613" s="20"/>
      <c r="AY613" s="20"/>
    </row>
    <row r="614" spans="4:51" ht="15" customHeight="1"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  <c r="AH614" s="20"/>
      <c r="AI614" s="20"/>
      <c r="AJ614" s="20"/>
      <c r="AK614" s="20"/>
      <c r="AL614" s="20"/>
      <c r="AM614" s="20"/>
      <c r="AN614" s="20"/>
      <c r="AO614" s="20"/>
      <c r="AP614" s="20"/>
      <c r="AQ614" s="20"/>
      <c r="AR614" s="20"/>
      <c r="AS614" s="20"/>
      <c r="AT614" s="20"/>
      <c r="AU614" s="20"/>
      <c r="AV614" s="20"/>
      <c r="AW614" s="20"/>
      <c r="AX614" s="20"/>
      <c r="AY614" s="20"/>
    </row>
    <row r="615" spans="4:51" ht="15" customHeight="1"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0"/>
      <c r="AM615" s="20"/>
      <c r="AN615" s="20"/>
      <c r="AO615" s="20"/>
      <c r="AP615" s="20"/>
      <c r="AQ615" s="20"/>
      <c r="AR615" s="20"/>
      <c r="AS615" s="20"/>
      <c r="AT615" s="20"/>
      <c r="AU615" s="20"/>
      <c r="AV615" s="20"/>
      <c r="AW615" s="20"/>
      <c r="AX615" s="20"/>
      <c r="AY615" s="20"/>
    </row>
    <row r="616" spans="4:51" ht="15" customHeight="1"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  <c r="AJ616" s="20"/>
      <c r="AK616" s="20"/>
      <c r="AL616" s="20"/>
      <c r="AM616" s="20"/>
      <c r="AN616" s="20"/>
      <c r="AO616" s="20"/>
      <c r="AP616" s="20"/>
      <c r="AQ616" s="20"/>
      <c r="AR616" s="20"/>
      <c r="AS616" s="20"/>
      <c r="AT616" s="20"/>
      <c r="AU616" s="20"/>
      <c r="AV616" s="20"/>
      <c r="AW616" s="20"/>
      <c r="AX616" s="20"/>
      <c r="AY616" s="20"/>
    </row>
    <row r="617" spans="4:51" ht="15" customHeight="1"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  <c r="AF617" s="20"/>
      <c r="AG617" s="20"/>
      <c r="AH617" s="20"/>
      <c r="AI617" s="20"/>
      <c r="AJ617" s="20"/>
      <c r="AK617" s="20"/>
      <c r="AL617" s="20"/>
      <c r="AM617" s="20"/>
      <c r="AN617" s="20"/>
      <c r="AO617" s="20"/>
      <c r="AP617" s="20"/>
      <c r="AQ617" s="20"/>
      <c r="AR617" s="20"/>
      <c r="AS617" s="20"/>
      <c r="AT617" s="20"/>
      <c r="AU617" s="20"/>
      <c r="AV617" s="20"/>
      <c r="AW617" s="20"/>
      <c r="AX617" s="20"/>
      <c r="AY617" s="20"/>
    </row>
    <row r="618" spans="4:51" ht="15" customHeight="1"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  <c r="AF618" s="20"/>
      <c r="AG618" s="20"/>
      <c r="AH618" s="20"/>
      <c r="AI618" s="20"/>
      <c r="AJ618" s="20"/>
      <c r="AK618" s="20"/>
      <c r="AL618" s="20"/>
      <c r="AM618" s="20"/>
      <c r="AN618" s="20"/>
      <c r="AO618" s="20"/>
      <c r="AP618" s="20"/>
      <c r="AQ618" s="20"/>
      <c r="AR618" s="20"/>
      <c r="AS618" s="20"/>
      <c r="AT618" s="20"/>
      <c r="AU618" s="20"/>
      <c r="AV618" s="20"/>
      <c r="AW618" s="20"/>
      <c r="AX618" s="20"/>
      <c r="AY618" s="20"/>
    </row>
    <row r="619" spans="4:51" ht="15" customHeight="1"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20"/>
      <c r="AM619" s="20"/>
      <c r="AN619" s="20"/>
      <c r="AO619" s="20"/>
      <c r="AP619" s="20"/>
      <c r="AQ619" s="20"/>
      <c r="AR619" s="20"/>
      <c r="AS619" s="20"/>
      <c r="AT619" s="20"/>
      <c r="AU619" s="20"/>
      <c r="AV619" s="20"/>
      <c r="AW619" s="20"/>
      <c r="AX619" s="20"/>
      <c r="AY619" s="20"/>
    </row>
    <row r="620" spans="4:51" ht="15" customHeight="1"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  <c r="AI620" s="20"/>
      <c r="AJ620" s="20"/>
      <c r="AK620" s="20"/>
      <c r="AL620" s="20"/>
      <c r="AM620" s="20"/>
      <c r="AN620" s="20"/>
      <c r="AO620" s="20"/>
      <c r="AP620" s="20"/>
      <c r="AQ620" s="20"/>
      <c r="AR620" s="20"/>
      <c r="AS620" s="20"/>
      <c r="AT620" s="20"/>
      <c r="AU620" s="20"/>
      <c r="AV620" s="20"/>
      <c r="AW620" s="20"/>
      <c r="AX620" s="20"/>
      <c r="AY620" s="20"/>
    </row>
    <row r="621" spans="4:51" ht="15" customHeight="1"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0"/>
      <c r="AM621" s="20"/>
      <c r="AN621" s="20"/>
      <c r="AO621" s="20"/>
      <c r="AP621" s="20"/>
      <c r="AQ621" s="20"/>
      <c r="AR621" s="20"/>
      <c r="AS621" s="20"/>
      <c r="AT621" s="20"/>
      <c r="AU621" s="20"/>
      <c r="AV621" s="20"/>
      <c r="AW621" s="20"/>
      <c r="AX621" s="20"/>
      <c r="AY621" s="20"/>
    </row>
    <row r="622" spans="4:51" ht="15" customHeight="1"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20"/>
      <c r="AM622" s="20"/>
      <c r="AN622" s="20"/>
      <c r="AO622" s="20"/>
      <c r="AP622" s="20"/>
      <c r="AQ622" s="20"/>
      <c r="AR622" s="20"/>
      <c r="AS622" s="20"/>
      <c r="AT622" s="20"/>
      <c r="AU622" s="20"/>
      <c r="AV622" s="20"/>
      <c r="AW622" s="20"/>
      <c r="AX622" s="20"/>
      <c r="AY622" s="20"/>
    </row>
    <row r="623" spans="4:51" ht="15" customHeight="1"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0"/>
      <c r="AM623" s="20"/>
      <c r="AN623" s="20"/>
      <c r="AO623" s="20"/>
      <c r="AP623" s="20"/>
      <c r="AQ623" s="20"/>
      <c r="AR623" s="20"/>
      <c r="AS623" s="20"/>
      <c r="AT623" s="20"/>
      <c r="AU623" s="20"/>
      <c r="AV623" s="20"/>
      <c r="AW623" s="20"/>
      <c r="AX623" s="20"/>
      <c r="AY623" s="20"/>
    </row>
    <row r="624" spans="4:51" ht="15" customHeight="1"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0"/>
      <c r="AM624" s="20"/>
      <c r="AN624" s="20"/>
      <c r="AO624" s="20"/>
      <c r="AP624" s="20"/>
      <c r="AQ624" s="20"/>
      <c r="AR624" s="20"/>
      <c r="AS624" s="20"/>
      <c r="AT624" s="20"/>
      <c r="AU624" s="20"/>
      <c r="AV624" s="20"/>
      <c r="AW624" s="20"/>
      <c r="AX624" s="20"/>
      <c r="AY624" s="20"/>
    </row>
    <row r="625" spans="4:51" ht="15" customHeight="1"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20"/>
      <c r="AM625" s="20"/>
      <c r="AN625" s="20"/>
      <c r="AO625" s="20"/>
      <c r="AP625" s="20"/>
      <c r="AQ625" s="20"/>
      <c r="AR625" s="20"/>
      <c r="AS625" s="20"/>
      <c r="AT625" s="20"/>
      <c r="AU625" s="20"/>
      <c r="AV625" s="20"/>
      <c r="AW625" s="20"/>
      <c r="AX625" s="20"/>
      <c r="AY625" s="20"/>
    </row>
    <row r="626" spans="4:51" ht="15" customHeight="1"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0"/>
      <c r="AM626" s="20"/>
      <c r="AN626" s="20"/>
      <c r="AO626" s="20"/>
      <c r="AP626" s="20"/>
      <c r="AQ626" s="20"/>
      <c r="AR626" s="20"/>
      <c r="AS626" s="20"/>
      <c r="AT626" s="20"/>
      <c r="AU626" s="20"/>
      <c r="AV626" s="20"/>
      <c r="AW626" s="20"/>
      <c r="AX626" s="20"/>
      <c r="AY626" s="20"/>
    </row>
    <row r="627" spans="4:51" ht="15" customHeight="1"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  <c r="AI627" s="20"/>
      <c r="AJ627" s="20"/>
      <c r="AK627" s="20"/>
      <c r="AL627" s="20"/>
      <c r="AM627" s="20"/>
      <c r="AN627" s="20"/>
      <c r="AO627" s="20"/>
      <c r="AP627" s="20"/>
      <c r="AQ627" s="20"/>
      <c r="AR627" s="20"/>
      <c r="AS627" s="20"/>
      <c r="AT627" s="20"/>
      <c r="AU627" s="20"/>
      <c r="AV627" s="20"/>
      <c r="AW627" s="20"/>
      <c r="AX627" s="20"/>
      <c r="AY627" s="20"/>
    </row>
    <row r="628" spans="4:51" ht="15" customHeight="1"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  <c r="AI628" s="20"/>
      <c r="AJ628" s="20"/>
      <c r="AK628" s="20"/>
      <c r="AL628" s="20"/>
      <c r="AM628" s="20"/>
      <c r="AN628" s="20"/>
      <c r="AO628" s="20"/>
      <c r="AP628" s="20"/>
      <c r="AQ628" s="20"/>
      <c r="AR628" s="20"/>
      <c r="AS628" s="20"/>
      <c r="AT628" s="20"/>
      <c r="AU628" s="20"/>
      <c r="AV628" s="20"/>
      <c r="AW628" s="20"/>
      <c r="AX628" s="20"/>
      <c r="AY628" s="20"/>
    </row>
    <row r="629" spans="4:51" ht="15" customHeight="1"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  <c r="AF629" s="20"/>
      <c r="AG629" s="20"/>
      <c r="AH629" s="20"/>
      <c r="AI629" s="20"/>
      <c r="AJ629" s="20"/>
      <c r="AK629" s="20"/>
      <c r="AL629" s="20"/>
      <c r="AM629" s="20"/>
      <c r="AN629" s="20"/>
      <c r="AO629" s="20"/>
      <c r="AP629" s="20"/>
      <c r="AQ629" s="20"/>
      <c r="AR629" s="20"/>
      <c r="AS629" s="20"/>
      <c r="AT629" s="20"/>
      <c r="AU629" s="20"/>
      <c r="AV629" s="20"/>
      <c r="AW629" s="20"/>
      <c r="AX629" s="20"/>
      <c r="AY629" s="20"/>
    </row>
    <row r="630" spans="4:51" ht="15" customHeight="1"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  <c r="AF630" s="20"/>
      <c r="AG630" s="20"/>
      <c r="AH630" s="20"/>
      <c r="AI630" s="20"/>
      <c r="AJ630" s="20"/>
      <c r="AK630" s="20"/>
      <c r="AL630" s="20"/>
      <c r="AM630" s="20"/>
      <c r="AN630" s="20"/>
      <c r="AO630" s="20"/>
      <c r="AP630" s="20"/>
      <c r="AQ630" s="20"/>
      <c r="AR630" s="20"/>
      <c r="AS630" s="20"/>
      <c r="AT630" s="20"/>
      <c r="AU630" s="20"/>
      <c r="AV630" s="20"/>
      <c r="AW630" s="20"/>
      <c r="AX630" s="20"/>
      <c r="AY630" s="20"/>
    </row>
    <row r="631" spans="4:51" ht="15" customHeight="1"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  <c r="AI631" s="20"/>
      <c r="AJ631" s="20"/>
      <c r="AK631" s="20"/>
      <c r="AL631" s="20"/>
      <c r="AM631" s="20"/>
      <c r="AN631" s="20"/>
      <c r="AO631" s="20"/>
      <c r="AP631" s="20"/>
      <c r="AQ631" s="20"/>
      <c r="AR631" s="20"/>
      <c r="AS631" s="20"/>
      <c r="AT631" s="20"/>
      <c r="AU631" s="20"/>
      <c r="AV631" s="20"/>
      <c r="AW631" s="20"/>
      <c r="AX631" s="20"/>
      <c r="AY631" s="20"/>
    </row>
    <row r="632" spans="4:51" ht="15" customHeight="1"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  <c r="AF632" s="20"/>
      <c r="AG632" s="20"/>
      <c r="AH632" s="20"/>
      <c r="AI632" s="20"/>
      <c r="AJ632" s="20"/>
      <c r="AK632" s="20"/>
      <c r="AL632" s="20"/>
      <c r="AM632" s="20"/>
      <c r="AN632" s="20"/>
      <c r="AO632" s="20"/>
      <c r="AP632" s="20"/>
      <c r="AQ632" s="20"/>
      <c r="AR632" s="20"/>
      <c r="AS632" s="20"/>
      <c r="AT632" s="20"/>
      <c r="AU632" s="20"/>
      <c r="AV632" s="20"/>
      <c r="AW632" s="20"/>
      <c r="AX632" s="20"/>
      <c r="AY632" s="20"/>
    </row>
    <row r="633" spans="4:51" ht="15" customHeight="1"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  <c r="AF633" s="20"/>
      <c r="AG633" s="20"/>
      <c r="AH633" s="20"/>
      <c r="AI633" s="20"/>
      <c r="AJ633" s="20"/>
      <c r="AK633" s="20"/>
      <c r="AL633" s="20"/>
      <c r="AM633" s="20"/>
      <c r="AN633" s="20"/>
      <c r="AO633" s="20"/>
      <c r="AP633" s="20"/>
      <c r="AQ633" s="20"/>
      <c r="AR633" s="20"/>
      <c r="AS633" s="20"/>
      <c r="AT633" s="20"/>
      <c r="AU633" s="20"/>
      <c r="AV633" s="20"/>
      <c r="AW633" s="20"/>
      <c r="AX633" s="20"/>
      <c r="AY633" s="20"/>
    </row>
    <row r="634" spans="4:51" ht="15" customHeight="1"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  <c r="AF634" s="20"/>
      <c r="AG634" s="20"/>
      <c r="AH634" s="20"/>
      <c r="AI634" s="20"/>
      <c r="AJ634" s="20"/>
      <c r="AK634" s="20"/>
      <c r="AL634" s="20"/>
      <c r="AM634" s="20"/>
      <c r="AN634" s="20"/>
      <c r="AO634" s="20"/>
      <c r="AP634" s="20"/>
      <c r="AQ634" s="20"/>
      <c r="AR634" s="20"/>
      <c r="AS634" s="20"/>
      <c r="AT634" s="20"/>
      <c r="AU634" s="20"/>
      <c r="AV634" s="20"/>
      <c r="AW634" s="20"/>
      <c r="AX634" s="20"/>
      <c r="AY634" s="20"/>
    </row>
    <row r="635" spans="4:51" ht="15" customHeight="1"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  <c r="AF635" s="20"/>
      <c r="AG635" s="20"/>
      <c r="AH635" s="20"/>
      <c r="AI635" s="20"/>
      <c r="AJ635" s="20"/>
      <c r="AK635" s="20"/>
      <c r="AL635" s="20"/>
      <c r="AM635" s="20"/>
      <c r="AN635" s="20"/>
      <c r="AO635" s="20"/>
      <c r="AP635" s="20"/>
      <c r="AQ635" s="20"/>
      <c r="AR635" s="20"/>
      <c r="AS635" s="20"/>
      <c r="AT635" s="20"/>
      <c r="AU635" s="20"/>
      <c r="AV635" s="20"/>
      <c r="AW635" s="20"/>
      <c r="AX635" s="20"/>
      <c r="AY635" s="20"/>
    </row>
    <row r="636" spans="4:51" ht="15" customHeight="1"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  <c r="AF636" s="20"/>
      <c r="AG636" s="20"/>
      <c r="AH636" s="20"/>
      <c r="AI636" s="20"/>
      <c r="AJ636" s="20"/>
      <c r="AK636" s="20"/>
      <c r="AL636" s="20"/>
      <c r="AM636" s="20"/>
      <c r="AN636" s="20"/>
      <c r="AO636" s="20"/>
      <c r="AP636" s="20"/>
      <c r="AQ636" s="20"/>
      <c r="AR636" s="20"/>
      <c r="AS636" s="20"/>
      <c r="AT636" s="20"/>
      <c r="AU636" s="20"/>
      <c r="AV636" s="20"/>
      <c r="AW636" s="20"/>
      <c r="AX636" s="20"/>
      <c r="AY636" s="20"/>
    </row>
    <row r="637" spans="4:51" ht="15" customHeight="1"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  <c r="AF637" s="20"/>
      <c r="AG637" s="20"/>
      <c r="AH637" s="20"/>
      <c r="AI637" s="20"/>
      <c r="AJ637" s="20"/>
      <c r="AK637" s="20"/>
      <c r="AL637" s="20"/>
      <c r="AM637" s="20"/>
      <c r="AN637" s="20"/>
      <c r="AO637" s="20"/>
      <c r="AP637" s="20"/>
      <c r="AQ637" s="20"/>
      <c r="AR637" s="20"/>
      <c r="AS637" s="20"/>
      <c r="AT637" s="20"/>
      <c r="AU637" s="20"/>
      <c r="AV637" s="20"/>
      <c r="AW637" s="20"/>
      <c r="AX637" s="20"/>
      <c r="AY637" s="20"/>
    </row>
    <row r="638" spans="4:51" ht="15" customHeight="1"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  <c r="AF638" s="20"/>
      <c r="AG638" s="20"/>
      <c r="AH638" s="20"/>
      <c r="AI638" s="20"/>
      <c r="AJ638" s="20"/>
      <c r="AK638" s="20"/>
      <c r="AL638" s="20"/>
      <c r="AM638" s="20"/>
      <c r="AN638" s="20"/>
      <c r="AO638" s="20"/>
      <c r="AP638" s="20"/>
      <c r="AQ638" s="20"/>
      <c r="AR638" s="20"/>
      <c r="AS638" s="20"/>
      <c r="AT638" s="20"/>
      <c r="AU638" s="20"/>
      <c r="AV638" s="20"/>
      <c r="AW638" s="20"/>
      <c r="AX638" s="20"/>
      <c r="AY638" s="20"/>
    </row>
    <row r="639" spans="4:51" ht="15" customHeight="1"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  <c r="AF639" s="20"/>
      <c r="AG639" s="20"/>
      <c r="AH639" s="20"/>
      <c r="AI639" s="20"/>
      <c r="AJ639" s="20"/>
      <c r="AK639" s="20"/>
      <c r="AL639" s="20"/>
      <c r="AM639" s="20"/>
      <c r="AN639" s="20"/>
      <c r="AO639" s="20"/>
      <c r="AP639" s="20"/>
      <c r="AQ639" s="20"/>
      <c r="AR639" s="20"/>
      <c r="AS639" s="20"/>
      <c r="AT639" s="20"/>
      <c r="AU639" s="20"/>
      <c r="AV639" s="20"/>
      <c r="AW639" s="20"/>
      <c r="AX639" s="20"/>
      <c r="AY639" s="20"/>
    </row>
    <row r="640" spans="4:51" ht="15" customHeight="1"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  <c r="AF640" s="20"/>
      <c r="AG640" s="20"/>
      <c r="AH640" s="20"/>
      <c r="AI640" s="20"/>
      <c r="AJ640" s="20"/>
      <c r="AK640" s="20"/>
      <c r="AL640" s="20"/>
      <c r="AM640" s="20"/>
      <c r="AN640" s="20"/>
      <c r="AO640" s="20"/>
      <c r="AP640" s="20"/>
      <c r="AQ640" s="20"/>
      <c r="AR640" s="20"/>
      <c r="AS640" s="20"/>
      <c r="AT640" s="20"/>
      <c r="AU640" s="20"/>
      <c r="AV640" s="20"/>
      <c r="AW640" s="20"/>
      <c r="AX640" s="20"/>
      <c r="AY640" s="20"/>
    </row>
    <row r="641" spans="4:51" ht="15" customHeight="1"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  <c r="AJ641" s="20"/>
      <c r="AK641" s="20"/>
      <c r="AL641" s="20"/>
      <c r="AM641" s="20"/>
      <c r="AN641" s="20"/>
      <c r="AO641" s="20"/>
      <c r="AP641" s="20"/>
      <c r="AQ641" s="20"/>
      <c r="AR641" s="20"/>
      <c r="AS641" s="20"/>
      <c r="AT641" s="20"/>
      <c r="AU641" s="20"/>
      <c r="AV641" s="20"/>
      <c r="AW641" s="20"/>
      <c r="AX641" s="20"/>
      <c r="AY641" s="20"/>
    </row>
    <row r="642" spans="4:51" ht="15" customHeight="1"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  <c r="AF642" s="20"/>
      <c r="AG642" s="20"/>
      <c r="AH642" s="20"/>
      <c r="AI642" s="20"/>
      <c r="AJ642" s="20"/>
      <c r="AK642" s="20"/>
      <c r="AL642" s="20"/>
      <c r="AM642" s="20"/>
      <c r="AN642" s="20"/>
      <c r="AO642" s="20"/>
      <c r="AP642" s="20"/>
      <c r="AQ642" s="20"/>
      <c r="AR642" s="20"/>
      <c r="AS642" s="20"/>
      <c r="AT642" s="20"/>
      <c r="AU642" s="20"/>
      <c r="AV642" s="20"/>
      <c r="AW642" s="20"/>
      <c r="AX642" s="20"/>
      <c r="AY642" s="20"/>
    </row>
    <row r="643" spans="4:51" ht="15" customHeight="1"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  <c r="AI643" s="20"/>
      <c r="AJ643" s="20"/>
      <c r="AK643" s="20"/>
      <c r="AL643" s="20"/>
      <c r="AM643" s="20"/>
      <c r="AN643" s="20"/>
      <c r="AO643" s="20"/>
      <c r="AP643" s="20"/>
      <c r="AQ643" s="20"/>
      <c r="AR643" s="20"/>
      <c r="AS643" s="20"/>
      <c r="AT643" s="20"/>
      <c r="AU643" s="20"/>
      <c r="AV643" s="20"/>
      <c r="AW643" s="20"/>
      <c r="AX643" s="20"/>
      <c r="AY643" s="20"/>
    </row>
    <row r="644" spans="4:51" ht="15" customHeight="1"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  <c r="AI644" s="20"/>
      <c r="AJ644" s="20"/>
      <c r="AK644" s="20"/>
      <c r="AL644" s="20"/>
      <c r="AM644" s="20"/>
      <c r="AN644" s="20"/>
      <c r="AO644" s="20"/>
      <c r="AP644" s="20"/>
      <c r="AQ644" s="20"/>
      <c r="AR644" s="20"/>
      <c r="AS644" s="20"/>
      <c r="AT644" s="20"/>
      <c r="AU644" s="20"/>
      <c r="AV644" s="20"/>
      <c r="AW644" s="20"/>
      <c r="AX644" s="20"/>
      <c r="AY644" s="20"/>
    </row>
    <row r="645" spans="4:51" ht="15" customHeight="1"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  <c r="AF645" s="20"/>
      <c r="AG645" s="20"/>
      <c r="AH645" s="20"/>
      <c r="AI645" s="20"/>
      <c r="AJ645" s="20"/>
      <c r="AK645" s="20"/>
      <c r="AL645" s="20"/>
      <c r="AM645" s="20"/>
      <c r="AN645" s="20"/>
      <c r="AO645" s="20"/>
      <c r="AP645" s="20"/>
      <c r="AQ645" s="20"/>
      <c r="AR645" s="20"/>
      <c r="AS645" s="20"/>
      <c r="AT645" s="20"/>
      <c r="AU645" s="20"/>
      <c r="AV645" s="20"/>
      <c r="AW645" s="20"/>
      <c r="AX645" s="20"/>
      <c r="AY645" s="20"/>
    </row>
    <row r="646" spans="4:51" ht="15" customHeight="1"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  <c r="AF646" s="20"/>
      <c r="AG646" s="20"/>
      <c r="AH646" s="20"/>
      <c r="AI646" s="20"/>
      <c r="AJ646" s="20"/>
      <c r="AK646" s="20"/>
      <c r="AL646" s="20"/>
      <c r="AM646" s="20"/>
      <c r="AN646" s="20"/>
      <c r="AO646" s="20"/>
      <c r="AP646" s="20"/>
      <c r="AQ646" s="20"/>
      <c r="AR646" s="20"/>
      <c r="AS646" s="20"/>
      <c r="AT646" s="20"/>
      <c r="AU646" s="20"/>
      <c r="AV646" s="20"/>
      <c r="AW646" s="20"/>
      <c r="AX646" s="20"/>
      <c r="AY646" s="20"/>
    </row>
    <row r="647" spans="4:51" ht="15" customHeight="1"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  <c r="AI647" s="20"/>
      <c r="AJ647" s="20"/>
      <c r="AK647" s="20"/>
      <c r="AL647" s="20"/>
      <c r="AM647" s="20"/>
      <c r="AN647" s="20"/>
      <c r="AO647" s="20"/>
      <c r="AP647" s="20"/>
      <c r="AQ647" s="20"/>
      <c r="AR647" s="20"/>
      <c r="AS647" s="20"/>
      <c r="AT647" s="20"/>
      <c r="AU647" s="20"/>
      <c r="AV647" s="20"/>
      <c r="AW647" s="20"/>
      <c r="AX647" s="20"/>
      <c r="AY647" s="20"/>
    </row>
    <row r="648" spans="4:51" ht="15" customHeight="1"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  <c r="AI648" s="20"/>
      <c r="AJ648" s="20"/>
      <c r="AK648" s="20"/>
      <c r="AL648" s="20"/>
      <c r="AM648" s="20"/>
      <c r="AN648" s="20"/>
      <c r="AO648" s="20"/>
      <c r="AP648" s="20"/>
      <c r="AQ648" s="20"/>
      <c r="AR648" s="20"/>
      <c r="AS648" s="20"/>
      <c r="AT648" s="20"/>
      <c r="AU648" s="20"/>
      <c r="AV648" s="20"/>
      <c r="AW648" s="20"/>
      <c r="AX648" s="20"/>
      <c r="AY648" s="20"/>
    </row>
    <row r="649" spans="4:51" ht="15" customHeight="1"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20"/>
      <c r="AM649" s="20"/>
      <c r="AN649" s="20"/>
      <c r="AO649" s="20"/>
      <c r="AP649" s="20"/>
      <c r="AQ649" s="20"/>
      <c r="AR649" s="20"/>
      <c r="AS649" s="20"/>
      <c r="AT649" s="20"/>
      <c r="AU649" s="20"/>
      <c r="AV649" s="20"/>
      <c r="AW649" s="20"/>
      <c r="AX649" s="20"/>
      <c r="AY649" s="20"/>
    </row>
    <row r="650" spans="4:51" ht="15" customHeight="1"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  <c r="AF650" s="20"/>
      <c r="AG650" s="20"/>
      <c r="AH650" s="20"/>
      <c r="AI650" s="20"/>
      <c r="AJ650" s="20"/>
      <c r="AK650" s="20"/>
      <c r="AL650" s="20"/>
      <c r="AM650" s="20"/>
      <c r="AN650" s="20"/>
      <c r="AO650" s="20"/>
      <c r="AP650" s="20"/>
      <c r="AQ650" s="20"/>
      <c r="AR650" s="20"/>
      <c r="AS650" s="20"/>
      <c r="AT650" s="20"/>
      <c r="AU650" s="20"/>
      <c r="AV650" s="20"/>
      <c r="AW650" s="20"/>
      <c r="AX650" s="20"/>
      <c r="AY650" s="20"/>
    </row>
    <row r="651" spans="4:51" ht="15" customHeight="1"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  <c r="AF651" s="20"/>
      <c r="AG651" s="20"/>
      <c r="AH651" s="20"/>
      <c r="AI651" s="20"/>
      <c r="AJ651" s="20"/>
      <c r="AK651" s="20"/>
      <c r="AL651" s="20"/>
      <c r="AM651" s="20"/>
      <c r="AN651" s="20"/>
      <c r="AO651" s="20"/>
      <c r="AP651" s="20"/>
      <c r="AQ651" s="20"/>
      <c r="AR651" s="20"/>
      <c r="AS651" s="20"/>
      <c r="AT651" s="20"/>
      <c r="AU651" s="20"/>
      <c r="AV651" s="20"/>
      <c r="AW651" s="20"/>
      <c r="AX651" s="20"/>
      <c r="AY651" s="20"/>
    </row>
    <row r="652" spans="4:51" ht="15" customHeight="1"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  <c r="AF652" s="20"/>
      <c r="AG652" s="20"/>
      <c r="AH652" s="20"/>
      <c r="AI652" s="20"/>
      <c r="AJ652" s="20"/>
      <c r="AK652" s="20"/>
      <c r="AL652" s="20"/>
      <c r="AM652" s="20"/>
      <c r="AN652" s="20"/>
      <c r="AO652" s="20"/>
      <c r="AP652" s="20"/>
      <c r="AQ652" s="20"/>
      <c r="AR652" s="20"/>
      <c r="AS652" s="20"/>
      <c r="AT652" s="20"/>
      <c r="AU652" s="20"/>
      <c r="AV652" s="20"/>
      <c r="AW652" s="20"/>
      <c r="AX652" s="20"/>
      <c r="AY652" s="20"/>
    </row>
    <row r="653" spans="4:51" ht="15" customHeight="1"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  <c r="AF653" s="20"/>
      <c r="AG653" s="20"/>
      <c r="AH653" s="20"/>
      <c r="AI653" s="20"/>
      <c r="AJ653" s="20"/>
      <c r="AK653" s="20"/>
      <c r="AL653" s="20"/>
      <c r="AM653" s="20"/>
      <c r="AN653" s="20"/>
      <c r="AO653" s="20"/>
      <c r="AP653" s="20"/>
      <c r="AQ653" s="20"/>
      <c r="AR653" s="20"/>
      <c r="AS653" s="20"/>
      <c r="AT653" s="20"/>
      <c r="AU653" s="20"/>
      <c r="AV653" s="20"/>
      <c r="AW653" s="20"/>
      <c r="AX653" s="20"/>
      <c r="AY653" s="20"/>
    </row>
    <row r="654" spans="4:51" ht="15" customHeight="1"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  <c r="AJ654" s="20"/>
      <c r="AK654" s="20"/>
      <c r="AL654" s="20"/>
      <c r="AM654" s="20"/>
      <c r="AN654" s="20"/>
      <c r="AO654" s="20"/>
      <c r="AP654" s="20"/>
      <c r="AQ654" s="20"/>
      <c r="AR654" s="20"/>
      <c r="AS654" s="20"/>
      <c r="AT654" s="20"/>
      <c r="AU654" s="20"/>
      <c r="AV654" s="20"/>
      <c r="AW654" s="20"/>
      <c r="AX654" s="20"/>
      <c r="AY654" s="20"/>
    </row>
    <row r="655" spans="4:51" ht="15" customHeight="1"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AF655" s="20"/>
      <c r="AG655" s="20"/>
      <c r="AH655" s="20"/>
      <c r="AI655" s="20"/>
      <c r="AJ655" s="20"/>
      <c r="AK655" s="20"/>
      <c r="AL655" s="20"/>
      <c r="AM655" s="20"/>
      <c r="AN655" s="20"/>
      <c r="AO655" s="20"/>
      <c r="AP655" s="20"/>
      <c r="AQ655" s="20"/>
      <c r="AR655" s="20"/>
      <c r="AS655" s="20"/>
      <c r="AT655" s="20"/>
      <c r="AU655" s="20"/>
      <c r="AV655" s="20"/>
      <c r="AW655" s="20"/>
      <c r="AX655" s="20"/>
      <c r="AY655" s="20"/>
    </row>
    <row r="656" spans="4:51" ht="15" customHeight="1"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  <c r="AF656" s="20"/>
      <c r="AG656" s="20"/>
      <c r="AH656" s="20"/>
      <c r="AI656" s="20"/>
      <c r="AJ656" s="20"/>
      <c r="AK656" s="20"/>
      <c r="AL656" s="20"/>
      <c r="AM656" s="20"/>
      <c r="AN656" s="20"/>
      <c r="AO656" s="20"/>
      <c r="AP656" s="20"/>
      <c r="AQ656" s="20"/>
      <c r="AR656" s="20"/>
      <c r="AS656" s="20"/>
      <c r="AT656" s="20"/>
      <c r="AU656" s="20"/>
      <c r="AV656" s="20"/>
      <c r="AW656" s="20"/>
      <c r="AX656" s="20"/>
      <c r="AY656" s="20"/>
    </row>
    <row r="657" spans="4:51" ht="15" customHeight="1"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  <c r="AF657" s="20"/>
      <c r="AG657" s="20"/>
      <c r="AH657" s="20"/>
      <c r="AI657" s="20"/>
      <c r="AJ657" s="20"/>
      <c r="AK657" s="20"/>
      <c r="AL657" s="20"/>
      <c r="AM657" s="20"/>
      <c r="AN657" s="20"/>
      <c r="AO657" s="20"/>
      <c r="AP657" s="20"/>
      <c r="AQ657" s="20"/>
      <c r="AR657" s="20"/>
      <c r="AS657" s="20"/>
      <c r="AT657" s="20"/>
      <c r="AU657" s="20"/>
      <c r="AV657" s="20"/>
      <c r="AW657" s="20"/>
      <c r="AX657" s="20"/>
      <c r="AY657" s="20"/>
    </row>
    <row r="658" spans="4:51" ht="15" customHeight="1"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  <c r="AI658" s="20"/>
      <c r="AJ658" s="20"/>
      <c r="AK658" s="20"/>
      <c r="AL658" s="20"/>
      <c r="AM658" s="20"/>
      <c r="AN658" s="20"/>
      <c r="AO658" s="20"/>
      <c r="AP658" s="20"/>
      <c r="AQ658" s="20"/>
      <c r="AR658" s="20"/>
      <c r="AS658" s="20"/>
      <c r="AT658" s="20"/>
      <c r="AU658" s="20"/>
      <c r="AV658" s="20"/>
      <c r="AW658" s="20"/>
      <c r="AX658" s="20"/>
      <c r="AY658" s="20"/>
    </row>
    <row r="659" spans="4:51" ht="15" customHeight="1"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  <c r="AF659" s="20"/>
      <c r="AG659" s="20"/>
      <c r="AH659" s="20"/>
      <c r="AI659" s="20"/>
      <c r="AJ659" s="20"/>
      <c r="AK659" s="20"/>
      <c r="AL659" s="20"/>
      <c r="AM659" s="20"/>
      <c r="AN659" s="20"/>
      <c r="AO659" s="20"/>
      <c r="AP659" s="20"/>
      <c r="AQ659" s="20"/>
      <c r="AR659" s="20"/>
      <c r="AS659" s="20"/>
      <c r="AT659" s="20"/>
      <c r="AU659" s="20"/>
      <c r="AV659" s="20"/>
      <c r="AW659" s="20"/>
      <c r="AX659" s="20"/>
      <c r="AY659" s="20"/>
    </row>
    <row r="660" spans="4:51" ht="15" customHeight="1"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  <c r="AI660" s="20"/>
      <c r="AJ660" s="20"/>
      <c r="AK660" s="20"/>
      <c r="AL660" s="20"/>
      <c r="AM660" s="20"/>
      <c r="AN660" s="20"/>
      <c r="AO660" s="20"/>
      <c r="AP660" s="20"/>
      <c r="AQ660" s="20"/>
      <c r="AR660" s="20"/>
      <c r="AS660" s="20"/>
      <c r="AT660" s="20"/>
      <c r="AU660" s="20"/>
      <c r="AV660" s="20"/>
      <c r="AW660" s="20"/>
      <c r="AX660" s="20"/>
      <c r="AY660" s="20"/>
    </row>
    <row r="661" spans="4:51" ht="15" customHeight="1"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  <c r="AF661" s="20"/>
      <c r="AG661" s="20"/>
      <c r="AH661" s="20"/>
      <c r="AI661" s="20"/>
      <c r="AJ661" s="20"/>
      <c r="AK661" s="20"/>
      <c r="AL661" s="20"/>
      <c r="AM661" s="20"/>
      <c r="AN661" s="20"/>
      <c r="AO661" s="20"/>
      <c r="AP661" s="20"/>
      <c r="AQ661" s="20"/>
      <c r="AR661" s="20"/>
      <c r="AS661" s="20"/>
      <c r="AT661" s="20"/>
      <c r="AU661" s="20"/>
      <c r="AV661" s="20"/>
      <c r="AW661" s="20"/>
      <c r="AX661" s="20"/>
      <c r="AY661" s="20"/>
    </row>
    <row r="662" spans="4:51" ht="15" customHeight="1"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  <c r="AE662" s="20"/>
      <c r="AF662" s="20"/>
      <c r="AG662" s="20"/>
      <c r="AH662" s="20"/>
      <c r="AI662" s="20"/>
      <c r="AJ662" s="20"/>
      <c r="AK662" s="20"/>
      <c r="AL662" s="20"/>
      <c r="AM662" s="20"/>
      <c r="AN662" s="20"/>
      <c r="AO662" s="20"/>
      <c r="AP662" s="20"/>
      <c r="AQ662" s="20"/>
      <c r="AR662" s="20"/>
      <c r="AS662" s="20"/>
      <c r="AT662" s="20"/>
      <c r="AU662" s="20"/>
      <c r="AV662" s="20"/>
      <c r="AW662" s="20"/>
      <c r="AX662" s="20"/>
      <c r="AY662" s="20"/>
    </row>
    <row r="663" spans="4:51" ht="15" customHeight="1"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  <c r="AE663" s="20"/>
      <c r="AF663" s="20"/>
      <c r="AG663" s="20"/>
      <c r="AH663" s="20"/>
      <c r="AI663" s="20"/>
      <c r="AJ663" s="20"/>
      <c r="AK663" s="20"/>
      <c r="AL663" s="20"/>
      <c r="AM663" s="20"/>
      <c r="AN663" s="20"/>
      <c r="AO663" s="20"/>
      <c r="AP663" s="20"/>
      <c r="AQ663" s="20"/>
      <c r="AR663" s="20"/>
      <c r="AS663" s="20"/>
      <c r="AT663" s="20"/>
      <c r="AU663" s="20"/>
      <c r="AV663" s="20"/>
      <c r="AW663" s="20"/>
      <c r="AX663" s="20"/>
      <c r="AY663" s="20"/>
    </row>
    <row r="664" spans="4:51" ht="15" customHeight="1"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AB664" s="20"/>
      <c r="AC664" s="20"/>
      <c r="AD664" s="20"/>
      <c r="AE664" s="20"/>
      <c r="AF664" s="20"/>
      <c r="AG664" s="20"/>
      <c r="AH664" s="20"/>
      <c r="AI664" s="20"/>
      <c r="AJ664" s="20"/>
      <c r="AK664" s="20"/>
      <c r="AL664" s="20"/>
      <c r="AM664" s="20"/>
      <c r="AN664" s="20"/>
      <c r="AO664" s="20"/>
      <c r="AP664" s="20"/>
      <c r="AQ664" s="20"/>
      <c r="AR664" s="20"/>
      <c r="AS664" s="20"/>
      <c r="AT664" s="20"/>
      <c r="AU664" s="20"/>
      <c r="AV664" s="20"/>
      <c r="AW664" s="20"/>
      <c r="AX664" s="20"/>
      <c r="AY664" s="20"/>
    </row>
    <row r="665" spans="4:51" ht="15" customHeight="1"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AB665" s="20"/>
      <c r="AC665" s="20"/>
      <c r="AD665" s="20"/>
      <c r="AE665" s="20"/>
      <c r="AF665" s="20"/>
      <c r="AG665" s="20"/>
      <c r="AH665" s="20"/>
      <c r="AI665" s="20"/>
      <c r="AJ665" s="20"/>
      <c r="AK665" s="20"/>
      <c r="AL665" s="20"/>
      <c r="AM665" s="20"/>
      <c r="AN665" s="20"/>
      <c r="AO665" s="20"/>
      <c r="AP665" s="20"/>
      <c r="AQ665" s="20"/>
      <c r="AR665" s="20"/>
      <c r="AS665" s="20"/>
      <c r="AT665" s="20"/>
      <c r="AU665" s="20"/>
      <c r="AV665" s="20"/>
      <c r="AW665" s="20"/>
      <c r="AX665" s="20"/>
      <c r="AY665" s="20"/>
    </row>
    <row r="666" spans="4:51" ht="15" customHeight="1"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  <c r="AE666" s="20"/>
      <c r="AF666" s="20"/>
      <c r="AG666" s="20"/>
      <c r="AH666" s="20"/>
      <c r="AI666" s="20"/>
      <c r="AJ666" s="20"/>
      <c r="AK666" s="20"/>
      <c r="AL666" s="20"/>
      <c r="AM666" s="20"/>
      <c r="AN666" s="20"/>
      <c r="AO666" s="20"/>
      <c r="AP666" s="20"/>
      <c r="AQ666" s="20"/>
      <c r="AR666" s="20"/>
      <c r="AS666" s="20"/>
      <c r="AT666" s="20"/>
      <c r="AU666" s="20"/>
      <c r="AV666" s="20"/>
      <c r="AW666" s="20"/>
      <c r="AX666" s="20"/>
      <c r="AY666" s="20"/>
    </row>
    <row r="667" spans="4:51" ht="15" customHeight="1"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  <c r="AE667" s="20"/>
      <c r="AF667" s="20"/>
      <c r="AG667" s="20"/>
      <c r="AH667" s="20"/>
      <c r="AI667" s="20"/>
      <c r="AJ667" s="20"/>
      <c r="AK667" s="20"/>
      <c r="AL667" s="20"/>
      <c r="AM667" s="20"/>
      <c r="AN667" s="20"/>
      <c r="AO667" s="20"/>
      <c r="AP667" s="20"/>
      <c r="AQ667" s="20"/>
      <c r="AR667" s="20"/>
      <c r="AS667" s="20"/>
      <c r="AT667" s="20"/>
      <c r="AU667" s="20"/>
      <c r="AV667" s="20"/>
      <c r="AW667" s="20"/>
      <c r="AX667" s="20"/>
      <c r="AY667" s="20"/>
    </row>
    <row r="668" spans="4:51" ht="15" customHeight="1"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  <c r="AB668" s="20"/>
      <c r="AC668" s="20"/>
      <c r="AD668" s="20"/>
      <c r="AE668" s="20"/>
      <c r="AF668" s="20"/>
      <c r="AG668" s="20"/>
      <c r="AH668" s="20"/>
      <c r="AI668" s="20"/>
      <c r="AJ668" s="20"/>
      <c r="AK668" s="20"/>
      <c r="AL668" s="20"/>
      <c r="AM668" s="20"/>
      <c r="AN668" s="20"/>
      <c r="AO668" s="20"/>
      <c r="AP668" s="20"/>
      <c r="AQ668" s="20"/>
      <c r="AR668" s="20"/>
      <c r="AS668" s="20"/>
      <c r="AT668" s="20"/>
      <c r="AU668" s="20"/>
      <c r="AV668" s="20"/>
      <c r="AW668" s="20"/>
      <c r="AX668" s="20"/>
      <c r="AY668" s="20"/>
    </row>
    <row r="669" spans="4:51" ht="15" customHeight="1"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  <c r="AB669" s="20"/>
      <c r="AC669" s="20"/>
      <c r="AD669" s="20"/>
      <c r="AE669" s="20"/>
      <c r="AF669" s="20"/>
      <c r="AG669" s="20"/>
      <c r="AH669" s="20"/>
      <c r="AI669" s="20"/>
      <c r="AJ669" s="20"/>
      <c r="AK669" s="20"/>
      <c r="AL669" s="20"/>
      <c r="AM669" s="20"/>
      <c r="AN669" s="20"/>
      <c r="AO669" s="20"/>
      <c r="AP669" s="20"/>
      <c r="AQ669" s="20"/>
      <c r="AR669" s="20"/>
      <c r="AS669" s="20"/>
      <c r="AT669" s="20"/>
      <c r="AU669" s="20"/>
      <c r="AV669" s="20"/>
      <c r="AW669" s="20"/>
      <c r="AX669" s="20"/>
      <c r="AY669" s="20"/>
    </row>
    <row r="670" spans="4:51" ht="15" customHeight="1"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0"/>
      <c r="AB670" s="20"/>
      <c r="AC670" s="20"/>
      <c r="AD670" s="20"/>
      <c r="AE670" s="20"/>
      <c r="AF670" s="20"/>
      <c r="AG670" s="20"/>
      <c r="AH670" s="20"/>
      <c r="AI670" s="20"/>
      <c r="AJ670" s="20"/>
      <c r="AK670" s="20"/>
      <c r="AL670" s="20"/>
      <c r="AM670" s="20"/>
      <c r="AN670" s="20"/>
      <c r="AO670" s="20"/>
      <c r="AP670" s="20"/>
      <c r="AQ670" s="20"/>
      <c r="AR670" s="20"/>
      <c r="AS670" s="20"/>
      <c r="AT670" s="20"/>
      <c r="AU670" s="20"/>
      <c r="AV670" s="20"/>
      <c r="AW670" s="20"/>
      <c r="AX670" s="20"/>
      <c r="AY670" s="20"/>
    </row>
    <row r="671" spans="4:51" ht="15" customHeight="1"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  <c r="AB671" s="20"/>
      <c r="AC671" s="20"/>
      <c r="AD671" s="20"/>
      <c r="AE671" s="20"/>
      <c r="AF671" s="20"/>
      <c r="AG671" s="20"/>
      <c r="AH671" s="20"/>
      <c r="AI671" s="20"/>
      <c r="AJ671" s="20"/>
      <c r="AK671" s="20"/>
      <c r="AL671" s="20"/>
      <c r="AM671" s="20"/>
      <c r="AN671" s="20"/>
      <c r="AO671" s="20"/>
      <c r="AP671" s="20"/>
      <c r="AQ671" s="20"/>
      <c r="AR671" s="20"/>
      <c r="AS671" s="20"/>
      <c r="AT671" s="20"/>
      <c r="AU671" s="20"/>
      <c r="AV671" s="20"/>
      <c r="AW671" s="20"/>
      <c r="AX671" s="20"/>
      <c r="AY671" s="20"/>
    </row>
    <row r="672" spans="4:51" ht="15" customHeight="1"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  <c r="AC672" s="20"/>
      <c r="AD672" s="20"/>
      <c r="AE672" s="20"/>
      <c r="AF672" s="20"/>
      <c r="AG672" s="20"/>
      <c r="AH672" s="20"/>
      <c r="AI672" s="20"/>
      <c r="AJ672" s="20"/>
      <c r="AK672" s="20"/>
      <c r="AL672" s="20"/>
      <c r="AM672" s="20"/>
      <c r="AN672" s="20"/>
      <c r="AO672" s="20"/>
      <c r="AP672" s="20"/>
      <c r="AQ672" s="20"/>
      <c r="AR672" s="20"/>
      <c r="AS672" s="20"/>
      <c r="AT672" s="20"/>
      <c r="AU672" s="20"/>
      <c r="AV672" s="20"/>
      <c r="AW672" s="20"/>
      <c r="AX672" s="20"/>
      <c r="AY672" s="20"/>
    </row>
    <row r="673" spans="4:51" ht="15" customHeight="1"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AD673" s="20"/>
      <c r="AE673" s="20"/>
      <c r="AF673" s="20"/>
      <c r="AG673" s="20"/>
      <c r="AH673" s="20"/>
      <c r="AI673" s="20"/>
      <c r="AJ673" s="20"/>
      <c r="AK673" s="20"/>
      <c r="AL673" s="20"/>
      <c r="AM673" s="20"/>
      <c r="AN673" s="20"/>
      <c r="AO673" s="20"/>
      <c r="AP673" s="20"/>
      <c r="AQ673" s="20"/>
      <c r="AR673" s="20"/>
      <c r="AS673" s="20"/>
      <c r="AT673" s="20"/>
      <c r="AU673" s="20"/>
      <c r="AV673" s="20"/>
      <c r="AW673" s="20"/>
      <c r="AX673" s="20"/>
      <c r="AY673" s="20"/>
    </row>
    <row r="674" spans="4:51" ht="15" customHeight="1"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  <c r="AF674" s="20"/>
      <c r="AG674" s="20"/>
      <c r="AH674" s="20"/>
      <c r="AI674" s="20"/>
      <c r="AJ674" s="20"/>
      <c r="AK674" s="20"/>
      <c r="AL674" s="20"/>
      <c r="AM674" s="20"/>
      <c r="AN674" s="20"/>
      <c r="AO674" s="20"/>
      <c r="AP674" s="20"/>
      <c r="AQ674" s="20"/>
      <c r="AR674" s="20"/>
      <c r="AS674" s="20"/>
      <c r="AT674" s="20"/>
      <c r="AU674" s="20"/>
      <c r="AV674" s="20"/>
      <c r="AW674" s="20"/>
      <c r="AX674" s="20"/>
      <c r="AY674" s="20"/>
    </row>
    <row r="675" spans="4:51" ht="15" customHeight="1"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  <c r="AF675" s="20"/>
      <c r="AG675" s="20"/>
      <c r="AH675" s="20"/>
      <c r="AI675" s="20"/>
      <c r="AJ675" s="20"/>
      <c r="AK675" s="20"/>
      <c r="AL675" s="20"/>
      <c r="AM675" s="20"/>
      <c r="AN675" s="20"/>
      <c r="AO675" s="20"/>
      <c r="AP675" s="20"/>
      <c r="AQ675" s="20"/>
      <c r="AR675" s="20"/>
      <c r="AS675" s="20"/>
      <c r="AT675" s="20"/>
      <c r="AU675" s="20"/>
      <c r="AV675" s="20"/>
      <c r="AW675" s="20"/>
      <c r="AX675" s="20"/>
      <c r="AY675" s="20"/>
    </row>
    <row r="676" spans="4:51" ht="15" customHeight="1"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  <c r="AF676" s="20"/>
      <c r="AG676" s="20"/>
      <c r="AH676" s="20"/>
      <c r="AI676" s="20"/>
      <c r="AJ676" s="20"/>
      <c r="AK676" s="20"/>
      <c r="AL676" s="20"/>
      <c r="AM676" s="20"/>
      <c r="AN676" s="20"/>
      <c r="AO676" s="20"/>
      <c r="AP676" s="20"/>
      <c r="AQ676" s="20"/>
      <c r="AR676" s="20"/>
      <c r="AS676" s="20"/>
      <c r="AT676" s="20"/>
      <c r="AU676" s="20"/>
      <c r="AV676" s="20"/>
      <c r="AW676" s="20"/>
      <c r="AX676" s="20"/>
      <c r="AY676" s="20"/>
    </row>
    <row r="677" spans="4:51" ht="15" customHeight="1"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  <c r="AF677" s="20"/>
      <c r="AG677" s="20"/>
      <c r="AH677" s="20"/>
      <c r="AI677" s="20"/>
      <c r="AJ677" s="20"/>
      <c r="AK677" s="20"/>
      <c r="AL677" s="20"/>
      <c r="AM677" s="20"/>
      <c r="AN677" s="20"/>
      <c r="AO677" s="20"/>
      <c r="AP677" s="20"/>
      <c r="AQ677" s="20"/>
      <c r="AR677" s="20"/>
      <c r="AS677" s="20"/>
      <c r="AT677" s="20"/>
      <c r="AU677" s="20"/>
      <c r="AV677" s="20"/>
      <c r="AW677" s="20"/>
      <c r="AX677" s="20"/>
      <c r="AY677" s="20"/>
    </row>
    <row r="678" spans="4:51" ht="15" customHeight="1"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  <c r="AF678" s="20"/>
      <c r="AG678" s="20"/>
      <c r="AH678" s="20"/>
      <c r="AI678" s="20"/>
      <c r="AJ678" s="20"/>
      <c r="AK678" s="20"/>
      <c r="AL678" s="20"/>
      <c r="AM678" s="20"/>
      <c r="AN678" s="20"/>
      <c r="AO678" s="20"/>
      <c r="AP678" s="20"/>
      <c r="AQ678" s="20"/>
      <c r="AR678" s="20"/>
      <c r="AS678" s="20"/>
      <c r="AT678" s="20"/>
      <c r="AU678" s="20"/>
      <c r="AV678" s="20"/>
      <c r="AW678" s="20"/>
      <c r="AX678" s="20"/>
      <c r="AY678" s="20"/>
    </row>
    <row r="679" spans="4:51" ht="15" customHeight="1"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  <c r="AE679" s="20"/>
      <c r="AF679" s="20"/>
      <c r="AG679" s="20"/>
      <c r="AH679" s="20"/>
      <c r="AI679" s="20"/>
      <c r="AJ679" s="20"/>
      <c r="AK679" s="20"/>
      <c r="AL679" s="20"/>
      <c r="AM679" s="20"/>
      <c r="AN679" s="20"/>
      <c r="AO679" s="20"/>
      <c r="AP679" s="20"/>
      <c r="AQ679" s="20"/>
      <c r="AR679" s="20"/>
      <c r="AS679" s="20"/>
      <c r="AT679" s="20"/>
      <c r="AU679" s="20"/>
      <c r="AV679" s="20"/>
      <c r="AW679" s="20"/>
      <c r="AX679" s="20"/>
      <c r="AY679" s="20"/>
    </row>
    <row r="680" spans="4:51" ht="15" customHeight="1"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  <c r="AE680" s="20"/>
      <c r="AF680" s="20"/>
      <c r="AG680" s="20"/>
      <c r="AH680" s="20"/>
      <c r="AI680" s="20"/>
      <c r="AJ680" s="20"/>
      <c r="AK680" s="20"/>
      <c r="AL680" s="20"/>
      <c r="AM680" s="20"/>
      <c r="AN680" s="20"/>
      <c r="AO680" s="20"/>
      <c r="AP680" s="20"/>
      <c r="AQ680" s="20"/>
      <c r="AR680" s="20"/>
      <c r="AS680" s="20"/>
      <c r="AT680" s="20"/>
      <c r="AU680" s="20"/>
      <c r="AV680" s="20"/>
      <c r="AW680" s="20"/>
      <c r="AX680" s="20"/>
      <c r="AY680" s="20"/>
    </row>
    <row r="681" spans="4:51" ht="15" customHeight="1"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AC681" s="20"/>
      <c r="AD681" s="20"/>
      <c r="AE681" s="20"/>
      <c r="AF681" s="20"/>
      <c r="AG681" s="20"/>
      <c r="AH681" s="20"/>
      <c r="AI681" s="20"/>
      <c r="AJ681" s="20"/>
      <c r="AK681" s="20"/>
      <c r="AL681" s="20"/>
      <c r="AM681" s="20"/>
      <c r="AN681" s="20"/>
      <c r="AO681" s="20"/>
      <c r="AP681" s="20"/>
      <c r="AQ681" s="20"/>
      <c r="AR681" s="20"/>
      <c r="AS681" s="20"/>
      <c r="AT681" s="20"/>
      <c r="AU681" s="20"/>
      <c r="AV681" s="20"/>
      <c r="AW681" s="20"/>
      <c r="AX681" s="20"/>
      <c r="AY681" s="20"/>
    </row>
    <row r="682" spans="4:51" ht="15" customHeight="1"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AB682" s="20"/>
      <c r="AC682" s="20"/>
      <c r="AD682" s="20"/>
      <c r="AE682" s="20"/>
      <c r="AF682" s="20"/>
      <c r="AG682" s="20"/>
      <c r="AH682" s="20"/>
      <c r="AI682" s="20"/>
      <c r="AJ682" s="20"/>
      <c r="AK682" s="20"/>
      <c r="AL682" s="20"/>
      <c r="AM682" s="20"/>
      <c r="AN682" s="20"/>
      <c r="AO682" s="20"/>
      <c r="AP682" s="20"/>
      <c r="AQ682" s="20"/>
      <c r="AR682" s="20"/>
      <c r="AS682" s="20"/>
      <c r="AT682" s="20"/>
      <c r="AU682" s="20"/>
      <c r="AV682" s="20"/>
      <c r="AW682" s="20"/>
      <c r="AX682" s="20"/>
      <c r="AY682" s="20"/>
    </row>
    <row r="683" spans="4:51" ht="15" customHeight="1"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  <c r="AB683" s="20"/>
      <c r="AC683" s="20"/>
      <c r="AD683" s="20"/>
      <c r="AE683" s="20"/>
      <c r="AF683" s="20"/>
      <c r="AG683" s="20"/>
      <c r="AH683" s="20"/>
      <c r="AI683" s="20"/>
      <c r="AJ683" s="20"/>
      <c r="AK683" s="20"/>
      <c r="AL683" s="20"/>
      <c r="AM683" s="20"/>
      <c r="AN683" s="20"/>
      <c r="AO683" s="20"/>
      <c r="AP683" s="20"/>
      <c r="AQ683" s="20"/>
      <c r="AR683" s="20"/>
      <c r="AS683" s="20"/>
      <c r="AT683" s="20"/>
      <c r="AU683" s="20"/>
      <c r="AV683" s="20"/>
      <c r="AW683" s="20"/>
      <c r="AX683" s="20"/>
      <c r="AY683" s="20"/>
    </row>
    <row r="684" spans="4:51" ht="15" customHeight="1"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  <c r="AB684" s="20"/>
      <c r="AC684" s="20"/>
      <c r="AD684" s="20"/>
      <c r="AE684" s="20"/>
      <c r="AF684" s="20"/>
      <c r="AG684" s="20"/>
      <c r="AH684" s="20"/>
      <c r="AI684" s="20"/>
      <c r="AJ684" s="20"/>
      <c r="AK684" s="20"/>
      <c r="AL684" s="20"/>
      <c r="AM684" s="20"/>
      <c r="AN684" s="20"/>
      <c r="AO684" s="20"/>
      <c r="AP684" s="20"/>
      <c r="AQ684" s="20"/>
      <c r="AR684" s="20"/>
      <c r="AS684" s="20"/>
      <c r="AT684" s="20"/>
      <c r="AU684" s="20"/>
      <c r="AV684" s="20"/>
      <c r="AW684" s="20"/>
      <c r="AX684" s="20"/>
      <c r="AY684" s="20"/>
    </row>
    <row r="685" spans="4:51" ht="15" customHeight="1"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  <c r="AE685" s="20"/>
      <c r="AF685" s="20"/>
      <c r="AG685" s="20"/>
      <c r="AH685" s="20"/>
      <c r="AI685" s="20"/>
      <c r="AJ685" s="20"/>
      <c r="AK685" s="20"/>
      <c r="AL685" s="20"/>
      <c r="AM685" s="20"/>
      <c r="AN685" s="20"/>
      <c r="AO685" s="20"/>
      <c r="AP685" s="20"/>
      <c r="AQ685" s="20"/>
      <c r="AR685" s="20"/>
      <c r="AS685" s="20"/>
      <c r="AT685" s="20"/>
      <c r="AU685" s="20"/>
      <c r="AV685" s="20"/>
      <c r="AW685" s="20"/>
      <c r="AX685" s="20"/>
      <c r="AY685" s="20"/>
    </row>
    <row r="686" spans="4:51" ht="15" customHeight="1"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  <c r="AE686" s="20"/>
      <c r="AF686" s="20"/>
      <c r="AG686" s="20"/>
      <c r="AH686" s="20"/>
      <c r="AI686" s="20"/>
      <c r="AJ686" s="20"/>
      <c r="AK686" s="20"/>
      <c r="AL686" s="20"/>
      <c r="AM686" s="20"/>
      <c r="AN686" s="20"/>
      <c r="AO686" s="20"/>
      <c r="AP686" s="20"/>
      <c r="AQ686" s="20"/>
      <c r="AR686" s="20"/>
      <c r="AS686" s="20"/>
      <c r="AT686" s="20"/>
      <c r="AU686" s="20"/>
      <c r="AV686" s="20"/>
      <c r="AW686" s="20"/>
      <c r="AX686" s="20"/>
      <c r="AY686" s="20"/>
    </row>
    <row r="687" spans="4:51" ht="15" customHeight="1"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  <c r="AE687" s="20"/>
      <c r="AF687" s="20"/>
      <c r="AG687" s="20"/>
      <c r="AH687" s="20"/>
      <c r="AI687" s="20"/>
      <c r="AJ687" s="20"/>
      <c r="AK687" s="20"/>
      <c r="AL687" s="20"/>
      <c r="AM687" s="20"/>
      <c r="AN687" s="20"/>
      <c r="AO687" s="20"/>
      <c r="AP687" s="20"/>
      <c r="AQ687" s="20"/>
      <c r="AR687" s="20"/>
      <c r="AS687" s="20"/>
      <c r="AT687" s="20"/>
      <c r="AU687" s="20"/>
      <c r="AV687" s="20"/>
      <c r="AW687" s="20"/>
      <c r="AX687" s="20"/>
      <c r="AY687" s="20"/>
    </row>
    <row r="688" spans="4:51" ht="15" customHeight="1"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  <c r="AE688" s="20"/>
      <c r="AF688" s="20"/>
      <c r="AG688" s="20"/>
      <c r="AH688" s="20"/>
      <c r="AI688" s="20"/>
      <c r="AJ688" s="20"/>
      <c r="AK688" s="20"/>
      <c r="AL688" s="20"/>
      <c r="AM688" s="20"/>
      <c r="AN688" s="20"/>
      <c r="AO688" s="20"/>
      <c r="AP688" s="20"/>
      <c r="AQ688" s="20"/>
      <c r="AR688" s="20"/>
      <c r="AS688" s="20"/>
      <c r="AT688" s="20"/>
      <c r="AU688" s="20"/>
      <c r="AV688" s="20"/>
      <c r="AW688" s="20"/>
      <c r="AX688" s="20"/>
      <c r="AY688" s="20"/>
    </row>
    <row r="689" spans="4:51" ht="15" customHeight="1"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AE689" s="20"/>
      <c r="AF689" s="20"/>
      <c r="AG689" s="20"/>
      <c r="AH689" s="20"/>
      <c r="AI689" s="20"/>
      <c r="AJ689" s="20"/>
      <c r="AK689" s="20"/>
      <c r="AL689" s="20"/>
      <c r="AM689" s="20"/>
      <c r="AN689" s="20"/>
      <c r="AO689" s="20"/>
      <c r="AP689" s="20"/>
      <c r="AQ689" s="20"/>
      <c r="AR689" s="20"/>
      <c r="AS689" s="20"/>
      <c r="AT689" s="20"/>
      <c r="AU689" s="20"/>
      <c r="AV689" s="20"/>
      <c r="AW689" s="20"/>
      <c r="AX689" s="20"/>
      <c r="AY689" s="20"/>
    </row>
    <row r="690" spans="4:51" ht="15" customHeight="1"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0"/>
      <c r="AF690" s="20"/>
      <c r="AG690" s="20"/>
      <c r="AH690" s="20"/>
      <c r="AI690" s="20"/>
      <c r="AJ690" s="20"/>
      <c r="AK690" s="20"/>
      <c r="AL690" s="20"/>
      <c r="AM690" s="20"/>
      <c r="AN690" s="20"/>
      <c r="AO690" s="20"/>
      <c r="AP690" s="20"/>
      <c r="AQ690" s="20"/>
      <c r="AR690" s="20"/>
      <c r="AS690" s="20"/>
      <c r="AT690" s="20"/>
      <c r="AU690" s="20"/>
      <c r="AV690" s="20"/>
      <c r="AW690" s="20"/>
      <c r="AX690" s="20"/>
      <c r="AY690" s="20"/>
    </row>
    <row r="691" spans="4:51" ht="15" customHeight="1"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  <c r="AF691" s="20"/>
      <c r="AG691" s="20"/>
      <c r="AH691" s="20"/>
      <c r="AI691" s="20"/>
      <c r="AJ691" s="20"/>
      <c r="AK691" s="20"/>
      <c r="AL691" s="20"/>
      <c r="AM691" s="20"/>
      <c r="AN691" s="20"/>
      <c r="AO691" s="20"/>
      <c r="AP691" s="20"/>
      <c r="AQ691" s="20"/>
      <c r="AR691" s="20"/>
      <c r="AS691" s="20"/>
      <c r="AT691" s="20"/>
      <c r="AU691" s="20"/>
      <c r="AV691" s="20"/>
      <c r="AW691" s="20"/>
      <c r="AX691" s="20"/>
      <c r="AY691" s="20"/>
    </row>
    <row r="692" spans="4:51" ht="15" customHeight="1"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  <c r="AF692" s="20"/>
      <c r="AG692" s="20"/>
      <c r="AH692" s="20"/>
      <c r="AI692" s="20"/>
      <c r="AJ692" s="20"/>
      <c r="AK692" s="20"/>
      <c r="AL692" s="20"/>
      <c r="AM692" s="20"/>
      <c r="AN692" s="20"/>
      <c r="AO692" s="20"/>
      <c r="AP692" s="20"/>
      <c r="AQ692" s="20"/>
      <c r="AR692" s="20"/>
      <c r="AS692" s="20"/>
      <c r="AT692" s="20"/>
      <c r="AU692" s="20"/>
      <c r="AV692" s="20"/>
      <c r="AW692" s="20"/>
      <c r="AX692" s="20"/>
      <c r="AY692" s="20"/>
    </row>
    <row r="693" spans="4:51" ht="15" customHeight="1"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  <c r="AF693" s="20"/>
      <c r="AG693" s="20"/>
      <c r="AH693" s="20"/>
      <c r="AI693" s="20"/>
      <c r="AJ693" s="20"/>
      <c r="AK693" s="20"/>
      <c r="AL693" s="20"/>
      <c r="AM693" s="20"/>
      <c r="AN693" s="20"/>
      <c r="AO693" s="20"/>
      <c r="AP693" s="20"/>
      <c r="AQ693" s="20"/>
      <c r="AR693" s="20"/>
      <c r="AS693" s="20"/>
      <c r="AT693" s="20"/>
      <c r="AU693" s="20"/>
      <c r="AV693" s="20"/>
      <c r="AW693" s="20"/>
      <c r="AX693" s="20"/>
      <c r="AY693" s="20"/>
    </row>
    <row r="694" spans="4:51" ht="15" customHeight="1"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AE694" s="20"/>
      <c r="AF694" s="20"/>
      <c r="AG694" s="20"/>
      <c r="AH694" s="20"/>
      <c r="AI694" s="20"/>
      <c r="AJ694" s="20"/>
      <c r="AK694" s="20"/>
      <c r="AL694" s="20"/>
      <c r="AM694" s="20"/>
      <c r="AN694" s="20"/>
      <c r="AO694" s="20"/>
      <c r="AP694" s="20"/>
      <c r="AQ694" s="20"/>
      <c r="AR694" s="20"/>
      <c r="AS694" s="20"/>
      <c r="AT694" s="20"/>
      <c r="AU694" s="20"/>
      <c r="AV694" s="20"/>
      <c r="AW694" s="20"/>
      <c r="AX694" s="20"/>
      <c r="AY694" s="20"/>
    </row>
    <row r="695" spans="4:51" ht="15" customHeight="1"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0"/>
      <c r="AF695" s="20"/>
      <c r="AG695" s="20"/>
      <c r="AH695" s="20"/>
      <c r="AI695" s="20"/>
      <c r="AJ695" s="20"/>
      <c r="AK695" s="20"/>
      <c r="AL695" s="20"/>
      <c r="AM695" s="20"/>
      <c r="AN695" s="20"/>
      <c r="AO695" s="20"/>
      <c r="AP695" s="20"/>
      <c r="AQ695" s="20"/>
      <c r="AR695" s="20"/>
      <c r="AS695" s="20"/>
      <c r="AT695" s="20"/>
      <c r="AU695" s="20"/>
      <c r="AV695" s="20"/>
      <c r="AW695" s="20"/>
      <c r="AX695" s="20"/>
      <c r="AY695" s="20"/>
    </row>
    <row r="696" spans="4:51" ht="15" customHeight="1"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AE696" s="20"/>
      <c r="AF696" s="20"/>
      <c r="AG696" s="20"/>
      <c r="AH696" s="20"/>
      <c r="AI696" s="20"/>
      <c r="AJ696" s="20"/>
      <c r="AK696" s="20"/>
      <c r="AL696" s="20"/>
      <c r="AM696" s="20"/>
      <c r="AN696" s="20"/>
      <c r="AO696" s="20"/>
      <c r="AP696" s="20"/>
      <c r="AQ696" s="20"/>
      <c r="AR696" s="20"/>
      <c r="AS696" s="20"/>
      <c r="AT696" s="20"/>
      <c r="AU696" s="20"/>
      <c r="AV696" s="20"/>
      <c r="AW696" s="20"/>
      <c r="AX696" s="20"/>
      <c r="AY696" s="20"/>
    </row>
    <row r="697" spans="4:51" ht="15" customHeight="1"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  <c r="AF697" s="20"/>
      <c r="AG697" s="20"/>
      <c r="AH697" s="20"/>
      <c r="AI697" s="20"/>
      <c r="AJ697" s="20"/>
      <c r="AK697" s="20"/>
      <c r="AL697" s="20"/>
      <c r="AM697" s="20"/>
      <c r="AN697" s="20"/>
      <c r="AO697" s="20"/>
      <c r="AP697" s="20"/>
      <c r="AQ697" s="20"/>
      <c r="AR697" s="20"/>
      <c r="AS697" s="20"/>
      <c r="AT697" s="20"/>
      <c r="AU697" s="20"/>
      <c r="AV697" s="20"/>
      <c r="AW697" s="20"/>
      <c r="AX697" s="20"/>
      <c r="AY697" s="20"/>
    </row>
    <row r="698" spans="4:51" ht="15" customHeight="1"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0"/>
      <c r="AF698" s="20"/>
      <c r="AG698" s="20"/>
      <c r="AH698" s="20"/>
      <c r="AI698" s="20"/>
      <c r="AJ698" s="20"/>
      <c r="AK698" s="20"/>
      <c r="AL698" s="20"/>
      <c r="AM698" s="20"/>
      <c r="AN698" s="20"/>
      <c r="AO698" s="20"/>
      <c r="AP698" s="20"/>
      <c r="AQ698" s="20"/>
      <c r="AR698" s="20"/>
      <c r="AS698" s="20"/>
      <c r="AT698" s="20"/>
      <c r="AU698" s="20"/>
      <c r="AV698" s="20"/>
      <c r="AW698" s="20"/>
      <c r="AX698" s="20"/>
      <c r="AY698" s="20"/>
    </row>
    <row r="699" spans="4:51" ht="15" customHeight="1"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  <c r="AF699" s="20"/>
      <c r="AG699" s="20"/>
      <c r="AH699" s="20"/>
      <c r="AI699" s="20"/>
      <c r="AJ699" s="20"/>
      <c r="AK699" s="20"/>
      <c r="AL699" s="20"/>
      <c r="AM699" s="20"/>
      <c r="AN699" s="20"/>
      <c r="AO699" s="20"/>
      <c r="AP699" s="20"/>
      <c r="AQ699" s="20"/>
      <c r="AR699" s="20"/>
      <c r="AS699" s="20"/>
      <c r="AT699" s="20"/>
      <c r="AU699" s="20"/>
      <c r="AV699" s="20"/>
      <c r="AW699" s="20"/>
      <c r="AX699" s="20"/>
      <c r="AY699" s="20"/>
    </row>
    <row r="700" spans="4:51" ht="15" customHeight="1"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  <c r="AF700" s="20"/>
      <c r="AG700" s="20"/>
      <c r="AH700" s="20"/>
      <c r="AI700" s="20"/>
      <c r="AJ700" s="20"/>
      <c r="AK700" s="20"/>
      <c r="AL700" s="20"/>
      <c r="AM700" s="20"/>
      <c r="AN700" s="20"/>
      <c r="AO700" s="20"/>
      <c r="AP700" s="20"/>
      <c r="AQ700" s="20"/>
      <c r="AR700" s="20"/>
      <c r="AS700" s="20"/>
      <c r="AT700" s="20"/>
      <c r="AU700" s="20"/>
      <c r="AV700" s="20"/>
      <c r="AW700" s="20"/>
      <c r="AX700" s="20"/>
      <c r="AY700" s="20"/>
    </row>
    <row r="701" spans="4:51" ht="15" customHeight="1"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0"/>
      <c r="AF701" s="20"/>
      <c r="AG701" s="20"/>
      <c r="AH701" s="20"/>
      <c r="AI701" s="20"/>
      <c r="AJ701" s="20"/>
      <c r="AK701" s="20"/>
      <c r="AL701" s="20"/>
      <c r="AM701" s="20"/>
      <c r="AN701" s="20"/>
      <c r="AO701" s="20"/>
      <c r="AP701" s="20"/>
      <c r="AQ701" s="20"/>
      <c r="AR701" s="20"/>
      <c r="AS701" s="20"/>
      <c r="AT701" s="20"/>
      <c r="AU701" s="20"/>
      <c r="AV701" s="20"/>
      <c r="AW701" s="20"/>
      <c r="AX701" s="20"/>
      <c r="AY701" s="20"/>
    </row>
    <row r="702" spans="4:51" ht="15" customHeight="1"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  <c r="AE702" s="20"/>
      <c r="AF702" s="20"/>
      <c r="AG702" s="20"/>
      <c r="AH702" s="20"/>
      <c r="AI702" s="20"/>
      <c r="AJ702" s="20"/>
      <c r="AK702" s="20"/>
      <c r="AL702" s="20"/>
      <c r="AM702" s="20"/>
      <c r="AN702" s="20"/>
      <c r="AO702" s="20"/>
      <c r="AP702" s="20"/>
      <c r="AQ702" s="20"/>
      <c r="AR702" s="20"/>
      <c r="AS702" s="20"/>
      <c r="AT702" s="20"/>
      <c r="AU702" s="20"/>
      <c r="AV702" s="20"/>
      <c r="AW702" s="20"/>
      <c r="AX702" s="20"/>
      <c r="AY702" s="20"/>
    </row>
    <row r="703" spans="4:51" ht="15" customHeight="1"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  <c r="AE703" s="20"/>
      <c r="AF703" s="20"/>
      <c r="AG703" s="20"/>
      <c r="AH703" s="20"/>
      <c r="AI703" s="20"/>
      <c r="AJ703" s="20"/>
      <c r="AK703" s="20"/>
      <c r="AL703" s="20"/>
      <c r="AM703" s="20"/>
      <c r="AN703" s="20"/>
      <c r="AO703" s="20"/>
      <c r="AP703" s="20"/>
      <c r="AQ703" s="20"/>
      <c r="AR703" s="20"/>
      <c r="AS703" s="20"/>
      <c r="AT703" s="20"/>
      <c r="AU703" s="20"/>
      <c r="AV703" s="20"/>
      <c r="AW703" s="20"/>
      <c r="AX703" s="20"/>
      <c r="AY703" s="20"/>
    </row>
    <row r="704" spans="4:51" ht="15" customHeight="1"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  <c r="AE704" s="20"/>
      <c r="AF704" s="20"/>
      <c r="AG704" s="20"/>
      <c r="AH704" s="20"/>
      <c r="AI704" s="20"/>
      <c r="AJ704" s="20"/>
      <c r="AK704" s="20"/>
      <c r="AL704" s="20"/>
      <c r="AM704" s="20"/>
      <c r="AN704" s="20"/>
      <c r="AO704" s="20"/>
      <c r="AP704" s="20"/>
      <c r="AQ704" s="20"/>
      <c r="AR704" s="20"/>
      <c r="AS704" s="20"/>
      <c r="AT704" s="20"/>
      <c r="AU704" s="20"/>
      <c r="AV704" s="20"/>
      <c r="AW704" s="20"/>
      <c r="AX704" s="20"/>
      <c r="AY704" s="20"/>
    </row>
    <row r="705" spans="4:51" ht="15" customHeight="1"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  <c r="AE705" s="20"/>
      <c r="AF705" s="20"/>
      <c r="AG705" s="20"/>
      <c r="AH705" s="20"/>
      <c r="AI705" s="20"/>
      <c r="AJ705" s="20"/>
      <c r="AK705" s="20"/>
      <c r="AL705" s="20"/>
      <c r="AM705" s="20"/>
      <c r="AN705" s="20"/>
      <c r="AO705" s="20"/>
      <c r="AP705" s="20"/>
      <c r="AQ705" s="20"/>
      <c r="AR705" s="20"/>
      <c r="AS705" s="20"/>
      <c r="AT705" s="20"/>
      <c r="AU705" s="20"/>
      <c r="AV705" s="20"/>
      <c r="AW705" s="20"/>
      <c r="AX705" s="20"/>
      <c r="AY705" s="20"/>
    </row>
    <row r="706" spans="4:51" ht="15" customHeight="1"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  <c r="AE706" s="20"/>
      <c r="AF706" s="20"/>
      <c r="AG706" s="20"/>
      <c r="AH706" s="20"/>
      <c r="AI706" s="20"/>
      <c r="AJ706" s="20"/>
      <c r="AK706" s="20"/>
      <c r="AL706" s="20"/>
      <c r="AM706" s="20"/>
      <c r="AN706" s="20"/>
      <c r="AO706" s="20"/>
      <c r="AP706" s="20"/>
      <c r="AQ706" s="20"/>
      <c r="AR706" s="20"/>
      <c r="AS706" s="20"/>
      <c r="AT706" s="20"/>
      <c r="AU706" s="20"/>
      <c r="AV706" s="20"/>
      <c r="AW706" s="20"/>
      <c r="AX706" s="20"/>
      <c r="AY706" s="20"/>
    </row>
    <row r="707" spans="4:51" ht="15" customHeight="1"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  <c r="AE707" s="20"/>
      <c r="AF707" s="20"/>
      <c r="AG707" s="20"/>
      <c r="AH707" s="20"/>
      <c r="AI707" s="20"/>
      <c r="AJ707" s="20"/>
      <c r="AK707" s="20"/>
      <c r="AL707" s="20"/>
      <c r="AM707" s="20"/>
      <c r="AN707" s="20"/>
      <c r="AO707" s="20"/>
      <c r="AP707" s="20"/>
      <c r="AQ707" s="20"/>
      <c r="AR707" s="20"/>
      <c r="AS707" s="20"/>
      <c r="AT707" s="20"/>
      <c r="AU707" s="20"/>
      <c r="AV707" s="20"/>
      <c r="AW707" s="20"/>
      <c r="AX707" s="20"/>
      <c r="AY707" s="20"/>
    </row>
    <row r="708" spans="4:51" ht="15" customHeight="1"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  <c r="AF708" s="20"/>
      <c r="AG708" s="20"/>
      <c r="AH708" s="20"/>
      <c r="AI708" s="20"/>
      <c r="AJ708" s="20"/>
      <c r="AK708" s="20"/>
      <c r="AL708" s="20"/>
      <c r="AM708" s="20"/>
      <c r="AN708" s="20"/>
      <c r="AO708" s="20"/>
      <c r="AP708" s="20"/>
      <c r="AQ708" s="20"/>
      <c r="AR708" s="20"/>
      <c r="AS708" s="20"/>
      <c r="AT708" s="20"/>
      <c r="AU708" s="20"/>
      <c r="AV708" s="20"/>
      <c r="AW708" s="20"/>
      <c r="AX708" s="20"/>
      <c r="AY708" s="20"/>
    </row>
    <row r="709" spans="4:51" ht="15" customHeight="1"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0"/>
      <c r="AF709" s="20"/>
      <c r="AG709" s="20"/>
      <c r="AH709" s="20"/>
      <c r="AI709" s="20"/>
      <c r="AJ709" s="20"/>
      <c r="AK709" s="20"/>
      <c r="AL709" s="20"/>
      <c r="AM709" s="20"/>
      <c r="AN709" s="20"/>
      <c r="AO709" s="20"/>
      <c r="AP709" s="20"/>
      <c r="AQ709" s="20"/>
      <c r="AR709" s="20"/>
      <c r="AS709" s="20"/>
      <c r="AT709" s="20"/>
      <c r="AU709" s="20"/>
      <c r="AV709" s="20"/>
      <c r="AW709" s="20"/>
      <c r="AX709" s="20"/>
      <c r="AY709" s="20"/>
    </row>
    <row r="710" spans="4:51" ht="15" customHeight="1"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  <c r="AE710" s="20"/>
      <c r="AF710" s="20"/>
      <c r="AG710" s="20"/>
      <c r="AH710" s="20"/>
      <c r="AI710" s="20"/>
      <c r="AJ710" s="20"/>
      <c r="AK710" s="20"/>
      <c r="AL710" s="20"/>
      <c r="AM710" s="20"/>
      <c r="AN710" s="20"/>
      <c r="AO710" s="20"/>
      <c r="AP710" s="20"/>
      <c r="AQ710" s="20"/>
      <c r="AR710" s="20"/>
      <c r="AS710" s="20"/>
      <c r="AT710" s="20"/>
      <c r="AU710" s="20"/>
      <c r="AV710" s="20"/>
      <c r="AW710" s="20"/>
      <c r="AX710" s="20"/>
      <c r="AY710" s="20"/>
    </row>
    <row r="711" spans="4:51" ht="15" customHeight="1"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  <c r="AF711" s="20"/>
      <c r="AG711" s="20"/>
      <c r="AH711" s="20"/>
      <c r="AI711" s="20"/>
      <c r="AJ711" s="20"/>
      <c r="AK711" s="20"/>
      <c r="AL711" s="20"/>
      <c r="AM711" s="20"/>
      <c r="AN711" s="20"/>
      <c r="AO711" s="20"/>
      <c r="AP711" s="20"/>
      <c r="AQ711" s="20"/>
      <c r="AR711" s="20"/>
      <c r="AS711" s="20"/>
      <c r="AT711" s="20"/>
      <c r="AU711" s="20"/>
      <c r="AV711" s="20"/>
      <c r="AW711" s="20"/>
      <c r="AX711" s="20"/>
      <c r="AY711" s="20"/>
    </row>
    <row r="712" spans="4:51" ht="15" customHeight="1"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  <c r="AF712" s="20"/>
      <c r="AG712" s="20"/>
      <c r="AH712" s="20"/>
      <c r="AI712" s="20"/>
      <c r="AJ712" s="20"/>
      <c r="AK712" s="20"/>
      <c r="AL712" s="20"/>
      <c r="AM712" s="20"/>
      <c r="AN712" s="20"/>
      <c r="AO712" s="20"/>
      <c r="AP712" s="20"/>
      <c r="AQ712" s="20"/>
      <c r="AR712" s="20"/>
      <c r="AS712" s="20"/>
      <c r="AT712" s="20"/>
      <c r="AU712" s="20"/>
      <c r="AV712" s="20"/>
      <c r="AW712" s="20"/>
      <c r="AX712" s="20"/>
      <c r="AY712" s="20"/>
    </row>
    <row r="713" spans="4:51" ht="15" customHeight="1"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  <c r="AF713" s="20"/>
      <c r="AG713" s="20"/>
      <c r="AH713" s="20"/>
      <c r="AI713" s="20"/>
      <c r="AJ713" s="20"/>
      <c r="AK713" s="20"/>
      <c r="AL713" s="20"/>
      <c r="AM713" s="20"/>
      <c r="AN713" s="20"/>
      <c r="AO713" s="20"/>
      <c r="AP713" s="20"/>
      <c r="AQ713" s="20"/>
      <c r="AR713" s="20"/>
      <c r="AS713" s="20"/>
      <c r="AT713" s="20"/>
      <c r="AU713" s="20"/>
      <c r="AV713" s="20"/>
      <c r="AW713" s="20"/>
      <c r="AX713" s="20"/>
      <c r="AY713" s="20"/>
    </row>
    <row r="714" spans="4:51" ht="15" customHeight="1"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  <c r="AF714" s="20"/>
      <c r="AG714" s="20"/>
      <c r="AH714" s="20"/>
      <c r="AI714" s="20"/>
      <c r="AJ714" s="20"/>
      <c r="AK714" s="20"/>
      <c r="AL714" s="20"/>
      <c r="AM714" s="20"/>
      <c r="AN714" s="20"/>
      <c r="AO714" s="20"/>
      <c r="AP714" s="20"/>
      <c r="AQ714" s="20"/>
      <c r="AR714" s="20"/>
      <c r="AS714" s="20"/>
      <c r="AT714" s="20"/>
      <c r="AU714" s="20"/>
      <c r="AV714" s="20"/>
      <c r="AW714" s="20"/>
      <c r="AX714" s="20"/>
      <c r="AY714" s="20"/>
    </row>
    <row r="715" spans="4:51" ht="15" customHeight="1"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  <c r="AF715" s="20"/>
      <c r="AG715" s="20"/>
      <c r="AH715" s="20"/>
      <c r="AI715" s="20"/>
      <c r="AJ715" s="20"/>
      <c r="AK715" s="20"/>
      <c r="AL715" s="20"/>
      <c r="AM715" s="20"/>
      <c r="AN715" s="20"/>
      <c r="AO715" s="20"/>
      <c r="AP715" s="20"/>
      <c r="AQ715" s="20"/>
      <c r="AR715" s="20"/>
      <c r="AS715" s="20"/>
      <c r="AT715" s="20"/>
      <c r="AU715" s="20"/>
      <c r="AV715" s="20"/>
      <c r="AW715" s="20"/>
      <c r="AX715" s="20"/>
      <c r="AY715" s="20"/>
    </row>
    <row r="716" spans="4:51" ht="15" customHeight="1"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  <c r="AF716" s="20"/>
      <c r="AG716" s="20"/>
      <c r="AH716" s="20"/>
      <c r="AI716" s="20"/>
      <c r="AJ716" s="20"/>
      <c r="AK716" s="20"/>
      <c r="AL716" s="20"/>
      <c r="AM716" s="20"/>
      <c r="AN716" s="20"/>
      <c r="AO716" s="20"/>
      <c r="AP716" s="20"/>
      <c r="AQ716" s="20"/>
      <c r="AR716" s="20"/>
      <c r="AS716" s="20"/>
      <c r="AT716" s="20"/>
      <c r="AU716" s="20"/>
      <c r="AV716" s="20"/>
      <c r="AW716" s="20"/>
      <c r="AX716" s="20"/>
      <c r="AY716" s="20"/>
    </row>
    <row r="717" spans="4:51" ht="15" customHeight="1"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0"/>
      <c r="AF717" s="20"/>
      <c r="AG717" s="20"/>
      <c r="AH717" s="20"/>
      <c r="AI717" s="20"/>
      <c r="AJ717" s="20"/>
      <c r="AK717" s="20"/>
      <c r="AL717" s="20"/>
      <c r="AM717" s="20"/>
      <c r="AN717" s="20"/>
      <c r="AO717" s="20"/>
      <c r="AP717" s="20"/>
      <c r="AQ717" s="20"/>
      <c r="AR717" s="20"/>
      <c r="AS717" s="20"/>
      <c r="AT717" s="20"/>
      <c r="AU717" s="20"/>
      <c r="AV717" s="20"/>
      <c r="AW717" s="20"/>
      <c r="AX717" s="20"/>
      <c r="AY717" s="20"/>
    </row>
    <row r="718" spans="4:51" ht="15" customHeight="1"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  <c r="AE718" s="20"/>
      <c r="AF718" s="20"/>
      <c r="AG718" s="20"/>
      <c r="AH718" s="20"/>
      <c r="AI718" s="20"/>
      <c r="AJ718" s="20"/>
      <c r="AK718" s="20"/>
      <c r="AL718" s="20"/>
      <c r="AM718" s="20"/>
      <c r="AN718" s="20"/>
      <c r="AO718" s="20"/>
      <c r="AP718" s="20"/>
      <c r="AQ718" s="20"/>
      <c r="AR718" s="20"/>
      <c r="AS718" s="20"/>
      <c r="AT718" s="20"/>
      <c r="AU718" s="20"/>
      <c r="AV718" s="20"/>
      <c r="AW718" s="20"/>
      <c r="AX718" s="20"/>
      <c r="AY718" s="20"/>
    </row>
    <row r="719" spans="4:51" ht="15" customHeight="1"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  <c r="AE719" s="20"/>
      <c r="AF719" s="20"/>
      <c r="AG719" s="20"/>
      <c r="AH719" s="20"/>
      <c r="AI719" s="20"/>
      <c r="AJ719" s="20"/>
      <c r="AK719" s="20"/>
      <c r="AL719" s="20"/>
      <c r="AM719" s="20"/>
      <c r="AN719" s="20"/>
      <c r="AO719" s="20"/>
      <c r="AP719" s="20"/>
      <c r="AQ719" s="20"/>
      <c r="AR719" s="20"/>
      <c r="AS719" s="20"/>
      <c r="AT719" s="20"/>
      <c r="AU719" s="20"/>
      <c r="AV719" s="20"/>
      <c r="AW719" s="20"/>
      <c r="AX719" s="20"/>
      <c r="AY719" s="20"/>
    </row>
    <row r="720" spans="4:51" ht="15" customHeight="1"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  <c r="AB720" s="20"/>
      <c r="AC720" s="20"/>
      <c r="AD720" s="20"/>
      <c r="AE720" s="20"/>
      <c r="AF720" s="20"/>
      <c r="AG720" s="20"/>
      <c r="AH720" s="20"/>
      <c r="AI720" s="20"/>
      <c r="AJ720" s="20"/>
      <c r="AK720" s="20"/>
      <c r="AL720" s="20"/>
      <c r="AM720" s="20"/>
      <c r="AN720" s="20"/>
      <c r="AO720" s="20"/>
      <c r="AP720" s="20"/>
      <c r="AQ720" s="20"/>
      <c r="AR720" s="20"/>
      <c r="AS720" s="20"/>
      <c r="AT720" s="20"/>
      <c r="AU720" s="20"/>
      <c r="AV720" s="20"/>
      <c r="AW720" s="20"/>
      <c r="AX720" s="20"/>
      <c r="AY720" s="20"/>
    </row>
    <row r="721" spans="4:51" ht="15" customHeight="1"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  <c r="AE721" s="20"/>
      <c r="AF721" s="20"/>
      <c r="AG721" s="20"/>
      <c r="AH721" s="20"/>
      <c r="AI721" s="20"/>
      <c r="AJ721" s="20"/>
      <c r="AK721" s="20"/>
      <c r="AL721" s="20"/>
      <c r="AM721" s="20"/>
      <c r="AN721" s="20"/>
      <c r="AO721" s="20"/>
      <c r="AP721" s="20"/>
      <c r="AQ721" s="20"/>
      <c r="AR721" s="20"/>
      <c r="AS721" s="20"/>
      <c r="AT721" s="20"/>
      <c r="AU721" s="20"/>
      <c r="AV721" s="20"/>
      <c r="AW721" s="20"/>
      <c r="AX721" s="20"/>
      <c r="AY721" s="20"/>
    </row>
    <row r="722" spans="4:51" ht="15" customHeight="1"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  <c r="AF722" s="20"/>
      <c r="AG722" s="20"/>
      <c r="AH722" s="20"/>
      <c r="AI722" s="20"/>
      <c r="AJ722" s="20"/>
      <c r="AK722" s="20"/>
      <c r="AL722" s="20"/>
      <c r="AM722" s="20"/>
      <c r="AN722" s="20"/>
      <c r="AO722" s="20"/>
      <c r="AP722" s="20"/>
      <c r="AQ722" s="20"/>
      <c r="AR722" s="20"/>
      <c r="AS722" s="20"/>
      <c r="AT722" s="20"/>
      <c r="AU722" s="20"/>
      <c r="AV722" s="20"/>
      <c r="AW722" s="20"/>
      <c r="AX722" s="20"/>
      <c r="AY722" s="20"/>
    </row>
    <row r="723" spans="4:51" ht="15" customHeight="1"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  <c r="AF723" s="20"/>
      <c r="AG723" s="20"/>
      <c r="AH723" s="20"/>
      <c r="AI723" s="20"/>
      <c r="AJ723" s="20"/>
      <c r="AK723" s="20"/>
      <c r="AL723" s="20"/>
      <c r="AM723" s="20"/>
      <c r="AN723" s="20"/>
      <c r="AO723" s="20"/>
      <c r="AP723" s="20"/>
      <c r="AQ723" s="20"/>
      <c r="AR723" s="20"/>
      <c r="AS723" s="20"/>
      <c r="AT723" s="20"/>
      <c r="AU723" s="20"/>
      <c r="AV723" s="20"/>
      <c r="AW723" s="20"/>
      <c r="AX723" s="20"/>
      <c r="AY723" s="20"/>
    </row>
    <row r="724" spans="4:51" ht="15" customHeight="1"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  <c r="AB724" s="20"/>
      <c r="AC724" s="20"/>
      <c r="AD724" s="20"/>
      <c r="AE724" s="20"/>
      <c r="AF724" s="20"/>
      <c r="AG724" s="20"/>
      <c r="AH724" s="20"/>
      <c r="AI724" s="20"/>
      <c r="AJ724" s="20"/>
      <c r="AK724" s="20"/>
      <c r="AL724" s="20"/>
      <c r="AM724" s="20"/>
      <c r="AN724" s="20"/>
      <c r="AO724" s="20"/>
      <c r="AP724" s="20"/>
      <c r="AQ724" s="20"/>
      <c r="AR724" s="20"/>
      <c r="AS724" s="20"/>
      <c r="AT724" s="20"/>
      <c r="AU724" s="20"/>
      <c r="AV724" s="20"/>
      <c r="AW724" s="20"/>
      <c r="AX724" s="20"/>
      <c r="AY724" s="20"/>
    </row>
    <row r="725" spans="4:51" ht="15" customHeight="1"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  <c r="AB725" s="20"/>
      <c r="AC725" s="20"/>
      <c r="AD725" s="20"/>
      <c r="AE725" s="20"/>
      <c r="AF725" s="20"/>
      <c r="AG725" s="20"/>
      <c r="AH725" s="20"/>
      <c r="AI725" s="20"/>
      <c r="AJ725" s="20"/>
      <c r="AK725" s="20"/>
      <c r="AL725" s="20"/>
      <c r="AM725" s="20"/>
      <c r="AN725" s="20"/>
      <c r="AO725" s="20"/>
      <c r="AP725" s="20"/>
      <c r="AQ725" s="20"/>
      <c r="AR725" s="20"/>
      <c r="AS725" s="20"/>
      <c r="AT725" s="20"/>
      <c r="AU725" s="20"/>
      <c r="AV725" s="20"/>
      <c r="AW725" s="20"/>
      <c r="AX725" s="20"/>
      <c r="AY725" s="20"/>
    </row>
    <row r="726" spans="4:51" ht="15" customHeight="1"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  <c r="AB726" s="20"/>
      <c r="AC726" s="20"/>
      <c r="AD726" s="20"/>
      <c r="AE726" s="20"/>
      <c r="AF726" s="20"/>
      <c r="AG726" s="20"/>
      <c r="AH726" s="20"/>
      <c r="AI726" s="20"/>
      <c r="AJ726" s="20"/>
      <c r="AK726" s="20"/>
      <c r="AL726" s="20"/>
      <c r="AM726" s="20"/>
      <c r="AN726" s="20"/>
      <c r="AO726" s="20"/>
      <c r="AP726" s="20"/>
      <c r="AQ726" s="20"/>
      <c r="AR726" s="20"/>
      <c r="AS726" s="20"/>
      <c r="AT726" s="20"/>
      <c r="AU726" s="20"/>
      <c r="AV726" s="20"/>
      <c r="AW726" s="20"/>
      <c r="AX726" s="20"/>
      <c r="AY726" s="20"/>
    </row>
    <row r="727" spans="4:51" ht="15" customHeight="1"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  <c r="AB727" s="20"/>
      <c r="AC727" s="20"/>
      <c r="AD727" s="20"/>
      <c r="AE727" s="20"/>
      <c r="AF727" s="20"/>
      <c r="AG727" s="20"/>
      <c r="AH727" s="20"/>
      <c r="AI727" s="20"/>
      <c r="AJ727" s="20"/>
      <c r="AK727" s="20"/>
      <c r="AL727" s="20"/>
      <c r="AM727" s="20"/>
      <c r="AN727" s="20"/>
      <c r="AO727" s="20"/>
      <c r="AP727" s="20"/>
      <c r="AQ727" s="20"/>
      <c r="AR727" s="20"/>
      <c r="AS727" s="20"/>
      <c r="AT727" s="20"/>
      <c r="AU727" s="20"/>
      <c r="AV727" s="20"/>
      <c r="AW727" s="20"/>
      <c r="AX727" s="20"/>
      <c r="AY727" s="20"/>
    </row>
    <row r="728" spans="4:51" ht="15" customHeight="1"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  <c r="AE728" s="20"/>
      <c r="AF728" s="20"/>
      <c r="AG728" s="20"/>
      <c r="AH728" s="20"/>
      <c r="AI728" s="20"/>
      <c r="AJ728" s="20"/>
      <c r="AK728" s="20"/>
      <c r="AL728" s="20"/>
      <c r="AM728" s="20"/>
      <c r="AN728" s="20"/>
      <c r="AO728" s="20"/>
      <c r="AP728" s="20"/>
      <c r="AQ728" s="20"/>
      <c r="AR728" s="20"/>
      <c r="AS728" s="20"/>
      <c r="AT728" s="20"/>
      <c r="AU728" s="20"/>
      <c r="AV728" s="20"/>
      <c r="AW728" s="20"/>
      <c r="AX728" s="20"/>
      <c r="AY728" s="20"/>
    </row>
    <row r="729" spans="4:51" ht="15" customHeight="1"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AE729" s="20"/>
      <c r="AF729" s="20"/>
      <c r="AG729" s="20"/>
      <c r="AH729" s="20"/>
      <c r="AI729" s="20"/>
      <c r="AJ729" s="20"/>
      <c r="AK729" s="20"/>
      <c r="AL729" s="20"/>
      <c r="AM729" s="20"/>
      <c r="AN729" s="20"/>
      <c r="AO729" s="20"/>
      <c r="AP729" s="20"/>
      <c r="AQ729" s="20"/>
      <c r="AR729" s="20"/>
      <c r="AS729" s="20"/>
      <c r="AT729" s="20"/>
      <c r="AU729" s="20"/>
      <c r="AV729" s="20"/>
      <c r="AW729" s="20"/>
      <c r="AX729" s="20"/>
      <c r="AY729" s="20"/>
    </row>
    <row r="730" spans="4:51" ht="15" customHeight="1"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  <c r="AE730" s="20"/>
      <c r="AF730" s="20"/>
      <c r="AG730" s="20"/>
      <c r="AH730" s="20"/>
      <c r="AI730" s="20"/>
      <c r="AJ730" s="20"/>
      <c r="AK730" s="20"/>
      <c r="AL730" s="20"/>
      <c r="AM730" s="20"/>
      <c r="AN730" s="20"/>
      <c r="AO730" s="20"/>
      <c r="AP730" s="20"/>
      <c r="AQ730" s="20"/>
      <c r="AR730" s="20"/>
      <c r="AS730" s="20"/>
      <c r="AT730" s="20"/>
      <c r="AU730" s="20"/>
      <c r="AV730" s="20"/>
      <c r="AW730" s="20"/>
      <c r="AX730" s="20"/>
      <c r="AY730" s="20"/>
    </row>
    <row r="731" spans="4:51" ht="15" customHeight="1"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AE731" s="20"/>
      <c r="AF731" s="20"/>
      <c r="AG731" s="20"/>
      <c r="AH731" s="20"/>
      <c r="AI731" s="20"/>
      <c r="AJ731" s="20"/>
      <c r="AK731" s="20"/>
      <c r="AL731" s="20"/>
      <c r="AM731" s="20"/>
      <c r="AN731" s="20"/>
      <c r="AO731" s="20"/>
      <c r="AP731" s="20"/>
      <c r="AQ731" s="20"/>
      <c r="AR731" s="20"/>
      <c r="AS731" s="20"/>
      <c r="AT731" s="20"/>
      <c r="AU731" s="20"/>
      <c r="AV731" s="20"/>
      <c r="AW731" s="20"/>
      <c r="AX731" s="20"/>
      <c r="AY731" s="20"/>
    </row>
    <row r="732" spans="4:51" ht="15" customHeight="1"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  <c r="AF732" s="20"/>
      <c r="AG732" s="20"/>
      <c r="AH732" s="20"/>
      <c r="AI732" s="20"/>
      <c r="AJ732" s="20"/>
      <c r="AK732" s="20"/>
      <c r="AL732" s="20"/>
      <c r="AM732" s="20"/>
      <c r="AN732" s="20"/>
      <c r="AO732" s="20"/>
      <c r="AP732" s="20"/>
      <c r="AQ732" s="20"/>
      <c r="AR732" s="20"/>
      <c r="AS732" s="20"/>
      <c r="AT732" s="20"/>
      <c r="AU732" s="20"/>
      <c r="AV732" s="20"/>
      <c r="AW732" s="20"/>
      <c r="AX732" s="20"/>
      <c r="AY732" s="20"/>
    </row>
    <row r="733" spans="4:51" ht="15" customHeight="1"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  <c r="AF733" s="20"/>
      <c r="AG733" s="20"/>
      <c r="AH733" s="20"/>
      <c r="AI733" s="20"/>
      <c r="AJ733" s="20"/>
      <c r="AK733" s="20"/>
      <c r="AL733" s="20"/>
      <c r="AM733" s="20"/>
      <c r="AN733" s="20"/>
      <c r="AO733" s="20"/>
      <c r="AP733" s="20"/>
      <c r="AQ733" s="20"/>
      <c r="AR733" s="20"/>
      <c r="AS733" s="20"/>
      <c r="AT733" s="20"/>
      <c r="AU733" s="20"/>
      <c r="AV733" s="20"/>
      <c r="AW733" s="20"/>
      <c r="AX733" s="20"/>
      <c r="AY733" s="20"/>
    </row>
    <row r="734" spans="4:51" ht="15" customHeight="1"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  <c r="AB734" s="20"/>
      <c r="AC734" s="20"/>
      <c r="AD734" s="20"/>
      <c r="AE734" s="20"/>
      <c r="AF734" s="20"/>
      <c r="AG734" s="20"/>
      <c r="AH734" s="20"/>
      <c r="AI734" s="20"/>
      <c r="AJ734" s="20"/>
      <c r="AK734" s="20"/>
      <c r="AL734" s="20"/>
      <c r="AM734" s="20"/>
      <c r="AN734" s="20"/>
      <c r="AO734" s="20"/>
      <c r="AP734" s="20"/>
      <c r="AQ734" s="20"/>
      <c r="AR734" s="20"/>
      <c r="AS734" s="20"/>
      <c r="AT734" s="20"/>
      <c r="AU734" s="20"/>
      <c r="AV734" s="20"/>
      <c r="AW734" s="20"/>
      <c r="AX734" s="20"/>
      <c r="AY734" s="20"/>
    </row>
    <row r="735" spans="4:51" ht="15" customHeight="1"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  <c r="AB735" s="20"/>
      <c r="AC735" s="20"/>
      <c r="AD735" s="20"/>
      <c r="AE735" s="20"/>
      <c r="AF735" s="20"/>
      <c r="AG735" s="20"/>
      <c r="AH735" s="20"/>
      <c r="AI735" s="20"/>
      <c r="AJ735" s="20"/>
      <c r="AK735" s="20"/>
      <c r="AL735" s="20"/>
      <c r="AM735" s="20"/>
      <c r="AN735" s="20"/>
      <c r="AO735" s="20"/>
      <c r="AP735" s="20"/>
      <c r="AQ735" s="20"/>
      <c r="AR735" s="20"/>
      <c r="AS735" s="20"/>
      <c r="AT735" s="20"/>
      <c r="AU735" s="20"/>
      <c r="AV735" s="20"/>
      <c r="AW735" s="20"/>
      <c r="AX735" s="20"/>
      <c r="AY735" s="20"/>
    </row>
    <row r="736" spans="4:51" ht="15" customHeight="1"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AB736" s="20"/>
      <c r="AC736" s="20"/>
      <c r="AD736" s="20"/>
      <c r="AE736" s="20"/>
      <c r="AF736" s="20"/>
      <c r="AG736" s="20"/>
      <c r="AH736" s="20"/>
      <c r="AI736" s="20"/>
      <c r="AJ736" s="20"/>
      <c r="AK736" s="20"/>
      <c r="AL736" s="20"/>
      <c r="AM736" s="20"/>
      <c r="AN736" s="20"/>
      <c r="AO736" s="20"/>
      <c r="AP736" s="20"/>
      <c r="AQ736" s="20"/>
      <c r="AR736" s="20"/>
      <c r="AS736" s="20"/>
      <c r="AT736" s="20"/>
      <c r="AU736" s="20"/>
      <c r="AV736" s="20"/>
      <c r="AW736" s="20"/>
      <c r="AX736" s="20"/>
      <c r="AY736" s="20"/>
    </row>
    <row r="737" spans="4:51" ht="15" customHeight="1"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  <c r="AB737" s="20"/>
      <c r="AC737" s="20"/>
      <c r="AD737" s="20"/>
      <c r="AE737" s="20"/>
      <c r="AF737" s="20"/>
      <c r="AG737" s="20"/>
      <c r="AH737" s="20"/>
      <c r="AI737" s="20"/>
      <c r="AJ737" s="20"/>
      <c r="AK737" s="20"/>
      <c r="AL737" s="20"/>
      <c r="AM737" s="20"/>
      <c r="AN737" s="20"/>
      <c r="AO737" s="20"/>
      <c r="AP737" s="20"/>
      <c r="AQ737" s="20"/>
      <c r="AR737" s="20"/>
      <c r="AS737" s="20"/>
      <c r="AT737" s="20"/>
      <c r="AU737" s="20"/>
      <c r="AV737" s="20"/>
      <c r="AW737" s="20"/>
      <c r="AX737" s="20"/>
      <c r="AY737" s="20"/>
    </row>
    <row r="738" spans="4:51" ht="15" customHeight="1"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  <c r="AB738" s="20"/>
      <c r="AC738" s="20"/>
      <c r="AD738" s="20"/>
      <c r="AE738" s="20"/>
      <c r="AF738" s="20"/>
      <c r="AG738" s="20"/>
      <c r="AH738" s="20"/>
      <c r="AI738" s="20"/>
      <c r="AJ738" s="20"/>
      <c r="AK738" s="20"/>
      <c r="AL738" s="20"/>
      <c r="AM738" s="20"/>
      <c r="AN738" s="20"/>
      <c r="AO738" s="20"/>
      <c r="AP738" s="20"/>
      <c r="AQ738" s="20"/>
      <c r="AR738" s="20"/>
      <c r="AS738" s="20"/>
      <c r="AT738" s="20"/>
      <c r="AU738" s="20"/>
      <c r="AV738" s="20"/>
      <c r="AW738" s="20"/>
      <c r="AX738" s="20"/>
      <c r="AY738" s="20"/>
    </row>
    <row r="739" spans="4:51" ht="15" customHeight="1"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  <c r="AE739" s="20"/>
      <c r="AF739" s="20"/>
      <c r="AG739" s="20"/>
      <c r="AH739" s="20"/>
      <c r="AI739" s="20"/>
      <c r="AJ739" s="20"/>
      <c r="AK739" s="20"/>
      <c r="AL739" s="20"/>
      <c r="AM739" s="20"/>
      <c r="AN739" s="20"/>
      <c r="AO739" s="20"/>
      <c r="AP739" s="20"/>
      <c r="AQ739" s="20"/>
      <c r="AR739" s="20"/>
      <c r="AS739" s="20"/>
      <c r="AT739" s="20"/>
      <c r="AU739" s="20"/>
      <c r="AV739" s="20"/>
      <c r="AW739" s="20"/>
      <c r="AX739" s="20"/>
      <c r="AY739" s="20"/>
    </row>
    <row r="740" spans="4:51" ht="15" customHeight="1"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  <c r="AF740" s="20"/>
      <c r="AG740" s="20"/>
      <c r="AH740" s="20"/>
      <c r="AI740" s="20"/>
      <c r="AJ740" s="20"/>
      <c r="AK740" s="20"/>
      <c r="AL740" s="20"/>
      <c r="AM740" s="20"/>
      <c r="AN740" s="20"/>
      <c r="AO740" s="20"/>
      <c r="AP740" s="20"/>
      <c r="AQ740" s="20"/>
      <c r="AR740" s="20"/>
      <c r="AS740" s="20"/>
      <c r="AT740" s="20"/>
      <c r="AU740" s="20"/>
      <c r="AV740" s="20"/>
      <c r="AW740" s="20"/>
      <c r="AX740" s="20"/>
      <c r="AY740" s="20"/>
    </row>
    <row r="741" spans="4:51" ht="15" customHeight="1"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0"/>
      <c r="AF741" s="20"/>
      <c r="AG741" s="20"/>
      <c r="AH741" s="20"/>
      <c r="AI741" s="20"/>
      <c r="AJ741" s="20"/>
      <c r="AK741" s="20"/>
      <c r="AL741" s="20"/>
      <c r="AM741" s="20"/>
      <c r="AN741" s="20"/>
      <c r="AO741" s="20"/>
      <c r="AP741" s="20"/>
      <c r="AQ741" s="20"/>
      <c r="AR741" s="20"/>
      <c r="AS741" s="20"/>
      <c r="AT741" s="20"/>
      <c r="AU741" s="20"/>
      <c r="AV741" s="20"/>
      <c r="AW741" s="20"/>
      <c r="AX741" s="20"/>
      <c r="AY741" s="20"/>
    </row>
    <row r="742" spans="4:51" ht="15" customHeight="1"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  <c r="AB742" s="20"/>
      <c r="AC742" s="20"/>
      <c r="AD742" s="20"/>
      <c r="AE742" s="20"/>
      <c r="AF742" s="20"/>
      <c r="AG742" s="20"/>
      <c r="AH742" s="20"/>
      <c r="AI742" s="20"/>
      <c r="AJ742" s="20"/>
      <c r="AK742" s="20"/>
      <c r="AL742" s="20"/>
      <c r="AM742" s="20"/>
      <c r="AN742" s="20"/>
      <c r="AO742" s="20"/>
      <c r="AP742" s="20"/>
      <c r="AQ742" s="20"/>
      <c r="AR742" s="20"/>
      <c r="AS742" s="20"/>
      <c r="AT742" s="20"/>
      <c r="AU742" s="20"/>
      <c r="AV742" s="20"/>
      <c r="AW742" s="20"/>
      <c r="AX742" s="20"/>
      <c r="AY742" s="20"/>
    </row>
    <row r="743" spans="4:51" ht="15" customHeight="1"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  <c r="AE743" s="20"/>
      <c r="AF743" s="20"/>
      <c r="AG743" s="20"/>
      <c r="AH743" s="20"/>
      <c r="AI743" s="20"/>
      <c r="AJ743" s="20"/>
      <c r="AK743" s="20"/>
      <c r="AL743" s="20"/>
      <c r="AM743" s="20"/>
      <c r="AN743" s="20"/>
      <c r="AO743" s="20"/>
      <c r="AP743" s="20"/>
      <c r="AQ743" s="20"/>
      <c r="AR743" s="20"/>
      <c r="AS743" s="20"/>
      <c r="AT743" s="20"/>
      <c r="AU743" s="20"/>
      <c r="AV743" s="20"/>
      <c r="AW743" s="20"/>
      <c r="AX743" s="20"/>
      <c r="AY743" s="20"/>
    </row>
    <row r="744" spans="4:51" ht="15" customHeight="1"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  <c r="AB744" s="20"/>
      <c r="AC744" s="20"/>
      <c r="AD744" s="20"/>
      <c r="AE744" s="20"/>
      <c r="AF744" s="20"/>
      <c r="AG744" s="20"/>
      <c r="AH744" s="20"/>
      <c r="AI744" s="20"/>
      <c r="AJ744" s="20"/>
      <c r="AK744" s="20"/>
      <c r="AL744" s="20"/>
      <c r="AM744" s="20"/>
      <c r="AN744" s="20"/>
      <c r="AO744" s="20"/>
      <c r="AP744" s="20"/>
      <c r="AQ744" s="20"/>
      <c r="AR744" s="20"/>
      <c r="AS744" s="20"/>
      <c r="AT744" s="20"/>
      <c r="AU744" s="20"/>
      <c r="AV744" s="20"/>
      <c r="AW744" s="20"/>
      <c r="AX744" s="20"/>
      <c r="AY744" s="20"/>
    </row>
    <row r="745" spans="4:51"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  <c r="AB745" s="20"/>
      <c r="AC745" s="20"/>
      <c r="AD745" s="20"/>
      <c r="AE745" s="20"/>
      <c r="AF745" s="20"/>
      <c r="AG745" s="20"/>
      <c r="AH745" s="20"/>
      <c r="AI745" s="20"/>
      <c r="AJ745" s="20"/>
      <c r="AK745" s="20"/>
      <c r="AL745" s="20"/>
      <c r="AM745" s="20"/>
      <c r="AN745" s="20"/>
      <c r="AO745" s="20"/>
      <c r="AP745" s="20"/>
      <c r="AQ745" s="20"/>
      <c r="AR745" s="20"/>
      <c r="AS745" s="20"/>
      <c r="AT745" s="20"/>
      <c r="AU745" s="20"/>
      <c r="AV745" s="20"/>
      <c r="AW745" s="20"/>
      <c r="AX745" s="20"/>
      <c r="AY745" s="20"/>
    </row>
    <row r="746" spans="4:51"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  <c r="AB746" s="20"/>
      <c r="AC746" s="20"/>
      <c r="AD746" s="20"/>
      <c r="AE746" s="20"/>
      <c r="AF746" s="20"/>
      <c r="AG746" s="20"/>
      <c r="AH746" s="20"/>
      <c r="AI746" s="20"/>
      <c r="AJ746" s="20"/>
      <c r="AK746" s="20"/>
      <c r="AL746" s="20"/>
      <c r="AM746" s="20"/>
      <c r="AN746" s="20"/>
      <c r="AO746" s="20"/>
      <c r="AP746" s="20"/>
      <c r="AQ746" s="20"/>
      <c r="AR746" s="20"/>
      <c r="AS746" s="20"/>
      <c r="AT746" s="20"/>
      <c r="AU746" s="20"/>
      <c r="AV746" s="20"/>
      <c r="AW746" s="20"/>
      <c r="AX746" s="20"/>
      <c r="AY746" s="20"/>
    </row>
    <row r="747" spans="4:51"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  <c r="AE747" s="20"/>
      <c r="AF747" s="20"/>
      <c r="AG747" s="20"/>
      <c r="AH747" s="20"/>
      <c r="AI747" s="20"/>
      <c r="AJ747" s="20"/>
      <c r="AK747" s="20"/>
      <c r="AL747" s="20"/>
      <c r="AM747" s="20"/>
      <c r="AN747" s="20"/>
      <c r="AO747" s="20"/>
      <c r="AP747" s="20"/>
      <c r="AQ747" s="20"/>
      <c r="AR747" s="20"/>
      <c r="AS747" s="20"/>
      <c r="AT747" s="20"/>
      <c r="AU747" s="20"/>
      <c r="AV747" s="20"/>
      <c r="AW747" s="20"/>
      <c r="AX747" s="20"/>
      <c r="AY747" s="20"/>
    </row>
    <row r="748" spans="4:51"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AB748" s="20"/>
      <c r="AC748" s="20"/>
      <c r="AD748" s="20"/>
      <c r="AE748" s="20"/>
      <c r="AF748" s="20"/>
      <c r="AG748" s="20"/>
      <c r="AH748" s="20"/>
      <c r="AI748" s="20"/>
      <c r="AJ748" s="20"/>
      <c r="AK748" s="20"/>
      <c r="AL748" s="20"/>
      <c r="AM748" s="20"/>
      <c r="AN748" s="20"/>
      <c r="AO748" s="20"/>
      <c r="AP748" s="20"/>
      <c r="AQ748" s="20"/>
      <c r="AR748" s="20"/>
      <c r="AS748" s="20"/>
      <c r="AT748" s="20"/>
      <c r="AU748" s="20"/>
      <c r="AV748" s="20"/>
      <c r="AW748" s="20"/>
      <c r="AX748" s="20"/>
      <c r="AY748" s="20"/>
    </row>
    <row r="749" spans="4:51"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  <c r="AC749" s="20"/>
      <c r="AD749" s="20"/>
      <c r="AE749" s="20"/>
      <c r="AF749" s="20"/>
      <c r="AG749" s="20"/>
      <c r="AH749" s="20"/>
      <c r="AI749" s="20"/>
      <c r="AJ749" s="20"/>
      <c r="AK749" s="20"/>
      <c r="AL749" s="20"/>
      <c r="AM749" s="20"/>
      <c r="AN749" s="20"/>
      <c r="AO749" s="20"/>
      <c r="AP749" s="20"/>
      <c r="AQ749" s="20"/>
      <c r="AR749" s="20"/>
      <c r="AS749" s="20"/>
      <c r="AT749" s="20"/>
      <c r="AU749" s="20"/>
      <c r="AV749" s="20"/>
      <c r="AW749" s="20"/>
      <c r="AX749" s="20"/>
      <c r="AY749" s="20"/>
    </row>
    <row r="750" spans="4:51"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  <c r="AB750" s="20"/>
      <c r="AC750" s="20"/>
      <c r="AD750" s="20"/>
      <c r="AE750" s="20"/>
      <c r="AF750" s="20"/>
      <c r="AG750" s="20"/>
      <c r="AH750" s="20"/>
      <c r="AI750" s="20"/>
      <c r="AJ750" s="20"/>
      <c r="AK750" s="20"/>
      <c r="AL750" s="20"/>
      <c r="AM750" s="20"/>
      <c r="AN750" s="20"/>
      <c r="AO750" s="20"/>
      <c r="AP750" s="20"/>
      <c r="AQ750" s="20"/>
      <c r="AR750" s="20"/>
      <c r="AS750" s="20"/>
      <c r="AT750" s="20"/>
      <c r="AU750" s="20"/>
      <c r="AV750" s="20"/>
      <c r="AW750" s="20"/>
      <c r="AX750" s="20"/>
      <c r="AY750" s="20"/>
    </row>
    <row r="751" spans="4:51"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  <c r="AC751" s="20"/>
      <c r="AD751" s="20"/>
      <c r="AE751" s="20"/>
      <c r="AF751" s="20"/>
      <c r="AG751" s="20"/>
      <c r="AH751" s="20"/>
      <c r="AI751" s="20"/>
      <c r="AJ751" s="20"/>
      <c r="AK751" s="20"/>
      <c r="AL751" s="20"/>
      <c r="AM751" s="20"/>
      <c r="AN751" s="20"/>
      <c r="AO751" s="20"/>
      <c r="AP751" s="20"/>
      <c r="AQ751" s="20"/>
      <c r="AR751" s="20"/>
      <c r="AS751" s="20"/>
      <c r="AT751" s="20"/>
      <c r="AU751" s="20"/>
      <c r="AV751" s="20"/>
      <c r="AW751" s="20"/>
      <c r="AX751" s="20"/>
      <c r="AY751" s="20"/>
    </row>
    <row r="752" spans="4:51"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  <c r="AB752" s="20"/>
      <c r="AC752" s="20"/>
      <c r="AD752" s="20"/>
      <c r="AE752" s="20"/>
      <c r="AF752" s="20"/>
      <c r="AG752" s="20"/>
      <c r="AH752" s="20"/>
      <c r="AI752" s="20"/>
      <c r="AJ752" s="20"/>
      <c r="AK752" s="20"/>
      <c r="AL752" s="20"/>
      <c r="AM752" s="20"/>
      <c r="AN752" s="20"/>
      <c r="AO752" s="20"/>
      <c r="AP752" s="20"/>
      <c r="AQ752" s="20"/>
      <c r="AR752" s="20"/>
      <c r="AS752" s="20"/>
      <c r="AT752" s="20"/>
      <c r="AU752" s="20"/>
      <c r="AV752" s="20"/>
      <c r="AW752" s="20"/>
      <c r="AX752" s="20"/>
      <c r="AY752" s="20"/>
    </row>
    <row r="753" spans="4:51"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  <c r="AE753" s="20"/>
      <c r="AF753" s="20"/>
      <c r="AG753" s="20"/>
      <c r="AH753" s="20"/>
      <c r="AI753" s="20"/>
      <c r="AJ753" s="20"/>
      <c r="AK753" s="20"/>
      <c r="AL753" s="20"/>
      <c r="AM753" s="20"/>
      <c r="AN753" s="20"/>
      <c r="AO753" s="20"/>
      <c r="AP753" s="20"/>
      <c r="AQ753" s="20"/>
      <c r="AR753" s="20"/>
      <c r="AS753" s="20"/>
      <c r="AT753" s="20"/>
      <c r="AU753" s="20"/>
      <c r="AV753" s="20"/>
      <c r="AW753" s="20"/>
      <c r="AX753" s="20"/>
      <c r="AY753" s="20"/>
    </row>
    <row r="754" spans="4:51"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  <c r="AE754" s="20"/>
      <c r="AF754" s="20"/>
      <c r="AG754" s="20"/>
      <c r="AH754" s="20"/>
      <c r="AI754" s="20"/>
      <c r="AJ754" s="20"/>
      <c r="AK754" s="20"/>
      <c r="AL754" s="20"/>
      <c r="AM754" s="20"/>
      <c r="AN754" s="20"/>
      <c r="AO754" s="20"/>
      <c r="AP754" s="20"/>
      <c r="AQ754" s="20"/>
      <c r="AR754" s="20"/>
      <c r="AS754" s="20"/>
      <c r="AT754" s="20"/>
      <c r="AU754" s="20"/>
      <c r="AV754" s="20"/>
      <c r="AW754" s="20"/>
      <c r="AX754" s="20"/>
      <c r="AY754" s="20"/>
    </row>
    <row r="755" spans="4:51"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  <c r="AB755" s="20"/>
      <c r="AC755" s="20"/>
      <c r="AD755" s="20"/>
      <c r="AE755" s="20"/>
      <c r="AF755" s="20"/>
      <c r="AG755" s="20"/>
      <c r="AH755" s="20"/>
      <c r="AI755" s="20"/>
      <c r="AJ755" s="20"/>
      <c r="AK755" s="20"/>
      <c r="AL755" s="20"/>
      <c r="AM755" s="20"/>
      <c r="AN755" s="20"/>
      <c r="AO755" s="20"/>
      <c r="AP755" s="20"/>
      <c r="AQ755" s="20"/>
      <c r="AR755" s="20"/>
      <c r="AS755" s="20"/>
      <c r="AT755" s="20"/>
      <c r="AU755" s="20"/>
      <c r="AV755" s="20"/>
      <c r="AW755" s="20"/>
      <c r="AX755" s="20"/>
      <c r="AY755" s="20"/>
    </row>
    <row r="756" spans="4:51"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  <c r="AB756" s="20"/>
      <c r="AC756" s="20"/>
      <c r="AD756" s="20"/>
      <c r="AE756" s="20"/>
      <c r="AF756" s="20"/>
      <c r="AG756" s="20"/>
      <c r="AH756" s="20"/>
      <c r="AI756" s="20"/>
      <c r="AJ756" s="20"/>
      <c r="AK756" s="20"/>
      <c r="AL756" s="20"/>
      <c r="AM756" s="20"/>
      <c r="AN756" s="20"/>
      <c r="AO756" s="20"/>
      <c r="AP756" s="20"/>
      <c r="AQ756" s="20"/>
      <c r="AR756" s="20"/>
      <c r="AS756" s="20"/>
      <c r="AT756" s="20"/>
      <c r="AU756" s="20"/>
      <c r="AV756" s="20"/>
      <c r="AW756" s="20"/>
      <c r="AX756" s="20"/>
      <c r="AY756" s="20"/>
    </row>
    <row r="757" spans="4:51"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  <c r="AE757" s="20"/>
      <c r="AF757" s="20"/>
      <c r="AG757" s="20"/>
      <c r="AH757" s="20"/>
      <c r="AI757" s="20"/>
      <c r="AJ757" s="20"/>
      <c r="AK757" s="20"/>
      <c r="AL757" s="20"/>
      <c r="AM757" s="20"/>
      <c r="AN757" s="20"/>
      <c r="AO757" s="20"/>
      <c r="AP757" s="20"/>
      <c r="AQ757" s="20"/>
      <c r="AR757" s="20"/>
      <c r="AS757" s="20"/>
      <c r="AT757" s="20"/>
      <c r="AU757" s="20"/>
      <c r="AV757" s="20"/>
      <c r="AW757" s="20"/>
      <c r="AX757" s="20"/>
      <c r="AY757" s="20"/>
    </row>
    <row r="758" spans="4:51"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  <c r="AB758" s="20"/>
      <c r="AC758" s="20"/>
      <c r="AD758" s="20"/>
      <c r="AE758" s="20"/>
      <c r="AF758" s="20"/>
      <c r="AG758" s="20"/>
      <c r="AH758" s="20"/>
      <c r="AI758" s="20"/>
      <c r="AJ758" s="20"/>
      <c r="AK758" s="20"/>
      <c r="AL758" s="20"/>
      <c r="AM758" s="20"/>
      <c r="AN758" s="20"/>
      <c r="AO758" s="20"/>
      <c r="AP758" s="20"/>
      <c r="AQ758" s="20"/>
      <c r="AR758" s="20"/>
      <c r="AS758" s="20"/>
      <c r="AT758" s="20"/>
      <c r="AU758" s="20"/>
      <c r="AV758" s="20"/>
      <c r="AW758" s="20"/>
      <c r="AX758" s="20"/>
      <c r="AY758" s="20"/>
    </row>
    <row r="759" spans="4:51"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  <c r="AB759" s="20"/>
      <c r="AC759" s="20"/>
      <c r="AD759" s="20"/>
      <c r="AE759" s="20"/>
      <c r="AF759" s="20"/>
      <c r="AG759" s="20"/>
      <c r="AH759" s="20"/>
      <c r="AI759" s="20"/>
      <c r="AJ759" s="20"/>
      <c r="AK759" s="20"/>
      <c r="AL759" s="20"/>
      <c r="AM759" s="20"/>
      <c r="AN759" s="20"/>
      <c r="AO759" s="20"/>
      <c r="AP759" s="20"/>
      <c r="AQ759" s="20"/>
      <c r="AR759" s="20"/>
      <c r="AS759" s="20"/>
      <c r="AT759" s="20"/>
      <c r="AU759" s="20"/>
      <c r="AV759" s="20"/>
      <c r="AW759" s="20"/>
      <c r="AX759" s="20"/>
      <c r="AY759" s="20"/>
    </row>
    <row r="760" spans="4:51"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  <c r="AE760" s="20"/>
      <c r="AF760" s="20"/>
      <c r="AG760" s="20"/>
      <c r="AH760" s="20"/>
      <c r="AI760" s="20"/>
      <c r="AJ760" s="20"/>
      <c r="AK760" s="20"/>
      <c r="AL760" s="20"/>
      <c r="AM760" s="20"/>
      <c r="AN760" s="20"/>
      <c r="AO760" s="20"/>
      <c r="AP760" s="20"/>
      <c r="AQ760" s="20"/>
      <c r="AR760" s="20"/>
      <c r="AS760" s="20"/>
      <c r="AT760" s="20"/>
      <c r="AU760" s="20"/>
      <c r="AV760" s="20"/>
      <c r="AW760" s="20"/>
      <c r="AX760" s="20"/>
      <c r="AY760" s="20"/>
    </row>
    <row r="761" spans="4:51"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  <c r="AE761" s="20"/>
      <c r="AF761" s="20"/>
      <c r="AG761" s="20"/>
      <c r="AH761" s="20"/>
      <c r="AI761" s="20"/>
      <c r="AJ761" s="20"/>
      <c r="AK761" s="20"/>
      <c r="AL761" s="20"/>
      <c r="AM761" s="20"/>
      <c r="AN761" s="20"/>
      <c r="AO761" s="20"/>
      <c r="AP761" s="20"/>
      <c r="AQ761" s="20"/>
      <c r="AR761" s="20"/>
      <c r="AS761" s="20"/>
      <c r="AT761" s="20"/>
      <c r="AU761" s="20"/>
      <c r="AV761" s="20"/>
      <c r="AW761" s="20"/>
      <c r="AX761" s="20"/>
      <c r="AY761" s="20"/>
    </row>
    <row r="762" spans="4:51"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0"/>
      <c r="AF762" s="20"/>
      <c r="AG762" s="20"/>
      <c r="AH762" s="20"/>
      <c r="AI762" s="20"/>
      <c r="AJ762" s="20"/>
      <c r="AK762" s="20"/>
      <c r="AL762" s="20"/>
      <c r="AM762" s="20"/>
      <c r="AN762" s="20"/>
      <c r="AO762" s="20"/>
      <c r="AP762" s="20"/>
      <c r="AQ762" s="20"/>
      <c r="AR762" s="20"/>
      <c r="AS762" s="20"/>
      <c r="AT762" s="20"/>
      <c r="AU762" s="20"/>
      <c r="AV762" s="20"/>
      <c r="AW762" s="20"/>
      <c r="AX762" s="20"/>
      <c r="AY762" s="20"/>
    </row>
    <row r="763" spans="4:51"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0"/>
      <c r="AF763" s="20"/>
      <c r="AG763" s="20"/>
      <c r="AH763" s="20"/>
      <c r="AI763" s="20"/>
      <c r="AJ763" s="20"/>
      <c r="AK763" s="20"/>
      <c r="AL763" s="20"/>
      <c r="AM763" s="20"/>
      <c r="AN763" s="20"/>
      <c r="AO763" s="20"/>
      <c r="AP763" s="20"/>
      <c r="AQ763" s="20"/>
      <c r="AR763" s="20"/>
      <c r="AS763" s="20"/>
      <c r="AT763" s="20"/>
      <c r="AU763" s="20"/>
      <c r="AV763" s="20"/>
      <c r="AW763" s="20"/>
      <c r="AX763" s="20"/>
      <c r="AY763" s="20"/>
    </row>
    <row r="764" spans="4:51"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  <c r="AF764" s="20"/>
      <c r="AG764" s="20"/>
      <c r="AH764" s="20"/>
      <c r="AI764" s="20"/>
      <c r="AJ764" s="20"/>
      <c r="AK764" s="20"/>
      <c r="AL764" s="20"/>
      <c r="AM764" s="20"/>
      <c r="AN764" s="20"/>
      <c r="AO764" s="20"/>
      <c r="AP764" s="20"/>
      <c r="AQ764" s="20"/>
      <c r="AR764" s="20"/>
      <c r="AS764" s="20"/>
      <c r="AT764" s="20"/>
      <c r="AU764" s="20"/>
      <c r="AV764" s="20"/>
      <c r="AW764" s="20"/>
      <c r="AX764" s="20"/>
      <c r="AY764" s="20"/>
    </row>
    <row r="765" spans="4:51"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  <c r="AF765" s="20"/>
      <c r="AG765" s="20"/>
      <c r="AH765" s="20"/>
      <c r="AI765" s="20"/>
      <c r="AJ765" s="20"/>
      <c r="AK765" s="20"/>
      <c r="AL765" s="20"/>
      <c r="AM765" s="20"/>
      <c r="AN765" s="20"/>
      <c r="AO765" s="20"/>
      <c r="AP765" s="20"/>
      <c r="AQ765" s="20"/>
      <c r="AR765" s="20"/>
      <c r="AS765" s="20"/>
      <c r="AT765" s="20"/>
      <c r="AU765" s="20"/>
      <c r="AV765" s="20"/>
      <c r="AW765" s="20"/>
      <c r="AX765" s="20"/>
      <c r="AY765" s="20"/>
    </row>
    <row r="766" spans="4:51"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  <c r="AE766" s="20"/>
      <c r="AF766" s="20"/>
      <c r="AG766" s="20"/>
      <c r="AH766" s="20"/>
      <c r="AI766" s="20"/>
      <c r="AJ766" s="20"/>
      <c r="AK766" s="20"/>
      <c r="AL766" s="20"/>
      <c r="AM766" s="20"/>
      <c r="AN766" s="20"/>
      <c r="AO766" s="20"/>
      <c r="AP766" s="20"/>
      <c r="AQ766" s="20"/>
      <c r="AR766" s="20"/>
      <c r="AS766" s="20"/>
      <c r="AT766" s="20"/>
      <c r="AU766" s="20"/>
      <c r="AV766" s="20"/>
      <c r="AW766" s="20"/>
      <c r="AX766" s="20"/>
      <c r="AY766" s="20"/>
    </row>
    <row r="767" spans="4:51"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  <c r="AE767" s="20"/>
      <c r="AF767" s="20"/>
      <c r="AG767" s="20"/>
      <c r="AH767" s="20"/>
      <c r="AI767" s="20"/>
      <c r="AJ767" s="20"/>
      <c r="AK767" s="20"/>
      <c r="AL767" s="20"/>
      <c r="AM767" s="20"/>
      <c r="AN767" s="20"/>
      <c r="AO767" s="20"/>
      <c r="AP767" s="20"/>
      <c r="AQ767" s="20"/>
      <c r="AR767" s="20"/>
      <c r="AS767" s="20"/>
      <c r="AT767" s="20"/>
      <c r="AU767" s="20"/>
      <c r="AV767" s="20"/>
      <c r="AW767" s="20"/>
      <c r="AX767" s="20"/>
      <c r="AY767" s="20"/>
    </row>
    <row r="768" spans="4:51"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  <c r="AF768" s="20"/>
      <c r="AG768" s="20"/>
      <c r="AH768" s="20"/>
      <c r="AI768" s="20"/>
      <c r="AJ768" s="20"/>
      <c r="AK768" s="20"/>
      <c r="AL768" s="20"/>
      <c r="AM768" s="20"/>
      <c r="AN768" s="20"/>
      <c r="AO768" s="20"/>
      <c r="AP768" s="20"/>
      <c r="AQ768" s="20"/>
      <c r="AR768" s="20"/>
      <c r="AS768" s="20"/>
      <c r="AT768" s="20"/>
      <c r="AU768" s="20"/>
      <c r="AV768" s="20"/>
      <c r="AW768" s="20"/>
      <c r="AX768" s="20"/>
      <c r="AY768" s="20"/>
    </row>
    <row r="769" spans="4:51"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  <c r="AE769" s="20"/>
      <c r="AF769" s="20"/>
      <c r="AG769" s="20"/>
      <c r="AH769" s="20"/>
      <c r="AI769" s="20"/>
      <c r="AJ769" s="20"/>
      <c r="AK769" s="20"/>
      <c r="AL769" s="20"/>
      <c r="AM769" s="20"/>
      <c r="AN769" s="20"/>
      <c r="AO769" s="20"/>
      <c r="AP769" s="20"/>
      <c r="AQ769" s="20"/>
      <c r="AR769" s="20"/>
      <c r="AS769" s="20"/>
      <c r="AT769" s="20"/>
      <c r="AU769" s="20"/>
      <c r="AV769" s="20"/>
      <c r="AW769" s="20"/>
      <c r="AX769" s="20"/>
      <c r="AY769" s="20"/>
    </row>
    <row r="770" spans="4:51"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  <c r="AF770" s="20"/>
      <c r="AG770" s="20"/>
      <c r="AH770" s="20"/>
      <c r="AI770" s="20"/>
      <c r="AJ770" s="20"/>
      <c r="AK770" s="20"/>
      <c r="AL770" s="20"/>
      <c r="AM770" s="20"/>
      <c r="AN770" s="20"/>
      <c r="AO770" s="20"/>
      <c r="AP770" s="20"/>
      <c r="AQ770" s="20"/>
      <c r="AR770" s="20"/>
      <c r="AS770" s="20"/>
      <c r="AT770" s="20"/>
      <c r="AU770" s="20"/>
      <c r="AV770" s="20"/>
      <c r="AW770" s="20"/>
      <c r="AX770" s="20"/>
      <c r="AY770" s="20"/>
    </row>
    <row r="771" spans="4:51"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  <c r="AB771" s="20"/>
      <c r="AC771" s="20"/>
      <c r="AD771" s="20"/>
      <c r="AE771" s="20"/>
      <c r="AF771" s="20"/>
      <c r="AG771" s="20"/>
      <c r="AH771" s="20"/>
      <c r="AI771" s="20"/>
      <c r="AJ771" s="20"/>
      <c r="AK771" s="20"/>
      <c r="AL771" s="20"/>
      <c r="AM771" s="20"/>
      <c r="AN771" s="20"/>
      <c r="AO771" s="20"/>
      <c r="AP771" s="20"/>
      <c r="AQ771" s="20"/>
      <c r="AR771" s="20"/>
      <c r="AS771" s="20"/>
      <c r="AT771" s="20"/>
      <c r="AU771" s="20"/>
      <c r="AV771" s="20"/>
      <c r="AW771" s="20"/>
      <c r="AX771" s="20"/>
      <c r="AY771" s="20"/>
    </row>
    <row r="772" spans="4:51"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  <c r="AE772" s="20"/>
      <c r="AF772" s="20"/>
      <c r="AG772" s="20"/>
      <c r="AH772" s="20"/>
      <c r="AI772" s="20"/>
      <c r="AJ772" s="20"/>
      <c r="AK772" s="20"/>
      <c r="AL772" s="20"/>
      <c r="AM772" s="20"/>
      <c r="AN772" s="20"/>
      <c r="AO772" s="20"/>
      <c r="AP772" s="20"/>
      <c r="AQ772" s="20"/>
      <c r="AR772" s="20"/>
      <c r="AS772" s="20"/>
      <c r="AT772" s="20"/>
      <c r="AU772" s="20"/>
      <c r="AV772" s="20"/>
      <c r="AW772" s="20"/>
      <c r="AX772" s="20"/>
      <c r="AY772" s="20"/>
    </row>
    <row r="773" spans="4:51"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  <c r="AB773" s="20"/>
      <c r="AC773" s="20"/>
      <c r="AD773" s="20"/>
      <c r="AE773" s="20"/>
      <c r="AF773" s="20"/>
      <c r="AG773" s="20"/>
      <c r="AH773" s="20"/>
      <c r="AI773" s="20"/>
      <c r="AJ773" s="20"/>
      <c r="AK773" s="20"/>
      <c r="AL773" s="20"/>
      <c r="AM773" s="20"/>
      <c r="AN773" s="20"/>
      <c r="AO773" s="20"/>
      <c r="AP773" s="20"/>
      <c r="AQ773" s="20"/>
      <c r="AR773" s="20"/>
      <c r="AS773" s="20"/>
      <c r="AT773" s="20"/>
      <c r="AU773" s="20"/>
      <c r="AV773" s="20"/>
      <c r="AW773" s="20"/>
      <c r="AX773" s="20"/>
      <c r="AY773" s="20"/>
    </row>
    <row r="774" spans="4:51"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  <c r="AE774" s="20"/>
      <c r="AF774" s="20"/>
      <c r="AG774" s="20"/>
      <c r="AH774" s="20"/>
      <c r="AI774" s="20"/>
      <c r="AJ774" s="20"/>
      <c r="AK774" s="20"/>
      <c r="AL774" s="20"/>
      <c r="AM774" s="20"/>
      <c r="AN774" s="20"/>
      <c r="AO774" s="20"/>
      <c r="AP774" s="20"/>
      <c r="AQ774" s="20"/>
      <c r="AR774" s="20"/>
      <c r="AS774" s="20"/>
      <c r="AT774" s="20"/>
      <c r="AU774" s="20"/>
      <c r="AV774" s="20"/>
      <c r="AW774" s="20"/>
      <c r="AX774" s="20"/>
      <c r="AY774" s="20"/>
    </row>
    <row r="775" spans="4:51"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  <c r="AE775" s="20"/>
      <c r="AF775" s="20"/>
      <c r="AG775" s="20"/>
      <c r="AH775" s="20"/>
      <c r="AI775" s="20"/>
      <c r="AJ775" s="20"/>
      <c r="AK775" s="20"/>
      <c r="AL775" s="20"/>
      <c r="AM775" s="20"/>
      <c r="AN775" s="20"/>
      <c r="AO775" s="20"/>
      <c r="AP775" s="20"/>
      <c r="AQ775" s="20"/>
      <c r="AR775" s="20"/>
      <c r="AS775" s="20"/>
      <c r="AT775" s="20"/>
      <c r="AU775" s="20"/>
      <c r="AV775" s="20"/>
      <c r="AW775" s="20"/>
      <c r="AX775" s="20"/>
      <c r="AY775" s="20"/>
    </row>
    <row r="776" spans="4:51"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  <c r="AE776" s="20"/>
      <c r="AF776" s="20"/>
      <c r="AG776" s="20"/>
      <c r="AH776" s="20"/>
      <c r="AI776" s="20"/>
      <c r="AJ776" s="20"/>
      <c r="AK776" s="20"/>
      <c r="AL776" s="20"/>
      <c r="AM776" s="20"/>
      <c r="AN776" s="20"/>
      <c r="AO776" s="20"/>
      <c r="AP776" s="20"/>
      <c r="AQ776" s="20"/>
      <c r="AR776" s="20"/>
      <c r="AS776" s="20"/>
      <c r="AT776" s="20"/>
      <c r="AU776" s="20"/>
      <c r="AV776" s="20"/>
      <c r="AW776" s="20"/>
      <c r="AX776" s="20"/>
      <c r="AY776" s="20"/>
    </row>
    <row r="777" spans="4:51"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0"/>
      <c r="AF777" s="20"/>
      <c r="AG777" s="20"/>
      <c r="AH777" s="20"/>
      <c r="AI777" s="20"/>
      <c r="AJ777" s="20"/>
      <c r="AK777" s="20"/>
      <c r="AL777" s="20"/>
      <c r="AM777" s="20"/>
      <c r="AN777" s="20"/>
      <c r="AO777" s="20"/>
      <c r="AP777" s="20"/>
      <c r="AQ777" s="20"/>
      <c r="AR777" s="20"/>
      <c r="AS777" s="20"/>
      <c r="AT777" s="20"/>
      <c r="AU777" s="20"/>
      <c r="AV777" s="20"/>
      <c r="AW777" s="20"/>
      <c r="AX777" s="20"/>
      <c r="AY777" s="20"/>
    </row>
    <row r="778" spans="4:51"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  <c r="AE778" s="20"/>
      <c r="AF778" s="20"/>
      <c r="AG778" s="20"/>
      <c r="AH778" s="20"/>
      <c r="AI778" s="20"/>
      <c r="AJ778" s="20"/>
      <c r="AK778" s="20"/>
      <c r="AL778" s="20"/>
      <c r="AM778" s="20"/>
      <c r="AN778" s="20"/>
      <c r="AO778" s="20"/>
      <c r="AP778" s="20"/>
      <c r="AQ778" s="20"/>
      <c r="AR778" s="20"/>
      <c r="AS778" s="20"/>
      <c r="AT778" s="20"/>
      <c r="AU778" s="20"/>
      <c r="AV778" s="20"/>
      <c r="AW778" s="20"/>
      <c r="AX778" s="20"/>
      <c r="AY778" s="20"/>
    </row>
    <row r="779" spans="4:51"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  <c r="AE779" s="20"/>
      <c r="AF779" s="20"/>
      <c r="AG779" s="20"/>
      <c r="AH779" s="20"/>
      <c r="AI779" s="20"/>
      <c r="AJ779" s="20"/>
      <c r="AK779" s="20"/>
      <c r="AL779" s="20"/>
      <c r="AM779" s="20"/>
      <c r="AN779" s="20"/>
      <c r="AO779" s="20"/>
      <c r="AP779" s="20"/>
      <c r="AQ779" s="20"/>
      <c r="AR779" s="20"/>
      <c r="AS779" s="20"/>
      <c r="AT779" s="20"/>
      <c r="AU779" s="20"/>
      <c r="AV779" s="20"/>
      <c r="AW779" s="20"/>
      <c r="AX779" s="20"/>
      <c r="AY779" s="20"/>
    </row>
    <row r="780" spans="4:51"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  <c r="AE780" s="20"/>
      <c r="AF780" s="20"/>
      <c r="AG780" s="20"/>
      <c r="AH780" s="20"/>
      <c r="AI780" s="20"/>
      <c r="AJ780" s="20"/>
      <c r="AK780" s="20"/>
      <c r="AL780" s="20"/>
      <c r="AM780" s="20"/>
      <c r="AN780" s="20"/>
      <c r="AO780" s="20"/>
      <c r="AP780" s="20"/>
      <c r="AQ780" s="20"/>
      <c r="AR780" s="20"/>
      <c r="AS780" s="20"/>
      <c r="AT780" s="20"/>
      <c r="AU780" s="20"/>
      <c r="AV780" s="20"/>
      <c r="AW780" s="20"/>
      <c r="AX780" s="20"/>
      <c r="AY780" s="20"/>
    </row>
    <row r="781" spans="4:51"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  <c r="AF781" s="20"/>
      <c r="AG781" s="20"/>
      <c r="AH781" s="20"/>
      <c r="AI781" s="20"/>
      <c r="AJ781" s="20"/>
      <c r="AK781" s="20"/>
      <c r="AL781" s="20"/>
      <c r="AM781" s="20"/>
      <c r="AN781" s="20"/>
      <c r="AO781" s="20"/>
      <c r="AP781" s="20"/>
      <c r="AQ781" s="20"/>
      <c r="AR781" s="20"/>
      <c r="AS781" s="20"/>
      <c r="AT781" s="20"/>
      <c r="AU781" s="20"/>
      <c r="AV781" s="20"/>
      <c r="AW781" s="20"/>
      <c r="AX781" s="20"/>
      <c r="AY781" s="20"/>
    </row>
    <row r="782" spans="4:51"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  <c r="AF782" s="20"/>
      <c r="AG782" s="20"/>
      <c r="AH782" s="20"/>
      <c r="AI782" s="20"/>
      <c r="AJ782" s="20"/>
      <c r="AK782" s="20"/>
      <c r="AL782" s="20"/>
      <c r="AM782" s="20"/>
      <c r="AN782" s="20"/>
      <c r="AO782" s="20"/>
      <c r="AP782" s="20"/>
      <c r="AQ782" s="20"/>
      <c r="AR782" s="20"/>
      <c r="AS782" s="20"/>
      <c r="AT782" s="20"/>
      <c r="AU782" s="20"/>
      <c r="AV782" s="20"/>
      <c r="AW782" s="20"/>
      <c r="AX782" s="20"/>
      <c r="AY782" s="20"/>
    </row>
    <row r="783" spans="4:51"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  <c r="AF783" s="20"/>
      <c r="AG783" s="20"/>
      <c r="AH783" s="20"/>
      <c r="AI783" s="20"/>
      <c r="AJ783" s="20"/>
      <c r="AK783" s="20"/>
      <c r="AL783" s="20"/>
      <c r="AM783" s="20"/>
      <c r="AN783" s="20"/>
      <c r="AO783" s="20"/>
      <c r="AP783" s="20"/>
      <c r="AQ783" s="20"/>
      <c r="AR783" s="20"/>
      <c r="AS783" s="20"/>
      <c r="AT783" s="20"/>
      <c r="AU783" s="20"/>
      <c r="AV783" s="20"/>
      <c r="AW783" s="20"/>
      <c r="AX783" s="20"/>
      <c r="AY783" s="20"/>
    </row>
    <row r="784" spans="4:51"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  <c r="AE784" s="20"/>
      <c r="AF784" s="20"/>
      <c r="AG784" s="20"/>
      <c r="AH784" s="20"/>
      <c r="AI784" s="20"/>
      <c r="AJ784" s="20"/>
      <c r="AK784" s="20"/>
      <c r="AL784" s="20"/>
      <c r="AM784" s="20"/>
      <c r="AN784" s="20"/>
      <c r="AO784" s="20"/>
      <c r="AP784" s="20"/>
      <c r="AQ784" s="20"/>
      <c r="AR784" s="20"/>
      <c r="AS784" s="20"/>
      <c r="AT784" s="20"/>
      <c r="AU784" s="20"/>
      <c r="AV784" s="20"/>
      <c r="AW784" s="20"/>
      <c r="AX784" s="20"/>
      <c r="AY784" s="20"/>
    </row>
    <row r="785" spans="4:51"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AD785" s="20"/>
      <c r="AE785" s="20"/>
      <c r="AF785" s="20"/>
      <c r="AG785" s="20"/>
      <c r="AH785" s="20"/>
      <c r="AI785" s="20"/>
      <c r="AJ785" s="20"/>
      <c r="AK785" s="20"/>
      <c r="AL785" s="20"/>
      <c r="AM785" s="20"/>
      <c r="AN785" s="20"/>
      <c r="AO785" s="20"/>
      <c r="AP785" s="20"/>
      <c r="AQ785" s="20"/>
      <c r="AR785" s="20"/>
      <c r="AS785" s="20"/>
      <c r="AT785" s="20"/>
      <c r="AU785" s="20"/>
      <c r="AV785" s="20"/>
      <c r="AW785" s="20"/>
      <c r="AX785" s="20"/>
      <c r="AY785" s="20"/>
    </row>
    <row r="786" spans="4:51"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  <c r="AE786" s="20"/>
      <c r="AF786" s="20"/>
      <c r="AG786" s="20"/>
      <c r="AH786" s="20"/>
      <c r="AI786" s="20"/>
      <c r="AJ786" s="20"/>
      <c r="AK786" s="20"/>
      <c r="AL786" s="20"/>
      <c r="AM786" s="20"/>
      <c r="AN786" s="20"/>
      <c r="AO786" s="20"/>
      <c r="AP786" s="20"/>
      <c r="AQ786" s="20"/>
      <c r="AR786" s="20"/>
      <c r="AS786" s="20"/>
      <c r="AT786" s="20"/>
      <c r="AU786" s="20"/>
      <c r="AV786" s="20"/>
      <c r="AW786" s="20"/>
      <c r="AX786" s="20"/>
      <c r="AY786" s="20"/>
    </row>
    <row r="787" spans="4:51"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  <c r="AE787" s="20"/>
      <c r="AF787" s="20"/>
      <c r="AG787" s="20"/>
      <c r="AH787" s="20"/>
      <c r="AI787" s="20"/>
      <c r="AJ787" s="20"/>
      <c r="AK787" s="20"/>
      <c r="AL787" s="20"/>
      <c r="AM787" s="20"/>
      <c r="AN787" s="20"/>
      <c r="AO787" s="20"/>
      <c r="AP787" s="20"/>
      <c r="AQ787" s="20"/>
      <c r="AR787" s="20"/>
      <c r="AS787" s="20"/>
      <c r="AT787" s="20"/>
      <c r="AU787" s="20"/>
      <c r="AV787" s="20"/>
      <c r="AW787" s="20"/>
      <c r="AX787" s="20"/>
      <c r="AY787" s="20"/>
    </row>
    <row r="788" spans="4:51"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  <c r="AF788" s="20"/>
      <c r="AG788" s="20"/>
      <c r="AH788" s="20"/>
      <c r="AI788" s="20"/>
      <c r="AJ788" s="20"/>
      <c r="AK788" s="20"/>
      <c r="AL788" s="20"/>
      <c r="AM788" s="20"/>
      <c r="AN788" s="20"/>
      <c r="AO788" s="20"/>
      <c r="AP788" s="20"/>
      <c r="AQ788" s="20"/>
      <c r="AR788" s="20"/>
      <c r="AS788" s="20"/>
      <c r="AT788" s="20"/>
      <c r="AU788" s="20"/>
      <c r="AV788" s="20"/>
      <c r="AW788" s="20"/>
      <c r="AX788" s="20"/>
      <c r="AY788" s="20"/>
    </row>
    <row r="789" spans="4:51"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  <c r="AF789" s="20"/>
      <c r="AG789" s="20"/>
      <c r="AH789" s="20"/>
      <c r="AI789" s="20"/>
      <c r="AJ789" s="20"/>
      <c r="AK789" s="20"/>
      <c r="AL789" s="20"/>
      <c r="AM789" s="20"/>
      <c r="AN789" s="20"/>
      <c r="AO789" s="20"/>
      <c r="AP789" s="20"/>
      <c r="AQ789" s="20"/>
      <c r="AR789" s="20"/>
      <c r="AS789" s="20"/>
      <c r="AT789" s="20"/>
      <c r="AU789" s="20"/>
      <c r="AV789" s="20"/>
      <c r="AW789" s="20"/>
      <c r="AX789" s="20"/>
      <c r="AY789" s="20"/>
    </row>
    <row r="790" spans="4:51"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  <c r="AF790" s="20"/>
      <c r="AG790" s="20"/>
      <c r="AH790" s="20"/>
      <c r="AI790" s="20"/>
      <c r="AJ790" s="20"/>
      <c r="AK790" s="20"/>
      <c r="AL790" s="20"/>
      <c r="AM790" s="20"/>
      <c r="AN790" s="20"/>
      <c r="AO790" s="20"/>
      <c r="AP790" s="20"/>
      <c r="AQ790" s="20"/>
      <c r="AR790" s="20"/>
      <c r="AS790" s="20"/>
      <c r="AT790" s="20"/>
      <c r="AU790" s="20"/>
      <c r="AV790" s="20"/>
      <c r="AW790" s="20"/>
      <c r="AX790" s="20"/>
      <c r="AY790" s="20"/>
    </row>
    <row r="791" spans="4:51"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0"/>
      <c r="AF791" s="20"/>
      <c r="AG791" s="20"/>
      <c r="AH791" s="20"/>
      <c r="AI791" s="20"/>
      <c r="AJ791" s="20"/>
      <c r="AK791" s="20"/>
      <c r="AL791" s="20"/>
      <c r="AM791" s="20"/>
      <c r="AN791" s="20"/>
      <c r="AO791" s="20"/>
      <c r="AP791" s="20"/>
      <c r="AQ791" s="20"/>
      <c r="AR791" s="20"/>
      <c r="AS791" s="20"/>
      <c r="AT791" s="20"/>
      <c r="AU791" s="20"/>
      <c r="AV791" s="20"/>
      <c r="AW791" s="20"/>
      <c r="AX791" s="20"/>
      <c r="AY791" s="20"/>
    </row>
    <row r="792" spans="4:51"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  <c r="AE792" s="20"/>
      <c r="AF792" s="20"/>
      <c r="AG792" s="20"/>
      <c r="AH792" s="20"/>
      <c r="AI792" s="20"/>
      <c r="AJ792" s="20"/>
      <c r="AK792" s="20"/>
      <c r="AL792" s="20"/>
      <c r="AM792" s="20"/>
      <c r="AN792" s="20"/>
      <c r="AO792" s="20"/>
      <c r="AP792" s="20"/>
      <c r="AQ792" s="20"/>
      <c r="AR792" s="20"/>
      <c r="AS792" s="20"/>
      <c r="AT792" s="20"/>
      <c r="AU792" s="20"/>
      <c r="AV792" s="20"/>
      <c r="AW792" s="20"/>
      <c r="AX792" s="20"/>
      <c r="AY792" s="20"/>
    </row>
    <row r="793" spans="4:51"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  <c r="AB793" s="20"/>
      <c r="AC793" s="20"/>
      <c r="AD793" s="20"/>
      <c r="AE793" s="20"/>
      <c r="AF793" s="20"/>
      <c r="AG793" s="20"/>
      <c r="AH793" s="20"/>
      <c r="AI793" s="20"/>
      <c r="AJ793" s="20"/>
      <c r="AK793" s="20"/>
      <c r="AL793" s="20"/>
      <c r="AM793" s="20"/>
      <c r="AN793" s="20"/>
      <c r="AO793" s="20"/>
      <c r="AP793" s="20"/>
      <c r="AQ793" s="20"/>
      <c r="AR793" s="20"/>
      <c r="AS793" s="20"/>
      <c r="AT793" s="20"/>
      <c r="AU793" s="20"/>
      <c r="AV793" s="20"/>
      <c r="AW793" s="20"/>
      <c r="AX793" s="20"/>
      <c r="AY793" s="20"/>
    </row>
    <row r="794" spans="4:51"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0"/>
      <c r="AF794" s="20"/>
      <c r="AG794" s="20"/>
      <c r="AH794" s="20"/>
      <c r="AI794" s="20"/>
      <c r="AJ794" s="20"/>
      <c r="AK794" s="20"/>
      <c r="AL794" s="20"/>
      <c r="AM794" s="20"/>
      <c r="AN794" s="20"/>
      <c r="AO794" s="20"/>
      <c r="AP794" s="20"/>
      <c r="AQ794" s="20"/>
      <c r="AR794" s="20"/>
      <c r="AS794" s="20"/>
      <c r="AT794" s="20"/>
      <c r="AU794" s="20"/>
      <c r="AV794" s="20"/>
      <c r="AW794" s="20"/>
      <c r="AX794" s="20"/>
      <c r="AY794" s="20"/>
    </row>
    <row r="795" spans="4:51"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0"/>
      <c r="AF795" s="20"/>
      <c r="AG795" s="20"/>
      <c r="AH795" s="20"/>
      <c r="AI795" s="20"/>
      <c r="AJ795" s="20"/>
      <c r="AK795" s="20"/>
      <c r="AL795" s="20"/>
      <c r="AM795" s="20"/>
      <c r="AN795" s="20"/>
      <c r="AO795" s="20"/>
      <c r="AP795" s="20"/>
      <c r="AQ795" s="20"/>
      <c r="AR795" s="20"/>
      <c r="AS795" s="20"/>
      <c r="AT795" s="20"/>
      <c r="AU795" s="20"/>
      <c r="AV795" s="20"/>
      <c r="AW795" s="20"/>
      <c r="AX795" s="20"/>
      <c r="AY795" s="20"/>
    </row>
    <row r="796" spans="4:51"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  <c r="AE796" s="20"/>
      <c r="AF796" s="20"/>
      <c r="AG796" s="20"/>
      <c r="AH796" s="20"/>
      <c r="AI796" s="20"/>
      <c r="AJ796" s="20"/>
      <c r="AK796" s="20"/>
      <c r="AL796" s="20"/>
      <c r="AM796" s="20"/>
      <c r="AN796" s="20"/>
      <c r="AO796" s="20"/>
      <c r="AP796" s="20"/>
      <c r="AQ796" s="20"/>
      <c r="AR796" s="20"/>
      <c r="AS796" s="20"/>
      <c r="AT796" s="20"/>
      <c r="AU796" s="20"/>
      <c r="AV796" s="20"/>
      <c r="AW796" s="20"/>
      <c r="AX796" s="20"/>
      <c r="AY796" s="20"/>
    </row>
    <row r="797" spans="4:51"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0"/>
      <c r="AF797" s="20"/>
      <c r="AG797" s="20"/>
      <c r="AH797" s="20"/>
      <c r="AI797" s="20"/>
      <c r="AJ797" s="20"/>
      <c r="AK797" s="20"/>
      <c r="AL797" s="20"/>
      <c r="AM797" s="20"/>
      <c r="AN797" s="20"/>
      <c r="AO797" s="20"/>
      <c r="AP797" s="20"/>
      <c r="AQ797" s="20"/>
      <c r="AR797" s="20"/>
      <c r="AS797" s="20"/>
      <c r="AT797" s="20"/>
      <c r="AU797" s="20"/>
      <c r="AV797" s="20"/>
      <c r="AW797" s="20"/>
      <c r="AX797" s="20"/>
      <c r="AY797" s="20"/>
    </row>
    <row r="798" spans="4:51"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  <c r="AE798" s="20"/>
      <c r="AF798" s="20"/>
      <c r="AG798" s="20"/>
      <c r="AH798" s="20"/>
      <c r="AI798" s="20"/>
      <c r="AJ798" s="20"/>
      <c r="AK798" s="20"/>
      <c r="AL798" s="20"/>
      <c r="AM798" s="20"/>
      <c r="AN798" s="20"/>
      <c r="AO798" s="20"/>
      <c r="AP798" s="20"/>
      <c r="AQ798" s="20"/>
      <c r="AR798" s="20"/>
      <c r="AS798" s="20"/>
      <c r="AT798" s="20"/>
      <c r="AU798" s="20"/>
      <c r="AV798" s="20"/>
      <c r="AW798" s="20"/>
      <c r="AX798" s="20"/>
      <c r="AY798" s="20"/>
    </row>
    <row r="799" spans="4:51"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  <c r="AE799" s="20"/>
      <c r="AF799" s="20"/>
      <c r="AG799" s="20"/>
      <c r="AH799" s="20"/>
      <c r="AI799" s="20"/>
      <c r="AJ799" s="20"/>
      <c r="AK799" s="20"/>
      <c r="AL799" s="20"/>
      <c r="AM799" s="20"/>
      <c r="AN799" s="20"/>
      <c r="AO799" s="20"/>
      <c r="AP799" s="20"/>
      <c r="AQ799" s="20"/>
      <c r="AR799" s="20"/>
      <c r="AS799" s="20"/>
      <c r="AT799" s="20"/>
      <c r="AU799" s="20"/>
      <c r="AV799" s="20"/>
      <c r="AW799" s="20"/>
      <c r="AX799" s="20"/>
      <c r="AY799" s="20"/>
    </row>
    <row r="800" spans="4:51"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  <c r="AE800" s="20"/>
      <c r="AF800" s="20"/>
      <c r="AG800" s="20"/>
      <c r="AH800" s="20"/>
      <c r="AI800" s="20"/>
      <c r="AJ800" s="20"/>
      <c r="AK800" s="20"/>
      <c r="AL800" s="20"/>
      <c r="AM800" s="20"/>
      <c r="AN800" s="20"/>
      <c r="AO800" s="20"/>
      <c r="AP800" s="20"/>
      <c r="AQ800" s="20"/>
      <c r="AR800" s="20"/>
      <c r="AS800" s="20"/>
      <c r="AT800" s="20"/>
      <c r="AU800" s="20"/>
      <c r="AV800" s="20"/>
      <c r="AW800" s="20"/>
      <c r="AX800" s="20"/>
      <c r="AY800" s="20"/>
    </row>
    <row r="801" spans="4:51"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AE801" s="20"/>
      <c r="AF801" s="20"/>
      <c r="AG801" s="20"/>
      <c r="AH801" s="20"/>
      <c r="AI801" s="20"/>
      <c r="AJ801" s="20"/>
      <c r="AK801" s="20"/>
      <c r="AL801" s="20"/>
      <c r="AM801" s="20"/>
      <c r="AN801" s="20"/>
      <c r="AO801" s="20"/>
      <c r="AP801" s="20"/>
      <c r="AQ801" s="20"/>
      <c r="AR801" s="20"/>
      <c r="AS801" s="20"/>
      <c r="AT801" s="20"/>
      <c r="AU801" s="20"/>
      <c r="AV801" s="20"/>
      <c r="AW801" s="20"/>
      <c r="AX801" s="20"/>
      <c r="AY801" s="20"/>
    </row>
    <row r="802" spans="4:51"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  <c r="AE802" s="20"/>
      <c r="AF802" s="20"/>
      <c r="AG802" s="20"/>
      <c r="AH802" s="20"/>
      <c r="AI802" s="20"/>
      <c r="AJ802" s="20"/>
      <c r="AK802" s="20"/>
      <c r="AL802" s="20"/>
      <c r="AM802" s="20"/>
      <c r="AN802" s="20"/>
      <c r="AO802" s="20"/>
      <c r="AP802" s="20"/>
      <c r="AQ802" s="20"/>
      <c r="AR802" s="20"/>
      <c r="AS802" s="20"/>
      <c r="AT802" s="20"/>
      <c r="AU802" s="20"/>
      <c r="AV802" s="20"/>
      <c r="AW802" s="20"/>
      <c r="AX802" s="20"/>
      <c r="AY802" s="20"/>
    </row>
    <row r="803" spans="4:51"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AE803" s="20"/>
      <c r="AF803" s="20"/>
      <c r="AG803" s="20"/>
      <c r="AH803" s="20"/>
      <c r="AI803" s="20"/>
      <c r="AJ803" s="20"/>
      <c r="AK803" s="20"/>
      <c r="AL803" s="20"/>
      <c r="AM803" s="20"/>
      <c r="AN803" s="20"/>
      <c r="AO803" s="20"/>
      <c r="AP803" s="20"/>
      <c r="AQ803" s="20"/>
      <c r="AR803" s="20"/>
      <c r="AS803" s="20"/>
      <c r="AT803" s="20"/>
      <c r="AU803" s="20"/>
      <c r="AV803" s="20"/>
      <c r="AW803" s="20"/>
      <c r="AX803" s="20"/>
      <c r="AY803" s="20"/>
    </row>
    <row r="804" spans="4:51"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0"/>
      <c r="AF804" s="20"/>
      <c r="AG804" s="20"/>
      <c r="AH804" s="20"/>
      <c r="AI804" s="20"/>
      <c r="AJ804" s="20"/>
      <c r="AK804" s="20"/>
      <c r="AL804" s="20"/>
      <c r="AM804" s="20"/>
      <c r="AN804" s="20"/>
      <c r="AO804" s="20"/>
      <c r="AP804" s="20"/>
      <c r="AQ804" s="20"/>
      <c r="AR804" s="20"/>
      <c r="AS804" s="20"/>
      <c r="AT804" s="20"/>
      <c r="AU804" s="20"/>
      <c r="AV804" s="20"/>
      <c r="AW804" s="20"/>
      <c r="AX804" s="20"/>
      <c r="AY804" s="20"/>
    </row>
    <row r="805" spans="4:51"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0"/>
      <c r="AF805" s="20"/>
      <c r="AG805" s="20"/>
      <c r="AH805" s="20"/>
      <c r="AI805" s="20"/>
      <c r="AJ805" s="20"/>
      <c r="AK805" s="20"/>
      <c r="AL805" s="20"/>
      <c r="AM805" s="20"/>
      <c r="AN805" s="20"/>
      <c r="AO805" s="20"/>
      <c r="AP805" s="20"/>
      <c r="AQ805" s="20"/>
      <c r="AR805" s="20"/>
      <c r="AS805" s="20"/>
      <c r="AT805" s="20"/>
      <c r="AU805" s="20"/>
      <c r="AV805" s="20"/>
      <c r="AW805" s="20"/>
      <c r="AX805" s="20"/>
      <c r="AY805" s="20"/>
    </row>
    <row r="806" spans="4:51"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  <c r="AF806" s="20"/>
      <c r="AG806" s="20"/>
      <c r="AH806" s="20"/>
      <c r="AI806" s="20"/>
      <c r="AJ806" s="20"/>
      <c r="AK806" s="20"/>
      <c r="AL806" s="20"/>
      <c r="AM806" s="20"/>
      <c r="AN806" s="20"/>
      <c r="AO806" s="20"/>
      <c r="AP806" s="20"/>
      <c r="AQ806" s="20"/>
      <c r="AR806" s="20"/>
      <c r="AS806" s="20"/>
      <c r="AT806" s="20"/>
      <c r="AU806" s="20"/>
      <c r="AV806" s="20"/>
      <c r="AW806" s="20"/>
      <c r="AX806" s="20"/>
      <c r="AY806" s="20"/>
    </row>
    <row r="807" spans="4:51"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0"/>
      <c r="AF807" s="20"/>
      <c r="AG807" s="20"/>
      <c r="AH807" s="20"/>
      <c r="AI807" s="20"/>
      <c r="AJ807" s="20"/>
      <c r="AK807" s="20"/>
      <c r="AL807" s="20"/>
      <c r="AM807" s="20"/>
      <c r="AN807" s="20"/>
      <c r="AO807" s="20"/>
      <c r="AP807" s="20"/>
      <c r="AQ807" s="20"/>
      <c r="AR807" s="20"/>
      <c r="AS807" s="20"/>
      <c r="AT807" s="20"/>
      <c r="AU807" s="20"/>
      <c r="AV807" s="20"/>
      <c r="AW807" s="20"/>
      <c r="AX807" s="20"/>
      <c r="AY807" s="20"/>
    </row>
    <row r="808" spans="4:51"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  <c r="AE808" s="20"/>
      <c r="AF808" s="20"/>
      <c r="AG808" s="20"/>
      <c r="AH808" s="20"/>
      <c r="AI808" s="20"/>
      <c r="AJ808" s="20"/>
      <c r="AK808" s="20"/>
      <c r="AL808" s="20"/>
      <c r="AM808" s="20"/>
      <c r="AN808" s="20"/>
      <c r="AO808" s="20"/>
      <c r="AP808" s="20"/>
      <c r="AQ808" s="20"/>
      <c r="AR808" s="20"/>
      <c r="AS808" s="20"/>
      <c r="AT808" s="20"/>
      <c r="AU808" s="20"/>
      <c r="AV808" s="20"/>
      <c r="AW808" s="20"/>
      <c r="AX808" s="20"/>
      <c r="AY808" s="20"/>
    </row>
    <row r="809" spans="4:51"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AB809" s="20"/>
      <c r="AC809" s="20"/>
      <c r="AD809" s="20"/>
      <c r="AE809" s="20"/>
      <c r="AF809" s="20"/>
      <c r="AG809" s="20"/>
      <c r="AH809" s="20"/>
      <c r="AI809" s="20"/>
      <c r="AJ809" s="20"/>
      <c r="AK809" s="20"/>
      <c r="AL809" s="20"/>
      <c r="AM809" s="20"/>
      <c r="AN809" s="20"/>
      <c r="AO809" s="20"/>
      <c r="AP809" s="20"/>
      <c r="AQ809" s="20"/>
      <c r="AR809" s="20"/>
      <c r="AS809" s="20"/>
      <c r="AT809" s="20"/>
      <c r="AU809" s="20"/>
      <c r="AV809" s="20"/>
      <c r="AW809" s="20"/>
      <c r="AX809" s="20"/>
      <c r="AY809" s="20"/>
    </row>
    <row r="810" spans="4:51"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  <c r="AE810" s="20"/>
      <c r="AF810" s="20"/>
      <c r="AG810" s="20"/>
      <c r="AH810" s="20"/>
      <c r="AI810" s="20"/>
      <c r="AJ810" s="20"/>
      <c r="AK810" s="20"/>
      <c r="AL810" s="20"/>
      <c r="AM810" s="20"/>
      <c r="AN810" s="20"/>
      <c r="AO810" s="20"/>
      <c r="AP810" s="20"/>
      <c r="AQ810" s="20"/>
      <c r="AR810" s="20"/>
      <c r="AS810" s="20"/>
      <c r="AT810" s="20"/>
      <c r="AU810" s="20"/>
      <c r="AV810" s="20"/>
      <c r="AW810" s="20"/>
      <c r="AX810" s="20"/>
      <c r="AY810" s="20"/>
    </row>
    <row r="811" spans="4:51"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  <c r="AC811" s="20"/>
      <c r="AD811" s="20"/>
      <c r="AE811" s="20"/>
      <c r="AF811" s="20"/>
      <c r="AG811" s="20"/>
      <c r="AH811" s="20"/>
      <c r="AI811" s="20"/>
      <c r="AJ811" s="20"/>
      <c r="AK811" s="20"/>
      <c r="AL811" s="20"/>
      <c r="AM811" s="20"/>
      <c r="AN811" s="20"/>
      <c r="AO811" s="20"/>
      <c r="AP811" s="20"/>
      <c r="AQ811" s="20"/>
      <c r="AR811" s="20"/>
      <c r="AS811" s="20"/>
      <c r="AT811" s="20"/>
      <c r="AU811" s="20"/>
      <c r="AV811" s="20"/>
      <c r="AW811" s="20"/>
      <c r="AX811" s="20"/>
      <c r="AY811" s="20"/>
    </row>
    <row r="812" spans="4:51"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  <c r="AF812" s="20"/>
      <c r="AG812" s="20"/>
      <c r="AH812" s="20"/>
      <c r="AI812" s="20"/>
      <c r="AJ812" s="20"/>
      <c r="AK812" s="20"/>
      <c r="AL812" s="20"/>
      <c r="AM812" s="20"/>
      <c r="AN812" s="20"/>
      <c r="AO812" s="20"/>
      <c r="AP812" s="20"/>
      <c r="AQ812" s="20"/>
      <c r="AR812" s="20"/>
      <c r="AS812" s="20"/>
      <c r="AT812" s="20"/>
      <c r="AU812" s="20"/>
      <c r="AV812" s="20"/>
      <c r="AW812" s="20"/>
      <c r="AX812" s="20"/>
      <c r="AY812" s="20"/>
    </row>
    <row r="813" spans="4:51"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0"/>
      <c r="AF813" s="20"/>
      <c r="AG813" s="20"/>
      <c r="AH813" s="20"/>
      <c r="AI813" s="20"/>
      <c r="AJ813" s="20"/>
      <c r="AK813" s="20"/>
      <c r="AL813" s="20"/>
      <c r="AM813" s="20"/>
      <c r="AN813" s="20"/>
      <c r="AO813" s="20"/>
      <c r="AP813" s="20"/>
      <c r="AQ813" s="20"/>
      <c r="AR813" s="20"/>
      <c r="AS813" s="20"/>
      <c r="AT813" s="20"/>
      <c r="AU813" s="20"/>
      <c r="AV813" s="20"/>
      <c r="AW813" s="20"/>
      <c r="AX813" s="20"/>
      <c r="AY813" s="20"/>
    </row>
    <row r="814" spans="4:51"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  <c r="AE814" s="20"/>
      <c r="AF814" s="20"/>
      <c r="AG814" s="20"/>
      <c r="AH814" s="20"/>
      <c r="AI814" s="20"/>
      <c r="AJ814" s="20"/>
      <c r="AK814" s="20"/>
      <c r="AL814" s="20"/>
      <c r="AM814" s="20"/>
      <c r="AN814" s="20"/>
      <c r="AO814" s="20"/>
      <c r="AP814" s="20"/>
      <c r="AQ814" s="20"/>
      <c r="AR814" s="20"/>
      <c r="AS814" s="20"/>
      <c r="AT814" s="20"/>
      <c r="AU814" s="20"/>
      <c r="AV814" s="20"/>
      <c r="AW814" s="20"/>
      <c r="AX814" s="20"/>
      <c r="AY814" s="20"/>
    </row>
    <row r="815" spans="4:51"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  <c r="AB815" s="20"/>
      <c r="AC815" s="20"/>
      <c r="AD815" s="20"/>
      <c r="AE815" s="20"/>
      <c r="AF815" s="20"/>
      <c r="AG815" s="20"/>
      <c r="AH815" s="20"/>
      <c r="AI815" s="20"/>
      <c r="AJ815" s="20"/>
      <c r="AK815" s="20"/>
      <c r="AL815" s="20"/>
      <c r="AM815" s="20"/>
      <c r="AN815" s="20"/>
      <c r="AO815" s="20"/>
      <c r="AP815" s="20"/>
      <c r="AQ815" s="20"/>
      <c r="AR815" s="20"/>
      <c r="AS815" s="20"/>
      <c r="AT815" s="20"/>
      <c r="AU815" s="20"/>
      <c r="AV815" s="20"/>
      <c r="AW815" s="20"/>
      <c r="AX815" s="20"/>
      <c r="AY815" s="20"/>
    </row>
    <row r="816" spans="4:51"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  <c r="AE816" s="20"/>
      <c r="AF816" s="20"/>
      <c r="AG816" s="20"/>
      <c r="AH816" s="20"/>
      <c r="AI816" s="20"/>
      <c r="AJ816" s="20"/>
      <c r="AK816" s="20"/>
      <c r="AL816" s="20"/>
      <c r="AM816" s="20"/>
      <c r="AN816" s="20"/>
      <c r="AO816" s="20"/>
      <c r="AP816" s="20"/>
      <c r="AQ816" s="20"/>
      <c r="AR816" s="20"/>
      <c r="AS816" s="20"/>
      <c r="AT816" s="20"/>
      <c r="AU816" s="20"/>
      <c r="AV816" s="20"/>
      <c r="AW816" s="20"/>
      <c r="AX816" s="20"/>
      <c r="AY816" s="20"/>
    </row>
    <row r="817" spans="4:51"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  <c r="AE817" s="20"/>
      <c r="AF817" s="20"/>
      <c r="AG817" s="20"/>
      <c r="AH817" s="20"/>
      <c r="AI817" s="20"/>
      <c r="AJ817" s="20"/>
      <c r="AK817" s="20"/>
      <c r="AL817" s="20"/>
      <c r="AM817" s="20"/>
      <c r="AN817" s="20"/>
      <c r="AO817" s="20"/>
      <c r="AP817" s="20"/>
      <c r="AQ817" s="20"/>
      <c r="AR817" s="20"/>
      <c r="AS817" s="20"/>
      <c r="AT817" s="20"/>
      <c r="AU817" s="20"/>
      <c r="AV817" s="20"/>
      <c r="AW817" s="20"/>
      <c r="AX817" s="20"/>
      <c r="AY817" s="20"/>
    </row>
    <row r="818" spans="4:51"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  <c r="AE818" s="20"/>
      <c r="AF818" s="20"/>
      <c r="AG818" s="20"/>
      <c r="AH818" s="20"/>
      <c r="AI818" s="20"/>
      <c r="AJ818" s="20"/>
      <c r="AK818" s="20"/>
      <c r="AL818" s="20"/>
      <c r="AM818" s="20"/>
      <c r="AN818" s="20"/>
      <c r="AO818" s="20"/>
      <c r="AP818" s="20"/>
      <c r="AQ818" s="20"/>
      <c r="AR818" s="20"/>
      <c r="AS818" s="20"/>
      <c r="AT818" s="20"/>
      <c r="AU818" s="20"/>
      <c r="AV818" s="20"/>
      <c r="AW818" s="20"/>
      <c r="AX818" s="20"/>
      <c r="AY818" s="20"/>
    </row>
    <row r="819" spans="4:51"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  <c r="AF819" s="20"/>
      <c r="AG819" s="20"/>
      <c r="AH819" s="20"/>
      <c r="AI819" s="20"/>
      <c r="AJ819" s="20"/>
      <c r="AK819" s="20"/>
      <c r="AL819" s="20"/>
      <c r="AM819" s="20"/>
      <c r="AN819" s="20"/>
      <c r="AO819" s="20"/>
      <c r="AP819" s="20"/>
      <c r="AQ819" s="20"/>
      <c r="AR819" s="20"/>
      <c r="AS819" s="20"/>
      <c r="AT819" s="20"/>
      <c r="AU819" s="20"/>
      <c r="AV819" s="20"/>
      <c r="AW819" s="20"/>
      <c r="AX819" s="20"/>
      <c r="AY819" s="20"/>
    </row>
    <row r="820" spans="4:51"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AE820" s="20"/>
      <c r="AF820" s="20"/>
      <c r="AG820" s="20"/>
      <c r="AH820" s="20"/>
      <c r="AI820" s="20"/>
      <c r="AJ820" s="20"/>
      <c r="AK820" s="20"/>
      <c r="AL820" s="20"/>
      <c r="AM820" s="20"/>
      <c r="AN820" s="20"/>
      <c r="AO820" s="20"/>
      <c r="AP820" s="20"/>
      <c r="AQ820" s="20"/>
      <c r="AR820" s="20"/>
      <c r="AS820" s="20"/>
      <c r="AT820" s="20"/>
      <c r="AU820" s="20"/>
      <c r="AV820" s="20"/>
      <c r="AW820" s="20"/>
      <c r="AX820" s="20"/>
      <c r="AY820" s="20"/>
    </row>
    <row r="821" spans="4:51"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0"/>
      <c r="AF821" s="20"/>
      <c r="AG821" s="20"/>
      <c r="AH821" s="20"/>
      <c r="AI821" s="20"/>
      <c r="AJ821" s="20"/>
      <c r="AK821" s="20"/>
      <c r="AL821" s="20"/>
      <c r="AM821" s="20"/>
      <c r="AN821" s="20"/>
      <c r="AO821" s="20"/>
      <c r="AP821" s="20"/>
      <c r="AQ821" s="20"/>
      <c r="AR821" s="20"/>
      <c r="AS821" s="20"/>
      <c r="AT821" s="20"/>
      <c r="AU821" s="20"/>
      <c r="AV821" s="20"/>
      <c r="AW821" s="20"/>
      <c r="AX821" s="20"/>
      <c r="AY821" s="20"/>
    </row>
    <row r="822" spans="4:51"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  <c r="AE822" s="20"/>
      <c r="AF822" s="20"/>
      <c r="AG822" s="20"/>
      <c r="AH822" s="20"/>
      <c r="AI822" s="20"/>
      <c r="AJ822" s="20"/>
      <c r="AK822" s="20"/>
      <c r="AL822" s="20"/>
      <c r="AM822" s="20"/>
      <c r="AN822" s="20"/>
      <c r="AO822" s="20"/>
      <c r="AP822" s="20"/>
      <c r="AQ822" s="20"/>
      <c r="AR822" s="20"/>
      <c r="AS822" s="20"/>
      <c r="AT822" s="20"/>
      <c r="AU822" s="20"/>
      <c r="AV822" s="20"/>
      <c r="AW822" s="20"/>
      <c r="AX822" s="20"/>
      <c r="AY822" s="20"/>
    </row>
    <row r="823" spans="4:51"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  <c r="AE823" s="20"/>
      <c r="AF823" s="20"/>
      <c r="AG823" s="20"/>
      <c r="AH823" s="20"/>
      <c r="AI823" s="20"/>
      <c r="AJ823" s="20"/>
      <c r="AK823" s="20"/>
      <c r="AL823" s="20"/>
      <c r="AM823" s="20"/>
      <c r="AN823" s="20"/>
      <c r="AO823" s="20"/>
      <c r="AP823" s="20"/>
      <c r="AQ823" s="20"/>
      <c r="AR823" s="20"/>
      <c r="AS823" s="20"/>
      <c r="AT823" s="20"/>
      <c r="AU823" s="20"/>
      <c r="AV823" s="20"/>
      <c r="AW823" s="20"/>
      <c r="AX823" s="20"/>
      <c r="AY823" s="20"/>
    </row>
    <row r="824" spans="4:51"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  <c r="AE824" s="20"/>
      <c r="AF824" s="20"/>
      <c r="AG824" s="20"/>
      <c r="AH824" s="20"/>
      <c r="AI824" s="20"/>
      <c r="AJ824" s="20"/>
      <c r="AK824" s="20"/>
      <c r="AL824" s="20"/>
      <c r="AM824" s="20"/>
      <c r="AN824" s="20"/>
      <c r="AO824" s="20"/>
      <c r="AP824" s="20"/>
      <c r="AQ824" s="20"/>
      <c r="AR824" s="20"/>
      <c r="AS824" s="20"/>
      <c r="AT824" s="20"/>
      <c r="AU824" s="20"/>
      <c r="AV824" s="20"/>
      <c r="AW824" s="20"/>
      <c r="AX824" s="20"/>
      <c r="AY824" s="20"/>
    </row>
    <row r="825" spans="4:51"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  <c r="AE825" s="20"/>
      <c r="AF825" s="20"/>
      <c r="AG825" s="20"/>
      <c r="AH825" s="20"/>
      <c r="AI825" s="20"/>
      <c r="AJ825" s="20"/>
      <c r="AK825" s="20"/>
      <c r="AL825" s="20"/>
      <c r="AM825" s="20"/>
      <c r="AN825" s="20"/>
      <c r="AO825" s="20"/>
      <c r="AP825" s="20"/>
      <c r="AQ825" s="20"/>
      <c r="AR825" s="20"/>
      <c r="AS825" s="20"/>
      <c r="AT825" s="20"/>
      <c r="AU825" s="20"/>
      <c r="AV825" s="20"/>
      <c r="AW825" s="20"/>
      <c r="AX825" s="20"/>
      <c r="AY825" s="20"/>
    </row>
    <row r="826" spans="4:51"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AB826" s="20"/>
      <c r="AC826" s="20"/>
      <c r="AD826" s="20"/>
      <c r="AE826" s="20"/>
      <c r="AF826" s="20"/>
      <c r="AG826" s="20"/>
      <c r="AH826" s="20"/>
      <c r="AI826" s="20"/>
      <c r="AJ826" s="20"/>
      <c r="AK826" s="20"/>
      <c r="AL826" s="20"/>
      <c r="AM826" s="20"/>
      <c r="AN826" s="20"/>
      <c r="AO826" s="20"/>
      <c r="AP826" s="20"/>
      <c r="AQ826" s="20"/>
      <c r="AR826" s="20"/>
      <c r="AS826" s="20"/>
      <c r="AT826" s="20"/>
      <c r="AU826" s="20"/>
      <c r="AV826" s="20"/>
      <c r="AW826" s="20"/>
      <c r="AX826" s="20"/>
      <c r="AY826" s="20"/>
    </row>
    <row r="827" spans="4:51"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AA827" s="20"/>
      <c r="AB827" s="20"/>
      <c r="AC827" s="20"/>
      <c r="AD827" s="20"/>
      <c r="AE827" s="20"/>
      <c r="AF827" s="20"/>
      <c r="AG827" s="20"/>
      <c r="AH827" s="20"/>
      <c r="AI827" s="20"/>
      <c r="AJ827" s="20"/>
      <c r="AK827" s="20"/>
      <c r="AL827" s="20"/>
      <c r="AM827" s="20"/>
      <c r="AN827" s="20"/>
      <c r="AO827" s="20"/>
      <c r="AP827" s="20"/>
      <c r="AQ827" s="20"/>
      <c r="AR827" s="20"/>
      <c r="AS827" s="20"/>
      <c r="AT827" s="20"/>
      <c r="AU827" s="20"/>
      <c r="AV827" s="20"/>
      <c r="AW827" s="20"/>
      <c r="AX827" s="20"/>
      <c r="AY827" s="20"/>
    </row>
    <row r="828" spans="4:51"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AA828" s="20"/>
      <c r="AB828" s="20"/>
      <c r="AC828" s="20"/>
      <c r="AD828" s="20"/>
      <c r="AE828" s="20"/>
      <c r="AF828" s="20"/>
      <c r="AG828" s="20"/>
      <c r="AH828" s="20"/>
      <c r="AI828" s="20"/>
      <c r="AJ828" s="20"/>
      <c r="AK828" s="20"/>
      <c r="AL828" s="20"/>
      <c r="AM828" s="20"/>
      <c r="AN828" s="20"/>
      <c r="AO828" s="20"/>
      <c r="AP828" s="20"/>
      <c r="AQ828" s="20"/>
      <c r="AR828" s="20"/>
      <c r="AS828" s="20"/>
      <c r="AT828" s="20"/>
      <c r="AU828" s="20"/>
      <c r="AV828" s="20"/>
      <c r="AW828" s="20"/>
      <c r="AX828" s="20"/>
      <c r="AY828" s="20"/>
    </row>
    <row r="829" spans="4:51"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  <c r="AB829" s="20"/>
      <c r="AC829" s="20"/>
      <c r="AD829" s="20"/>
      <c r="AE829" s="20"/>
      <c r="AF829" s="20"/>
      <c r="AG829" s="20"/>
      <c r="AH829" s="20"/>
      <c r="AI829" s="20"/>
      <c r="AJ829" s="20"/>
      <c r="AK829" s="20"/>
      <c r="AL829" s="20"/>
      <c r="AM829" s="20"/>
      <c r="AN829" s="20"/>
      <c r="AO829" s="20"/>
      <c r="AP829" s="20"/>
      <c r="AQ829" s="20"/>
      <c r="AR829" s="20"/>
      <c r="AS829" s="20"/>
      <c r="AT829" s="20"/>
      <c r="AU829" s="20"/>
      <c r="AV829" s="20"/>
      <c r="AW829" s="20"/>
      <c r="AX829" s="20"/>
      <c r="AY829" s="20"/>
    </row>
    <row r="830" spans="4:51"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  <c r="AB830" s="20"/>
      <c r="AC830" s="20"/>
      <c r="AD830" s="20"/>
      <c r="AE830" s="20"/>
      <c r="AF830" s="20"/>
      <c r="AG830" s="20"/>
      <c r="AH830" s="20"/>
      <c r="AI830" s="20"/>
      <c r="AJ830" s="20"/>
      <c r="AK830" s="20"/>
      <c r="AL830" s="20"/>
      <c r="AM830" s="20"/>
      <c r="AN830" s="20"/>
      <c r="AO830" s="20"/>
      <c r="AP830" s="20"/>
      <c r="AQ830" s="20"/>
      <c r="AR830" s="20"/>
      <c r="AS830" s="20"/>
      <c r="AT830" s="20"/>
      <c r="AU830" s="20"/>
      <c r="AV830" s="20"/>
      <c r="AW830" s="20"/>
      <c r="AX830" s="20"/>
      <c r="AY830" s="20"/>
    </row>
    <row r="831" spans="4:51"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  <c r="AA831" s="20"/>
      <c r="AB831" s="20"/>
      <c r="AC831" s="20"/>
      <c r="AD831" s="20"/>
      <c r="AE831" s="20"/>
      <c r="AF831" s="20"/>
      <c r="AG831" s="20"/>
      <c r="AH831" s="20"/>
      <c r="AI831" s="20"/>
      <c r="AJ831" s="20"/>
      <c r="AK831" s="20"/>
      <c r="AL831" s="20"/>
      <c r="AM831" s="20"/>
      <c r="AN831" s="20"/>
      <c r="AO831" s="20"/>
      <c r="AP831" s="20"/>
      <c r="AQ831" s="20"/>
      <c r="AR831" s="20"/>
      <c r="AS831" s="20"/>
      <c r="AT831" s="20"/>
      <c r="AU831" s="20"/>
      <c r="AV831" s="20"/>
      <c r="AW831" s="20"/>
      <c r="AX831" s="20"/>
      <c r="AY831" s="20"/>
    </row>
    <row r="832" spans="4:51"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  <c r="AA832" s="20"/>
      <c r="AB832" s="20"/>
      <c r="AC832" s="20"/>
      <c r="AD832" s="20"/>
      <c r="AE832" s="20"/>
      <c r="AF832" s="20"/>
      <c r="AG832" s="20"/>
      <c r="AH832" s="20"/>
      <c r="AI832" s="20"/>
      <c r="AJ832" s="20"/>
      <c r="AK832" s="20"/>
      <c r="AL832" s="20"/>
      <c r="AM832" s="20"/>
      <c r="AN832" s="20"/>
      <c r="AO832" s="20"/>
      <c r="AP832" s="20"/>
      <c r="AQ832" s="20"/>
      <c r="AR832" s="20"/>
      <c r="AS832" s="20"/>
      <c r="AT832" s="20"/>
      <c r="AU832" s="20"/>
      <c r="AV832" s="20"/>
      <c r="AW832" s="20"/>
      <c r="AX832" s="20"/>
      <c r="AY832" s="20"/>
    </row>
    <row r="833" spans="4:51"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0"/>
      <c r="AB833" s="20"/>
      <c r="AC833" s="20"/>
      <c r="AD833" s="20"/>
      <c r="AE833" s="20"/>
      <c r="AF833" s="20"/>
      <c r="AG833" s="20"/>
      <c r="AH833" s="20"/>
      <c r="AI833" s="20"/>
      <c r="AJ833" s="20"/>
      <c r="AK833" s="20"/>
      <c r="AL833" s="20"/>
      <c r="AM833" s="20"/>
      <c r="AN833" s="20"/>
      <c r="AO833" s="20"/>
      <c r="AP833" s="20"/>
      <c r="AQ833" s="20"/>
      <c r="AR833" s="20"/>
      <c r="AS833" s="20"/>
      <c r="AT833" s="20"/>
      <c r="AU833" s="20"/>
      <c r="AV833" s="20"/>
      <c r="AW833" s="20"/>
      <c r="AX833" s="20"/>
      <c r="AY833" s="20"/>
    </row>
    <row r="834" spans="4:51"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AA834" s="20"/>
      <c r="AB834" s="20"/>
      <c r="AC834" s="20"/>
      <c r="AD834" s="20"/>
      <c r="AE834" s="20"/>
      <c r="AF834" s="20"/>
      <c r="AG834" s="20"/>
      <c r="AH834" s="20"/>
      <c r="AI834" s="20"/>
      <c r="AJ834" s="20"/>
      <c r="AK834" s="20"/>
      <c r="AL834" s="20"/>
      <c r="AM834" s="20"/>
      <c r="AN834" s="20"/>
      <c r="AO834" s="20"/>
      <c r="AP834" s="20"/>
      <c r="AQ834" s="20"/>
      <c r="AR834" s="20"/>
      <c r="AS834" s="20"/>
      <c r="AT834" s="20"/>
      <c r="AU834" s="20"/>
      <c r="AV834" s="20"/>
      <c r="AW834" s="20"/>
      <c r="AX834" s="20"/>
      <c r="AY834" s="20"/>
    </row>
    <row r="835" spans="4:51"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AB835" s="20"/>
      <c r="AC835" s="20"/>
      <c r="AD835" s="20"/>
      <c r="AE835" s="20"/>
      <c r="AF835" s="20"/>
      <c r="AG835" s="20"/>
      <c r="AH835" s="20"/>
      <c r="AI835" s="20"/>
      <c r="AJ835" s="20"/>
      <c r="AK835" s="20"/>
      <c r="AL835" s="20"/>
      <c r="AM835" s="20"/>
      <c r="AN835" s="20"/>
      <c r="AO835" s="20"/>
      <c r="AP835" s="20"/>
      <c r="AQ835" s="20"/>
      <c r="AR835" s="20"/>
      <c r="AS835" s="20"/>
      <c r="AT835" s="20"/>
      <c r="AU835" s="20"/>
      <c r="AV835" s="20"/>
      <c r="AW835" s="20"/>
      <c r="AX835" s="20"/>
      <c r="AY835" s="20"/>
    </row>
    <row r="836" spans="4:51"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AB836" s="20"/>
      <c r="AC836" s="20"/>
      <c r="AD836" s="20"/>
      <c r="AE836" s="20"/>
      <c r="AF836" s="20"/>
      <c r="AG836" s="20"/>
      <c r="AH836" s="20"/>
      <c r="AI836" s="20"/>
      <c r="AJ836" s="20"/>
      <c r="AK836" s="20"/>
      <c r="AL836" s="20"/>
      <c r="AM836" s="20"/>
      <c r="AN836" s="20"/>
      <c r="AO836" s="20"/>
      <c r="AP836" s="20"/>
      <c r="AQ836" s="20"/>
      <c r="AR836" s="20"/>
      <c r="AS836" s="20"/>
      <c r="AT836" s="20"/>
      <c r="AU836" s="20"/>
      <c r="AV836" s="20"/>
      <c r="AW836" s="20"/>
      <c r="AX836" s="20"/>
      <c r="AY836" s="20"/>
    </row>
    <row r="837" spans="4:51"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AB837" s="20"/>
      <c r="AC837" s="20"/>
      <c r="AD837" s="20"/>
      <c r="AE837" s="20"/>
      <c r="AF837" s="20"/>
      <c r="AG837" s="20"/>
      <c r="AH837" s="20"/>
      <c r="AI837" s="20"/>
      <c r="AJ837" s="20"/>
      <c r="AK837" s="20"/>
      <c r="AL837" s="20"/>
      <c r="AM837" s="20"/>
      <c r="AN837" s="20"/>
      <c r="AO837" s="20"/>
      <c r="AP837" s="20"/>
      <c r="AQ837" s="20"/>
      <c r="AR837" s="20"/>
      <c r="AS837" s="20"/>
      <c r="AT837" s="20"/>
      <c r="AU837" s="20"/>
      <c r="AV837" s="20"/>
      <c r="AW837" s="20"/>
      <c r="AX837" s="20"/>
      <c r="AY837" s="20"/>
    </row>
    <row r="838" spans="4:51"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AB838" s="20"/>
      <c r="AC838" s="20"/>
      <c r="AD838" s="20"/>
      <c r="AE838" s="20"/>
      <c r="AF838" s="20"/>
      <c r="AG838" s="20"/>
      <c r="AH838" s="20"/>
      <c r="AI838" s="20"/>
      <c r="AJ838" s="20"/>
      <c r="AK838" s="20"/>
      <c r="AL838" s="20"/>
      <c r="AM838" s="20"/>
      <c r="AN838" s="20"/>
      <c r="AO838" s="20"/>
      <c r="AP838" s="20"/>
      <c r="AQ838" s="20"/>
      <c r="AR838" s="20"/>
      <c r="AS838" s="20"/>
      <c r="AT838" s="20"/>
      <c r="AU838" s="20"/>
      <c r="AV838" s="20"/>
      <c r="AW838" s="20"/>
      <c r="AX838" s="20"/>
      <c r="AY838" s="20"/>
    </row>
    <row r="839" spans="4:51"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  <c r="AE839" s="20"/>
      <c r="AF839" s="20"/>
      <c r="AG839" s="20"/>
      <c r="AH839" s="20"/>
      <c r="AI839" s="20"/>
      <c r="AJ839" s="20"/>
      <c r="AK839" s="20"/>
      <c r="AL839" s="20"/>
      <c r="AM839" s="20"/>
      <c r="AN839" s="20"/>
      <c r="AO839" s="20"/>
      <c r="AP839" s="20"/>
      <c r="AQ839" s="20"/>
      <c r="AR839" s="20"/>
      <c r="AS839" s="20"/>
      <c r="AT839" s="20"/>
      <c r="AU839" s="20"/>
      <c r="AV839" s="20"/>
      <c r="AW839" s="20"/>
      <c r="AX839" s="20"/>
      <c r="AY839" s="20"/>
    </row>
    <row r="840" spans="4:51"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AB840" s="20"/>
      <c r="AC840" s="20"/>
      <c r="AD840" s="20"/>
      <c r="AE840" s="20"/>
      <c r="AF840" s="20"/>
      <c r="AG840" s="20"/>
      <c r="AH840" s="20"/>
      <c r="AI840" s="20"/>
      <c r="AJ840" s="20"/>
      <c r="AK840" s="20"/>
      <c r="AL840" s="20"/>
      <c r="AM840" s="20"/>
      <c r="AN840" s="20"/>
      <c r="AO840" s="20"/>
      <c r="AP840" s="20"/>
      <c r="AQ840" s="20"/>
      <c r="AR840" s="20"/>
      <c r="AS840" s="20"/>
      <c r="AT840" s="20"/>
      <c r="AU840" s="20"/>
      <c r="AV840" s="20"/>
      <c r="AW840" s="20"/>
      <c r="AX840" s="20"/>
      <c r="AY840" s="20"/>
    </row>
    <row r="841" spans="4:51"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  <c r="AB841" s="20"/>
      <c r="AC841" s="20"/>
      <c r="AD841" s="20"/>
      <c r="AE841" s="20"/>
      <c r="AF841" s="20"/>
      <c r="AG841" s="20"/>
      <c r="AH841" s="20"/>
      <c r="AI841" s="20"/>
      <c r="AJ841" s="20"/>
      <c r="AK841" s="20"/>
      <c r="AL841" s="20"/>
      <c r="AM841" s="20"/>
      <c r="AN841" s="20"/>
      <c r="AO841" s="20"/>
      <c r="AP841" s="20"/>
      <c r="AQ841" s="20"/>
      <c r="AR841" s="20"/>
      <c r="AS841" s="20"/>
      <c r="AT841" s="20"/>
      <c r="AU841" s="20"/>
      <c r="AV841" s="20"/>
      <c r="AW841" s="20"/>
      <c r="AX841" s="20"/>
      <c r="AY841" s="20"/>
    </row>
    <row r="842" spans="4:51"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  <c r="AB842" s="20"/>
      <c r="AC842" s="20"/>
      <c r="AD842" s="20"/>
      <c r="AE842" s="20"/>
      <c r="AF842" s="20"/>
      <c r="AG842" s="20"/>
      <c r="AH842" s="20"/>
      <c r="AI842" s="20"/>
      <c r="AJ842" s="20"/>
      <c r="AK842" s="20"/>
      <c r="AL842" s="20"/>
      <c r="AM842" s="20"/>
      <c r="AN842" s="20"/>
      <c r="AO842" s="20"/>
      <c r="AP842" s="20"/>
      <c r="AQ842" s="20"/>
      <c r="AR842" s="20"/>
      <c r="AS842" s="20"/>
      <c r="AT842" s="20"/>
      <c r="AU842" s="20"/>
      <c r="AV842" s="20"/>
      <c r="AW842" s="20"/>
      <c r="AX842" s="20"/>
      <c r="AY842" s="20"/>
    </row>
    <row r="843" spans="4:51"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AB843" s="20"/>
      <c r="AC843" s="20"/>
      <c r="AD843" s="20"/>
      <c r="AE843" s="20"/>
      <c r="AF843" s="20"/>
      <c r="AG843" s="20"/>
      <c r="AH843" s="20"/>
      <c r="AI843" s="20"/>
      <c r="AJ843" s="20"/>
      <c r="AK843" s="20"/>
      <c r="AL843" s="20"/>
      <c r="AM843" s="20"/>
      <c r="AN843" s="20"/>
      <c r="AO843" s="20"/>
      <c r="AP843" s="20"/>
      <c r="AQ843" s="20"/>
      <c r="AR843" s="20"/>
      <c r="AS843" s="20"/>
      <c r="AT843" s="20"/>
      <c r="AU843" s="20"/>
      <c r="AV843" s="20"/>
      <c r="AW843" s="20"/>
      <c r="AX843" s="20"/>
      <c r="AY843" s="20"/>
    </row>
    <row r="844" spans="4:51"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  <c r="AB844" s="20"/>
      <c r="AC844" s="20"/>
      <c r="AD844" s="20"/>
      <c r="AE844" s="20"/>
      <c r="AF844" s="20"/>
      <c r="AG844" s="20"/>
      <c r="AH844" s="20"/>
      <c r="AI844" s="20"/>
      <c r="AJ844" s="20"/>
      <c r="AK844" s="20"/>
      <c r="AL844" s="20"/>
      <c r="AM844" s="20"/>
      <c r="AN844" s="20"/>
      <c r="AO844" s="20"/>
      <c r="AP844" s="20"/>
      <c r="AQ844" s="20"/>
      <c r="AR844" s="20"/>
      <c r="AS844" s="20"/>
      <c r="AT844" s="20"/>
      <c r="AU844" s="20"/>
      <c r="AV844" s="20"/>
      <c r="AW844" s="20"/>
      <c r="AX844" s="20"/>
      <c r="AY844" s="20"/>
    </row>
    <row r="845" spans="4:51"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  <c r="AB845" s="20"/>
      <c r="AC845" s="20"/>
      <c r="AD845" s="20"/>
      <c r="AE845" s="20"/>
      <c r="AF845" s="20"/>
      <c r="AG845" s="20"/>
      <c r="AH845" s="20"/>
      <c r="AI845" s="20"/>
      <c r="AJ845" s="20"/>
      <c r="AK845" s="20"/>
      <c r="AL845" s="20"/>
      <c r="AM845" s="20"/>
      <c r="AN845" s="20"/>
      <c r="AO845" s="20"/>
      <c r="AP845" s="20"/>
      <c r="AQ845" s="20"/>
      <c r="AR845" s="20"/>
      <c r="AS845" s="20"/>
      <c r="AT845" s="20"/>
      <c r="AU845" s="20"/>
      <c r="AV845" s="20"/>
      <c r="AW845" s="20"/>
      <c r="AX845" s="20"/>
      <c r="AY845" s="20"/>
    </row>
    <row r="846" spans="4:51"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AA846" s="20"/>
      <c r="AB846" s="20"/>
      <c r="AC846" s="20"/>
      <c r="AD846" s="20"/>
      <c r="AE846" s="20"/>
      <c r="AF846" s="20"/>
      <c r="AG846" s="20"/>
      <c r="AH846" s="20"/>
      <c r="AI846" s="20"/>
      <c r="AJ846" s="20"/>
      <c r="AK846" s="20"/>
      <c r="AL846" s="20"/>
      <c r="AM846" s="20"/>
      <c r="AN846" s="20"/>
      <c r="AO846" s="20"/>
      <c r="AP846" s="20"/>
      <c r="AQ846" s="20"/>
      <c r="AR846" s="20"/>
      <c r="AS846" s="20"/>
      <c r="AT846" s="20"/>
      <c r="AU846" s="20"/>
      <c r="AV846" s="20"/>
      <c r="AW846" s="20"/>
      <c r="AX846" s="20"/>
      <c r="AY846" s="20"/>
    </row>
    <row r="847" spans="4:51"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  <c r="AA847" s="20"/>
      <c r="AB847" s="20"/>
      <c r="AC847" s="20"/>
      <c r="AD847" s="20"/>
      <c r="AE847" s="20"/>
      <c r="AF847" s="20"/>
      <c r="AG847" s="20"/>
      <c r="AH847" s="20"/>
      <c r="AI847" s="20"/>
      <c r="AJ847" s="20"/>
      <c r="AK847" s="20"/>
      <c r="AL847" s="20"/>
      <c r="AM847" s="20"/>
      <c r="AN847" s="20"/>
      <c r="AO847" s="20"/>
      <c r="AP847" s="20"/>
      <c r="AQ847" s="20"/>
      <c r="AR847" s="20"/>
      <c r="AS847" s="20"/>
      <c r="AT847" s="20"/>
      <c r="AU847" s="20"/>
      <c r="AV847" s="20"/>
      <c r="AW847" s="20"/>
      <c r="AX847" s="20"/>
      <c r="AY847" s="20"/>
    </row>
    <row r="848" spans="4:51"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AA848" s="20"/>
      <c r="AB848" s="20"/>
      <c r="AC848" s="20"/>
      <c r="AD848" s="20"/>
      <c r="AE848" s="20"/>
      <c r="AF848" s="20"/>
      <c r="AG848" s="20"/>
      <c r="AH848" s="20"/>
      <c r="AI848" s="20"/>
      <c r="AJ848" s="20"/>
      <c r="AK848" s="20"/>
      <c r="AL848" s="20"/>
      <c r="AM848" s="20"/>
      <c r="AN848" s="20"/>
      <c r="AO848" s="20"/>
      <c r="AP848" s="20"/>
      <c r="AQ848" s="20"/>
      <c r="AR848" s="20"/>
      <c r="AS848" s="20"/>
      <c r="AT848" s="20"/>
      <c r="AU848" s="20"/>
      <c r="AV848" s="20"/>
      <c r="AW848" s="20"/>
      <c r="AX848" s="20"/>
      <c r="AY848" s="20"/>
    </row>
    <row r="849" spans="4:51"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0"/>
      <c r="AB849" s="20"/>
      <c r="AC849" s="20"/>
      <c r="AD849" s="20"/>
      <c r="AE849" s="20"/>
      <c r="AF849" s="20"/>
      <c r="AG849" s="20"/>
      <c r="AH849" s="20"/>
      <c r="AI849" s="20"/>
      <c r="AJ849" s="20"/>
      <c r="AK849" s="20"/>
      <c r="AL849" s="20"/>
      <c r="AM849" s="20"/>
      <c r="AN849" s="20"/>
      <c r="AO849" s="20"/>
      <c r="AP849" s="20"/>
      <c r="AQ849" s="20"/>
      <c r="AR849" s="20"/>
      <c r="AS849" s="20"/>
      <c r="AT849" s="20"/>
      <c r="AU849" s="20"/>
      <c r="AV849" s="20"/>
      <c r="AW849" s="20"/>
      <c r="AX849" s="20"/>
      <c r="AY849" s="20"/>
    </row>
    <row r="850" spans="4:51"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  <c r="AA850" s="20"/>
      <c r="AB850" s="20"/>
      <c r="AC850" s="20"/>
      <c r="AD850" s="20"/>
      <c r="AE850" s="20"/>
      <c r="AF850" s="20"/>
      <c r="AG850" s="20"/>
      <c r="AH850" s="20"/>
      <c r="AI850" s="20"/>
      <c r="AJ850" s="20"/>
      <c r="AK850" s="20"/>
      <c r="AL850" s="20"/>
      <c r="AM850" s="20"/>
      <c r="AN850" s="20"/>
      <c r="AO850" s="20"/>
      <c r="AP850" s="20"/>
      <c r="AQ850" s="20"/>
      <c r="AR850" s="20"/>
      <c r="AS850" s="20"/>
      <c r="AT850" s="20"/>
      <c r="AU850" s="20"/>
      <c r="AV850" s="20"/>
      <c r="AW850" s="20"/>
      <c r="AX850" s="20"/>
      <c r="AY850" s="20"/>
    </row>
    <row r="851" spans="4:51"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  <c r="AA851" s="20"/>
      <c r="AB851" s="20"/>
      <c r="AC851" s="20"/>
      <c r="AD851" s="20"/>
      <c r="AE851" s="20"/>
      <c r="AF851" s="20"/>
      <c r="AG851" s="20"/>
      <c r="AH851" s="20"/>
      <c r="AI851" s="20"/>
      <c r="AJ851" s="20"/>
      <c r="AK851" s="20"/>
      <c r="AL851" s="20"/>
      <c r="AM851" s="20"/>
      <c r="AN851" s="20"/>
      <c r="AO851" s="20"/>
      <c r="AP851" s="20"/>
      <c r="AQ851" s="20"/>
      <c r="AR851" s="20"/>
      <c r="AS851" s="20"/>
      <c r="AT851" s="20"/>
      <c r="AU851" s="20"/>
      <c r="AV851" s="20"/>
      <c r="AW851" s="20"/>
      <c r="AX851" s="20"/>
      <c r="AY851" s="20"/>
    </row>
    <row r="852" spans="4:51"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  <c r="AA852" s="20"/>
      <c r="AB852" s="20"/>
      <c r="AC852" s="20"/>
      <c r="AD852" s="20"/>
      <c r="AE852" s="20"/>
      <c r="AF852" s="20"/>
      <c r="AG852" s="20"/>
      <c r="AH852" s="20"/>
      <c r="AI852" s="20"/>
      <c r="AJ852" s="20"/>
      <c r="AK852" s="20"/>
      <c r="AL852" s="20"/>
      <c r="AM852" s="20"/>
      <c r="AN852" s="20"/>
      <c r="AO852" s="20"/>
      <c r="AP852" s="20"/>
      <c r="AQ852" s="20"/>
      <c r="AR852" s="20"/>
      <c r="AS852" s="20"/>
      <c r="AT852" s="20"/>
      <c r="AU852" s="20"/>
      <c r="AV852" s="20"/>
      <c r="AW852" s="20"/>
      <c r="AX852" s="20"/>
      <c r="AY852" s="20"/>
    </row>
    <row r="853" spans="4:51"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AA853" s="20"/>
      <c r="AB853" s="20"/>
      <c r="AC853" s="20"/>
      <c r="AD853" s="20"/>
      <c r="AE853" s="20"/>
      <c r="AF853" s="20"/>
      <c r="AG853" s="20"/>
      <c r="AH853" s="20"/>
      <c r="AI853" s="20"/>
      <c r="AJ853" s="20"/>
      <c r="AK853" s="20"/>
      <c r="AL853" s="20"/>
      <c r="AM853" s="20"/>
      <c r="AN853" s="20"/>
      <c r="AO853" s="20"/>
      <c r="AP853" s="20"/>
      <c r="AQ853" s="20"/>
      <c r="AR853" s="20"/>
      <c r="AS853" s="20"/>
      <c r="AT853" s="20"/>
      <c r="AU853" s="20"/>
      <c r="AV853" s="20"/>
      <c r="AW853" s="20"/>
      <c r="AX853" s="20"/>
      <c r="AY853" s="20"/>
    </row>
    <row r="854" spans="4:51"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AB854" s="20"/>
      <c r="AC854" s="20"/>
      <c r="AD854" s="20"/>
      <c r="AE854" s="20"/>
      <c r="AF854" s="20"/>
      <c r="AG854" s="20"/>
      <c r="AH854" s="20"/>
      <c r="AI854" s="20"/>
      <c r="AJ854" s="20"/>
      <c r="AK854" s="20"/>
      <c r="AL854" s="20"/>
      <c r="AM854" s="20"/>
      <c r="AN854" s="20"/>
      <c r="AO854" s="20"/>
      <c r="AP854" s="20"/>
      <c r="AQ854" s="20"/>
      <c r="AR854" s="20"/>
      <c r="AS854" s="20"/>
      <c r="AT854" s="20"/>
      <c r="AU854" s="20"/>
      <c r="AV854" s="20"/>
      <c r="AW854" s="20"/>
      <c r="AX854" s="20"/>
      <c r="AY854" s="20"/>
    </row>
    <row r="855" spans="4:51"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  <c r="AB855" s="20"/>
      <c r="AC855" s="20"/>
      <c r="AD855" s="20"/>
      <c r="AE855" s="20"/>
      <c r="AF855" s="20"/>
      <c r="AG855" s="20"/>
      <c r="AH855" s="20"/>
      <c r="AI855" s="20"/>
      <c r="AJ855" s="20"/>
      <c r="AK855" s="20"/>
      <c r="AL855" s="20"/>
      <c r="AM855" s="20"/>
      <c r="AN855" s="20"/>
      <c r="AO855" s="20"/>
      <c r="AP855" s="20"/>
      <c r="AQ855" s="20"/>
      <c r="AR855" s="20"/>
      <c r="AS855" s="20"/>
      <c r="AT855" s="20"/>
      <c r="AU855" s="20"/>
      <c r="AV855" s="20"/>
      <c r="AW855" s="20"/>
      <c r="AX855" s="20"/>
      <c r="AY855" s="20"/>
    </row>
    <row r="856" spans="4:51"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AB856" s="20"/>
      <c r="AC856" s="20"/>
      <c r="AD856" s="20"/>
      <c r="AE856" s="20"/>
      <c r="AF856" s="20"/>
      <c r="AG856" s="20"/>
      <c r="AH856" s="20"/>
      <c r="AI856" s="20"/>
      <c r="AJ856" s="20"/>
      <c r="AK856" s="20"/>
      <c r="AL856" s="20"/>
      <c r="AM856" s="20"/>
      <c r="AN856" s="20"/>
      <c r="AO856" s="20"/>
      <c r="AP856" s="20"/>
      <c r="AQ856" s="20"/>
      <c r="AR856" s="20"/>
      <c r="AS856" s="20"/>
      <c r="AT856" s="20"/>
      <c r="AU856" s="20"/>
      <c r="AV856" s="20"/>
      <c r="AW856" s="20"/>
      <c r="AX856" s="20"/>
      <c r="AY856" s="20"/>
    </row>
    <row r="857" spans="4:51"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AB857" s="20"/>
      <c r="AC857" s="20"/>
      <c r="AD857" s="20"/>
      <c r="AE857" s="20"/>
      <c r="AF857" s="20"/>
      <c r="AG857" s="20"/>
      <c r="AH857" s="20"/>
      <c r="AI857" s="20"/>
      <c r="AJ857" s="20"/>
      <c r="AK857" s="20"/>
      <c r="AL857" s="20"/>
      <c r="AM857" s="20"/>
      <c r="AN857" s="20"/>
      <c r="AO857" s="20"/>
      <c r="AP857" s="20"/>
      <c r="AQ857" s="20"/>
      <c r="AR857" s="20"/>
      <c r="AS857" s="20"/>
      <c r="AT857" s="20"/>
      <c r="AU857" s="20"/>
      <c r="AV857" s="20"/>
      <c r="AW857" s="20"/>
      <c r="AX857" s="20"/>
      <c r="AY857" s="20"/>
    </row>
    <row r="858" spans="4:51"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AB858" s="20"/>
      <c r="AC858" s="20"/>
      <c r="AD858" s="20"/>
      <c r="AE858" s="20"/>
      <c r="AF858" s="20"/>
      <c r="AG858" s="20"/>
      <c r="AH858" s="20"/>
      <c r="AI858" s="20"/>
      <c r="AJ858" s="20"/>
      <c r="AK858" s="20"/>
      <c r="AL858" s="20"/>
      <c r="AM858" s="20"/>
      <c r="AN858" s="20"/>
      <c r="AO858" s="20"/>
      <c r="AP858" s="20"/>
      <c r="AQ858" s="20"/>
      <c r="AR858" s="20"/>
      <c r="AS858" s="20"/>
      <c r="AT858" s="20"/>
      <c r="AU858" s="20"/>
      <c r="AV858" s="20"/>
      <c r="AW858" s="20"/>
      <c r="AX858" s="20"/>
      <c r="AY858" s="20"/>
    </row>
    <row r="859" spans="4:51"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AD859" s="20"/>
      <c r="AE859" s="20"/>
      <c r="AF859" s="20"/>
      <c r="AG859" s="20"/>
      <c r="AH859" s="20"/>
      <c r="AI859" s="20"/>
      <c r="AJ859" s="20"/>
      <c r="AK859" s="20"/>
      <c r="AL859" s="20"/>
      <c r="AM859" s="20"/>
      <c r="AN859" s="20"/>
      <c r="AO859" s="20"/>
      <c r="AP859" s="20"/>
      <c r="AQ859" s="20"/>
      <c r="AR859" s="20"/>
      <c r="AS859" s="20"/>
      <c r="AT859" s="20"/>
      <c r="AU859" s="20"/>
      <c r="AV859" s="20"/>
      <c r="AW859" s="20"/>
      <c r="AX859" s="20"/>
      <c r="AY859" s="20"/>
    </row>
    <row r="860" spans="4:51"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  <c r="AB860" s="20"/>
      <c r="AC860" s="20"/>
      <c r="AD860" s="20"/>
      <c r="AE860" s="20"/>
      <c r="AF860" s="20"/>
      <c r="AG860" s="20"/>
      <c r="AH860" s="20"/>
      <c r="AI860" s="20"/>
      <c r="AJ860" s="20"/>
      <c r="AK860" s="20"/>
      <c r="AL860" s="20"/>
      <c r="AM860" s="20"/>
      <c r="AN860" s="20"/>
      <c r="AO860" s="20"/>
      <c r="AP860" s="20"/>
      <c r="AQ860" s="20"/>
      <c r="AR860" s="20"/>
      <c r="AS860" s="20"/>
      <c r="AT860" s="20"/>
      <c r="AU860" s="20"/>
      <c r="AV860" s="20"/>
      <c r="AW860" s="20"/>
      <c r="AX860" s="20"/>
      <c r="AY860" s="20"/>
    </row>
    <row r="861" spans="4:51"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AB861" s="20"/>
      <c r="AC861" s="20"/>
      <c r="AD861" s="20"/>
      <c r="AE861" s="20"/>
      <c r="AF861" s="20"/>
      <c r="AG861" s="20"/>
      <c r="AH861" s="20"/>
      <c r="AI861" s="20"/>
      <c r="AJ861" s="20"/>
      <c r="AK861" s="20"/>
      <c r="AL861" s="20"/>
      <c r="AM861" s="20"/>
      <c r="AN861" s="20"/>
      <c r="AO861" s="20"/>
      <c r="AP861" s="20"/>
      <c r="AQ861" s="20"/>
      <c r="AR861" s="20"/>
      <c r="AS861" s="20"/>
      <c r="AT861" s="20"/>
      <c r="AU861" s="20"/>
      <c r="AV861" s="20"/>
      <c r="AW861" s="20"/>
      <c r="AX861" s="20"/>
      <c r="AY861" s="20"/>
    </row>
    <row r="862" spans="4:51"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0"/>
      <c r="AB862" s="20"/>
      <c r="AC862" s="20"/>
      <c r="AD862" s="20"/>
      <c r="AE862" s="20"/>
      <c r="AF862" s="20"/>
      <c r="AG862" s="20"/>
      <c r="AH862" s="20"/>
      <c r="AI862" s="20"/>
      <c r="AJ862" s="20"/>
      <c r="AK862" s="20"/>
      <c r="AL862" s="20"/>
      <c r="AM862" s="20"/>
      <c r="AN862" s="20"/>
      <c r="AO862" s="20"/>
      <c r="AP862" s="20"/>
      <c r="AQ862" s="20"/>
      <c r="AR862" s="20"/>
      <c r="AS862" s="20"/>
      <c r="AT862" s="20"/>
      <c r="AU862" s="20"/>
      <c r="AV862" s="20"/>
      <c r="AW862" s="20"/>
      <c r="AX862" s="20"/>
      <c r="AY862" s="20"/>
    </row>
    <row r="863" spans="4:51"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  <c r="AB863" s="20"/>
      <c r="AC863" s="20"/>
      <c r="AD863" s="20"/>
      <c r="AE863" s="20"/>
      <c r="AF863" s="20"/>
      <c r="AG863" s="20"/>
      <c r="AH863" s="20"/>
      <c r="AI863" s="20"/>
      <c r="AJ863" s="20"/>
      <c r="AK863" s="20"/>
      <c r="AL863" s="20"/>
      <c r="AM863" s="20"/>
      <c r="AN863" s="20"/>
      <c r="AO863" s="20"/>
      <c r="AP863" s="20"/>
      <c r="AQ863" s="20"/>
      <c r="AR863" s="20"/>
      <c r="AS863" s="20"/>
      <c r="AT863" s="20"/>
      <c r="AU863" s="20"/>
      <c r="AV863" s="20"/>
      <c r="AW863" s="20"/>
      <c r="AX863" s="20"/>
      <c r="AY863" s="20"/>
    </row>
    <row r="864" spans="4:51"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AA864" s="20"/>
      <c r="AB864" s="20"/>
      <c r="AC864" s="20"/>
      <c r="AD864" s="20"/>
      <c r="AE864" s="20"/>
      <c r="AF864" s="20"/>
      <c r="AG864" s="20"/>
      <c r="AH864" s="20"/>
      <c r="AI864" s="20"/>
      <c r="AJ864" s="20"/>
      <c r="AK864" s="20"/>
      <c r="AL864" s="20"/>
      <c r="AM864" s="20"/>
      <c r="AN864" s="20"/>
      <c r="AO864" s="20"/>
      <c r="AP864" s="20"/>
      <c r="AQ864" s="20"/>
      <c r="AR864" s="20"/>
      <c r="AS864" s="20"/>
      <c r="AT864" s="20"/>
      <c r="AU864" s="20"/>
      <c r="AV864" s="20"/>
      <c r="AW864" s="20"/>
      <c r="AX864" s="20"/>
      <c r="AY864" s="20"/>
    </row>
    <row r="865" spans="4:51"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0"/>
      <c r="AB865" s="20"/>
      <c r="AC865" s="20"/>
      <c r="AD865" s="20"/>
      <c r="AE865" s="20"/>
      <c r="AF865" s="20"/>
      <c r="AG865" s="20"/>
      <c r="AH865" s="20"/>
      <c r="AI865" s="20"/>
      <c r="AJ865" s="20"/>
      <c r="AK865" s="20"/>
      <c r="AL865" s="20"/>
      <c r="AM865" s="20"/>
      <c r="AN865" s="20"/>
      <c r="AO865" s="20"/>
      <c r="AP865" s="20"/>
      <c r="AQ865" s="20"/>
      <c r="AR865" s="20"/>
      <c r="AS865" s="20"/>
      <c r="AT865" s="20"/>
      <c r="AU865" s="20"/>
      <c r="AV865" s="20"/>
      <c r="AW865" s="20"/>
      <c r="AX865" s="20"/>
      <c r="AY865" s="20"/>
    </row>
    <row r="866" spans="4:51"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  <c r="AA866" s="20"/>
      <c r="AB866" s="20"/>
      <c r="AC866" s="20"/>
      <c r="AD866" s="20"/>
      <c r="AE866" s="20"/>
      <c r="AF866" s="20"/>
      <c r="AG866" s="20"/>
      <c r="AH866" s="20"/>
      <c r="AI866" s="20"/>
      <c r="AJ866" s="20"/>
      <c r="AK866" s="20"/>
      <c r="AL866" s="20"/>
      <c r="AM866" s="20"/>
      <c r="AN866" s="20"/>
      <c r="AO866" s="20"/>
      <c r="AP866" s="20"/>
      <c r="AQ866" s="20"/>
      <c r="AR866" s="20"/>
      <c r="AS866" s="20"/>
      <c r="AT866" s="20"/>
      <c r="AU866" s="20"/>
      <c r="AV866" s="20"/>
      <c r="AW866" s="20"/>
      <c r="AX866" s="20"/>
      <c r="AY866" s="20"/>
    </row>
    <row r="867" spans="4:51"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  <c r="AA867" s="20"/>
      <c r="AB867" s="20"/>
      <c r="AC867" s="20"/>
      <c r="AD867" s="20"/>
      <c r="AE867" s="20"/>
      <c r="AF867" s="20"/>
      <c r="AG867" s="20"/>
      <c r="AH867" s="20"/>
      <c r="AI867" s="20"/>
      <c r="AJ867" s="20"/>
      <c r="AK867" s="20"/>
      <c r="AL867" s="20"/>
      <c r="AM867" s="20"/>
      <c r="AN867" s="20"/>
      <c r="AO867" s="20"/>
      <c r="AP867" s="20"/>
      <c r="AQ867" s="20"/>
      <c r="AR867" s="20"/>
      <c r="AS867" s="20"/>
      <c r="AT867" s="20"/>
      <c r="AU867" s="20"/>
      <c r="AV867" s="20"/>
      <c r="AW867" s="20"/>
      <c r="AX867" s="20"/>
      <c r="AY867" s="20"/>
    </row>
    <row r="868" spans="4:51"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  <c r="AA868" s="20"/>
      <c r="AB868" s="20"/>
      <c r="AC868" s="20"/>
      <c r="AD868" s="20"/>
      <c r="AE868" s="20"/>
      <c r="AF868" s="20"/>
      <c r="AG868" s="20"/>
      <c r="AH868" s="20"/>
      <c r="AI868" s="20"/>
      <c r="AJ868" s="20"/>
      <c r="AK868" s="20"/>
      <c r="AL868" s="20"/>
      <c r="AM868" s="20"/>
      <c r="AN868" s="20"/>
      <c r="AO868" s="20"/>
      <c r="AP868" s="20"/>
      <c r="AQ868" s="20"/>
      <c r="AR868" s="20"/>
      <c r="AS868" s="20"/>
      <c r="AT868" s="20"/>
      <c r="AU868" s="20"/>
      <c r="AV868" s="20"/>
      <c r="AW868" s="20"/>
      <c r="AX868" s="20"/>
      <c r="AY868" s="20"/>
    </row>
    <row r="869" spans="4:51"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  <c r="AA869" s="20"/>
      <c r="AB869" s="20"/>
      <c r="AC869" s="20"/>
      <c r="AD869" s="20"/>
      <c r="AE869" s="20"/>
      <c r="AF869" s="20"/>
      <c r="AG869" s="20"/>
      <c r="AH869" s="20"/>
      <c r="AI869" s="20"/>
      <c r="AJ869" s="20"/>
      <c r="AK869" s="20"/>
      <c r="AL869" s="20"/>
      <c r="AM869" s="20"/>
      <c r="AN869" s="20"/>
      <c r="AO869" s="20"/>
      <c r="AP869" s="20"/>
      <c r="AQ869" s="20"/>
      <c r="AR869" s="20"/>
      <c r="AS869" s="20"/>
      <c r="AT869" s="20"/>
      <c r="AU869" s="20"/>
      <c r="AV869" s="20"/>
      <c r="AW869" s="20"/>
      <c r="AX869" s="20"/>
      <c r="AY869" s="20"/>
    </row>
    <row r="870" spans="4:51"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  <c r="AA870" s="20"/>
      <c r="AB870" s="20"/>
      <c r="AC870" s="20"/>
      <c r="AD870" s="20"/>
      <c r="AE870" s="20"/>
      <c r="AF870" s="20"/>
      <c r="AG870" s="20"/>
      <c r="AH870" s="20"/>
      <c r="AI870" s="20"/>
      <c r="AJ870" s="20"/>
      <c r="AK870" s="20"/>
      <c r="AL870" s="20"/>
      <c r="AM870" s="20"/>
      <c r="AN870" s="20"/>
      <c r="AO870" s="20"/>
      <c r="AP870" s="20"/>
      <c r="AQ870" s="20"/>
      <c r="AR870" s="20"/>
      <c r="AS870" s="20"/>
      <c r="AT870" s="20"/>
      <c r="AU870" s="20"/>
      <c r="AV870" s="20"/>
      <c r="AW870" s="20"/>
      <c r="AX870" s="20"/>
      <c r="AY870" s="20"/>
    </row>
    <row r="871" spans="4:51"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  <c r="AA871" s="20"/>
      <c r="AB871" s="20"/>
      <c r="AC871" s="20"/>
      <c r="AD871" s="20"/>
      <c r="AE871" s="20"/>
      <c r="AF871" s="20"/>
      <c r="AG871" s="20"/>
      <c r="AH871" s="20"/>
      <c r="AI871" s="20"/>
      <c r="AJ871" s="20"/>
      <c r="AK871" s="20"/>
      <c r="AL871" s="20"/>
      <c r="AM871" s="20"/>
      <c r="AN871" s="20"/>
      <c r="AO871" s="20"/>
      <c r="AP871" s="20"/>
      <c r="AQ871" s="20"/>
      <c r="AR871" s="20"/>
      <c r="AS871" s="20"/>
      <c r="AT871" s="20"/>
      <c r="AU871" s="20"/>
      <c r="AV871" s="20"/>
      <c r="AW871" s="20"/>
      <c r="AX871" s="20"/>
      <c r="AY871" s="20"/>
    </row>
    <row r="872" spans="4:51"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0"/>
      <c r="AB872" s="20"/>
      <c r="AC872" s="20"/>
      <c r="AD872" s="20"/>
      <c r="AE872" s="20"/>
      <c r="AF872" s="20"/>
      <c r="AG872" s="20"/>
      <c r="AH872" s="20"/>
      <c r="AI872" s="20"/>
      <c r="AJ872" s="20"/>
      <c r="AK872" s="20"/>
      <c r="AL872" s="20"/>
      <c r="AM872" s="20"/>
      <c r="AN872" s="20"/>
      <c r="AO872" s="20"/>
      <c r="AP872" s="20"/>
      <c r="AQ872" s="20"/>
      <c r="AR872" s="20"/>
      <c r="AS872" s="20"/>
      <c r="AT872" s="20"/>
      <c r="AU872" s="20"/>
      <c r="AV872" s="20"/>
      <c r="AW872" s="20"/>
      <c r="AX872" s="20"/>
      <c r="AY872" s="20"/>
    </row>
    <row r="873" spans="4:51"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  <c r="AB873" s="20"/>
      <c r="AC873" s="20"/>
      <c r="AD873" s="20"/>
      <c r="AE873" s="20"/>
      <c r="AF873" s="20"/>
      <c r="AG873" s="20"/>
      <c r="AH873" s="20"/>
      <c r="AI873" s="20"/>
      <c r="AJ873" s="20"/>
      <c r="AK873" s="20"/>
      <c r="AL873" s="20"/>
      <c r="AM873" s="20"/>
      <c r="AN873" s="20"/>
      <c r="AO873" s="20"/>
      <c r="AP873" s="20"/>
      <c r="AQ873" s="20"/>
      <c r="AR873" s="20"/>
      <c r="AS873" s="20"/>
      <c r="AT873" s="20"/>
      <c r="AU873" s="20"/>
      <c r="AV873" s="20"/>
      <c r="AW873" s="20"/>
      <c r="AX873" s="20"/>
      <c r="AY873" s="20"/>
    </row>
    <row r="874" spans="4:51"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AB874" s="20"/>
      <c r="AC874" s="20"/>
      <c r="AD874" s="20"/>
      <c r="AE874" s="20"/>
      <c r="AF874" s="20"/>
      <c r="AG874" s="20"/>
      <c r="AH874" s="20"/>
      <c r="AI874" s="20"/>
      <c r="AJ874" s="20"/>
      <c r="AK874" s="20"/>
      <c r="AL874" s="20"/>
      <c r="AM874" s="20"/>
      <c r="AN874" s="20"/>
      <c r="AO874" s="20"/>
      <c r="AP874" s="20"/>
      <c r="AQ874" s="20"/>
      <c r="AR874" s="20"/>
      <c r="AS874" s="20"/>
      <c r="AT874" s="20"/>
      <c r="AU874" s="20"/>
      <c r="AV874" s="20"/>
      <c r="AW874" s="20"/>
      <c r="AX874" s="20"/>
      <c r="AY874" s="20"/>
    </row>
    <row r="875" spans="4:51"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AB875" s="20"/>
      <c r="AC875" s="20"/>
      <c r="AD875" s="20"/>
      <c r="AE875" s="20"/>
      <c r="AF875" s="20"/>
      <c r="AG875" s="20"/>
      <c r="AH875" s="20"/>
      <c r="AI875" s="20"/>
      <c r="AJ875" s="20"/>
      <c r="AK875" s="20"/>
      <c r="AL875" s="20"/>
      <c r="AM875" s="20"/>
      <c r="AN875" s="20"/>
      <c r="AO875" s="20"/>
      <c r="AP875" s="20"/>
      <c r="AQ875" s="20"/>
      <c r="AR875" s="20"/>
      <c r="AS875" s="20"/>
      <c r="AT875" s="20"/>
      <c r="AU875" s="20"/>
      <c r="AV875" s="20"/>
      <c r="AW875" s="20"/>
      <c r="AX875" s="20"/>
      <c r="AY875" s="20"/>
    </row>
    <row r="876" spans="4:51"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AD876" s="20"/>
      <c r="AE876" s="20"/>
      <c r="AF876" s="20"/>
      <c r="AG876" s="20"/>
      <c r="AH876" s="20"/>
      <c r="AI876" s="20"/>
      <c r="AJ876" s="20"/>
      <c r="AK876" s="20"/>
      <c r="AL876" s="20"/>
      <c r="AM876" s="20"/>
      <c r="AN876" s="20"/>
      <c r="AO876" s="20"/>
      <c r="AP876" s="20"/>
      <c r="AQ876" s="20"/>
      <c r="AR876" s="20"/>
      <c r="AS876" s="20"/>
      <c r="AT876" s="20"/>
      <c r="AU876" s="20"/>
      <c r="AV876" s="20"/>
      <c r="AW876" s="20"/>
      <c r="AX876" s="20"/>
      <c r="AY876" s="20"/>
    </row>
    <row r="877" spans="4:51"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AB877" s="20"/>
      <c r="AC877" s="20"/>
      <c r="AD877" s="20"/>
      <c r="AE877" s="20"/>
      <c r="AF877" s="20"/>
      <c r="AG877" s="20"/>
      <c r="AH877" s="20"/>
      <c r="AI877" s="20"/>
      <c r="AJ877" s="20"/>
      <c r="AK877" s="20"/>
      <c r="AL877" s="20"/>
      <c r="AM877" s="20"/>
      <c r="AN877" s="20"/>
      <c r="AO877" s="20"/>
      <c r="AP877" s="20"/>
      <c r="AQ877" s="20"/>
      <c r="AR877" s="20"/>
      <c r="AS877" s="20"/>
      <c r="AT877" s="20"/>
      <c r="AU877" s="20"/>
      <c r="AV877" s="20"/>
      <c r="AW877" s="20"/>
      <c r="AX877" s="20"/>
      <c r="AY877" s="20"/>
    </row>
    <row r="878" spans="4:51"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  <c r="AE878" s="20"/>
      <c r="AF878" s="20"/>
      <c r="AG878" s="20"/>
      <c r="AH878" s="20"/>
      <c r="AI878" s="20"/>
      <c r="AJ878" s="20"/>
      <c r="AK878" s="20"/>
      <c r="AL878" s="20"/>
      <c r="AM878" s="20"/>
      <c r="AN878" s="20"/>
      <c r="AO878" s="20"/>
      <c r="AP878" s="20"/>
      <c r="AQ878" s="20"/>
      <c r="AR878" s="20"/>
      <c r="AS878" s="20"/>
      <c r="AT878" s="20"/>
      <c r="AU878" s="20"/>
      <c r="AV878" s="20"/>
      <c r="AW878" s="20"/>
      <c r="AX878" s="20"/>
      <c r="AY878" s="20"/>
    </row>
    <row r="879" spans="4:51"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  <c r="AC879" s="20"/>
      <c r="AD879" s="20"/>
      <c r="AE879" s="20"/>
      <c r="AF879" s="20"/>
      <c r="AG879" s="20"/>
      <c r="AH879" s="20"/>
      <c r="AI879" s="20"/>
      <c r="AJ879" s="20"/>
      <c r="AK879" s="20"/>
      <c r="AL879" s="20"/>
      <c r="AM879" s="20"/>
      <c r="AN879" s="20"/>
      <c r="AO879" s="20"/>
      <c r="AP879" s="20"/>
      <c r="AQ879" s="20"/>
      <c r="AR879" s="20"/>
      <c r="AS879" s="20"/>
      <c r="AT879" s="20"/>
      <c r="AU879" s="20"/>
      <c r="AV879" s="20"/>
      <c r="AW879" s="20"/>
      <c r="AX879" s="20"/>
      <c r="AY879" s="20"/>
    </row>
    <row r="880" spans="4:51"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AD880" s="20"/>
      <c r="AE880" s="20"/>
      <c r="AF880" s="20"/>
      <c r="AG880" s="20"/>
      <c r="AH880" s="20"/>
      <c r="AI880" s="20"/>
      <c r="AJ880" s="20"/>
      <c r="AK880" s="20"/>
      <c r="AL880" s="20"/>
      <c r="AM880" s="20"/>
      <c r="AN880" s="20"/>
      <c r="AO880" s="20"/>
      <c r="AP880" s="20"/>
      <c r="AQ880" s="20"/>
      <c r="AR880" s="20"/>
      <c r="AS880" s="20"/>
      <c r="AT880" s="20"/>
      <c r="AU880" s="20"/>
      <c r="AV880" s="20"/>
      <c r="AW880" s="20"/>
      <c r="AX880" s="20"/>
      <c r="AY880" s="20"/>
    </row>
    <row r="881" spans="4:51"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AD881" s="20"/>
      <c r="AE881" s="20"/>
      <c r="AF881" s="20"/>
      <c r="AG881" s="20"/>
      <c r="AH881" s="20"/>
      <c r="AI881" s="20"/>
      <c r="AJ881" s="20"/>
      <c r="AK881" s="20"/>
      <c r="AL881" s="20"/>
      <c r="AM881" s="20"/>
      <c r="AN881" s="20"/>
      <c r="AO881" s="20"/>
      <c r="AP881" s="20"/>
      <c r="AQ881" s="20"/>
      <c r="AR881" s="20"/>
      <c r="AS881" s="20"/>
      <c r="AT881" s="20"/>
      <c r="AU881" s="20"/>
      <c r="AV881" s="20"/>
      <c r="AW881" s="20"/>
      <c r="AX881" s="20"/>
      <c r="AY881" s="20"/>
    </row>
    <row r="882" spans="4:51"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AA882" s="20"/>
      <c r="AB882" s="20"/>
      <c r="AC882" s="20"/>
      <c r="AD882" s="20"/>
      <c r="AE882" s="20"/>
      <c r="AF882" s="20"/>
      <c r="AG882" s="20"/>
      <c r="AH882" s="20"/>
      <c r="AI882" s="20"/>
      <c r="AJ882" s="20"/>
      <c r="AK882" s="20"/>
      <c r="AL882" s="20"/>
      <c r="AM882" s="20"/>
      <c r="AN882" s="20"/>
      <c r="AO882" s="20"/>
      <c r="AP882" s="20"/>
      <c r="AQ882" s="20"/>
      <c r="AR882" s="20"/>
      <c r="AS882" s="20"/>
      <c r="AT882" s="20"/>
      <c r="AU882" s="20"/>
      <c r="AV882" s="20"/>
      <c r="AW882" s="20"/>
      <c r="AX882" s="20"/>
      <c r="AY882" s="20"/>
    </row>
    <row r="883" spans="4:51"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  <c r="AA883" s="20"/>
      <c r="AB883" s="20"/>
      <c r="AC883" s="20"/>
      <c r="AD883" s="20"/>
      <c r="AE883" s="20"/>
      <c r="AF883" s="20"/>
      <c r="AG883" s="20"/>
      <c r="AH883" s="20"/>
      <c r="AI883" s="20"/>
      <c r="AJ883" s="20"/>
      <c r="AK883" s="20"/>
      <c r="AL883" s="20"/>
      <c r="AM883" s="20"/>
      <c r="AN883" s="20"/>
      <c r="AO883" s="20"/>
      <c r="AP883" s="20"/>
      <c r="AQ883" s="20"/>
      <c r="AR883" s="20"/>
      <c r="AS883" s="20"/>
      <c r="AT883" s="20"/>
      <c r="AU883" s="20"/>
      <c r="AV883" s="20"/>
      <c r="AW883" s="20"/>
      <c r="AX883" s="20"/>
      <c r="AY883" s="20"/>
    </row>
    <row r="884" spans="4:51"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  <c r="AA884" s="20"/>
      <c r="AB884" s="20"/>
      <c r="AC884" s="20"/>
      <c r="AD884" s="20"/>
      <c r="AE884" s="20"/>
      <c r="AF884" s="20"/>
      <c r="AG884" s="20"/>
      <c r="AH884" s="20"/>
      <c r="AI884" s="20"/>
      <c r="AJ884" s="20"/>
      <c r="AK884" s="20"/>
      <c r="AL884" s="20"/>
      <c r="AM884" s="20"/>
      <c r="AN884" s="20"/>
      <c r="AO884" s="20"/>
      <c r="AP884" s="20"/>
      <c r="AQ884" s="20"/>
      <c r="AR884" s="20"/>
      <c r="AS884" s="20"/>
      <c r="AT884" s="20"/>
      <c r="AU884" s="20"/>
      <c r="AV884" s="20"/>
      <c r="AW884" s="20"/>
      <c r="AX884" s="20"/>
      <c r="AY884" s="20"/>
    </row>
    <row r="885" spans="4:51"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0"/>
      <c r="AB885" s="20"/>
      <c r="AC885" s="20"/>
      <c r="AD885" s="20"/>
      <c r="AE885" s="20"/>
      <c r="AF885" s="20"/>
      <c r="AG885" s="20"/>
      <c r="AH885" s="20"/>
      <c r="AI885" s="20"/>
      <c r="AJ885" s="20"/>
      <c r="AK885" s="20"/>
      <c r="AL885" s="20"/>
      <c r="AM885" s="20"/>
      <c r="AN885" s="20"/>
      <c r="AO885" s="20"/>
      <c r="AP885" s="20"/>
      <c r="AQ885" s="20"/>
      <c r="AR885" s="20"/>
      <c r="AS885" s="20"/>
      <c r="AT885" s="20"/>
      <c r="AU885" s="20"/>
      <c r="AV885" s="20"/>
      <c r="AW885" s="20"/>
      <c r="AX885" s="20"/>
      <c r="AY885" s="20"/>
    </row>
    <row r="886" spans="4:51"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  <c r="AA886" s="20"/>
      <c r="AB886" s="20"/>
      <c r="AC886" s="20"/>
      <c r="AD886" s="20"/>
      <c r="AE886" s="20"/>
      <c r="AF886" s="20"/>
      <c r="AG886" s="20"/>
      <c r="AH886" s="20"/>
      <c r="AI886" s="20"/>
      <c r="AJ886" s="20"/>
      <c r="AK886" s="20"/>
      <c r="AL886" s="20"/>
      <c r="AM886" s="20"/>
      <c r="AN886" s="20"/>
      <c r="AO886" s="20"/>
      <c r="AP886" s="20"/>
      <c r="AQ886" s="20"/>
      <c r="AR886" s="20"/>
      <c r="AS886" s="20"/>
      <c r="AT886" s="20"/>
      <c r="AU886" s="20"/>
      <c r="AV886" s="20"/>
      <c r="AW886" s="20"/>
      <c r="AX886" s="20"/>
      <c r="AY886" s="20"/>
    </row>
    <row r="887" spans="4:51"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  <c r="AA887" s="20"/>
      <c r="AB887" s="20"/>
      <c r="AC887" s="20"/>
      <c r="AD887" s="20"/>
      <c r="AE887" s="20"/>
      <c r="AF887" s="20"/>
      <c r="AG887" s="20"/>
      <c r="AH887" s="20"/>
      <c r="AI887" s="20"/>
      <c r="AJ887" s="20"/>
      <c r="AK887" s="20"/>
      <c r="AL887" s="20"/>
      <c r="AM887" s="20"/>
      <c r="AN887" s="20"/>
      <c r="AO887" s="20"/>
      <c r="AP887" s="20"/>
      <c r="AQ887" s="20"/>
      <c r="AR887" s="20"/>
      <c r="AS887" s="20"/>
      <c r="AT887" s="20"/>
      <c r="AU887" s="20"/>
      <c r="AV887" s="20"/>
      <c r="AW887" s="20"/>
      <c r="AX887" s="20"/>
      <c r="AY887" s="20"/>
    </row>
  </sheetData>
  <sheetProtection sheet="1" objects="1" scenarios="1" formatCells="0" formatColumns="0" formatRows="0" sort="0" autoFilter="0" pivotTables="0"/>
  <mergeCells count="36">
    <mergeCell ref="D17:F17"/>
    <mergeCell ref="O17:P17"/>
    <mergeCell ref="Q17:X17"/>
    <mergeCell ref="J7:L7"/>
    <mergeCell ref="I8:M8"/>
    <mergeCell ref="E15:F15"/>
    <mergeCell ref="G15:H15"/>
    <mergeCell ref="I15:J15"/>
    <mergeCell ref="K15:L15"/>
    <mergeCell ref="M15:N15"/>
    <mergeCell ref="O15:P15"/>
    <mergeCell ref="Q15:R15"/>
    <mergeCell ref="S15:T15"/>
    <mergeCell ref="U15:V15"/>
    <mergeCell ref="W15:X15"/>
    <mergeCell ref="BA19:BE19"/>
    <mergeCell ref="D18:D19"/>
    <mergeCell ref="E18:F18"/>
    <mergeCell ref="G18:H18"/>
    <mergeCell ref="I18:J18"/>
    <mergeCell ref="K18:L18"/>
    <mergeCell ref="M18:N18"/>
    <mergeCell ref="O18:P18"/>
    <mergeCell ref="Q18:R18"/>
    <mergeCell ref="S18:T18"/>
    <mergeCell ref="U18:V18"/>
    <mergeCell ref="W18:X18"/>
    <mergeCell ref="DM26:DX26"/>
    <mergeCell ref="BD25:BO25"/>
    <mergeCell ref="BP25:CA25"/>
    <mergeCell ref="CC25:CN25"/>
    <mergeCell ref="CO25:CZ25"/>
    <mergeCell ref="BD26:BO26"/>
    <mergeCell ref="BP26:CA26"/>
    <mergeCell ref="CC26:CN26"/>
    <mergeCell ref="CO26:CZ26"/>
  </mergeCells>
  <printOptions horizontalCentered="1" verticalCentered="1"/>
  <pageMargins left="0" right="0" top="0" bottom="0" header="0" footer="0"/>
  <pageSetup paperSize="9" scale="10" orientation="portrait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16"/>
  <dimension ref="A1:AG153"/>
  <sheetViews>
    <sheetView workbookViewId="0">
      <selection activeCell="D17" sqref="D17:D18"/>
    </sheetView>
  </sheetViews>
  <sheetFormatPr defaultRowHeight="12.75"/>
  <cols>
    <col min="1" max="1" width="9.140625" customWidth="1"/>
    <col min="2" max="2" width="9.28515625" customWidth="1"/>
    <col min="3" max="3" width="9.85546875" customWidth="1"/>
    <col min="4" max="4" width="54.7109375" customWidth="1"/>
    <col min="5" max="12" width="10.7109375" customWidth="1"/>
    <col min="13" max="13" width="11.7109375" customWidth="1"/>
    <col min="14" max="14" width="10.7109375" customWidth="1"/>
    <col min="15" max="15" width="11.7109375" customWidth="1"/>
    <col min="16" max="16" width="11.7109375" hidden="1" customWidth="1"/>
    <col min="17" max="17" width="15.7109375" customWidth="1"/>
    <col min="19" max="19" width="12.5703125" bestFit="1" customWidth="1"/>
  </cols>
  <sheetData>
    <row r="1" spans="1:33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</row>
    <row r="2" spans="1:3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</row>
    <row r="3" spans="1:33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</row>
    <row r="4" spans="1:33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</row>
    <row r="5" spans="1:33">
      <c r="A5" s="69"/>
      <c r="B5" s="69"/>
      <c r="C5" s="69"/>
      <c r="D5" s="70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</row>
    <row r="6" spans="1:33">
      <c r="A6" s="69"/>
      <c r="B6" s="69"/>
      <c r="C6" s="69"/>
      <c r="D6" s="70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</row>
    <row r="7" spans="1:33">
      <c r="A7" s="69"/>
      <c r="B7" s="69"/>
      <c r="C7" s="69"/>
      <c r="D7" s="70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</row>
    <row r="8" spans="1:33" ht="15">
      <c r="A8" s="69"/>
      <c r="B8" s="69"/>
      <c r="C8" s="69"/>
      <c r="D8" s="70"/>
      <c r="E8" s="1152" t="str">
        <f>IF(MasterSheet!$A$1=1, MasterSheet!C5,MasterSheet!B5)</f>
        <v>CRNA GORA</v>
      </c>
      <c r="F8" s="1152"/>
      <c r="G8" s="1152"/>
      <c r="H8" s="1152"/>
      <c r="I8" s="1152"/>
      <c r="J8" s="1152"/>
      <c r="K8" s="1152"/>
      <c r="L8" s="1152"/>
      <c r="M8" s="1152"/>
      <c r="N8" s="1152"/>
      <c r="O8" s="1152"/>
      <c r="P8" s="1152"/>
      <c r="Q8" s="1152"/>
      <c r="R8" s="69"/>
      <c r="S8" s="69"/>
      <c r="T8" s="69"/>
      <c r="U8" s="69"/>
      <c r="V8" s="69"/>
      <c r="W8" s="70"/>
      <c r="X8" s="69"/>
      <c r="Y8" s="69"/>
      <c r="Z8" s="69"/>
      <c r="AA8" s="69"/>
      <c r="AB8" s="69"/>
      <c r="AC8" s="69"/>
      <c r="AD8" s="69"/>
      <c r="AE8" s="69"/>
      <c r="AF8" s="69"/>
      <c r="AG8" s="69"/>
    </row>
    <row r="9" spans="1:33" ht="15">
      <c r="A9" s="69"/>
      <c r="B9" s="69"/>
      <c r="C9" s="69"/>
      <c r="D9" s="69"/>
      <c r="E9" s="1152" t="str">
        <f>IF(MasterSheet!$A$1=1, MasterSheet!C6,MasterSheet!B6)</f>
        <v>MINISTARSTVO FINANSIJA</v>
      </c>
      <c r="F9" s="1152"/>
      <c r="G9" s="1152"/>
      <c r="H9" s="1152"/>
      <c r="I9" s="1152"/>
      <c r="J9" s="1152"/>
      <c r="K9" s="1152"/>
      <c r="L9" s="1152"/>
      <c r="M9" s="1152"/>
      <c r="N9" s="1152"/>
      <c r="O9" s="1152"/>
      <c r="P9" s="1152"/>
      <c r="Q9" s="1152"/>
      <c r="R9" s="69"/>
      <c r="S9" s="69"/>
      <c r="T9" s="69"/>
      <c r="U9" s="69"/>
      <c r="V9" s="69"/>
      <c r="W9" s="70"/>
      <c r="X9" s="69"/>
      <c r="Y9" s="69"/>
      <c r="Z9" s="69"/>
      <c r="AA9" s="69"/>
      <c r="AB9" s="69"/>
      <c r="AC9" s="69"/>
      <c r="AD9" s="69"/>
      <c r="AE9" s="69"/>
      <c r="AF9" s="69"/>
      <c r="AG9" s="69"/>
    </row>
    <row r="10" spans="1:33">
      <c r="A10" s="69"/>
      <c r="B10" s="69"/>
      <c r="C10" s="69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69"/>
      <c r="T10" s="69"/>
      <c r="U10" s="69"/>
      <c r="V10" s="69"/>
      <c r="W10" s="70"/>
      <c r="X10" s="69"/>
      <c r="Y10" s="69"/>
      <c r="Z10" s="69"/>
      <c r="AA10" s="69"/>
      <c r="AB10" s="69"/>
      <c r="AC10" s="69"/>
      <c r="AD10" s="69"/>
      <c r="AE10" s="69"/>
      <c r="AF10" s="69"/>
      <c r="AG10" s="69"/>
    </row>
    <row r="11" spans="1:33">
      <c r="A11" s="69"/>
      <c r="B11" s="69"/>
      <c r="C11" s="69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69"/>
      <c r="T11" s="69"/>
      <c r="U11" s="69"/>
      <c r="V11" s="69"/>
      <c r="W11" s="70"/>
      <c r="X11" s="69"/>
      <c r="Y11" s="69"/>
      <c r="Z11" s="69"/>
      <c r="AA11" s="69"/>
      <c r="AB11" s="69"/>
      <c r="AC11" s="69"/>
      <c r="AD11" s="69"/>
      <c r="AE11" s="69"/>
      <c r="AF11" s="69"/>
      <c r="AG11" s="69"/>
    </row>
    <row r="12" spans="1:33">
      <c r="A12" s="69"/>
      <c r="B12" s="69"/>
      <c r="C12" s="69"/>
      <c r="D12" s="213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</row>
    <row r="13" spans="1:33" ht="13.5" thickBot="1">
      <c r="A13" s="69"/>
      <c r="B13" s="69"/>
      <c r="C13" s="69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213"/>
      <c r="S13" s="70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</row>
    <row r="14" spans="1:33" ht="17.25" thickTop="1" thickBot="1">
      <c r="B14" s="413"/>
      <c r="C14" s="414"/>
      <c r="D14" s="415" t="str">
        <f>IF(MasterSheet!$A$1=1,MasterSheet!B67,MasterSheet!B66)</f>
        <v>BDP (u mil. €)</v>
      </c>
      <c r="E14" s="1169">
        <f>+'Monthly plan for 2012'!E14:Q14</f>
        <v>3517000000</v>
      </c>
      <c r="F14" s="1169"/>
      <c r="G14" s="1169"/>
      <c r="H14" s="1169"/>
      <c r="I14" s="1169"/>
      <c r="J14" s="1169"/>
      <c r="K14" s="1169"/>
      <c r="L14" s="1169"/>
      <c r="M14" s="1169"/>
      <c r="N14" s="1169"/>
      <c r="O14" s="1169"/>
      <c r="P14" s="1169"/>
      <c r="Q14" s="1170"/>
      <c r="R14" s="411"/>
      <c r="S14" s="412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</row>
    <row r="15" spans="1:33" ht="15.75" thickTop="1">
      <c r="A15" s="408"/>
      <c r="B15" s="236"/>
      <c r="C15" s="236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409"/>
      <c r="O15" s="409"/>
      <c r="P15" s="410"/>
      <c r="Q15" s="410"/>
      <c r="R15" s="410"/>
      <c r="S15" s="410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</row>
    <row r="16" spans="1:33" ht="17.25" customHeight="1" thickBot="1">
      <c r="A16" s="69"/>
      <c r="B16" s="69"/>
      <c r="C16" s="69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</row>
    <row r="17" spans="1:33" ht="17.25" customHeight="1" thickTop="1">
      <c r="A17" s="69"/>
      <c r="B17" s="69"/>
      <c r="C17" s="69"/>
      <c r="D17" s="1171" t="str">
        <f>IF(MasterSheet!$A$1=1,MasterSheet!B422,MasterSheet!B421)</f>
        <v>Izvršenje budžeta, po mjesecima</v>
      </c>
      <c r="E17" s="1173">
        <v>2012</v>
      </c>
      <c r="F17" s="1174"/>
      <c r="G17" s="1174"/>
      <c r="H17" s="1174"/>
      <c r="I17" s="1174"/>
      <c r="J17" s="1174"/>
      <c r="K17" s="1174"/>
      <c r="L17" s="1174"/>
      <c r="M17" s="1174"/>
      <c r="N17" s="1174"/>
      <c r="O17" s="1174"/>
      <c r="P17" s="1174"/>
      <c r="Q17" s="1175"/>
      <c r="R17" s="72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</row>
    <row r="18" spans="1:33" ht="15" customHeight="1" thickBot="1">
      <c r="A18" s="69"/>
      <c r="B18" s="69"/>
      <c r="C18" s="69"/>
      <c r="D18" s="1172"/>
      <c r="E18" s="362" t="str">
        <f>IF(MasterSheet!$A$1=1,MasterSheet!C336,MasterSheet!C335)</f>
        <v>Januar</v>
      </c>
      <c r="F18" s="363" t="str">
        <f>IF(MasterSheet!$A$1=1,MasterSheet!D336,MasterSheet!D335)</f>
        <v>Februar</v>
      </c>
      <c r="G18" s="363" t="str">
        <f>IF(MasterSheet!$A$1=1,MasterSheet!E336,MasterSheet!E335)</f>
        <v>Mart</v>
      </c>
      <c r="H18" s="363" t="str">
        <f>IF(MasterSheet!$A$1=1,MasterSheet!F336,MasterSheet!F335)</f>
        <v>April</v>
      </c>
      <c r="I18" s="363" t="str">
        <f>IF(MasterSheet!$A$1=1,MasterSheet!G336,MasterSheet!G335)</f>
        <v>Maj</v>
      </c>
      <c r="J18" s="363" t="str">
        <f>IF(MasterSheet!$A$1=1,MasterSheet!H336,MasterSheet!H335)</f>
        <v>Jun</v>
      </c>
      <c r="K18" s="363" t="str">
        <f>IF(MasterSheet!$A$1=1,MasterSheet!I336,MasterSheet!I335)</f>
        <v>Jul</v>
      </c>
      <c r="L18" s="364" t="str">
        <f>IF(MasterSheet!$A$1=1,MasterSheet!J336,MasterSheet!J335)</f>
        <v>Avgust</v>
      </c>
      <c r="M18" s="364" t="str">
        <f>IF(MasterSheet!$A$1=1,MasterSheet!K336,MasterSheet!K335)</f>
        <v>Septembar</v>
      </c>
      <c r="N18" s="364" t="str">
        <f>IF(MasterSheet!$A$1=1,MasterSheet!L336,MasterSheet!L335)</f>
        <v>Oktobar</v>
      </c>
      <c r="O18" s="364" t="str">
        <f>IF(MasterSheet!$A$1=1,MasterSheet!M336,MasterSheet!M335)</f>
        <v>Novembar</v>
      </c>
      <c r="P18" s="416" t="str">
        <f>IF(MasterSheet!$A$1=1,MasterSheet!N336,MasterSheet!N335)</f>
        <v>Decembar</v>
      </c>
      <c r="Q18" s="604" t="str">
        <f>+'Execution for 2013'!Q24</f>
        <v>Jan- Sep 2013</v>
      </c>
      <c r="R18" s="72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</row>
    <row r="19" spans="1:33" ht="15" customHeight="1" thickTop="1" thickBot="1">
      <c r="A19" s="69"/>
      <c r="B19" s="69"/>
      <c r="C19" s="69"/>
      <c r="D19" s="358" t="str">
        <f>IF(MasterSheet!$A$1=1,MasterSheet!C337,MasterSheet!B337)</f>
        <v>Izvorni prihodi</v>
      </c>
      <c r="E19" s="422">
        <f t="shared" ref="E19:P19" si="0">E20+E28+E33+E38+E45+E50</f>
        <v>54756357.979999989</v>
      </c>
      <c r="F19" s="422">
        <f t="shared" si="0"/>
        <v>75675730.060000002</v>
      </c>
      <c r="G19" s="422">
        <f t="shared" si="0"/>
        <v>88296245.580000013</v>
      </c>
      <c r="H19" s="422">
        <f t="shared" si="0"/>
        <v>103948239.19999999</v>
      </c>
      <c r="I19" s="422">
        <f t="shared" si="0"/>
        <v>93997829.599999994</v>
      </c>
      <c r="J19" s="422">
        <f t="shared" si="0"/>
        <v>99463336.86999999</v>
      </c>
      <c r="K19" s="422">
        <f t="shared" si="0"/>
        <v>121967418.41</v>
      </c>
      <c r="L19" s="422">
        <f t="shared" si="0"/>
        <v>125022813.07000001</v>
      </c>
      <c r="M19" s="422">
        <f t="shared" si="0"/>
        <v>116396766.78000002</v>
      </c>
      <c r="N19" s="422">
        <f t="shared" si="0"/>
        <v>0</v>
      </c>
      <c r="O19" s="422">
        <f t="shared" si="0"/>
        <v>0</v>
      </c>
      <c r="P19" s="422">
        <f t="shared" si="0"/>
        <v>0</v>
      </c>
      <c r="Q19" s="596">
        <f>SUM(E19:P19)</f>
        <v>879524737.54999995</v>
      </c>
      <c r="R19" s="565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</row>
    <row r="20" spans="1:33" ht="15" customHeight="1" thickTop="1">
      <c r="A20" s="69"/>
      <c r="B20" s="69"/>
      <c r="C20" s="69"/>
      <c r="D20" s="301" t="str">
        <f>IF(MasterSheet!$A$1=1,MasterSheet!C338,MasterSheet!B338)</f>
        <v>Porezi</v>
      </c>
      <c r="E20" s="446">
        <f t="shared" ref="E20:O20" si="1">SUM(E21:E27)</f>
        <v>38651682.139999993</v>
      </c>
      <c r="F20" s="446">
        <f t="shared" si="1"/>
        <v>43074559.129999995</v>
      </c>
      <c r="G20" s="446">
        <f t="shared" si="1"/>
        <v>53935470.890000008</v>
      </c>
      <c r="H20" s="446">
        <f t="shared" si="1"/>
        <v>70397095.139999986</v>
      </c>
      <c r="I20" s="446">
        <f t="shared" si="1"/>
        <v>59487673.050000004</v>
      </c>
      <c r="J20" s="446">
        <f t="shared" si="1"/>
        <v>61991252.850000001</v>
      </c>
      <c r="K20" s="446">
        <f t="shared" si="1"/>
        <v>78155438.859999985</v>
      </c>
      <c r="L20" s="446">
        <f t="shared" si="1"/>
        <v>82426236.730000004</v>
      </c>
      <c r="M20" s="446">
        <f t="shared" si="1"/>
        <v>71970399.340000018</v>
      </c>
      <c r="N20" s="446">
        <f t="shared" si="1"/>
        <v>0</v>
      </c>
      <c r="O20" s="446">
        <f t="shared" si="1"/>
        <v>0</v>
      </c>
      <c r="P20" s="586">
        <f t="shared" ref="P20" si="2">SUM(P21:P27)</f>
        <v>0</v>
      </c>
      <c r="Q20" s="597">
        <f t="shared" ref="Q20:Q81" si="3">SUM(E20:P20)</f>
        <v>560089808.13</v>
      </c>
      <c r="R20" s="72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</row>
    <row r="21" spans="1:33" ht="15" customHeight="1">
      <c r="A21" s="69"/>
      <c r="B21" s="69"/>
      <c r="C21" s="69"/>
      <c r="D21" s="302" t="str">
        <f>IF(MasterSheet!$A$1=1,MasterSheet!C339,MasterSheet!B339)</f>
        <v>Porez na dohodak fizičkih lica</v>
      </c>
      <c r="E21" s="354">
        <f>+'Execution for 2013'!E27</f>
        <v>2526434.27</v>
      </c>
      <c r="F21" s="355">
        <f>+'Execution for 2013'!F27</f>
        <v>6576693.6500000004</v>
      </c>
      <c r="G21" s="355">
        <f>+'Execution for 2013'!G27</f>
        <v>6649607.6900000004</v>
      </c>
      <c r="H21" s="355">
        <f>+'Execution for 2013'!H27</f>
        <v>6878624.96</v>
      </c>
      <c r="I21" s="355">
        <f>+'Execution for 2013'!I27</f>
        <v>7715762.9900000002</v>
      </c>
      <c r="J21" s="355">
        <f>+'Execution for 2013'!J27</f>
        <v>6905575.8099999996</v>
      </c>
      <c r="K21" s="355">
        <f>+'Execution for 2013'!K27</f>
        <v>7544499.1699999999</v>
      </c>
      <c r="L21" s="356">
        <f>+'Execution for 2013'!L27</f>
        <v>8683203.9299999997</v>
      </c>
      <c r="M21" s="356">
        <f>+'Execution for 2013'!M27</f>
        <v>9021711.1099999994</v>
      </c>
      <c r="N21" s="356">
        <f>+'Execution for 2013'!N27</f>
        <v>0</v>
      </c>
      <c r="O21" s="356">
        <f>+'Execution for 2013'!O27</f>
        <v>0</v>
      </c>
      <c r="P21" s="587"/>
      <c r="Q21" s="598">
        <f t="shared" si="3"/>
        <v>62502113.580000006</v>
      </c>
      <c r="R21" s="72"/>
      <c r="S21" s="532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</row>
    <row r="22" spans="1:33" ht="15" customHeight="1">
      <c r="A22" s="69"/>
      <c r="B22" s="69"/>
      <c r="C22" s="69"/>
      <c r="D22" s="302" t="str">
        <f>IF(MasterSheet!$A$1=1,MasterSheet!C340,MasterSheet!B340)</f>
        <v>Porez na dobit pravnih lica</v>
      </c>
      <c r="E22" s="354">
        <f>+'Execution for 2013'!E28</f>
        <v>496276.24</v>
      </c>
      <c r="F22" s="355">
        <f>+'Execution for 2013'!F28</f>
        <v>1055200.6000000001</v>
      </c>
      <c r="G22" s="355">
        <f>+'Execution for 2013'!G28</f>
        <v>5089275.75</v>
      </c>
      <c r="H22" s="355">
        <f>+'Execution for 2013'!H28</f>
        <v>14799003.470000001</v>
      </c>
      <c r="I22" s="355">
        <f>+'Execution for 2013'!I28</f>
        <v>3059202.23</v>
      </c>
      <c r="J22" s="355">
        <f>+'Execution for 2013'!J28</f>
        <v>3636920.85</v>
      </c>
      <c r="K22" s="355">
        <f>+'Execution for 2013'!K28</f>
        <v>3866755.9</v>
      </c>
      <c r="L22" s="356">
        <f>+'Execution for 2013'!L28</f>
        <v>2838435.42</v>
      </c>
      <c r="M22" s="356">
        <f>+'Execution for 2013'!M28</f>
        <v>2334594.66</v>
      </c>
      <c r="N22" s="356">
        <f>+'Execution for 2013'!N28</f>
        <v>0</v>
      </c>
      <c r="O22" s="356">
        <f>+'Execution for 2013'!O28</f>
        <v>0</v>
      </c>
      <c r="P22" s="587"/>
      <c r="Q22" s="598">
        <f t="shared" si="3"/>
        <v>37175665.120000005</v>
      </c>
      <c r="R22" s="72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</row>
    <row r="23" spans="1:33" ht="15" customHeight="1">
      <c r="A23" s="69"/>
      <c r="B23" s="69"/>
      <c r="C23" s="69"/>
      <c r="D23" s="302" t="str">
        <f>IF(MasterSheet!$A$1=1,MasterSheet!C341,MasterSheet!B341)</f>
        <v>Porez na imovinu</v>
      </c>
      <c r="E23" s="354">
        <f>+'Execution for 2013'!E29</f>
        <v>115652.5</v>
      </c>
      <c r="F23" s="355">
        <f>+'Execution for 2013'!F29</f>
        <v>124226.81</v>
      </c>
      <c r="G23" s="355">
        <f>+'Execution for 2013'!G29</f>
        <v>132357.70000000001</v>
      </c>
      <c r="H23" s="355">
        <f>+'Execution for 2013'!H29</f>
        <v>115457.95</v>
      </c>
      <c r="I23" s="355">
        <f>+'Execution for 2013'!I29</f>
        <v>67705.259999999995</v>
      </c>
      <c r="J23" s="355">
        <f>+'Execution for 2013'!J29</f>
        <v>72081.91</v>
      </c>
      <c r="K23" s="355">
        <f>+'Execution for 2013'!K29</f>
        <v>126831.7</v>
      </c>
      <c r="L23" s="356">
        <f>+'Execution for 2013'!L29</f>
        <v>162557.79</v>
      </c>
      <c r="M23" s="356">
        <f>+'Execution for 2013'!M29</f>
        <v>100652.07</v>
      </c>
      <c r="N23" s="356">
        <f>+'Execution for 2013'!N29</f>
        <v>0</v>
      </c>
      <c r="O23" s="356">
        <f>+'Execution for 2013'!O29</f>
        <v>0</v>
      </c>
      <c r="P23" s="587"/>
      <c r="Q23" s="598">
        <f t="shared" si="3"/>
        <v>1017523.69</v>
      </c>
      <c r="R23" s="72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</row>
    <row r="24" spans="1:33" ht="15" customHeight="1">
      <c r="A24" s="69"/>
      <c r="B24" s="69"/>
      <c r="C24" s="69"/>
      <c r="D24" s="302" t="str">
        <f>IF(MasterSheet!$A$1=1,MasterSheet!C342,MasterSheet!B342)</f>
        <v>Porez na dodatu vrijednost</v>
      </c>
      <c r="E24" s="354">
        <f>+'Execution for 2013'!E30</f>
        <v>24859352.079999998</v>
      </c>
      <c r="F24" s="355">
        <f>+'Execution for 2013'!F30</f>
        <v>24747849.059999999</v>
      </c>
      <c r="G24" s="355">
        <f>+'Execution for 2013'!G30</f>
        <v>29494568</v>
      </c>
      <c r="H24" s="355">
        <f>+'Execution for 2013'!H30</f>
        <v>33764031.280000001</v>
      </c>
      <c r="I24" s="355">
        <f>+'Execution for 2013'!I30</f>
        <v>34164912.100000001</v>
      </c>
      <c r="J24" s="355">
        <f>+'Execution for 2013'!J30</f>
        <v>35865076.689999998</v>
      </c>
      <c r="K24" s="355">
        <f>+'Execution for 2013'!K30</f>
        <v>47181978.859999999</v>
      </c>
      <c r="L24" s="356">
        <f>+'Execution for 2013'!L30</f>
        <v>47065903.329999998</v>
      </c>
      <c r="M24" s="356">
        <f>+'Execution for 2013'!M30</f>
        <v>40694228.75</v>
      </c>
      <c r="N24" s="356">
        <f>+'Execution for 2013'!N30</f>
        <v>0</v>
      </c>
      <c r="O24" s="356">
        <f>+'Execution for 2013'!O30</f>
        <v>0</v>
      </c>
      <c r="P24" s="587"/>
      <c r="Q24" s="598">
        <f t="shared" si="3"/>
        <v>317837900.14999998</v>
      </c>
      <c r="R24" s="72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</row>
    <row r="25" spans="1:33" ht="15" customHeight="1">
      <c r="A25" s="69"/>
      <c r="B25" s="69"/>
      <c r="C25" s="69"/>
      <c r="D25" s="302" t="str">
        <f>IF(MasterSheet!$A$1=1,MasterSheet!C343,MasterSheet!B343)</f>
        <v xml:space="preserve">Akcize </v>
      </c>
      <c r="E25" s="354">
        <f>+'Execution for 2013'!E31</f>
        <v>9255849.1899999995</v>
      </c>
      <c r="F25" s="355">
        <f>+'Execution for 2013'!F31</f>
        <v>8985711.9700000007</v>
      </c>
      <c r="G25" s="355">
        <f>+'Execution for 2013'!G31</f>
        <v>10357645.699999999</v>
      </c>
      <c r="H25" s="355">
        <f>+'Execution for 2013'!H31</f>
        <v>12315837.07</v>
      </c>
      <c r="I25" s="355">
        <f>+'Execution for 2013'!I31</f>
        <v>12029998.560000001</v>
      </c>
      <c r="J25" s="355">
        <f>+'Execution for 2013'!J31</f>
        <v>13029212.49</v>
      </c>
      <c r="K25" s="355">
        <f>+'Execution for 2013'!K31</f>
        <v>16425719.380000001</v>
      </c>
      <c r="L25" s="356">
        <f>+'Execution for 2013'!L31</f>
        <v>20976976.140000001</v>
      </c>
      <c r="M25" s="356">
        <f>+'Execution for 2013'!M31</f>
        <v>17250832.809999999</v>
      </c>
      <c r="N25" s="356">
        <f>+'Execution for 2013'!N31</f>
        <v>0</v>
      </c>
      <c r="O25" s="356">
        <f>+'Execution for 2013'!O31</f>
        <v>0</v>
      </c>
      <c r="P25" s="587"/>
      <c r="Q25" s="598">
        <f t="shared" si="3"/>
        <v>120627783.31</v>
      </c>
      <c r="R25" s="72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</row>
    <row r="26" spans="1:33" ht="15" customHeight="1">
      <c r="A26" s="69"/>
      <c r="B26" s="69"/>
      <c r="C26" s="69"/>
      <c r="D26" s="302" t="str">
        <f>IF(MasterSheet!$A$1=1,MasterSheet!C344,MasterSheet!B344)</f>
        <v>Porez na međ. trgov. i transakcije</v>
      </c>
      <c r="E26" s="354">
        <f>+'Execution for 2013'!E32</f>
        <v>1102894.92</v>
      </c>
      <c r="F26" s="355">
        <f>+'Execution for 2013'!F32</f>
        <v>1314712.1299999999</v>
      </c>
      <c r="G26" s="355">
        <f>+'Execution for 2013'!G32</f>
        <v>1860387.34</v>
      </c>
      <c r="H26" s="355">
        <f>+'Execution for 2013'!H32</f>
        <v>2089824.5</v>
      </c>
      <c r="I26" s="355">
        <f>+'Execution for 2013'!I32</f>
        <v>1988387.88</v>
      </c>
      <c r="J26" s="355">
        <f>+'Execution for 2013'!J32</f>
        <v>1996988.03</v>
      </c>
      <c r="K26" s="355">
        <f>+'Execution for 2013'!K32</f>
        <v>2464457.46</v>
      </c>
      <c r="L26" s="356">
        <f>+'Execution for 2013'!L32</f>
        <v>2205770.9</v>
      </c>
      <c r="M26" s="356">
        <f>+'Execution for 2013'!M32</f>
        <v>2039547.65</v>
      </c>
      <c r="N26" s="356">
        <f>+'Execution for 2013'!N32</f>
        <v>0</v>
      </c>
      <c r="O26" s="356">
        <f>+'Execution for 2013'!O32</f>
        <v>0</v>
      </c>
      <c r="P26" s="587"/>
      <c r="Q26" s="598">
        <f t="shared" si="3"/>
        <v>17062970.809999999</v>
      </c>
      <c r="R26" s="72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</row>
    <row r="27" spans="1:33" ht="15" customHeight="1">
      <c r="B27" s="69"/>
      <c r="C27" s="69"/>
      <c r="D27" s="302" t="str">
        <f>IF(MasterSheet!$A$1=1,MasterSheet!C345,MasterSheet!B345)</f>
        <v>Ostali republički porezi</v>
      </c>
      <c r="E27" s="354">
        <f>+'Execution for 2013'!E33</f>
        <v>295222.94</v>
      </c>
      <c r="F27" s="355">
        <f>+'Execution for 2013'!F33</f>
        <v>270164.90999999997</v>
      </c>
      <c r="G27" s="355">
        <f>+'Execution for 2013'!G33</f>
        <v>351628.71</v>
      </c>
      <c r="H27" s="355">
        <f>+'Execution for 2013'!H33</f>
        <v>434315.91</v>
      </c>
      <c r="I27" s="355">
        <f>+'Execution for 2013'!I33</f>
        <v>461704.03</v>
      </c>
      <c r="J27" s="355">
        <f>+'Execution for 2013'!J33</f>
        <v>485397.07</v>
      </c>
      <c r="K27" s="355">
        <f>+'Execution for 2013'!K33</f>
        <v>545196.39</v>
      </c>
      <c r="L27" s="356">
        <f>+'Execution for 2013'!L33</f>
        <v>493389.22</v>
      </c>
      <c r="M27" s="356">
        <f>+'Execution for 2013'!M33</f>
        <v>528832.29</v>
      </c>
      <c r="N27" s="356">
        <f>+'Execution for 2013'!N33</f>
        <v>0</v>
      </c>
      <c r="O27" s="356">
        <f>+'Execution for 2013'!O33</f>
        <v>0</v>
      </c>
      <c r="P27" s="587"/>
      <c r="Q27" s="598">
        <f t="shared" si="3"/>
        <v>3865851.4699999997</v>
      </c>
      <c r="R27" s="72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</row>
    <row r="28" spans="1:33" ht="15" customHeight="1">
      <c r="A28" s="69"/>
      <c r="C28" s="69"/>
      <c r="D28" s="303" t="str">
        <f>IF(MasterSheet!$A$1=1,MasterSheet!C346,MasterSheet!B346)</f>
        <v>Doprinosi</v>
      </c>
      <c r="E28" s="350">
        <f t="shared" ref="E28:O28" si="4">SUM(E29:E32)</f>
        <v>11682979.650000002</v>
      </c>
      <c r="F28" s="350">
        <f t="shared" si="4"/>
        <v>27994298.860000003</v>
      </c>
      <c r="G28" s="350">
        <f t="shared" si="4"/>
        <v>28945916.93</v>
      </c>
      <c r="H28" s="350">
        <f t="shared" si="4"/>
        <v>27280628.250000004</v>
      </c>
      <c r="I28" s="350">
        <f t="shared" si="4"/>
        <v>28636828.640000001</v>
      </c>
      <c r="J28" s="350">
        <f t="shared" si="4"/>
        <v>32181705.779999997</v>
      </c>
      <c r="K28" s="350">
        <f t="shared" si="4"/>
        <v>33084499.869999997</v>
      </c>
      <c r="L28" s="350">
        <f t="shared" si="4"/>
        <v>36125435.899999999</v>
      </c>
      <c r="M28" s="350">
        <f t="shared" si="4"/>
        <v>38355351.649999999</v>
      </c>
      <c r="N28" s="350">
        <f t="shared" si="4"/>
        <v>0</v>
      </c>
      <c r="O28" s="350">
        <f t="shared" si="4"/>
        <v>0</v>
      </c>
      <c r="P28" s="586">
        <f t="shared" ref="P28" si="5">SUM(P29:P32)</f>
        <v>0</v>
      </c>
      <c r="Q28" s="597">
        <f t="shared" si="3"/>
        <v>264287645.53</v>
      </c>
      <c r="R28" s="72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</row>
    <row r="29" spans="1:33" ht="15" customHeight="1">
      <c r="A29" s="69"/>
      <c r="B29" s="69"/>
      <c r="C29" s="69"/>
      <c r="D29" s="302" t="str">
        <f>IF(MasterSheet!$A$1=1,MasterSheet!C347,MasterSheet!B347)</f>
        <v>Doprinosi za PIO</v>
      </c>
      <c r="E29" s="354">
        <f>+'Execution for 2013'!E35</f>
        <v>6569958.79</v>
      </c>
      <c r="F29" s="355">
        <f>+'Execution for 2013'!F35</f>
        <v>16611196.84</v>
      </c>
      <c r="G29" s="355">
        <f>+'Execution for 2013'!G35</f>
        <v>17067697.949999999</v>
      </c>
      <c r="H29" s="355">
        <f>+'Execution for 2013'!H35</f>
        <v>16395294.609999999</v>
      </c>
      <c r="I29" s="355">
        <f>+'Execution for 2013'!I35</f>
        <v>17202945.739999998</v>
      </c>
      <c r="J29" s="355">
        <f>+'Execution for 2013'!J35</f>
        <v>19884670.050000001</v>
      </c>
      <c r="K29" s="355">
        <f>+'Execution for 2013'!K35</f>
        <v>20554627.07</v>
      </c>
      <c r="L29" s="356">
        <f>+'Execution for 2013'!L35</f>
        <v>21794241.239999998</v>
      </c>
      <c r="M29" s="356">
        <f>+'Execution for 2013'!M35</f>
        <v>24404439.25</v>
      </c>
      <c r="N29" s="356">
        <f>+'Execution for 2013'!N35</f>
        <v>0</v>
      </c>
      <c r="O29" s="356">
        <f>+'Execution for 2013'!O35</f>
        <v>0</v>
      </c>
      <c r="P29" s="587"/>
      <c r="Q29" s="598">
        <f>SUM(E29:P29)</f>
        <v>160485071.53999999</v>
      </c>
      <c r="R29" s="72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</row>
    <row r="30" spans="1:33" ht="15" customHeight="1">
      <c r="A30" s="69"/>
      <c r="B30" s="69"/>
      <c r="C30" s="69"/>
      <c r="D30" s="302" t="str">
        <f>IF(MasterSheet!$A$1=1,MasterSheet!C348,MasterSheet!B348)</f>
        <v>Doprinosi za zdravstvo</v>
      </c>
      <c r="E30" s="354">
        <f>+'Execution for 2013'!E36</f>
        <v>4448210.58</v>
      </c>
      <c r="F30" s="355">
        <f>+'Execution for 2013'!F36</f>
        <v>9815385.6500000004</v>
      </c>
      <c r="G30" s="355">
        <f>+'Execution for 2013'!G36</f>
        <v>10258473.91</v>
      </c>
      <c r="H30" s="355">
        <f>+'Execution for 2013'!H36</f>
        <v>9269268.3100000005</v>
      </c>
      <c r="I30" s="355">
        <f>+'Execution for 2013'!I36</f>
        <v>9910929.3900000006</v>
      </c>
      <c r="J30" s="355">
        <f>+'Execution for 2013'!J36</f>
        <v>10350588.92</v>
      </c>
      <c r="K30" s="355">
        <f>+'Execution for 2013'!K36</f>
        <v>10616032.939999999</v>
      </c>
      <c r="L30" s="356">
        <f>+'Execution for 2013'!L36</f>
        <v>12357023.08</v>
      </c>
      <c r="M30" s="356">
        <f>+'Execution for 2013'!M36</f>
        <v>12078523.4</v>
      </c>
      <c r="N30" s="356">
        <f>+'Execution for 2013'!N36</f>
        <v>0</v>
      </c>
      <c r="O30" s="356">
        <f>+'Execution for 2013'!O36</f>
        <v>0</v>
      </c>
      <c r="P30" s="587"/>
      <c r="Q30" s="598">
        <f t="shared" si="3"/>
        <v>89104436.180000007</v>
      </c>
      <c r="R30" s="72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</row>
    <row r="31" spans="1:33" ht="15" customHeight="1">
      <c r="A31" s="69"/>
      <c r="B31" s="69"/>
      <c r="C31" s="69"/>
      <c r="D31" s="302" t="str">
        <f>IF(MasterSheet!$A$1=1,MasterSheet!C349,MasterSheet!B349)</f>
        <v>Doprinosi za nezaposlene</v>
      </c>
      <c r="E31" s="354">
        <f>+'Execution for 2013'!E37</f>
        <v>320175.14</v>
      </c>
      <c r="F31" s="355">
        <f>+'Execution for 2013'!F37</f>
        <v>855409.48</v>
      </c>
      <c r="G31" s="355">
        <f>+'Execution for 2013'!G37</f>
        <v>794755.32</v>
      </c>
      <c r="H31" s="355">
        <f>+'Execution for 2013'!H37</f>
        <v>736973.07</v>
      </c>
      <c r="I31" s="355">
        <f>+'Execution for 2013'!I37</f>
        <v>797748.44</v>
      </c>
      <c r="J31" s="355">
        <f>+'Execution for 2013'!J37</f>
        <v>812695.59</v>
      </c>
      <c r="K31" s="355">
        <f>+'Execution for 2013'!K37</f>
        <v>832467.98</v>
      </c>
      <c r="L31" s="356">
        <f>+'Execution for 2013'!L37</f>
        <v>1001294.75</v>
      </c>
      <c r="M31" s="356">
        <f>+'Execution for 2013'!M37</f>
        <v>974818.93</v>
      </c>
      <c r="N31" s="356">
        <f>+'Execution for 2013'!N37</f>
        <v>0</v>
      </c>
      <c r="O31" s="356">
        <f>+'Execution for 2013'!O37</f>
        <v>0</v>
      </c>
      <c r="P31" s="587"/>
      <c r="Q31" s="598">
        <f>SUM(E31:P31)</f>
        <v>7126338.6999999993</v>
      </c>
      <c r="R31" s="72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</row>
    <row r="32" spans="1:33" ht="15" customHeight="1">
      <c r="A32" s="69"/>
      <c r="B32" s="69"/>
      <c r="C32" s="69"/>
      <c r="D32" s="302" t="str">
        <f>IF(MasterSheet!$A$1=1,MasterSheet!C350,MasterSheet!B350)</f>
        <v>Ostali doprinosi</v>
      </c>
      <c r="E32" s="354">
        <f>+'Execution for 2013'!E38</f>
        <v>344635.14</v>
      </c>
      <c r="F32" s="355">
        <f>+'Execution for 2013'!F38</f>
        <v>712306.89</v>
      </c>
      <c r="G32" s="355">
        <f>+'Execution for 2013'!G38</f>
        <v>824989.75</v>
      </c>
      <c r="H32" s="355">
        <f>+'Execution for 2013'!H38</f>
        <v>879092.26</v>
      </c>
      <c r="I32" s="355">
        <f>+'Execution for 2013'!I38</f>
        <v>725205.07</v>
      </c>
      <c r="J32" s="355">
        <f>+'Execution for 2013'!J38</f>
        <v>1133751.22</v>
      </c>
      <c r="K32" s="355">
        <f>+'Execution for 2013'!K38</f>
        <v>1081371.8799999999</v>
      </c>
      <c r="L32" s="356">
        <f>+'Execution for 2013'!L38</f>
        <v>972876.83</v>
      </c>
      <c r="M32" s="356">
        <f>+'Execution for 2013'!M38</f>
        <v>897570.07</v>
      </c>
      <c r="N32" s="356">
        <f>+'Execution for 2013'!N38</f>
        <v>0</v>
      </c>
      <c r="O32" s="356">
        <f>+'Execution for 2013'!O38</f>
        <v>0</v>
      </c>
      <c r="P32" s="587"/>
      <c r="Q32" s="598">
        <f t="shared" si="3"/>
        <v>7571799.1100000003</v>
      </c>
      <c r="R32" s="72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</row>
    <row r="33" spans="1:33" ht="15" customHeight="1">
      <c r="A33" s="69"/>
      <c r="B33" s="69"/>
      <c r="C33" s="69"/>
      <c r="D33" s="303" t="str">
        <f>IF(MasterSheet!$A$1=1,MasterSheet!C351,MasterSheet!B351)</f>
        <v>Takse</v>
      </c>
      <c r="E33" s="350">
        <f t="shared" ref="E33:O33" si="6">SUM(E34:E37)</f>
        <v>1080928.04</v>
      </c>
      <c r="F33" s="350">
        <f t="shared" si="6"/>
        <v>1829225.49</v>
      </c>
      <c r="G33" s="350">
        <f t="shared" si="6"/>
        <v>2131564.3200000003</v>
      </c>
      <c r="H33" s="350">
        <f t="shared" si="6"/>
        <v>2230267.9299999997</v>
      </c>
      <c r="I33" s="350">
        <f t="shared" si="6"/>
        <v>2071940.67</v>
      </c>
      <c r="J33" s="350">
        <f t="shared" si="6"/>
        <v>1957907.6099999999</v>
      </c>
      <c r="K33" s="350">
        <f t="shared" si="6"/>
        <v>2791601.84</v>
      </c>
      <c r="L33" s="350">
        <f t="shared" si="6"/>
        <v>2261452.54</v>
      </c>
      <c r="M33" s="350">
        <f t="shared" si="6"/>
        <v>1703660.69</v>
      </c>
      <c r="N33" s="350">
        <f t="shared" si="6"/>
        <v>0</v>
      </c>
      <c r="O33" s="350">
        <f t="shared" si="6"/>
        <v>0</v>
      </c>
      <c r="P33" s="586">
        <f t="shared" ref="P33" si="7">SUM(P34:P37)</f>
        <v>0</v>
      </c>
      <c r="Q33" s="597">
        <f t="shared" si="3"/>
        <v>18058549.129999999</v>
      </c>
      <c r="R33" s="72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</row>
    <row r="34" spans="1:33" ht="15" customHeight="1">
      <c r="A34" s="69"/>
      <c r="B34" s="69"/>
      <c r="C34" s="69"/>
      <c r="D34" s="302" t="str">
        <f>IF(MasterSheet!$A$1=1,MasterSheet!C352,MasterSheet!B352)</f>
        <v>Administrativne takse</v>
      </c>
      <c r="E34" s="354">
        <f>+'Execution for 2013'!E40</f>
        <v>459792.77</v>
      </c>
      <c r="F34" s="355">
        <f>+'Execution for 2013'!F40</f>
        <v>500772.32</v>
      </c>
      <c r="G34" s="355">
        <f>+'Execution for 2013'!G40</f>
        <v>416213.56</v>
      </c>
      <c r="H34" s="355">
        <f>+'Execution for 2013'!H40</f>
        <v>800629.84</v>
      </c>
      <c r="I34" s="355">
        <f>+'Execution for 2013'!I40</f>
        <v>741038.8</v>
      </c>
      <c r="J34" s="355">
        <f>+'Execution for 2013'!J40</f>
        <v>768918.82</v>
      </c>
      <c r="K34" s="355">
        <f>+'Execution for 2013'!K40</f>
        <v>817787.48</v>
      </c>
      <c r="L34" s="356">
        <f>+'Execution for 2013'!L40</f>
        <v>653256.11</v>
      </c>
      <c r="M34" s="356">
        <f>+'Execution for 2013'!M40</f>
        <v>649765.01</v>
      </c>
      <c r="N34" s="356">
        <f>+'Execution for 2013'!N40</f>
        <v>0</v>
      </c>
      <c r="O34" s="356">
        <f>+'Execution for 2013'!O40</f>
        <v>0</v>
      </c>
      <c r="P34" s="587"/>
      <c r="Q34" s="598">
        <f t="shared" si="3"/>
        <v>5808174.71</v>
      </c>
      <c r="R34" s="72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</row>
    <row r="35" spans="1:33" ht="15" customHeight="1">
      <c r="A35" s="69"/>
      <c r="B35" s="69"/>
      <c r="C35" s="69"/>
      <c r="D35" s="302" t="str">
        <f>IF(MasterSheet!$A$1=1,MasterSheet!C353,MasterSheet!B353)</f>
        <v>Sudske takse</v>
      </c>
      <c r="E35" s="354">
        <f>+'Execution for 2013'!E41</f>
        <v>249117.52</v>
      </c>
      <c r="F35" s="355">
        <f>+'Execution for 2013'!F41</f>
        <v>274019.34999999998</v>
      </c>
      <c r="G35" s="355">
        <f>+'Execution for 2013'!G41</f>
        <v>324113.08</v>
      </c>
      <c r="H35" s="355">
        <f>+'Execution for 2013'!H41</f>
        <v>340962.4</v>
      </c>
      <c r="I35" s="355">
        <f>+'Execution for 2013'!I41</f>
        <v>236053.6</v>
      </c>
      <c r="J35" s="355">
        <f>+'Execution for 2013'!J41</f>
        <v>329926.8</v>
      </c>
      <c r="K35" s="355">
        <f>+'Execution for 2013'!K41</f>
        <v>394971.79</v>
      </c>
      <c r="L35" s="356">
        <f>+'Execution for 2013'!L41</f>
        <v>193627.12</v>
      </c>
      <c r="M35" s="356">
        <f>+'Execution for 2013'!M41</f>
        <v>283408.96999999997</v>
      </c>
      <c r="N35" s="356">
        <f>+'Execution for 2013'!N41</f>
        <v>0</v>
      </c>
      <c r="O35" s="356">
        <f>+'Execution for 2013'!O41</f>
        <v>0</v>
      </c>
      <c r="P35" s="587"/>
      <c r="Q35" s="598">
        <f t="shared" si="3"/>
        <v>2626200.63</v>
      </c>
      <c r="R35" s="72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</row>
    <row r="36" spans="1:33" ht="15" customHeight="1">
      <c r="A36" s="69"/>
      <c r="B36" s="69"/>
      <c r="C36" s="69"/>
      <c r="D36" s="302" t="str">
        <f>IF(MasterSheet!$A$1=1,MasterSheet!C354,MasterSheet!B354)</f>
        <v>Boravišne takse</v>
      </c>
      <c r="E36" s="354">
        <f>+'Execution for 2013'!E42</f>
        <v>7635.04</v>
      </c>
      <c r="F36" s="355">
        <f>+'Execution for 2013'!F42</f>
        <v>9839.27</v>
      </c>
      <c r="G36" s="355">
        <f>+'Execution for 2013'!G42</f>
        <v>13749.62</v>
      </c>
      <c r="H36" s="355">
        <f>+'Execution for 2013'!H42</f>
        <v>30237.24</v>
      </c>
      <c r="I36" s="355">
        <f>+'Execution for 2013'!I42</f>
        <v>51941.32</v>
      </c>
      <c r="J36" s="355">
        <f>+'Execution for 2013'!J42</f>
        <v>88623.71</v>
      </c>
      <c r="K36" s="355">
        <f>+'Execution for 2013'!K42</f>
        <v>163284.24</v>
      </c>
      <c r="L36" s="356">
        <f>+'Execution for 2013'!L42</f>
        <v>197232.93</v>
      </c>
      <c r="M36" s="356">
        <f>+'Execution for 2013'!M42</f>
        <v>111463.85</v>
      </c>
      <c r="N36" s="356">
        <f>+'Execution for 2013'!N42</f>
        <v>0</v>
      </c>
      <c r="O36" s="356">
        <f>+'Execution for 2013'!O42</f>
        <v>0</v>
      </c>
      <c r="P36" s="587"/>
      <c r="Q36" s="598">
        <f t="shared" si="3"/>
        <v>674007.22</v>
      </c>
      <c r="R36" s="72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</row>
    <row r="37" spans="1:33" ht="15" customHeight="1">
      <c r="A37" s="69"/>
      <c r="B37" s="69"/>
      <c r="C37" s="69"/>
      <c r="D37" s="302" t="str">
        <f>IF(MasterSheet!$A$1=1,MasterSheet!C355,MasterSheet!B355)</f>
        <v>Ostale takse</v>
      </c>
      <c r="E37" s="354">
        <f>+'Execution for 2013'!E43</f>
        <v>364382.71</v>
      </c>
      <c r="F37" s="355">
        <f>+'Execution for 2013'!F43</f>
        <v>1044594.55</v>
      </c>
      <c r="G37" s="355">
        <f>+'Execution for 2013'!G43</f>
        <v>1377488.06</v>
      </c>
      <c r="H37" s="355">
        <f>+'Execution for 2013'!H43</f>
        <v>1058438.45</v>
      </c>
      <c r="I37" s="355">
        <f>+'Execution for 2013'!I43</f>
        <v>1042906.95</v>
      </c>
      <c r="J37" s="355">
        <f>+'Execution for 2013'!J43</f>
        <v>770438.28</v>
      </c>
      <c r="K37" s="355">
        <f>+'Execution for 2013'!K43</f>
        <v>1415558.33</v>
      </c>
      <c r="L37" s="356">
        <f>+'Execution for 2013'!L43</f>
        <v>1217336.3799999999</v>
      </c>
      <c r="M37" s="356">
        <f>+'Execution for 2013'!M43</f>
        <v>659022.86</v>
      </c>
      <c r="N37" s="356">
        <f>+'Execution for 2013'!N43</f>
        <v>0</v>
      </c>
      <c r="O37" s="356">
        <f>+'Execution for 2013'!O43</f>
        <v>0</v>
      </c>
      <c r="P37" s="587"/>
      <c r="Q37" s="598">
        <f t="shared" si="3"/>
        <v>8950166.5700000003</v>
      </c>
      <c r="R37" s="72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</row>
    <row r="38" spans="1:33" ht="15" customHeight="1">
      <c r="A38" s="69"/>
      <c r="B38" s="69"/>
      <c r="C38" s="69"/>
      <c r="D38" s="303" t="str">
        <f>IF(MasterSheet!$A$1=1,MasterSheet!C356,MasterSheet!B356)</f>
        <v>Naknade</v>
      </c>
      <c r="E38" s="350">
        <f t="shared" ref="E38:O38" si="8">SUM(E39:E44)</f>
        <v>893749.17</v>
      </c>
      <c r="F38" s="350">
        <f t="shared" si="8"/>
        <v>1163449.29</v>
      </c>
      <c r="G38" s="350">
        <f t="shared" si="8"/>
        <v>1397810.9500000002</v>
      </c>
      <c r="H38" s="350">
        <f t="shared" si="8"/>
        <v>988260.99</v>
      </c>
      <c r="I38" s="350">
        <f t="shared" si="8"/>
        <v>663493.42000000004</v>
      </c>
      <c r="J38" s="350">
        <f t="shared" si="8"/>
        <v>985589.28</v>
      </c>
      <c r="K38" s="350">
        <f t="shared" si="8"/>
        <v>1220629.7999999998</v>
      </c>
      <c r="L38" s="350">
        <f t="shared" si="8"/>
        <v>1071856.1399999999</v>
      </c>
      <c r="M38" s="350">
        <f t="shared" si="8"/>
        <v>1326309.73</v>
      </c>
      <c r="N38" s="350">
        <f t="shared" si="8"/>
        <v>0</v>
      </c>
      <c r="O38" s="350">
        <f t="shared" si="8"/>
        <v>0</v>
      </c>
      <c r="P38" s="586">
        <f t="shared" ref="P38" si="9">SUM(P39:P44)</f>
        <v>0</v>
      </c>
      <c r="Q38" s="597">
        <f t="shared" si="3"/>
        <v>9711148.7699999996</v>
      </c>
      <c r="R38" s="72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</row>
    <row r="39" spans="1:33" ht="15" customHeight="1">
      <c r="A39" s="69"/>
      <c r="B39" s="69"/>
      <c r="C39" s="69"/>
      <c r="D39" s="302" t="str">
        <f>IF(MasterSheet!$A$1=1,MasterSheet!C357,MasterSheet!B357)</f>
        <v>Nakn. za koriš. dob. od opš. int.</v>
      </c>
      <c r="E39" s="354">
        <f>+'Execution for 2013'!E45</f>
        <v>12391.26</v>
      </c>
      <c r="F39" s="355">
        <f>+'Execution for 2013'!F45</f>
        <v>9264.06</v>
      </c>
      <c r="G39" s="355">
        <f>+'Execution for 2013'!G45</f>
        <v>19332.669999999998</v>
      </c>
      <c r="H39" s="355">
        <f>+'Execution for 2013'!H45</f>
        <v>48395.81</v>
      </c>
      <c r="I39" s="355">
        <f>+'Execution for 2013'!I45</f>
        <v>27750.959999999999</v>
      </c>
      <c r="J39" s="355">
        <f>+'Execution for 2013'!J45</f>
        <v>70400.89</v>
      </c>
      <c r="K39" s="355">
        <f>+'Execution for 2013'!K45</f>
        <v>64040.69</v>
      </c>
      <c r="L39" s="356">
        <f>+'Execution for 2013'!L45</f>
        <v>63273.440000000002</v>
      </c>
      <c r="M39" s="356">
        <f>+'Execution for 2013'!M45</f>
        <v>75343.27</v>
      </c>
      <c r="N39" s="356">
        <f>+'Execution for 2013'!N45</f>
        <v>0</v>
      </c>
      <c r="O39" s="356">
        <f>+'Execution for 2013'!O45</f>
        <v>0</v>
      </c>
      <c r="P39" s="587"/>
      <c r="Q39" s="598">
        <f t="shared" si="3"/>
        <v>390193.05</v>
      </c>
      <c r="R39" s="72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</row>
    <row r="40" spans="1:33" ht="15" customHeight="1">
      <c r="A40" s="69"/>
      <c r="B40" s="69"/>
      <c r="C40" s="69"/>
      <c r="D40" s="302" t="str">
        <f>IF(MasterSheet!$A$1=1,MasterSheet!C358,MasterSheet!B358)</f>
        <v>Naknada za kor. prirodnih dobara</v>
      </c>
      <c r="E40" s="354">
        <f>+'Execution for 2013'!E46</f>
        <v>68464.97</v>
      </c>
      <c r="F40" s="355">
        <f>+'Execution for 2013'!F46</f>
        <v>158539.48000000001</v>
      </c>
      <c r="G40" s="355">
        <f>+'Execution for 2013'!G46</f>
        <v>86875.06</v>
      </c>
      <c r="H40" s="355">
        <f>+'Execution for 2013'!H46</f>
        <v>139023.51</v>
      </c>
      <c r="I40" s="355">
        <f>+'Execution for 2013'!I46</f>
        <v>88167.33</v>
      </c>
      <c r="J40" s="355">
        <f>+'Execution for 2013'!J46</f>
        <v>150765.28</v>
      </c>
      <c r="K40" s="355">
        <f>+'Execution for 2013'!K46</f>
        <v>282162.89</v>
      </c>
      <c r="L40" s="356">
        <f>+'Execution for 2013'!L46</f>
        <v>250555.05</v>
      </c>
      <c r="M40" s="356">
        <f>+'Execution for 2013'!M46</f>
        <v>339587.75</v>
      </c>
      <c r="N40" s="356">
        <f>+'Execution for 2013'!N46</f>
        <v>0</v>
      </c>
      <c r="O40" s="356">
        <f>+'Execution for 2013'!O46</f>
        <v>0</v>
      </c>
      <c r="P40" s="587"/>
      <c r="Q40" s="598">
        <f t="shared" si="3"/>
        <v>1564141.32</v>
      </c>
      <c r="R40" s="72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</row>
    <row r="41" spans="1:33" ht="15" customHeight="1">
      <c r="A41" s="69"/>
      <c r="B41" s="69"/>
      <c r="C41" s="69"/>
      <c r="D41" s="302" t="str">
        <f>IF(MasterSheet!$A$1=1,MasterSheet!C359,MasterSheet!B359)</f>
        <v>Ekološke naknade</v>
      </c>
      <c r="E41" s="354">
        <f>+'Execution for 2013'!E47</f>
        <v>6048</v>
      </c>
      <c r="F41" s="355">
        <f>+'Execution for 2013'!F47</f>
        <v>320.11</v>
      </c>
      <c r="G41" s="355">
        <f>+'Execution for 2013'!G47</f>
        <v>56177.94</v>
      </c>
      <c r="H41" s="355">
        <f>+'Execution for 2013'!H47</f>
        <v>130839.86</v>
      </c>
      <c r="I41" s="355">
        <f>+'Execution for 2013'!I47</f>
        <v>16753.849999999999</v>
      </c>
      <c r="J41" s="355">
        <f>+'Execution for 2013'!J47</f>
        <v>764.61</v>
      </c>
      <c r="K41" s="355">
        <f>+'Execution for 2013'!K47</f>
        <v>914.61</v>
      </c>
      <c r="L41" s="356">
        <f>+'Execution for 2013'!L47</f>
        <v>42276.51</v>
      </c>
      <c r="M41" s="356">
        <f>+'Execution for 2013'!M47</f>
        <v>13918.49</v>
      </c>
      <c r="N41" s="356">
        <f>+'Execution for 2013'!N47</f>
        <v>0</v>
      </c>
      <c r="O41" s="356">
        <f>+'Execution for 2013'!O47</f>
        <v>0</v>
      </c>
      <c r="P41" s="587"/>
      <c r="Q41" s="598">
        <f t="shared" si="3"/>
        <v>268013.98</v>
      </c>
      <c r="R41" s="72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</row>
    <row r="42" spans="1:33" ht="15" customHeight="1">
      <c r="A42" s="69"/>
      <c r="B42" s="69"/>
      <c r="C42" s="69"/>
      <c r="D42" s="302" t="str">
        <f>IF(MasterSheet!$A$1=1,MasterSheet!C360,MasterSheet!B360)</f>
        <v>Naknade za priređ.  igara na sreću</v>
      </c>
      <c r="E42" s="354">
        <f>+'Execution for 2013'!E48</f>
        <v>222019.59</v>
      </c>
      <c r="F42" s="355">
        <f>+'Execution for 2013'!F48</f>
        <v>260412.76</v>
      </c>
      <c r="G42" s="355">
        <f>+'Execution for 2013'!G48</f>
        <v>313915.52000000002</v>
      </c>
      <c r="H42" s="355">
        <f>+'Execution for 2013'!H48</f>
        <v>296413.03999999998</v>
      </c>
      <c r="I42" s="355">
        <f>+'Execution for 2013'!I48</f>
        <v>213025.27</v>
      </c>
      <c r="J42" s="355">
        <f>+'Execution for 2013'!J48</f>
        <v>239906.22</v>
      </c>
      <c r="K42" s="355">
        <f>+'Execution for 2013'!K48</f>
        <v>270961.98</v>
      </c>
      <c r="L42" s="356">
        <f>+'Execution for 2013'!L48</f>
        <v>229984.6</v>
      </c>
      <c r="M42" s="356">
        <f>+'Execution for 2013'!M48</f>
        <v>298987.89</v>
      </c>
      <c r="N42" s="356">
        <f>+'Execution for 2013'!N48</f>
        <v>0</v>
      </c>
      <c r="O42" s="356">
        <f>+'Execution for 2013'!O48</f>
        <v>0</v>
      </c>
      <c r="P42" s="587"/>
      <c r="Q42" s="598">
        <f t="shared" si="3"/>
        <v>2345626.87</v>
      </c>
      <c r="R42" s="72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</row>
    <row r="43" spans="1:33" ht="15" customHeight="1">
      <c r="A43" s="69"/>
      <c r="B43" s="69"/>
      <c r="C43" s="69"/>
      <c r="D43" s="302" t="str">
        <f>IF(MasterSheet!$A$1=1,MasterSheet!C361,MasterSheet!B361)</f>
        <v>Naknade za puteve</v>
      </c>
      <c r="E43" s="354">
        <f>+'Execution for 2013'!E49</f>
        <v>200170.6</v>
      </c>
      <c r="F43" s="355">
        <f>+'Execution for 2013'!F49</f>
        <v>185750</v>
      </c>
      <c r="G43" s="355">
        <f>+'Execution for 2013'!G49</f>
        <v>228989.35</v>
      </c>
      <c r="H43" s="355">
        <f>+'Execution for 2013'!H49</f>
        <v>274371.25</v>
      </c>
      <c r="I43" s="355">
        <f>+'Execution for 2013'!I49</f>
        <v>243469.35</v>
      </c>
      <c r="J43" s="355">
        <f>+'Execution for 2013'!J49</f>
        <v>383575.83</v>
      </c>
      <c r="K43" s="355">
        <f>+'Execution for 2013'!K49</f>
        <v>441154.74</v>
      </c>
      <c r="L43" s="356">
        <f>+'Execution for 2013'!L49</f>
        <v>390342.59</v>
      </c>
      <c r="M43" s="356">
        <f>+'Execution for 2013'!M49</f>
        <v>273601.76</v>
      </c>
      <c r="N43" s="356">
        <f>+'Execution for 2013'!N49</f>
        <v>0</v>
      </c>
      <c r="O43" s="356">
        <f>+'Execution for 2013'!O49</f>
        <v>0</v>
      </c>
      <c r="P43" s="587"/>
      <c r="Q43" s="598">
        <f t="shared" si="3"/>
        <v>2621425.4699999997</v>
      </c>
      <c r="R43" s="72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</row>
    <row r="44" spans="1:33" ht="15" customHeight="1">
      <c r="A44" s="69"/>
      <c r="B44" s="69"/>
      <c r="C44" s="69"/>
      <c r="D44" s="302" t="str">
        <f>IF(MasterSheet!$A$1=1,MasterSheet!C362,MasterSheet!B362)</f>
        <v>Ostale naknade</v>
      </c>
      <c r="E44" s="354">
        <f>+'Execution for 2013'!E50</f>
        <v>384654.75</v>
      </c>
      <c r="F44" s="355">
        <f>+'Execution for 2013'!F50</f>
        <v>549162.88</v>
      </c>
      <c r="G44" s="355">
        <f>+'Execution for 2013'!G50</f>
        <v>692520.41</v>
      </c>
      <c r="H44" s="355">
        <f>+'Execution for 2013'!H50</f>
        <v>99217.52</v>
      </c>
      <c r="I44" s="355">
        <f>+'Execution for 2013'!I50</f>
        <v>74326.66</v>
      </c>
      <c r="J44" s="355">
        <f>+'Execution for 2013'!J50</f>
        <v>140176.45000000001</v>
      </c>
      <c r="K44" s="355">
        <f>+'Execution for 2013'!K50</f>
        <v>161394.89000000001</v>
      </c>
      <c r="L44" s="356">
        <f>+'Execution for 2013'!L50</f>
        <v>95423.95</v>
      </c>
      <c r="M44" s="356">
        <f>+'Execution for 2013'!M50</f>
        <v>324870.57</v>
      </c>
      <c r="N44" s="356">
        <f>+'Execution for 2013'!N50</f>
        <v>0</v>
      </c>
      <c r="O44" s="356">
        <f>+'Execution for 2013'!O50</f>
        <v>0</v>
      </c>
      <c r="P44" s="587"/>
      <c r="Q44" s="598">
        <f t="shared" si="3"/>
        <v>2521748.08</v>
      </c>
      <c r="R44" s="72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</row>
    <row r="45" spans="1:33" ht="15" customHeight="1">
      <c r="A45" s="69"/>
      <c r="B45" s="69"/>
      <c r="C45" s="69"/>
      <c r="D45" s="303" t="str">
        <f>IF(MasterSheet!$A$1=1,MasterSheet!C363,MasterSheet!B363)</f>
        <v>Ostali prihodi</v>
      </c>
      <c r="E45" s="350">
        <f t="shared" ref="E45:O45" si="10">SUM(E46:E49)</f>
        <v>2240069.08</v>
      </c>
      <c r="F45" s="350">
        <f t="shared" si="10"/>
        <v>1379089.5</v>
      </c>
      <c r="G45" s="350">
        <f t="shared" si="10"/>
        <v>1585734.3</v>
      </c>
      <c r="H45" s="350">
        <f t="shared" si="10"/>
        <v>2753021.1100000003</v>
      </c>
      <c r="I45" s="350">
        <f t="shared" si="10"/>
        <v>2929020</v>
      </c>
      <c r="J45" s="350">
        <f t="shared" si="10"/>
        <v>2018400.1600000001</v>
      </c>
      <c r="K45" s="350">
        <f t="shared" si="10"/>
        <v>3244584.8200000003</v>
      </c>
      <c r="L45" s="350">
        <f t="shared" si="10"/>
        <v>2551646.06</v>
      </c>
      <c r="M45" s="350">
        <f t="shared" si="10"/>
        <v>2639562.8600000003</v>
      </c>
      <c r="N45" s="350">
        <f t="shared" si="10"/>
        <v>0</v>
      </c>
      <c r="O45" s="350">
        <f t="shared" si="10"/>
        <v>0</v>
      </c>
      <c r="P45" s="586">
        <f t="shared" ref="P45" si="11">SUM(P46:P49)</f>
        <v>0</v>
      </c>
      <c r="Q45" s="597">
        <f t="shared" si="3"/>
        <v>21341127.890000001</v>
      </c>
      <c r="R45" s="72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</row>
    <row r="46" spans="1:33" ht="15" customHeight="1">
      <c r="A46" s="69"/>
      <c r="B46" s="69"/>
      <c r="C46" s="69"/>
      <c r="D46" s="302" t="str">
        <f>IF(MasterSheet!$A$1=1,MasterSheet!C364,MasterSheet!B364)</f>
        <v>Prihodi od kapitala</v>
      </c>
      <c r="E46" s="354">
        <f>+'Execution for 2013'!E52</f>
        <v>10440.799999999999</v>
      </c>
      <c r="F46" s="355">
        <f>+'Execution for 2013'!F52</f>
        <v>15445.82</v>
      </c>
      <c r="G46" s="355">
        <f>+'Execution for 2013'!G52</f>
        <v>756900.55</v>
      </c>
      <c r="H46" s="355">
        <f>+'Execution for 2013'!H52</f>
        <v>784739.93</v>
      </c>
      <c r="I46" s="355">
        <f>+'Execution for 2013'!I52</f>
        <v>254972.28</v>
      </c>
      <c r="J46" s="355">
        <f>+'Execution for 2013'!J52</f>
        <v>113409.59</v>
      </c>
      <c r="K46" s="355">
        <f>+'Execution for 2013'!K52</f>
        <v>79102.33</v>
      </c>
      <c r="L46" s="356">
        <f>+'Execution for 2013'!L52</f>
        <v>7776.54</v>
      </c>
      <c r="M46" s="356">
        <f>+'Execution for 2013'!M52</f>
        <v>31884.59</v>
      </c>
      <c r="N46" s="356">
        <f>+'Execution for 2013'!N52</f>
        <v>0</v>
      </c>
      <c r="O46" s="356">
        <f>+'Execution for 2013'!O52</f>
        <v>0</v>
      </c>
      <c r="P46" s="587"/>
      <c r="Q46" s="598">
        <f t="shared" si="3"/>
        <v>2054672.4300000004</v>
      </c>
      <c r="R46" s="72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</row>
    <row r="47" spans="1:33" ht="15" customHeight="1">
      <c r="A47" s="69"/>
      <c r="B47" s="69"/>
      <c r="C47" s="69"/>
      <c r="D47" s="302" t="str">
        <f>IF(MasterSheet!$A$1=1,MasterSheet!C365,MasterSheet!B365)</f>
        <v>Novčane kazne i oduzete imovinske koristi</v>
      </c>
      <c r="E47" s="354">
        <f>+'Execution for 2013'!E53</f>
        <v>557860.02</v>
      </c>
      <c r="F47" s="355">
        <f>+'Execution for 2013'!F53</f>
        <v>771358.48</v>
      </c>
      <c r="G47" s="355">
        <f>+'Execution for 2013'!G53</f>
        <v>196877.73</v>
      </c>
      <c r="H47" s="355">
        <f>+'Execution for 2013'!H53</f>
        <v>166320.09</v>
      </c>
      <c r="I47" s="355">
        <f>+'Execution for 2013'!I53</f>
        <v>1021420.24</v>
      </c>
      <c r="J47" s="355">
        <f>+'Execution for 2013'!J53</f>
        <v>1082837.3999999999</v>
      </c>
      <c r="K47" s="355">
        <f>+'Execution for 2013'!K53</f>
        <v>1623054.55</v>
      </c>
      <c r="L47" s="356">
        <f>+'Execution for 2013'!L53</f>
        <v>1626229.21</v>
      </c>
      <c r="M47" s="356">
        <f>+'Execution for 2013'!M53</f>
        <v>1195519.1200000001</v>
      </c>
      <c r="N47" s="356">
        <f>+'Execution for 2013'!N53</f>
        <v>0</v>
      </c>
      <c r="O47" s="356">
        <f>+'Execution for 2013'!O53</f>
        <v>0</v>
      </c>
      <c r="P47" s="587"/>
      <c r="Q47" s="598">
        <f t="shared" si="3"/>
        <v>8241476.8399999999</v>
      </c>
      <c r="R47" s="72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</row>
    <row r="48" spans="1:33" ht="15" customHeight="1">
      <c r="A48" s="69"/>
      <c r="B48" s="69"/>
      <c r="C48" s="69"/>
      <c r="D48" s="302" t="str">
        <f>IF(MasterSheet!$A$1=1,MasterSheet!C366,MasterSheet!B366)</f>
        <v>Prihodi koje organi ostvaruju vršenjem svoje djel.</v>
      </c>
      <c r="E48" s="354">
        <f>+'Execution for 2013'!E54</f>
        <v>90759.26</v>
      </c>
      <c r="F48" s="355">
        <f>+'Execution for 2013'!F54</f>
        <v>122800.12</v>
      </c>
      <c r="G48" s="355">
        <f>+'Execution for 2013'!G54</f>
        <v>585403.71</v>
      </c>
      <c r="H48" s="355">
        <f>+'Execution for 2013'!H54</f>
        <v>811930.78</v>
      </c>
      <c r="I48" s="355">
        <f>+'Execution for 2013'!I54</f>
        <v>148764.79</v>
      </c>
      <c r="J48" s="356">
        <f>+'Execution for 2013'!J54</f>
        <v>212250.31</v>
      </c>
      <c r="K48" s="355">
        <f>+'Execution for 2013'!K54</f>
        <v>254772.72</v>
      </c>
      <c r="L48" s="356">
        <f>+'Execution for 2013'!L54</f>
        <v>246804.62</v>
      </c>
      <c r="M48" s="356">
        <f>+'Execution for 2013'!M54</f>
        <v>170264.2</v>
      </c>
      <c r="N48" s="356">
        <f>+'Execution for 2013'!N54</f>
        <v>0</v>
      </c>
      <c r="O48" s="356">
        <f>+'Execution for 2013'!O54</f>
        <v>0</v>
      </c>
      <c r="P48" s="587"/>
      <c r="Q48" s="598">
        <f t="shared" si="3"/>
        <v>2643750.5100000007</v>
      </c>
      <c r="R48" s="72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</row>
    <row r="49" spans="1:33">
      <c r="A49" s="69"/>
      <c r="B49" s="69"/>
      <c r="C49" s="69"/>
      <c r="D49" s="302" t="str">
        <f>IF(MasterSheet!$A$1=1,MasterSheet!C367,MasterSheet!B367)</f>
        <v>Ostali prihodi</v>
      </c>
      <c r="E49" s="354">
        <f>+'Execution for 2013'!E55</f>
        <v>1581009</v>
      </c>
      <c r="F49" s="355">
        <f>+'Execution for 2013'!F55</f>
        <v>469485.08</v>
      </c>
      <c r="G49" s="355">
        <f>+'Execution for 2013'!G55</f>
        <v>46552.31</v>
      </c>
      <c r="H49" s="355">
        <f>+'Execution for 2013'!H55</f>
        <v>990030.31</v>
      </c>
      <c r="I49" s="355">
        <f>+'Execution for 2013'!I55</f>
        <v>1503862.69</v>
      </c>
      <c r="J49" s="356">
        <f>+'Execution for 2013'!J55</f>
        <v>609902.86</v>
      </c>
      <c r="K49" s="355">
        <f>+'Execution for 2013'!K55</f>
        <v>1287655.22</v>
      </c>
      <c r="L49" s="356">
        <f>+'Execution for 2013'!L55</f>
        <v>670835.68999999994</v>
      </c>
      <c r="M49" s="356">
        <f>+'Execution for 2013'!M55</f>
        <v>1241894.95</v>
      </c>
      <c r="N49" s="356">
        <f>+'Execution for 2013'!N55</f>
        <v>0</v>
      </c>
      <c r="O49" s="356">
        <f>+'Execution for 2013'!O55</f>
        <v>0</v>
      </c>
      <c r="P49" s="587"/>
      <c r="Q49" s="598">
        <f t="shared" si="3"/>
        <v>8401228.1099999994</v>
      </c>
      <c r="R49" s="72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</row>
    <row r="50" spans="1:33" ht="26.25" thickBot="1">
      <c r="A50" s="69"/>
      <c r="B50" s="69"/>
      <c r="C50" s="69"/>
      <c r="D50" s="368" t="str">
        <f>IF(MasterSheet!$A$1=1,MasterSheet!C368,MasterSheet!B368)</f>
        <v>Primici od otplate kredita i sredstva prenijeta iz prethodne godine</v>
      </c>
      <c r="E50" s="369">
        <f>+'Execution for 2013'!E56</f>
        <v>206949.9</v>
      </c>
      <c r="F50" s="370">
        <f>+'Execution for 2013'!F56</f>
        <v>235107.79</v>
      </c>
      <c r="G50" s="370">
        <f>+'Execution for 2013'!G56</f>
        <v>299748.19</v>
      </c>
      <c r="H50" s="371">
        <f>+'Execution for 2013'!H56</f>
        <v>298965.78000000003</v>
      </c>
      <c r="I50" s="371">
        <f>+'Execution for 2013'!I56</f>
        <v>208873.82</v>
      </c>
      <c r="J50" s="371">
        <f>+'Execution for 2013'!J56</f>
        <v>328481.19</v>
      </c>
      <c r="K50" s="371">
        <f>+'Execution for 2013'!K56</f>
        <v>3470663.22</v>
      </c>
      <c r="L50" s="370">
        <f>+'Execution for 2013'!L56</f>
        <v>586185.69999999995</v>
      </c>
      <c r="M50" s="370">
        <f>+'Execution for 2013'!M56</f>
        <v>401482.51</v>
      </c>
      <c r="N50" s="371">
        <f>+'Execution for 2013'!N56</f>
        <v>0</v>
      </c>
      <c r="O50" s="371">
        <f>+'Execution for 2013'!O56</f>
        <v>0</v>
      </c>
      <c r="P50" s="588"/>
      <c r="Q50" s="599">
        <f>SUM(E50:P50)</f>
        <v>6036458.1000000006</v>
      </c>
      <c r="R50" s="72"/>
      <c r="S50" s="70"/>
      <c r="T50" s="70"/>
      <c r="U50" s="70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</row>
    <row r="51" spans="1:33" ht="14.25" thickTop="1" thickBot="1">
      <c r="A51" s="69"/>
      <c r="B51" s="69"/>
      <c r="C51" s="69"/>
      <c r="D51" s="358" t="str">
        <f>IF(MasterSheet!$A$1=1,MasterSheet!C369,MasterSheet!B369)</f>
        <v>Izdaci</v>
      </c>
      <c r="E51" s="432">
        <f>E53+E67+E73+E79+E80+E81</f>
        <v>80875962.469999999</v>
      </c>
      <c r="F51" s="432">
        <f t="shared" ref="F51:P51" si="12">F53+F67+F73+F79+F80+F81</f>
        <v>95217671.859999999</v>
      </c>
      <c r="G51" s="432">
        <f t="shared" si="12"/>
        <v>103871931.86948845</v>
      </c>
      <c r="H51" s="432">
        <f t="shared" si="12"/>
        <v>119680766.59905726</v>
      </c>
      <c r="I51" s="432">
        <f t="shared" si="12"/>
        <v>95582137.230222195</v>
      </c>
      <c r="J51" s="432">
        <f t="shared" si="12"/>
        <v>100110317.53479202</v>
      </c>
      <c r="K51" s="432">
        <f t="shared" si="12"/>
        <v>99598508.161030397</v>
      </c>
      <c r="L51" s="432">
        <f t="shared" si="12"/>
        <v>97965636.48103039</v>
      </c>
      <c r="M51" s="432">
        <f t="shared" si="12"/>
        <v>115325049.33090232</v>
      </c>
      <c r="N51" s="432">
        <f t="shared" si="12"/>
        <v>103171653.79000001</v>
      </c>
      <c r="O51" s="432">
        <f t="shared" si="12"/>
        <v>0</v>
      </c>
      <c r="P51" s="432">
        <f t="shared" si="12"/>
        <v>0</v>
      </c>
      <c r="Q51" s="596">
        <f t="shared" si="3"/>
        <v>1011399635.3265229</v>
      </c>
      <c r="R51" s="565"/>
      <c r="S51" s="70"/>
      <c r="T51" s="70"/>
      <c r="U51" s="70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</row>
    <row r="52" spans="1:33" ht="14.25" thickTop="1" thickBot="1">
      <c r="A52" s="69"/>
      <c r="B52" s="69"/>
      <c r="C52" s="69"/>
      <c r="D52" s="358" t="str">
        <f>IF(MasterSheet!$A$1=1,MasterSheet!C370,MasterSheet!B370)</f>
        <v>Tekuća budžetska potrošnja</v>
      </c>
      <c r="E52" s="432">
        <f t="shared" ref="E52" si="13">E51-E79</f>
        <v>80737884.659999996</v>
      </c>
      <c r="F52" s="432">
        <f t="shared" ref="F52:P52" si="14">F51-F79</f>
        <v>93209606.840000004</v>
      </c>
      <c r="G52" s="432">
        <f t="shared" si="14"/>
        <v>99449690.619488448</v>
      </c>
      <c r="H52" s="432">
        <f t="shared" si="14"/>
        <v>115483093.92905726</v>
      </c>
      <c r="I52" s="432">
        <f t="shared" si="14"/>
        <v>91345219.790222198</v>
      </c>
      <c r="J52" s="432">
        <f t="shared" si="14"/>
        <v>95404162.114792019</v>
      </c>
      <c r="K52" s="432">
        <f t="shared" si="14"/>
        <v>95073984.591030404</v>
      </c>
      <c r="L52" s="432">
        <f t="shared" si="14"/>
        <v>93749318.991030395</v>
      </c>
      <c r="M52" s="432">
        <f t="shared" si="14"/>
        <v>111383692.76090233</v>
      </c>
      <c r="N52" s="432">
        <f t="shared" si="14"/>
        <v>97319488.38000001</v>
      </c>
      <c r="O52" s="432">
        <f t="shared" si="14"/>
        <v>0</v>
      </c>
      <c r="P52" s="432">
        <f t="shared" si="14"/>
        <v>0</v>
      </c>
      <c r="Q52" s="596">
        <f>SUM(E52:P52)</f>
        <v>973156142.67652297</v>
      </c>
      <c r="R52" s="69"/>
      <c r="S52" s="70"/>
      <c r="T52" s="70"/>
      <c r="U52" s="70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</row>
    <row r="53" spans="1:33" ht="13.5" thickTop="1">
      <c r="A53" s="69"/>
      <c r="B53" s="69"/>
      <c r="C53" s="69"/>
      <c r="D53" s="303" t="str">
        <f>IF(MasterSheet!$A$1=1,MasterSheet!C371,MasterSheet!B371)</f>
        <v>Tekući izdaci</v>
      </c>
      <c r="E53" s="318">
        <f t="shared" ref="E53" si="15">E54+SUM(E60:E66)</f>
        <v>37662808.160000004</v>
      </c>
      <c r="F53" s="318">
        <f t="shared" ref="F53:P53" si="16">F54+SUM(F60:F66)</f>
        <v>43595129.950000003</v>
      </c>
      <c r="G53" s="318">
        <f t="shared" si="16"/>
        <v>49010249.579488471</v>
      </c>
      <c r="H53" s="318">
        <f t="shared" si="16"/>
        <v>68135845.389057249</v>
      </c>
      <c r="I53" s="318">
        <f t="shared" si="16"/>
        <v>42670778.290222205</v>
      </c>
      <c r="J53" s="318">
        <f t="shared" si="16"/>
        <v>45110538.224792026</v>
      </c>
      <c r="K53" s="318">
        <f t="shared" si="16"/>
        <v>48044053.731030405</v>
      </c>
      <c r="L53" s="318">
        <f t="shared" si="16"/>
        <v>45032252.981030405</v>
      </c>
      <c r="M53" s="318">
        <f t="shared" si="16"/>
        <v>60596707.680902332</v>
      </c>
      <c r="N53" s="318">
        <f t="shared" si="16"/>
        <v>51637719.450000003</v>
      </c>
      <c r="O53" s="318">
        <f t="shared" si="16"/>
        <v>0</v>
      </c>
      <c r="P53" s="318">
        <f t="shared" si="16"/>
        <v>0</v>
      </c>
      <c r="Q53" s="600">
        <f t="shared" si="3"/>
        <v>491496083.43652314</v>
      </c>
      <c r="R53" s="69"/>
      <c r="S53" s="70"/>
      <c r="T53" s="70"/>
      <c r="U53" s="70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</row>
    <row r="54" spans="1:33">
      <c r="A54" s="69"/>
      <c r="B54" s="69"/>
      <c r="C54" s="69"/>
      <c r="D54" s="303" t="str">
        <f>IF(MasterSheet!$A$1=1,MasterSheet!C372,MasterSheet!B372)</f>
        <v>Bruto zarade i doprinosi na teret poslodavca</v>
      </c>
      <c r="E54" s="318">
        <f t="shared" ref="E54:O54" si="17">SUM(E55:E59)</f>
        <v>31208522.220000003</v>
      </c>
      <c r="F54" s="318">
        <f t="shared" si="17"/>
        <v>32045676.829999998</v>
      </c>
      <c r="G54" s="318">
        <f t="shared" si="17"/>
        <v>31205105.889488474</v>
      </c>
      <c r="H54" s="318">
        <f t="shared" si="17"/>
        <v>31315246.049057249</v>
      </c>
      <c r="I54" s="318">
        <f t="shared" si="17"/>
        <v>31743046.640222207</v>
      </c>
      <c r="J54" s="318">
        <f t="shared" si="17"/>
        <v>31801789.094792023</v>
      </c>
      <c r="K54" s="318">
        <f t="shared" si="17"/>
        <v>30930809.081030402</v>
      </c>
      <c r="L54" s="318">
        <f t="shared" si="17"/>
        <v>30930809.081030402</v>
      </c>
      <c r="M54" s="318">
        <f t="shared" si="17"/>
        <v>29273565.85090233</v>
      </c>
      <c r="N54" s="318">
        <f t="shared" si="17"/>
        <v>31269261.440000001</v>
      </c>
      <c r="O54" s="318">
        <f t="shared" si="17"/>
        <v>0</v>
      </c>
      <c r="P54" s="590">
        <f t="shared" ref="P54" si="18">SUM(P55:P59)</f>
        <v>0</v>
      </c>
      <c r="Q54" s="600">
        <f t="shared" si="3"/>
        <v>311723832.17652303</v>
      </c>
      <c r="R54" s="390"/>
      <c r="S54" s="500"/>
      <c r="T54" s="70"/>
      <c r="U54" s="70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</row>
    <row r="55" spans="1:33">
      <c r="A55" s="69"/>
      <c r="B55" s="69"/>
      <c r="C55" s="69"/>
      <c r="D55" s="381" t="str">
        <f>IF(MasterSheet!$A$1=1,MasterSheet!C373,MasterSheet!B373)</f>
        <v>Neto zarade</v>
      </c>
      <c r="E55" s="354">
        <f>+'Execution for 2013'!E61</f>
        <v>18768827.420000002</v>
      </c>
      <c r="F55" s="356">
        <f>+'Execution for 2013'!F61</f>
        <v>18989881.539999999</v>
      </c>
      <c r="G55" s="355">
        <f>+'Execution for 2013'!G61</f>
        <v>18491769.34</v>
      </c>
      <c r="H55" s="355">
        <f>+'Execution for 2013'!H61</f>
        <v>18557037.07</v>
      </c>
      <c r="I55" s="355">
        <f>+'Execution for 2013'!I61</f>
        <v>18810546.539999999</v>
      </c>
      <c r="J55" s="356">
        <f>+'Execution for 2013'!J61</f>
        <v>18845356.609999999</v>
      </c>
      <c r="K55" s="356">
        <f>+'Execution for 2013'!K61</f>
        <v>18329224.359999999</v>
      </c>
      <c r="L55" s="356">
        <f>+'Execution for 2013'!L61</f>
        <v>18329224.359999999</v>
      </c>
      <c r="M55" s="356">
        <f>+'Execution for 2013'!M61</f>
        <v>17729850.41</v>
      </c>
      <c r="N55" s="356">
        <v>18578252.530000001</v>
      </c>
      <c r="O55" s="356">
        <f>+'Execution for 2013'!O61</f>
        <v>0</v>
      </c>
      <c r="P55" s="587"/>
      <c r="Q55" s="598">
        <f t="shared" si="3"/>
        <v>185429970.18000001</v>
      </c>
      <c r="R55" s="390"/>
      <c r="S55" s="70"/>
      <c r="T55" s="70"/>
      <c r="U55" s="70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</row>
    <row r="56" spans="1:33">
      <c r="A56" s="69"/>
      <c r="B56" s="69"/>
      <c r="C56" s="69"/>
      <c r="D56" s="381" t="str">
        <f>IF(MasterSheet!$A$1=1,MasterSheet!C374,MasterSheet!B374)</f>
        <v>Porez na zarade</v>
      </c>
      <c r="E56" s="354">
        <f>+'Execution for 2013'!E62</f>
        <v>2431969.19</v>
      </c>
      <c r="F56" s="355">
        <f>+'Execution for 2013'!F62</f>
        <v>2651366.7200000002</v>
      </c>
      <c r="G56" s="355">
        <f>+'Execution for 2013'!G62</f>
        <v>2581820.3088165433</v>
      </c>
      <c r="H56" s="355">
        <f>+'Execution for 2013'!H62</f>
        <v>2590932.9874210642</v>
      </c>
      <c r="I56" s="355">
        <f>+'Execution for 2013'!I62</f>
        <v>2626327.9724054118</v>
      </c>
      <c r="J56" s="356">
        <f>+'Execution for 2013'!J62</f>
        <v>2631188.153387819</v>
      </c>
      <c r="K56" s="356">
        <f>+'Execution for 2013'!K62</f>
        <v>2559125.7833363665</v>
      </c>
      <c r="L56" s="356">
        <f>+'Execution for 2013'!L62</f>
        <v>2559125.7833363665</v>
      </c>
      <c r="M56" s="356">
        <f>+'Execution for 2013'!M62</f>
        <v>2297825.3632970974</v>
      </c>
      <c r="N56" s="356">
        <v>2458771.5499999998</v>
      </c>
      <c r="O56" s="356">
        <f>+'Execution for 2013'!O62</f>
        <v>0</v>
      </c>
      <c r="P56" s="587"/>
      <c r="Q56" s="598">
        <f t="shared" si="3"/>
        <v>25388453.81200067</v>
      </c>
      <c r="R56" s="390"/>
      <c r="S56" s="70"/>
      <c r="T56" s="70"/>
      <c r="U56" s="70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</row>
    <row r="57" spans="1:33">
      <c r="A57" s="69"/>
      <c r="B57" s="69"/>
      <c r="C57" s="69"/>
      <c r="D57" s="381" t="str">
        <f>IF(MasterSheet!$A$1=1,MasterSheet!C375,MasterSheet!B375)</f>
        <v>Doprinosi na teret zaposlenog</v>
      </c>
      <c r="E57" s="354">
        <f>+'Execution for 2013'!E63</f>
        <v>6344963</v>
      </c>
      <c r="F57" s="355">
        <f>+'Execution for 2013'!F63</f>
        <v>6417211.3300000001</v>
      </c>
      <c r="G57" s="355">
        <f>+'Execution for 2013'!G63</f>
        <v>6248885.3061268032</v>
      </c>
      <c r="H57" s="355">
        <f>+'Execution for 2013'!H63</f>
        <v>6270941.0949192271</v>
      </c>
      <c r="I57" s="355">
        <f>+'Execution for 2013'!I63</f>
        <v>6356609.0249544708</v>
      </c>
      <c r="J57" s="356">
        <f>+'Execution for 2013'!J63</f>
        <v>6368372.319798178</v>
      </c>
      <c r="K57" s="356">
        <f>+'Execution for 2013'!K63</f>
        <v>6193956.8177582221</v>
      </c>
      <c r="L57" s="356">
        <f>+'Execution for 2013'!L63</f>
        <v>6193956.8177582221</v>
      </c>
      <c r="M57" s="356">
        <f>+'Execution for 2013'!M63</f>
        <v>5996143.9065586086</v>
      </c>
      <c r="N57" s="356">
        <v>6435139.79</v>
      </c>
      <c r="O57" s="356">
        <f>+'Execution for 2013'!O63</f>
        <v>0</v>
      </c>
      <c r="P57" s="587"/>
      <c r="Q57" s="598">
        <f t="shared" si="3"/>
        <v>62826179.407873735</v>
      </c>
      <c r="R57" s="390"/>
      <c r="S57" s="532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</row>
    <row r="58" spans="1:33">
      <c r="A58" s="69"/>
      <c r="B58" s="69"/>
      <c r="C58" s="69"/>
      <c r="D58" s="381" t="str">
        <f>IF(MasterSheet!$A$1=1,MasterSheet!C376,MasterSheet!B376)</f>
        <v>Doprinosi na teret poslodavca</v>
      </c>
      <c r="E58" s="354">
        <f>+'Execution for 2013'!E64</f>
        <v>3322568.13</v>
      </c>
      <c r="F58" s="355">
        <f>+'Execution for 2013'!F64</f>
        <v>3390483.39</v>
      </c>
      <c r="G58" s="355">
        <f>+'Execution for 2013'!G64</f>
        <v>3301549.6524777832</v>
      </c>
      <c r="H58" s="355">
        <f>+'Execution for 2013'!H64</f>
        <v>3313202.6558944648</v>
      </c>
      <c r="I58" s="355">
        <f>+'Execution for 2013'!I64</f>
        <v>3358464.6363566504</v>
      </c>
      <c r="J58" s="356">
        <f>+'Execution for 2013'!J64</f>
        <v>3364679.6811367422</v>
      </c>
      <c r="K58" s="356">
        <f>+'Execution for 2013'!K64</f>
        <v>3272528.6154767335</v>
      </c>
      <c r="L58" s="356">
        <f>+'Execution for 2013'!L64</f>
        <v>3272528.6154767335</v>
      </c>
      <c r="M58" s="356">
        <f>+'Execution for 2013'!M64</f>
        <v>3140195.6795707671</v>
      </c>
      <c r="N58" s="356">
        <v>3432252.81</v>
      </c>
      <c r="O58" s="356">
        <f>+'Execution for 2013'!O64</f>
        <v>0</v>
      </c>
      <c r="P58" s="587"/>
      <c r="Q58" s="598">
        <f t="shared" si="3"/>
        <v>33168453.866389878</v>
      </c>
      <c r="R58" s="390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</row>
    <row r="59" spans="1:33">
      <c r="A59" s="69"/>
      <c r="B59" s="69"/>
      <c r="C59" s="69"/>
      <c r="D59" s="381" t="str">
        <f>IF(MasterSheet!$A$1=1,MasterSheet!C377,MasterSheet!B377)</f>
        <v>Prirez na porez na dohodak</v>
      </c>
      <c r="E59" s="354">
        <f>+'Execution for 2013'!E65</f>
        <v>340194.48</v>
      </c>
      <c r="F59" s="355">
        <f>+'Execution for 2013'!F65</f>
        <v>596733.85</v>
      </c>
      <c r="G59" s="355">
        <f>+'Execution for 2013'!G65</f>
        <v>581081.28206734243</v>
      </c>
      <c r="H59" s="355">
        <f>+'Execution for 2013'!H65</f>
        <v>583132.24082248902</v>
      </c>
      <c r="I59" s="355">
        <f>+'Execution for 2013'!I65</f>
        <v>591098.46650567243</v>
      </c>
      <c r="J59" s="356">
        <f>+'Execution for 2013'!J65</f>
        <v>592192.33046928467</v>
      </c>
      <c r="K59" s="356">
        <f>+'Execution for 2013'!K65</f>
        <v>575973.5044590797</v>
      </c>
      <c r="L59" s="356">
        <f>+'Execution for 2013'!L65</f>
        <v>575973.5044590797</v>
      </c>
      <c r="M59" s="356">
        <f>+'Execution for 2013'!M65</f>
        <v>109550.49147585621</v>
      </c>
      <c r="N59" s="356">
        <v>364844.76</v>
      </c>
      <c r="O59" s="356">
        <f>+'Execution for 2013'!O65</f>
        <v>0</v>
      </c>
      <c r="P59" s="587"/>
      <c r="Q59" s="598">
        <f t="shared" si="3"/>
        <v>4910774.9102588035</v>
      </c>
      <c r="R59" s="390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</row>
    <row r="60" spans="1:33">
      <c r="A60" s="69"/>
      <c r="B60" s="69"/>
      <c r="C60" s="69"/>
      <c r="D60" s="303" t="str">
        <f>IF(MasterSheet!$A$1=1,MasterSheet!C378,MasterSheet!B378)</f>
        <v>Ostala lična primanja</v>
      </c>
      <c r="E60" s="386">
        <f>+'Execution for 2013'!E66</f>
        <v>1584140</v>
      </c>
      <c r="F60" s="389">
        <f>+'Execution for 2013'!F66</f>
        <v>494224.27999999997</v>
      </c>
      <c r="G60" s="389">
        <f>+'Execution for 2013'!G66</f>
        <v>1196100.06</v>
      </c>
      <c r="H60" s="390">
        <f>+'Execution for 2013'!H66</f>
        <v>1826112.77</v>
      </c>
      <c r="I60" s="390">
        <f>+'Execution for 2013'!I66</f>
        <v>404313.79000000004</v>
      </c>
      <c r="J60" s="390">
        <f>+'Execution for 2013'!J66</f>
        <v>460176.88999999996</v>
      </c>
      <c r="K60" s="390">
        <f>+'Execution for 2013'!K66</f>
        <v>807342.56</v>
      </c>
      <c r="L60" s="390">
        <f>+'Execution for 2013'!L66</f>
        <v>1160483.8899999999</v>
      </c>
      <c r="M60" s="352">
        <f>+'Execution for 2013'!M66</f>
        <v>545320.31000000006</v>
      </c>
      <c r="N60" s="389">
        <v>903060.27</v>
      </c>
      <c r="O60" s="388">
        <f>+'Execution for 2013'!O66</f>
        <v>0</v>
      </c>
      <c r="P60" s="590"/>
      <c r="Q60" s="597">
        <f t="shared" si="3"/>
        <v>9381274.8199999984</v>
      </c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</row>
    <row r="61" spans="1:33">
      <c r="A61" s="69"/>
      <c r="B61" s="69"/>
      <c r="C61" s="69"/>
      <c r="D61" s="303" t="str">
        <f>IF(MasterSheet!$A$1=1,MasterSheet!C379,MasterSheet!B379)</f>
        <v>Rashodi za materijal i usluge</v>
      </c>
      <c r="E61" s="386">
        <f>+'Execution for 2013'!E67</f>
        <v>3542109.9000000004</v>
      </c>
      <c r="F61" s="389">
        <f>+'Execution for 2013'!F67</f>
        <v>6337145.6200000001</v>
      </c>
      <c r="G61" s="389">
        <f>+'Execution for 2013'!G67</f>
        <v>8056211.3999999994</v>
      </c>
      <c r="H61" s="390">
        <f>+'Execution for 2013'!H67</f>
        <v>6999226.6300000008</v>
      </c>
      <c r="I61" s="390">
        <f>+'Execution for 2013'!I67</f>
        <v>5628758.9999999981</v>
      </c>
      <c r="J61" s="390">
        <f>+'Execution for 2013'!J67</f>
        <v>6088193.9900000002</v>
      </c>
      <c r="K61" s="390">
        <f>+'Execution for 2013'!K67</f>
        <v>7145096.620000002</v>
      </c>
      <c r="L61" s="390">
        <f>+'Execution for 2013'!L67</f>
        <v>6427404.4899999993</v>
      </c>
      <c r="M61" s="352">
        <f>+'Execution for 2013'!M67</f>
        <v>6864500.29</v>
      </c>
      <c r="N61" s="389">
        <v>12806141.73</v>
      </c>
      <c r="O61" s="388">
        <f>+'Execution for 2013'!O67</f>
        <v>0</v>
      </c>
      <c r="P61" s="590"/>
      <c r="Q61" s="597">
        <f t="shared" si="3"/>
        <v>69894789.670000002</v>
      </c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</row>
    <row r="62" spans="1:33">
      <c r="A62" s="69"/>
      <c r="B62" s="73"/>
      <c r="C62" s="69"/>
      <c r="D62" s="303" t="str">
        <f>IF(MasterSheet!$A$1=1,MasterSheet!C380,MasterSheet!B380)</f>
        <v>Tekuće održavanje</v>
      </c>
      <c r="E62" s="386">
        <f>+'Execution for 2013'!E68</f>
        <v>39615.520000000011</v>
      </c>
      <c r="F62" s="389">
        <f>+'Execution for 2013'!F68</f>
        <v>746518.12000000011</v>
      </c>
      <c r="G62" s="389">
        <f>+'Execution for 2013'!G68</f>
        <v>2188111.64</v>
      </c>
      <c r="H62" s="390">
        <f>+'Execution for 2013'!H68</f>
        <v>860683.32</v>
      </c>
      <c r="I62" s="390">
        <f>+'Execution for 2013'!I68</f>
        <v>1045961.9599999998</v>
      </c>
      <c r="J62" s="390">
        <f>+'Execution for 2013'!J68</f>
        <v>1586588.07</v>
      </c>
      <c r="K62" s="390">
        <f>+'Execution for 2013'!K68</f>
        <v>1708745.73</v>
      </c>
      <c r="L62" s="390">
        <f>+'Execution for 2013'!L68</f>
        <v>2046173.92</v>
      </c>
      <c r="M62" s="352">
        <f>+'Execution for 2013'!M68</f>
        <v>2633936.0100000002</v>
      </c>
      <c r="N62" s="389">
        <v>4139379.72</v>
      </c>
      <c r="O62" s="388">
        <f>+'Execution for 2013'!O68</f>
        <v>0</v>
      </c>
      <c r="P62" s="590"/>
      <c r="Q62" s="597">
        <f t="shared" si="3"/>
        <v>16995714.009999998</v>
      </c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</row>
    <row r="63" spans="1:33">
      <c r="A63" s="69"/>
      <c r="B63" s="69"/>
      <c r="C63" s="69"/>
      <c r="D63" s="303" t="str">
        <f>IF(MasterSheet!$A$1=1,MasterSheet!C381,MasterSheet!B381)</f>
        <v>Kamate</v>
      </c>
      <c r="E63" s="386">
        <f>+'Execution for 2013'!E69</f>
        <v>553790.51</v>
      </c>
      <c r="F63" s="389">
        <f>+'Execution for 2013'!F69</f>
        <v>1761351.35</v>
      </c>
      <c r="G63" s="389">
        <f>+'Execution for 2013'!G69</f>
        <v>2018448.29</v>
      </c>
      <c r="H63" s="390">
        <f>+'Execution for 2013'!H69</f>
        <v>25313222.370000001</v>
      </c>
      <c r="I63" s="390">
        <f>+'Execution for 2013'!I69</f>
        <v>1125415.9300000002</v>
      </c>
      <c r="J63" s="390">
        <f>+'Execution for 2013'!J69</f>
        <v>3504452.0900000003</v>
      </c>
      <c r="K63" s="390">
        <f>+'Execution for 2013'!K69</f>
        <v>5654769.959999999</v>
      </c>
      <c r="L63" s="390">
        <f>+'Execution for 2013'!L69</f>
        <v>2103580.09</v>
      </c>
      <c r="M63" s="352">
        <f>+'Execution for 2013'!M69</f>
        <v>18770054</v>
      </c>
      <c r="N63" s="389">
        <v>517881.75</v>
      </c>
      <c r="O63" s="388">
        <f>+'Execution for 2013'!O69</f>
        <v>0</v>
      </c>
      <c r="P63" s="590"/>
      <c r="Q63" s="597">
        <f t="shared" si="3"/>
        <v>61322966.340000004</v>
      </c>
      <c r="R63" s="69"/>
      <c r="S63" s="70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</row>
    <row r="64" spans="1:33">
      <c r="A64" s="69"/>
      <c r="B64" s="69"/>
      <c r="C64" s="69"/>
      <c r="D64" s="303" t="str">
        <f>IF(MasterSheet!$A$1=1,MasterSheet!C382,MasterSheet!B382)</f>
        <v>Renta</v>
      </c>
      <c r="E64" s="386">
        <f>+'Execution for 2013'!E70</f>
        <v>514851.77999999991</v>
      </c>
      <c r="F64" s="389">
        <f>+'Execution for 2013'!F70</f>
        <v>585306.03000000014</v>
      </c>
      <c r="G64" s="389">
        <f>+'Execution for 2013'!G70</f>
        <v>717206.67999999993</v>
      </c>
      <c r="H64" s="389">
        <f>+'Execution for 2013'!H70</f>
        <v>605035.82999999984</v>
      </c>
      <c r="I64" s="388">
        <f>+'Execution for 2013'!I70</f>
        <v>812757.71000000008</v>
      </c>
      <c r="J64" s="389">
        <f>+'Execution for 2013'!J70</f>
        <v>562444.48</v>
      </c>
      <c r="K64" s="388">
        <f>+'Execution for 2013'!K70</f>
        <v>546494.51</v>
      </c>
      <c r="L64" s="390">
        <f>+'Execution for 2013'!L70</f>
        <v>575835.29</v>
      </c>
      <c r="M64" s="352">
        <f>+'Execution for 2013'!M70</f>
        <v>872287.29000000015</v>
      </c>
      <c r="N64" s="389">
        <v>395979.9</v>
      </c>
      <c r="O64" s="388">
        <f>+'Execution for 2013'!O70</f>
        <v>0</v>
      </c>
      <c r="P64" s="590"/>
      <c r="Q64" s="597">
        <f t="shared" si="3"/>
        <v>6188199.5</v>
      </c>
      <c r="R64" s="69"/>
      <c r="S64" s="70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</row>
    <row r="65" spans="1:33">
      <c r="A65" s="69"/>
      <c r="B65" s="69"/>
      <c r="C65" s="69"/>
      <c r="D65" s="303" t="str">
        <f>IF(MasterSheet!$A$1=1,MasterSheet!C383,MasterSheet!B383)</f>
        <v>Subvencije</v>
      </c>
      <c r="E65" s="318">
        <f>+'Execution for 2013'!E71</f>
        <v>77660</v>
      </c>
      <c r="F65" s="389">
        <f>+'Execution for 2013'!F71</f>
        <v>1074577.6400000001</v>
      </c>
      <c r="G65" s="389">
        <f>+'Execution for 2013'!G71</f>
        <v>3164428.4699999997</v>
      </c>
      <c r="H65" s="389">
        <f>+'Execution for 2013'!H71</f>
        <v>667057.27</v>
      </c>
      <c r="I65" s="389">
        <f>+'Execution for 2013'!I71</f>
        <v>1249861.72</v>
      </c>
      <c r="J65" s="389">
        <f>+'Execution for 2013'!J71</f>
        <v>697386.65</v>
      </c>
      <c r="K65" s="388">
        <f>+'Execution for 2013'!K71</f>
        <v>891788.01</v>
      </c>
      <c r="L65" s="390">
        <f>+'Execution for 2013'!L71</f>
        <v>1091929.3799999999</v>
      </c>
      <c r="M65" s="352">
        <f>+'Execution for 2013'!M71</f>
        <v>1191416.1400000001</v>
      </c>
      <c r="N65" s="389">
        <v>870099.62</v>
      </c>
      <c r="O65" s="388">
        <f>+'Execution for 2013'!O71</f>
        <v>0</v>
      </c>
      <c r="P65" s="590"/>
      <c r="Q65" s="597">
        <f t="shared" si="3"/>
        <v>10976204.899999999</v>
      </c>
      <c r="R65" s="69"/>
      <c r="S65" s="70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</row>
    <row r="66" spans="1:33" ht="12.75" customHeight="1">
      <c r="A66" s="69"/>
      <c r="B66" s="69"/>
      <c r="C66" s="69"/>
      <c r="D66" s="303" t="str">
        <f>IF(MasterSheet!$A$1=1,MasterSheet!C384,MasterSheet!B384)</f>
        <v>Ostali izdaci</v>
      </c>
      <c r="E66" s="318">
        <f>+'Execution for 2013'!E72</f>
        <v>142118.22999999998</v>
      </c>
      <c r="F66" s="389">
        <f>+'Execution for 2013'!F72</f>
        <v>550330.08000000031</v>
      </c>
      <c r="G66" s="389">
        <f>+'Execution for 2013'!G72</f>
        <v>464637.15000000037</v>
      </c>
      <c r="H66" s="389">
        <f>+'Execution for 2013'!H72</f>
        <v>549261.15000000014</v>
      </c>
      <c r="I66" s="389">
        <f>+'Execution for 2013'!I72</f>
        <v>660661.54000000015</v>
      </c>
      <c r="J66" s="389">
        <f>+'Execution for 2013'!J72</f>
        <v>409506.96000000014</v>
      </c>
      <c r="K66" s="388">
        <f>+'Execution for 2013'!K72</f>
        <v>359007.26000000018</v>
      </c>
      <c r="L66" s="390">
        <f>+'Execution for 2013'!L72</f>
        <v>696036.84000000043</v>
      </c>
      <c r="M66" s="352">
        <f>+'Execution for 2013'!M72</f>
        <v>445627.79</v>
      </c>
      <c r="N66" s="499">
        <v>735915.02</v>
      </c>
      <c r="O66" s="388">
        <f>+'Execution for 2013'!O72</f>
        <v>0</v>
      </c>
      <c r="P66" s="590"/>
      <c r="Q66" s="597">
        <f t="shared" si="3"/>
        <v>5013102.0200000014</v>
      </c>
      <c r="R66" s="69"/>
      <c r="S66" s="70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</row>
    <row r="67" spans="1:33">
      <c r="A67" s="69"/>
      <c r="B67" s="69"/>
      <c r="C67" s="69"/>
      <c r="D67" s="303" t="str">
        <f>IF(MasterSheet!$A$1=1,MasterSheet!C386,MasterSheet!B386)</f>
        <v>Transferi za socijalnu zaštitu</v>
      </c>
      <c r="E67" s="318">
        <f>+SUM(E68:E72)</f>
        <v>38151243.679999992</v>
      </c>
      <c r="F67" s="318">
        <f t="shared" ref="F67:P67" si="19">+SUM(F68:F72)</f>
        <v>42304307.5</v>
      </c>
      <c r="G67" s="318">
        <f t="shared" si="19"/>
        <v>40495852.529999994</v>
      </c>
      <c r="H67" s="318">
        <f t="shared" si="19"/>
        <v>40445889.590000004</v>
      </c>
      <c r="I67" s="318">
        <f t="shared" si="19"/>
        <v>39916624.779999994</v>
      </c>
      <c r="J67" s="318">
        <f t="shared" si="19"/>
        <v>39922302.089999996</v>
      </c>
      <c r="K67" s="318">
        <f t="shared" si="19"/>
        <v>38923469.339999996</v>
      </c>
      <c r="L67" s="318">
        <f t="shared" si="19"/>
        <v>38415873.219999999</v>
      </c>
      <c r="M67" s="318">
        <f t="shared" si="19"/>
        <v>40001044.439999998</v>
      </c>
      <c r="N67" s="318">
        <f t="shared" si="19"/>
        <v>40558808.5</v>
      </c>
      <c r="O67" s="318">
        <f t="shared" si="19"/>
        <v>0</v>
      </c>
      <c r="P67" s="318">
        <f t="shared" si="19"/>
        <v>0</v>
      </c>
      <c r="Q67" s="600">
        <f t="shared" si="3"/>
        <v>399135415.67000002</v>
      </c>
      <c r="R67" s="69"/>
      <c r="S67" s="70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</row>
    <row r="68" spans="1:33">
      <c r="A68" s="69"/>
      <c r="B68" s="69"/>
      <c r="C68" s="69"/>
      <c r="D68" s="381" t="str">
        <f>IF(MasterSheet!$A$1=1,MasterSheet!C387,MasterSheet!B387)</f>
        <v>Prava iz oblasti socijalne zaštite</v>
      </c>
      <c r="E68" s="354">
        <f>+'Execution for 2013'!E75</f>
        <v>5249177.49</v>
      </c>
      <c r="F68" s="356">
        <f>+'Execution for 2013'!F75</f>
        <v>6265311.1100000003</v>
      </c>
      <c r="G68" s="356">
        <f>+'Execution for 2013'!G75</f>
        <v>5548846.8199999994</v>
      </c>
      <c r="H68" s="595">
        <f>+'Execution for 2013'!H75</f>
        <v>5564842.5499999998</v>
      </c>
      <c r="I68" s="356">
        <f>+'Execution for 2013'!I75</f>
        <v>5426012.3199999994</v>
      </c>
      <c r="J68" s="356">
        <f>+'Execution for 2013'!J75</f>
        <v>5414506.1199999992</v>
      </c>
      <c r="K68" s="355">
        <f>+'Execution for 2013'!K75</f>
        <v>5377364.7999999998</v>
      </c>
      <c r="L68" s="356">
        <f>+'Execution for 2013'!L75</f>
        <v>4628282.3600000003</v>
      </c>
      <c r="M68" s="356">
        <f>+'Execution for 2013'!M75</f>
        <v>4825112.1500000004</v>
      </c>
      <c r="N68" s="355">
        <v>5754938.6399999997</v>
      </c>
      <c r="O68" s="356">
        <f>+'Execution for 2013'!O75</f>
        <v>0</v>
      </c>
      <c r="P68" s="587"/>
      <c r="Q68" s="598">
        <f t="shared" si="3"/>
        <v>54054394.359999999</v>
      </c>
      <c r="R68" s="69"/>
      <c r="S68" s="70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</row>
    <row r="69" spans="1:33">
      <c r="A69" s="69"/>
      <c r="B69" s="69"/>
      <c r="C69" s="69"/>
      <c r="D69" s="381" t="str">
        <f>IF(MasterSheet!$A$1=1,MasterSheet!C388,MasterSheet!B388)</f>
        <v>Sredstva za tehnološke viškove</v>
      </c>
      <c r="E69" s="354">
        <f>+'Execution for 2013'!E76</f>
        <v>217499.03</v>
      </c>
      <c r="F69" s="356">
        <f>+'Execution for 2013'!F76</f>
        <v>1858188.85</v>
      </c>
      <c r="G69" s="356">
        <f>+'Execution for 2013'!G76</f>
        <v>1411205.3399999999</v>
      </c>
      <c r="H69" s="356">
        <f>+'Execution for 2013'!H76</f>
        <v>929016.34000000008</v>
      </c>
      <c r="I69" s="356">
        <f>+'Execution for 2013'!I76</f>
        <v>880474.57000000007</v>
      </c>
      <c r="J69" s="356">
        <f>+'Execution for 2013'!J76</f>
        <v>934224.6</v>
      </c>
      <c r="K69" s="355">
        <f>+'Execution for 2013'!K76</f>
        <v>746595.69000000006</v>
      </c>
      <c r="L69" s="356">
        <f>+'Execution for 2013'!L76</f>
        <v>1119949.56</v>
      </c>
      <c r="M69" s="356">
        <f>+'Execution for 2013'!M76</f>
        <v>976049.14999999991</v>
      </c>
      <c r="N69" s="355">
        <v>982048.69</v>
      </c>
      <c r="O69" s="356">
        <f>+'Execution for 2013'!O76</f>
        <v>0</v>
      </c>
      <c r="P69" s="587"/>
      <c r="Q69" s="598">
        <f t="shared" si="3"/>
        <v>10055251.82</v>
      </c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</row>
    <row r="70" spans="1:33">
      <c r="A70" s="69"/>
      <c r="B70" s="69"/>
      <c r="C70" s="69"/>
      <c r="D70" s="381" t="str">
        <f>IF(MasterSheet!$A$1=1,MasterSheet!C389,MasterSheet!B389)</f>
        <v>Prava iz oblasti penzijskog i invalidskog osiguranja</v>
      </c>
      <c r="E70" s="354">
        <f>+'Execution for 2013'!E77</f>
        <v>31674733.129999995</v>
      </c>
      <c r="F70" s="355">
        <f>+'Execution for 2013'!F77</f>
        <v>31981161.769999996</v>
      </c>
      <c r="G70" s="356">
        <f>+'Execution for 2013'!G77</f>
        <v>32270882.729999993</v>
      </c>
      <c r="H70" s="356">
        <f>+'Execution for 2013'!H77</f>
        <v>31901739.650000002</v>
      </c>
      <c r="I70" s="356">
        <f>+'Execution for 2013'!I77</f>
        <v>31873820.949999999</v>
      </c>
      <c r="J70" s="356">
        <f>+'Execution for 2013'!J77</f>
        <v>32034901.800000001</v>
      </c>
      <c r="K70" s="355">
        <f>+'Execution for 2013'!K77</f>
        <v>30924456.400000002</v>
      </c>
      <c r="L70" s="356">
        <f>+'Execution for 2013'!L77</f>
        <v>30924456.400000002</v>
      </c>
      <c r="M70" s="356">
        <f>+'Execution for 2013'!M77</f>
        <v>31691801.060000002</v>
      </c>
      <c r="N70" s="355">
        <v>31763390.190000001</v>
      </c>
      <c r="O70" s="356">
        <f>+'Execution for 2013'!O77</f>
        <v>0</v>
      </c>
      <c r="P70" s="587"/>
      <c r="Q70" s="598">
        <f t="shared" si="3"/>
        <v>317041344.07999998</v>
      </c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</row>
    <row r="71" spans="1:33">
      <c r="A71" s="69"/>
      <c r="B71" s="69"/>
      <c r="C71" s="69"/>
      <c r="D71" s="381" t="str">
        <f>IF(MasterSheet!$A$1=1,MasterSheet!C390,MasterSheet!B390)</f>
        <v>Ostala prava iz oblasti zdravstvene zaštite</v>
      </c>
      <c r="E71" s="354">
        <f>+'Execution for 2013'!E78</f>
        <v>639432.91</v>
      </c>
      <c r="F71" s="355">
        <f>+'Execution for 2013'!F78</f>
        <v>1579093.25</v>
      </c>
      <c r="G71" s="355">
        <f>+'Execution for 2013'!G78</f>
        <v>626460.35</v>
      </c>
      <c r="H71" s="356">
        <f>+'Execution for 2013'!H78</f>
        <v>1544704.71</v>
      </c>
      <c r="I71" s="356">
        <f>+'Execution for 2013'!I78</f>
        <v>1166317.46</v>
      </c>
      <c r="J71" s="356">
        <f>+'Execution for 2013'!J78</f>
        <v>678250.89</v>
      </c>
      <c r="K71" s="355">
        <f>+'Execution for 2013'!K78</f>
        <v>1306714.3700000001</v>
      </c>
      <c r="L71" s="356">
        <f>+'Execution for 2013'!L78</f>
        <v>1105331.22</v>
      </c>
      <c r="M71" s="356">
        <f>+'Execution for 2013'!M78</f>
        <v>1786629.01</v>
      </c>
      <c r="N71" s="356">
        <v>1238335.1599999999</v>
      </c>
      <c r="O71" s="356">
        <f>+'Execution for 2013'!O78</f>
        <v>0</v>
      </c>
      <c r="P71" s="587"/>
      <c r="Q71" s="598">
        <f t="shared" si="3"/>
        <v>11671269.33</v>
      </c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</row>
    <row r="72" spans="1:33">
      <c r="A72" s="69"/>
      <c r="B72" s="69"/>
      <c r="C72" s="69"/>
      <c r="D72" s="381" t="str">
        <f>IF(MasterSheet!$A$1=1,MasterSheet!C391,MasterSheet!B391)</f>
        <v>Ostala prava iz oblasti zdravstvenog osiguranja</v>
      </c>
      <c r="E72" s="354">
        <f>+'Execution for 2013'!E79</f>
        <v>370401.12</v>
      </c>
      <c r="F72" s="356">
        <f>+'Execution for 2013'!F79</f>
        <v>620552.52</v>
      </c>
      <c r="G72" s="355">
        <f>+'Execution for 2013'!G79</f>
        <v>638457.29</v>
      </c>
      <c r="H72" s="356">
        <f>+'Execution for 2013'!H79</f>
        <v>505586.33999999997</v>
      </c>
      <c r="I72" s="356">
        <f>+'Execution for 2013'!I79</f>
        <v>569999.48</v>
      </c>
      <c r="J72" s="355">
        <f>+'Execution for 2013'!J79</f>
        <v>860418.68</v>
      </c>
      <c r="K72" s="356">
        <f>+'Execution for 2013'!K79</f>
        <v>568338.07999999996</v>
      </c>
      <c r="L72" s="356">
        <f>+'Execution for 2013'!L79</f>
        <v>637853.67999999993</v>
      </c>
      <c r="M72" s="356">
        <f>+'Execution for 2013'!M79</f>
        <v>721453.07</v>
      </c>
      <c r="N72" s="356">
        <v>820095.82</v>
      </c>
      <c r="O72" s="356">
        <f>+'Execution for 2013'!O79</f>
        <v>0</v>
      </c>
      <c r="P72" s="587"/>
      <c r="Q72" s="598">
        <f t="shared" si="3"/>
        <v>6313156.080000001</v>
      </c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</row>
    <row r="73" spans="1:33" ht="25.5">
      <c r="A73" s="69"/>
      <c r="B73" s="69"/>
      <c r="C73" s="69"/>
      <c r="D73" s="383" t="str">
        <f>IF(MasterSheet!$A$1=1,MasterSheet!C392,MasterSheet!B392)</f>
        <v>Transferi institucijama pojedinicima nevladinom i javnom sektoru</v>
      </c>
      <c r="E73" s="318">
        <f>+SUM(E74:E78)</f>
        <v>4766352.82</v>
      </c>
      <c r="F73" s="318">
        <f t="shared" ref="F73:O73" si="20">+SUM(F74:F78)</f>
        <v>7183318.2799999993</v>
      </c>
      <c r="G73" s="318">
        <f t="shared" si="20"/>
        <v>8947545.6400000006</v>
      </c>
      <c r="H73" s="318">
        <f t="shared" si="20"/>
        <v>5884665.6100000003</v>
      </c>
      <c r="I73" s="318">
        <f t="shared" si="20"/>
        <v>7415737.6300000008</v>
      </c>
      <c r="J73" s="318">
        <f t="shared" si="20"/>
        <v>7060820.2999999998</v>
      </c>
      <c r="K73" s="318">
        <f t="shared" si="20"/>
        <v>5861351.5199999996</v>
      </c>
      <c r="L73" s="318">
        <f t="shared" si="20"/>
        <v>9040041.9700000007</v>
      </c>
      <c r="M73" s="318">
        <f t="shared" si="20"/>
        <v>8245712.2599999998</v>
      </c>
      <c r="N73" s="318">
        <f t="shared" si="20"/>
        <v>2974174.89</v>
      </c>
      <c r="O73" s="318">
        <f t="shared" si="20"/>
        <v>0</v>
      </c>
      <c r="P73" s="591">
        <f t="shared" ref="P73" si="21">SUM(P74:P78)</f>
        <v>0</v>
      </c>
      <c r="Q73" s="600">
        <f t="shared" si="3"/>
        <v>67379720.919999987</v>
      </c>
      <c r="R73" s="380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</row>
    <row r="74" spans="1:33">
      <c r="A74" s="69"/>
      <c r="B74" s="69"/>
      <c r="C74" s="69"/>
      <c r="D74" s="381" t="str">
        <f>IF(MasterSheet!$A$1=1,MasterSheet!C393,MasterSheet!B393)</f>
        <v>Transferi javnim institucijama</v>
      </c>
      <c r="E74" s="354">
        <f>+'Execution for 2013'!E81</f>
        <v>4359419.74</v>
      </c>
      <c r="F74" s="356">
        <f>+'Execution for 2013'!F81</f>
        <v>5926531.1499999994</v>
      </c>
      <c r="G74" s="355">
        <f>+'Execution for 2013'!G81</f>
        <v>6814693.6900000004</v>
      </c>
      <c r="H74" s="355">
        <f>+'Execution for 2013'!H81</f>
        <v>4020786.17</v>
      </c>
      <c r="I74" s="355">
        <f>+'Execution for 2013'!I81</f>
        <v>5924405.5600000005</v>
      </c>
      <c r="J74" s="356">
        <f>+'Execution for 2013'!J81</f>
        <v>5511337.29</v>
      </c>
      <c r="K74" s="356">
        <f>+'Execution for 2013'!K81</f>
        <v>3622572.18</v>
      </c>
      <c r="L74" s="356">
        <f>+'Execution for 2013'!L81</f>
        <v>7062054.1800000006</v>
      </c>
      <c r="M74" s="356">
        <f>+'Execution for 2013'!M81</f>
        <v>6729541.9399999995</v>
      </c>
      <c r="N74" s="356">
        <v>1032204.9</v>
      </c>
      <c r="O74" s="356">
        <f>+'Execution for 2013'!O81</f>
        <v>0</v>
      </c>
      <c r="P74" s="587"/>
      <c r="Q74" s="598">
        <f t="shared" si="3"/>
        <v>51003546.799999997</v>
      </c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</row>
    <row r="75" spans="1:33">
      <c r="A75" s="69"/>
      <c r="B75" s="69"/>
      <c r="C75" s="69"/>
      <c r="D75" s="381" t="str">
        <f>IF(MasterSheet!$A$1=1,MasterSheet!C394,MasterSheet!B394)</f>
        <v>Transferi nevladinim organizacijama</v>
      </c>
      <c r="E75" s="354">
        <f>+'Execution for 2013'!E82</f>
        <v>0</v>
      </c>
      <c r="F75" s="355">
        <f>+'Execution for 2013'!F82</f>
        <v>45833.34</v>
      </c>
      <c r="G75" s="355">
        <f>+'Execution for 2013'!G82</f>
        <v>23116.67</v>
      </c>
      <c r="H75" s="355">
        <f>+'Execution for 2013'!H82</f>
        <v>0</v>
      </c>
      <c r="I75" s="355">
        <f>+'Execution for 2013'!I82</f>
        <v>22916.67</v>
      </c>
      <c r="J75" s="356">
        <f>+'Execution for 2013'!J82</f>
        <v>22916.67</v>
      </c>
      <c r="K75" s="356">
        <f>+'Execution for 2013'!K82</f>
        <v>69816.67</v>
      </c>
      <c r="L75" s="356">
        <f>+'Execution for 2013'!L82</f>
        <v>131466.66999999998</v>
      </c>
      <c r="M75" s="356">
        <f>+'Execution for 2013'!M82</f>
        <v>136466.66999999998</v>
      </c>
      <c r="N75" s="356">
        <v>278192.39</v>
      </c>
      <c r="O75" s="356">
        <f>+'Execution for 2013'!O82</f>
        <v>0</v>
      </c>
      <c r="P75" s="587"/>
      <c r="Q75" s="598">
        <f t="shared" si="3"/>
        <v>730725.75</v>
      </c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</row>
    <row r="76" spans="1:33">
      <c r="A76" s="69"/>
      <c r="B76" s="69"/>
      <c r="C76" s="69"/>
      <c r="D76" s="381" t="str">
        <f>IF(MasterSheet!$A$1=1,MasterSheet!C395,MasterSheet!B395)</f>
        <v>Transferi pojedincima</v>
      </c>
      <c r="E76" s="354">
        <f>+'Execution for 2013'!E83</f>
        <v>406933.08</v>
      </c>
      <c r="F76" s="355">
        <f>+'Execution for 2013'!F83</f>
        <v>1210953.79</v>
      </c>
      <c r="G76" s="355">
        <f>+'Execution for 2013'!G83</f>
        <v>2107235.2799999998</v>
      </c>
      <c r="H76" s="355">
        <f>+'Execution for 2013'!H83</f>
        <v>1859879.4400000002</v>
      </c>
      <c r="I76" s="355">
        <f>+'Execution for 2013'!I83</f>
        <v>1468415.4</v>
      </c>
      <c r="J76" s="356">
        <f>+'Execution for 2013'!J83</f>
        <v>1526566.34</v>
      </c>
      <c r="K76" s="356">
        <f>+'Execution for 2013'!K83</f>
        <v>2167962.67</v>
      </c>
      <c r="L76" s="356">
        <f>+'Execution for 2013'!L83</f>
        <v>1826221.12</v>
      </c>
      <c r="M76" s="356">
        <f>+'Execution for 2013'!M83</f>
        <v>1376703.6500000001</v>
      </c>
      <c r="N76" s="356">
        <v>1654802.6</v>
      </c>
      <c r="O76" s="356">
        <f>+'Execution for 2013'!O83</f>
        <v>0</v>
      </c>
      <c r="P76" s="587"/>
      <c r="Q76" s="598">
        <f t="shared" si="3"/>
        <v>15605673.370000001</v>
      </c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</row>
    <row r="77" spans="1:33">
      <c r="A77" s="69"/>
      <c r="B77" s="69"/>
      <c r="C77" s="69"/>
      <c r="D77" s="381" t="str">
        <f>IF(MasterSheet!$A$1=1,MasterSheet!C396,MasterSheet!B396)</f>
        <v>Transferi opštinama</v>
      </c>
      <c r="E77" s="354">
        <f>+'Execution for 2013'!E84</f>
        <v>0</v>
      </c>
      <c r="F77" s="355">
        <f>+'Execution for 2013'!F84</f>
        <v>0</v>
      </c>
      <c r="G77" s="355">
        <f>+'Execution for 2013'!G84</f>
        <v>2500</v>
      </c>
      <c r="H77" s="355">
        <f>+'Execution for 2013'!H84</f>
        <v>4000</v>
      </c>
      <c r="I77" s="355">
        <f>+'Execution for 2013'!I84</f>
        <v>0</v>
      </c>
      <c r="J77" s="356">
        <f>+'Execution for 2013'!J84</f>
        <v>0</v>
      </c>
      <c r="K77" s="356">
        <f>+'Execution for 2013'!K84</f>
        <v>1000</v>
      </c>
      <c r="L77" s="356">
        <f>+'Execution for 2013'!L84</f>
        <v>20300</v>
      </c>
      <c r="M77" s="356">
        <f>+'Execution for 2013'!M84</f>
        <v>3000</v>
      </c>
      <c r="N77" s="356">
        <v>8975</v>
      </c>
      <c r="O77" s="356">
        <f>+'Execution for 2013'!O84</f>
        <v>0</v>
      </c>
      <c r="P77" s="587"/>
      <c r="Q77" s="598">
        <f t="shared" si="3"/>
        <v>39775</v>
      </c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</row>
    <row r="78" spans="1:33" ht="13.5" thickBot="1">
      <c r="A78" s="69"/>
      <c r="B78" s="69"/>
      <c r="C78" s="69"/>
      <c r="D78" s="382" t="str">
        <f>IF(MasterSheet!$A$1=1,MasterSheet!C397,MasterSheet!B397)</f>
        <v>Transferi javnim preduzećima</v>
      </c>
      <c r="E78" s="394">
        <f>+'Execution for 2013'!E85</f>
        <v>0</v>
      </c>
      <c r="F78" s="395">
        <f>+'Execution for 2013'!F85</f>
        <v>0</v>
      </c>
      <c r="G78" s="395">
        <f>+'Execution for 2013'!G85</f>
        <v>0</v>
      </c>
      <c r="H78" s="396">
        <f>+'Execution for 2013'!H85</f>
        <v>0</v>
      </c>
      <c r="I78" s="395">
        <f>+'Execution for 2013'!I85</f>
        <v>0</v>
      </c>
      <c r="J78" s="396">
        <f>+'Execution for 2013'!J85</f>
        <v>0</v>
      </c>
      <c r="K78" s="396">
        <f>+'Execution for 2013'!K85</f>
        <v>0</v>
      </c>
      <c r="L78" s="396">
        <f>+'Execution for 2013'!L85</f>
        <v>0</v>
      </c>
      <c r="M78" s="356">
        <f>+'Execution for 2013'!M85</f>
        <v>0</v>
      </c>
      <c r="N78" s="396">
        <v>0</v>
      </c>
      <c r="O78" s="396">
        <f>+'Execution for 2013'!O85</f>
        <v>0</v>
      </c>
      <c r="P78" s="592"/>
      <c r="Q78" s="601">
        <f t="shared" si="3"/>
        <v>0</v>
      </c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</row>
    <row r="79" spans="1:33" ht="14.25" thickTop="1" thickBot="1">
      <c r="A79" s="69"/>
      <c r="B79" s="69"/>
      <c r="C79" s="69"/>
      <c r="D79" s="358" t="str">
        <f>IF(MasterSheet!$A$1=1,MasterSheet!C398,MasterSheet!B398)</f>
        <v>Kapitalni budžet</v>
      </c>
      <c r="E79" s="448">
        <f>+'Execution for 2013'!E86</f>
        <v>138077.81</v>
      </c>
      <c r="F79" s="448">
        <f>+'Execution for 2013'!F86</f>
        <v>2008065.02</v>
      </c>
      <c r="G79" s="448">
        <f>+'Execution for 2013'!G86</f>
        <v>4422241.25</v>
      </c>
      <c r="H79" s="505">
        <f>+'Execution for 2013'!H86</f>
        <v>4197672.67</v>
      </c>
      <c r="I79" s="505">
        <f>+'Execution for 2013'!I86</f>
        <v>4236917.4400000004</v>
      </c>
      <c r="J79" s="505">
        <f>+'Execution for 2013'!J86</f>
        <v>4706155.42</v>
      </c>
      <c r="K79" s="449">
        <f>+'Execution for 2013'!K86</f>
        <v>4524523.5699999994</v>
      </c>
      <c r="L79" s="400">
        <f>+'Execution for 2013'!L86</f>
        <v>4216317.49</v>
      </c>
      <c r="M79" s="449">
        <f>+'Execution for 2013'!M86</f>
        <v>3941356.57</v>
      </c>
      <c r="N79" s="398">
        <v>5852165.4100000001</v>
      </c>
      <c r="O79" s="399">
        <f>+'Execution for 2013'!O86</f>
        <v>0</v>
      </c>
      <c r="P79" s="593"/>
      <c r="Q79" s="602">
        <f t="shared" si="3"/>
        <v>38243492.650000006</v>
      </c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</row>
    <row r="80" spans="1:33" ht="13.5" thickTop="1">
      <c r="A80" s="69"/>
      <c r="B80" s="69"/>
      <c r="C80" s="69"/>
      <c r="D80" s="381" t="str">
        <f>IF(MasterSheet!$A$1=1,MasterSheet!C399,MasterSheet!B399)</f>
        <v>Pozajmice i krediti</v>
      </c>
      <c r="E80" s="354">
        <f>+'Execution for 2013'!E87</f>
        <v>5000</v>
      </c>
      <c r="F80" s="355">
        <f>+'Execution for 2013'!F87</f>
        <v>57001.11</v>
      </c>
      <c r="G80" s="355">
        <f>+'Execution for 2013'!G87</f>
        <v>614160.66</v>
      </c>
      <c r="H80" s="355">
        <f>+'Execution for 2013'!H87</f>
        <v>220833.34</v>
      </c>
      <c r="I80" s="355">
        <f>+'Execution for 2013'!I87</f>
        <v>331814</v>
      </c>
      <c r="J80" s="356">
        <f>+'Execution for 2013'!J87</f>
        <v>6656</v>
      </c>
      <c r="K80" s="356">
        <f>+'Execution for 2013'!K87</f>
        <v>27500</v>
      </c>
      <c r="L80" s="356">
        <f>+'Execution for 2013'!L87</f>
        <v>40000</v>
      </c>
      <c r="M80" s="356">
        <f>+'Execution for 2013'!M87</f>
        <v>17507.28</v>
      </c>
      <c r="N80" s="356">
        <v>139389</v>
      </c>
      <c r="O80" s="356">
        <f>+'Execution for 2013'!O87</f>
        <v>0</v>
      </c>
      <c r="P80" s="587"/>
      <c r="Q80" s="603">
        <f t="shared" si="3"/>
        <v>1459861.39</v>
      </c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</row>
    <row r="81" spans="1:33" ht="13.5" thickBot="1">
      <c r="A81" s="69"/>
      <c r="B81" s="69"/>
      <c r="C81" s="69"/>
      <c r="D81" s="382" t="str">
        <f>IF(MasterSheet!$A$1=1,MasterSheet!C400,MasterSheet!B400)</f>
        <v>Rezerve</v>
      </c>
      <c r="E81" s="394">
        <f>+'Execution for 2013'!E88</f>
        <v>152480</v>
      </c>
      <c r="F81" s="395">
        <f>+'Execution for 2013'!F88</f>
        <v>69850</v>
      </c>
      <c r="G81" s="395">
        <f>+'Execution for 2013'!G88</f>
        <v>381882.21</v>
      </c>
      <c r="H81" s="395">
        <f>+'Execution for 2013'!H88</f>
        <v>795860</v>
      </c>
      <c r="I81" s="395">
        <f>+'Execution for 2013'!I88</f>
        <v>1010265.09</v>
      </c>
      <c r="J81" s="396">
        <f>+'Execution for 2013'!J88</f>
        <v>3303845.5</v>
      </c>
      <c r="K81" s="396">
        <f>+'Execution for 2013'!K88</f>
        <v>2217610</v>
      </c>
      <c r="L81" s="396">
        <f>+'Execution for 2013'!L88</f>
        <v>1221150.82</v>
      </c>
      <c r="M81" s="396">
        <f>+'Execution for 2013'!M88</f>
        <v>2522721.1</v>
      </c>
      <c r="N81" s="396">
        <v>2009396.54</v>
      </c>
      <c r="O81" s="396">
        <f>+'Execution for 2013'!O88</f>
        <v>0</v>
      </c>
      <c r="P81" s="592"/>
      <c r="Q81" s="601">
        <f t="shared" si="3"/>
        <v>13685061.259999998</v>
      </c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</row>
    <row r="82" spans="1:33" ht="14.25" thickTop="1" thickBot="1">
      <c r="A82" s="69"/>
      <c r="B82" s="69"/>
      <c r="C82" s="69"/>
      <c r="D82" s="358" t="str">
        <f>IF(MasterSheet!$A$1=1,MasterSheet!C402,MasterSheet!B402)</f>
        <v>Suficit/ Deficit</v>
      </c>
      <c r="E82" s="385">
        <f>+E19-E51</f>
        <v>-26119604.49000001</v>
      </c>
      <c r="F82" s="385">
        <f t="shared" ref="F82:N82" si="22">+F19-F51</f>
        <v>-19541941.799999997</v>
      </c>
      <c r="G82" s="385">
        <f t="shared" si="22"/>
        <v>-15575686.289488435</v>
      </c>
      <c r="H82" s="385">
        <f t="shared" si="22"/>
        <v>-15732527.399057269</v>
      </c>
      <c r="I82" s="385">
        <f t="shared" si="22"/>
        <v>-1584307.6302222013</v>
      </c>
      <c r="J82" s="385">
        <f t="shared" si="22"/>
        <v>-646980.66479203105</v>
      </c>
      <c r="K82" s="385">
        <f t="shared" si="22"/>
        <v>22368910.2489696</v>
      </c>
      <c r="L82" s="385">
        <f t="shared" si="22"/>
        <v>27057176.588969618</v>
      </c>
      <c r="M82" s="385">
        <f t="shared" si="22"/>
        <v>1071717.449097693</v>
      </c>
      <c r="N82" s="385">
        <f t="shared" si="22"/>
        <v>-103171653.79000001</v>
      </c>
      <c r="O82" s="385">
        <f t="shared" ref="O82:P82" si="23">O19-O51</f>
        <v>0</v>
      </c>
      <c r="P82" s="589">
        <f t="shared" si="23"/>
        <v>0</v>
      </c>
      <c r="Q82" s="596">
        <f t="shared" ref="Q82:Q87" si="24">SUM(E82:P82)</f>
        <v>-131874897.77652304</v>
      </c>
      <c r="R82" s="69"/>
      <c r="S82" s="70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</row>
    <row r="83" spans="1:33" ht="14.25" thickTop="1" thickBot="1">
      <c r="A83" s="69"/>
      <c r="B83" s="69"/>
      <c r="C83" s="69"/>
      <c r="D83" s="358" t="str">
        <f>IF(MasterSheet!$A$1=1,MasterSheet!C403,MasterSheet!B403)</f>
        <v>Primarni deficit</v>
      </c>
      <c r="E83" s="385">
        <f>+E82+E63</f>
        <v>-25565813.980000008</v>
      </c>
      <c r="F83" s="385">
        <f t="shared" ref="F83:N83" si="25">+F82+F63</f>
        <v>-17780590.449999996</v>
      </c>
      <c r="G83" s="385">
        <f t="shared" si="25"/>
        <v>-13557237.999488436</v>
      </c>
      <c r="H83" s="385">
        <f t="shared" si="25"/>
        <v>9580694.9709427319</v>
      </c>
      <c r="I83" s="385">
        <f t="shared" si="25"/>
        <v>-458891.70022220118</v>
      </c>
      <c r="J83" s="385">
        <f t="shared" si="25"/>
        <v>2857471.4252079693</v>
      </c>
      <c r="K83" s="385">
        <f t="shared" si="25"/>
        <v>28023680.2089696</v>
      </c>
      <c r="L83" s="385">
        <f t="shared" si="25"/>
        <v>29160756.678969618</v>
      </c>
      <c r="M83" s="385">
        <f t="shared" si="25"/>
        <v>19841771.449097693</v>
      </c>
      <c r="N83" s="385">
        <f t="shared" si="25"/>
        <v>-102653772.04000001</v>
      </c>
      <c r="O83" s="385">
        <f t="shared" ref="O83:P83" si="26">O82+O63</f>
        <v>0</v>
      </c>
      <c r="P83" s="589">
        <f t="shared" si="26"/>
        <v>0</v>
      </c>
      <c r="Q83" s="596">
        <f t="shared" si="24"/>
        <v>-70551931.436523035</v>
      </c>
      <c r="R83" s="69"/>
      <c r="S83" s="70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</row>
    <row r="84" spans="1:33" ht="14.25" thickTop="1" thickBot="1">
      <c r="A84" s="69"/>
      <c r="B84" s="69"/>
      <c r="C84" s="69"/>
      <c r="D84" s="358" t="str">
        <f>IF(MasterSheet!$A$1=1,MasterSheet!C404,MasterSheet!B404)</f>
        <v>Otplata duga</v>
      </c>
      <c r="E84" s="385">
        <f>+SUM(E85:E88)</f>
        <v>16061025.709999999</v>
      </c>
      <c r="F84" s="385">
        <f t="shared" ref="F84:N84" si="27">+SUM(F85:F88)</f>
        <v>7375048.8699999992</v>
      </c>
      <c r="G84" s="385">
        <f t="shared" si="27"/>
        <v>7335753.8399999999</v>
      </c>
      <c r="H84" s="385">
        <f t="shared" si="27"/>
        <v>8040347.9100000001</v>
      </c>
      <c r="I84" s="385">
        <f t="shared" si="27"/>
        <v>5565089.5</v>
      </c>
      <c r="J84" s="385">
        <f t="shared" si="27"/>
        <v>18466625.890000001</v>
      </c>
      <c r="K84" s="385">
        <f t="shared" si="27"/>
        <v>113918933.03999999</v>
      </c>
      <c r="L84" s="385">
        <f t="shared" si="27"/>
        <v>59379864.049999997</v>
      </c>
      <c r="M84" s="385">
        <f t="shared" si="27"/>
        <v>43588488.289999999</v>
      </c>
      <c r="N84" s="385">
        <f t="shared" si="27"/>
        <v>5168580.3100000005</v>
      </c>
      <c r="O84" s="385">
        <f t="shared" ref="O84:P84" si="28">SUM(O85:O88)</f>
        <v>0</v>
      </c>
      <c r="P84" s="589">
        <f t="shared" si="28"/>
        <v>0</v>
      </c>
      <c r="Q84" s="596">
        <f t="shared" si="24"/>
        <v>284899757.41000003</v>
      </c>
      <c r="R84" s="69"/>
      <c r="S84" s="70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</row>
    <row r="85" spans="1:33" ht="13.5" thickTop="1">
      <c r="A85" s="69"/>
      <c r="B85" s="69"/>
      <c r="C85" s="69"/>
      <c r="D85" s="381" t="str">
        <f>IF(MasterSheet!$A$1=1,MasterSheet!C405,MasterSheet!B405)</f>
        <v>Otplata duga rezidentima</v>
      </c>
      <c r="E85" s="354">
        <f>+'Execution for 2013'!E93</f>
        <v>10400865.82</v>
      </c>
      <c r="F85" s="355">
        <f>+'Execution for 2013'!F93</f>
        <v>889367.83</v>
      </c>
      <c r="G85" s="355">
        <f>+'Execution for 2013'!G93</f>
        <v>1750313.77</v>
      </c>
      <c r="H85" s="355">
        <f>+'Execution for 2013'!H93</f>
        <v>3841059.43</v>
      </c>
      <c r="I85" s="355">
        <f>+'Execution for 2013'!I93</f>
        <v>1945669.64</v>
      </c>
      <c r="J85" s="356">
        <f>+'Execution for 2013'!J93</f>
        <v>989736.54</v>
      </c>
      <c r="K85" s="356">
        <f>+'Execution for 2013'!K93</f>
        <v>34603919.259999998</v>
      </c>
      <c r="L85" s="356">
        <f>+'Execution for 2013'!L93</f>
        <v>9944955.3699999992</v>
      </c>
      <c r="M85" s="356">
        <f>+'Execution for 2013'!M93</f>
        <v>24394432.170000002</v>
      </c>
      <c r="N85" s="356">
        <v>2641976.31</v>
      </c>
      <c r="O85" s="356">
        <f>+'Execution for 2013'!O93</f>
        <v>0</v>
      </c>
      <c r="P85" s="587"/>
      <c r="Q85" s="598">
        <f t="shared" si="24"/>
        <v>91402296.140000001</v>
      </c>
      <c r="R85" s="69"/>
      <c r="S85" s="633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</row>
    <row r="86" spans="1:33">
      <c r="A86" s="69"/>
      <c r="B86" s="69"/>
      <c r="C86" s="69"/>
      <c r="D86" s="381" t="str">
        <f>IF(MasterSheet!$A$1=1,MasterSheet!C406,MasterSheet!B406)</f>
        <v>Otplata duga nerezidentima</v>
      </c>
      <c r="E86" s="354">
        <f>+'Execution for 2013'!E94</f>
        <v>3134669.41</v>
      </c>
      <c r="F86" s="355">
        <f>+'Execution for 2013'!F94</f>
        <v>158802.38</v>
      </c>
      <c r="G86" s="355">
        <f>+'Execution for 2013'!G94</f>
        <v>3437439.14</v>
      </c>
      <c r="H86" s="355">
        <f>+'Execution for 2013'!H94</f>
        <v>1585656.96</v>
      </c>
      <c r="I86" s="355">
        <f>+'Execution for 2013'!I94</f>
        <v>2516927.7599999998</v>
      </c>
      <c r="J86" s="356">
        <f>+'Execution for 2013'!J94</f>
        <v>11294736.17</v>
      </c>
      <c r="K86" s="356">
        <f>+'Execution for 2013'!K94</f>
        <v>4774307.72</v>
      </c>
      <c r="L86" s="356">
        <f>+'Execution for 2013'!L94</f>
        <v>790205.48</v>
      </c>
      <c r="M86" s="356">
        <f>+'Execution for 2013'!M94</f>
        <v>12179630.32</v>
      </c>
      <c r="N86" s="356">
        <v>1290336.6000000001</v>
      </c>
      <c r="O86" s="356">
        <f>+'Execution for 2013'!O94</f>
        <v>0</v>
      </c>
      <c r="P86" s="587"/>
      <c r="Q86" s="598">
        <f t="shared" si="24"/>
        <v>41162711.940000005</v>
      </c>
      <c r="R86" s="69"/>
      <c r="S86" s="70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</row>
    <row r="87" spans="1:33">
      <c r="A87" s="69"/>
      <c r="B87" s="69"/>
      <c r="C87" s="69"/>
      <c r="D87" s="381" t="str">
        <f>IF(MasterSheet!$A$1=1,MasterSheet!C407,MasterSheet!B407)</f>
        <v>Otplata obaveza iz prethodnog perioda</v>
      </c>
      <c r="E87" s="354">
        <f>+'Execution for 2013'!E95</f>
        <v>2525490.4799999991</v>
      </c>
      <c r="F87" s="355">
        <f>+'Execution for 2013'!F95</f>
        <v>6326878.6599999992</v>
      </c>
      <c r="G87" s="355">
        <f>+'Execution for 2013'!G95</f>
        <v>2148000.9299999992</v>
      </c>
      <c r="H87" s="355">
        <f>+'Execution for 2013'!H95</f>
        <v>2468111.1499999994</v>
      </c>
      <c r="I87" s="355">
        <f>+'Execution for 2013'!I95</f>
        <v>1102492.1000000001</v>
      </c>
      <c r="J87" s="356">
        <f>+'Execution for 2013'!J95</f>
        <v>6182153.1800000016</v>
      </c>
      <c r="K87" s="356">
        <f>+'Execution for 2013'!K95</f>
        <v>14484226.060000001</v>
      </c>
      <c r="L87" s="356">
        <f>+'Execution for 2013'!L95</f>
        <v>5744409.1899999985</v>
      </c>
      <c r="M87" s="356">
        <f>+'Execution for 2013'!M95</f>
        <v>7014425.7999999998</v>
      </c>
      <c r="N87" s="356">
        <v>1236267.3999999999</v>
      </c>
      <c r="O87" s="356">
        <f>+'Execution for 2013'!O95</f>
        <v>0</v>
      </c>
      <c r="P87" s="587"/>
      <c r="Q87" s="598">
        <f t="shared" si="24"/>
        <v>49232454.949999996</v>
      </c>
      <c r="R87" s="69"/>
      <c r="S87" s="70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</row>
    <row r="88" spans="1:33" ht="13.5" thickBot="1">
      <c r="A88" s="69"/>
      <c r="B88" s="69"/>
      <c r="C88" s="69"/>
      <c r="D88" s="382" t="str">
        <f>IF(MasterSheet!$A$1=1,MasterSheet!C408,MasterSheet!B408)</f>
        <v>Otplata garancija</v>
      </c>
      <c r="E88" s="354">
        <f>+'Execution for 2013'!E89</f>
        <v>0</v>
      </c>
      <c r="F88" s="355">
        <f>+'Execution for 2013'!F89</f>
        <v>0</v>
      </c>
      <c r="G88" s="355">
        <f>+'Execution for 2013'!G89</f>
        <v>0</v>
      </c>
      <c r="H88" s="355">
        <f>+'Execution for 2013'!H89</f>
        <v>145520.37</v>
      </c>
      <c r="I88" s="355">
        <f>+'Execution for 2013'!I89</f>
        <v>0</v>
      </c>
      <c r="J88" s="356">
        <f>+'Execution for 2013'!J89</f>
        <v>0</v>
      </c>
      <c r="K88" s="356">
        <f>+'Execution for 2013'!K89</f>
        <v>60056480</v>
      </c>
      <c r="L88" s="356">
        <f>+'Execution for 2013'!L89</f>
        <v>42900294.009999998</v>
      </c>
      <c r="M88" s="356">
        <f>+'Execution for 2013'!M89</f>
        <v>0</v>
      </c>
      <c r="N88" s="356">
        <f>+'Execution for 2013'!N89</f>
        <v>0</v>
      </c>
      <c r="O88" s="356">
        <f>+'Execution for 2013'!O89</f>
        <v>0</v>
      </c>
      <c r="P88" s="587"/>
      <c r="Q88" s="598">
        <f t="shared" ref="Q88:Q95" si="29">SUM(E88:P88)</f>
        <v>103102294.38</v>
      </c>
      <c r="R88" s="69"/>
      <c r="S88" s="70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</row>
    <row r="89" spans="1:33" ht="14.25" thickTop="1" thickBot="1">
      <c r="A89" s="69"/>
      <c r="B89" s="69"/>
      <c r="C89" s="69"/>
      <c r="D89" s="358" t="str">
        <f>IF(MasterSheet!$A$1=1,MasterSheet!C409,MasterSheet!B409)</f>
        <v>Nedostajuća sredstva</v>
      </c>
      <c r="E89" s="385">
        <f>+E82-E84</f>
        <v>-42180630.20000001</v>
      </c>
      <c r="F89" s="385">
        <f t="shared" ref="F89:N89" si="30">+F82-F84</f>
        <v>-26916990.669999994</v>
      </c>
      <c r="G89" s="385">
        <f t="shared" si="30"/>
        <v>-22911440.129488435</v>
      </c>
      <c r="H89" s="385">
        <f t="shared" si="30"/>
        <v>-23772875.309057269</v>
      </c>
      <c r="I89" s="385">
        <f t="shared" si="30"/>
        <v>-7149397.1302222013</v>
      </c>
      <c r="J89" s="385">
        <f t="shared" si="30"/>
        <v>-19113606.554792032</v>
      </c>
      <c r="K89" s="385">
        <f t="shared" si="30"/>
        <v>-91550022.791030392</v>
      </c>
      <c r="L89" s="385">
        <f t="shared" si="30"/>
        <v>-32322687.461030379</v>
      </c>
      <c r="M89" s="385">
        <f t="shared" si="30"/>
        <v>-42516770.840902306</v>
      </c>
      <c r="N89" s="385">
        <f t="shared" si="30"/>
        <v>-108340234.10000001</v>
      </c>
      <c r="O89" s="385">
        <f t="shared" ref="O89:P89" si="31">O82-O84</f>
        <v>0</v>
      </c>
      <c r="P89" s="589">
        <f t="shared" si="31"/>
        <v>0</v>
      </c>
      <c r="Q89" s="596">
        <f t="shared" si="29"/>
        <v>-416774655.18652308</v>
      </c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</row>
    <row r="90" spans="1:33" ht="14.25" thickTop="1" thickBot="1">
      <c r="A90" s="69"/>
      <c r="B90" s="69"/>
      <c r="C90" s="69"/>
      <c r="D90" s="358" t="str">
        <f>IF(MasterSheet!$A$1=1,MasterSheet!C410,MasterSheet!B410)</f>
        <v>Finansiranje</v>
      </c>
      <c r="E90" s="385">
        <f>+SUM(E91:E95)</f>
        <v>42339934.480000012</v>
      </c>
      <c r="F90" s="385">
        <f t="shared" ref="F90:N90" si="32">+SUM(F91:F95)</f>
        <v>27030435.999999993</v>
      </c>
      <c r="G90" s="385">
        <f t="shared" si="32"/>
        <v>23430357.579488453</v>
      </c>
      <c r="H90" s="385">
        <f t="shared" si="32"/>
        <v>24474747.319057278</v>
      </c>
      <c r="I90" s="385">
        <f t="shared" si="32"/>
        <v>7846623.2802222073</v>
      </c>
      <c r="J90" s="385">
        <f t="shared" si="32"/>
        <v>19617551.554792032</v>
      </c>
      <c r="K90" s="385">
        <f t="shared" si="32"/>
        <v>91954015.191030383</v>
      </c>
      <c r="L90" s="385">
        <f t="shared" si="32"/>
        <v>33605695.781030379</v>
      </c>
      <c r="M90" s="385">
        <f t="shared" si="32"/>
        <v>44487297.390902303</v>
      </c>
      <c r="N90" s="385">
        <f t="shared" si="32"/>
        <v>108340234.10000001</v>
      </c>
      <c r="O90" s="385">
        <f t="shared" ref="O90:P90" si="33">SUM(O91:O95)</f>
        <v>0</v>
      </c>
      <c r="P90" s="589">
        <f t="shared" si="33"/>
        <v>0</v>
      </c>
      <c r="Q90" s="596">
        <f t="shared" si="29"/>
        <v>423126892.67652303</v>
      </c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</row>
    <row r="91" spans="1:33" ht="13.5" thickTop="1">
      <c r="A91" s="69"/>
      <c r="B91" s="69"/>
      <c r="C91" s="69"/>
      <c r="D91" s="381" t="str">
        <f>IF(MasterSheet!$A$1=1,MasterSheet!C411,MasterSheet!B411)</f>
        <v>Pozajmice i krediti iz domaćih izvora</v>
      </c>
      <c r="E91" s="354">
        <f>+'Execution for 2013'!E98</f>
        <v>0</v>
      </c>
      <c r="F91" s="355">
        <f>+'Execution for 2013'!F98</f>
        <v>3971500</v>
      </c>
      <c r="G91" s="355">
        <f>+'Execution for 2013'!G98</f>
        <v>23000000</v>
      </c>
      <c r="H91" s="533">
        <f>+'Execution for 2013'!H98</f>
        <v>14499142</v>
      </c>
      <c r="I91" s="355">
        <f>+'Execution for 2013'!I98</f>
        <v>4400000</v>
      </c>
      <c r="J91" s="356">
        <f>+'Execution for 2013'!J98</f>
        <v>7785609.8499999996</v>
      </c>
      <c r="K91" s="355">
        <f>+'Execution for 2013'!K98</f>
        <v>11000000</v>
      </c>
      <c r="L91" s="356">
        <f>+'Execution for 2013'!L98</f>
        <v>2178500</v>
      </c>
      <c r="M91" s="356">
        <f>+'Execution for 2013'!M98</f>
        <v>16000000</v>
      </c>
      <c r="N91" s="356">
        <f>+'Execution for 2013'!N98</f>
        <v>0</v>
      </c>
      <c r="O91" s="356">
        <f>+'Execution for 2013'!O98</f>
        <v>0</v>
      </c>
      <c r="P91" s="587"/>
      <c r="Q91" s="598">
        <f t="shared" si="29"/>
        <v>82834751.849999994</v>
      </c>
      <c r="R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</row>
    <row r="92" spans="1:33">
      <c r="A92" s="69"/>
      <c r="B92" s="69"/>
      <c r="C92" s="69"/>
      <c r="D92" s="381" t="str">
        <f>IF(MasterSheet!$A$1=1,MasterSheet!C412,MasterSheet!B412)</f>
        <v>Pozajmice i krediti iz inostranih izvora</v>
      </c>
      <c r="E92" s="354">
        <f>+'Execution for 2013'!E99</f>
        <v>35315594.670000002</v>
      </c>
      <c r="F92" s="355">
        <f>+'Execution for 2013'!F99</f>
        <v>1296835.01</v>
      </c>
      <c r="G92" s="355">
        <f>+'Execution for 2013'!G99</f>
        <v>1101008.74</v>
      </c>
      <c r="H92" s="356">
        <f>+'Execution for 2013'!H99</f>
        <v>772062.14</v>
      </c>
      <c r="I92" s="356">
        <f>+'Execution for 2013'!I99</f>
        <v>1139143.8400000001</v>
      </c>
      <c r="J92" s="356">
        <f>+'Execution for 2013'!J99</f>
        <v>3391069.12</v>
      </c>
      <c r="K92" s="355">
        <f>+'Execution for 2013'!K99</f>
        <v>59393091.18</v>
      </c>
      <c r="L92" s="356">
        <f>+'Execution for 2013'!L99</f>
        <v>43150880.350000001</v>
      </c>
      <c r="M92" s="356">
        <f>+'Execution for 2013'!M99</f>
        <v>107867.28</v>
      </c>
      <c r="N92" s="356">
        <f>+'Execution for 2013'!N99</f>
        <v>0</v>
      </c>
      <c r="O92" s="356">
        <f>+'Execution for 2013'!O99</f>
        <v>0</v>
      </c>
      <c r="P92" s="587"/>
      <c r="Q92" s="598">
        <f t="shared" si="29"/>
        <v>145667552.33000001</v>
      </c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</row>
    <row r="93" spans="1:33">
      <c r="A93" s="69"/>
      <c r="B93" s="69"/>
      <c r="C93" s="69"/>
      <c r="D93" s="381" t="str">
        <f>IF(MasterSheet!$A$1=1,MasterSheet!C413,MasterSheet!B413)</f>
        <v>Donacije</v>
      </c>
      <c r="E93" s="354">
        <f>+'Execution for 2013'!E100</f>
        <v>167742.15</v>
      </c>
      <c r="F93" s="355">
        <f>+'Execution for 2013'!F100</f>
        <v>159044.29999999999</v>
      </c>
      <c r="G93" s="355">
        <f>+'Execution for 2013'!G100</f>
        <v>618410.81000000006</v>
      </c>
      <c r="H93" s="355">
        <f>+'Execution for 2013'!H100</f>
        <v>144375.03</v>
      </c>
      <c r="I93" s="355">
        <f>+'Execution for 2013'!I100</f>
        <v>330184.13</v>
      </c>
      <c r="J93" s="356">
        <f>+'Execution for 2013'!J100</f>
        <v>419506.45</v>
      </c>
      <c r="K93" s="355">
        <f>+'Execution for 2013'!K100</f>
        <v>487486.95</v>
      </c>
      <c r="L93" s="356">
        <f>+'Execution for 2013'!L100</f>
        <v>225370.9</v>
      </c>
      <c r="M93" s="356">
        <f>+'Execution for 2013'!M100</f>
        <v>707740.43</v>
      </c>
      <c r="N93" s="356">
        <f>+'Execution for 2013'!N100</f>
        <v>0</v>
      </c>
      <c r="O93" s="356">
        <f>+'Execution for 2013'!O100</f>
        <v>0</v>
      </c>
      <c r="P93" s="587"/>
      <c r="Q93" s="598">
        <f t="shared" si="29"/>
        <v>3259861.15</v>
      </c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</row>
    <row r="94" spans="1:33">
      <c r="A94" s="69"/>
      <c r="B94" s="69"/>
      <c r="C94" s="69"/>
      <c r="D94" s="381" t="str">
        <f>IF(MasterSheet!$A$1=1,MasterSheet!C414,MasterSheet!B414)</f>
        <v>Prihodi od privatizacije</v>
      </c>
      <c r="E94" s="354">
        <f>+'Execution for 2013'!E101</f>
        <v>10542.3</v>
      </c>
      <c r="F94" s="356">
        <f>+'Execution for 2013'!F101</f>
        <v>34351.879999999997</v>
      </c>
      <c r="G94" s="356">
        <f>+'Execution for 2013'!G101</f>
        <v>12933.29</v>
      </c>
      <c r="H94" s="355">
        <f>+'Execution for 2013'!H101</f>
        <v>120350.94</v>
      </c>
      <c r="I94" s="355">
        <f>+'Execution for 2013'!I101</f>
        <v>206183.41</v>
      </c>
      <c r="J94" s="356">
        <f>+'Execution for 2013'!J101</f>
        <v>461491.11</v>
      </c>
      <c r="K94" s="355">
        <f>+'Execution for 2013'!K101</f>
        <v>435504.8</v>
      </c>
      <c r="L94" s="356">
        <f>+'Execution for 2013'!L101</f>
        <v>828248.49</v>
      </c>
      <c r="M94" s="356">
        <f>+'Execution for 2013'!M101</f>
        <v>315288.5</v>
      </c>
      <c r="N94" s="356">
        <f>+'Execution for 2013'!N101</f>
        <v>0</v>
      </c>
      <c r="O94" s="356">
        <f>+'Execution for 2013'!O101</f>
        <v>0</v>
      </c>
      <c r="P94" s="587"/>
      <c r="Q94" s="598">
        <f t="shared" si="29"/>
        <v>2424894.7199999997</v>
      </c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69"/>
    </row>
    <row r="95" spans="1:33" ht="13.5" thickBot="1">
      <c r="A95" s="69"/>
      <c r="B95" s="69"/>
      <c r="C95" s="69"/>
      <c r="D95" s="384" t="str">
        <f>IF(MasterSheet!$A$1=1,MasterSheet!C415,MasterSheet!B415)</f>
        <v>Povećanje/smanjenje depozita</v>
      </c>
      <c r="E95" s="369">
        <f>+'Execution for 2013'!E102</f>
        <v>6846055.3600000143</v>
      </c>
      <c r="F95" s="371">
        <f>+'Execution for 2013'!F102</f>
        <v>21568704.809999995</v>
      </c>
      <c r="G95" s="371">
        <f>+'Execution for 2013'!G102</f>
        <v>-1301995.2605115436</v>
      </c>
      <c r="H95" s="438">
        <f>+'Execution for 2013'!H102</f>
        <v>8938817.2090572789</v>
      </c>
      <c r="I95" s="392">
        <f>+'Execution for 2013'!I102</f>
        <v>1771111.9002222074</v>
      </c>
      <c r="J95" s="392">
        <f>+'Execution for 2013'!J102</f>
        <v>7559875.0247920342</v>
      </c>
      <c r="K95" s="392">
        <f>+'Execution for 2013'!K102</f>
        <v>20637932.261030376</v>
      </c>
      <c r="L95" s="392">
        <f>+'Execution for 2013'!L102</f>
        <v>-12777303.958969623</v>
      </c>
      <c r="M95" s="392">
        <f>+'Execution for 2013'!M102</f>
        <v>27356401.180902302</v>
      </c>
      <c r="N95" s="377">
        <f t="shared" ref="N95:P95" si="34">-N89-SUM(N91:N94)</f>
        <v>108340234.10000001</v>
      </c>
      <c r="O95" s="391">
        <f t="shared" si="34"/>
        <v>0</v>
      </c>
      <c r="P95" s="594">
        <f t="shared" si="34"/>
        <v>0</v>
      </c>
      <c r="Q95" s="599">
        <f t="shared" si="29"/>
        <v>188939832.62652305</v>
      </c>
      <c r="R95" s="380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</row>
    <row r="96" spans="1:33" ht="13.5" thickTop="1">
      <c r="A96" s="69"/>
      <c r="B96" s="69"/>
      <c r="C96" s="69"/>
      <c r="D96" s="379" t="str">
        <f>IF(MasterSheet!$A$1=1,MasterSheet!C416,MasterSheet!B416)</f>
        <v>Izvor: Ministarstvo finansija Crne Gore</v>
      </c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</row>
    <row r="97" spans="1:33">
      <c r="A97" s="69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</row>
    <row r="98" spans="1:33">
      <c r="A98" s="69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</row>
    <row r="99" spans="1:33">
      <c r="A99" s="69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</row>
    <row r="100" spans="1:33">
      <c r="A100" s="69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</row>
    <row r="101" spans="1:33">
      <c r="A101" s="69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</row>
    <row r="102" spans="1:33">
      <c r="A102" s="69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</row>
    <row r="103" spans="1:33">
      <c r="A103" s="69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</row>
    <row r="104" spans="1:33">
      <c r="A104" s="69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</row>
    <row r="105" spans="1:33">
      <c r="A105" s="69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</row>
    <row r="106" spans="1:33">
      <c r="A106" s="69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</row>
    <row r="107" spans="1:33">
      <c r="A107" s="69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</row>
    <row r="108" spans="1:33">
      <c r="A108" s="69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</row>
    <row r="109" spans="1:33">
      <c r="A109" s="69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</row>
    <row r="110" spans="1:33">
      <c r="A110" s="69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</row>
    <row r="111" spans="1:33">
      <c r="A111" s="69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</row>
    <row r="112" spans="1:33">
      <c r="A112" s="69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</row>
    <row r="113" spans="1:33">
      <c r="A113" s="69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</row>
    <row r="114" spans="1:33">
      <c r="A114" s="69"/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</row>
    <row r="115" spans="1:33">
      <c r="A115" s="69"/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</row>
    <row r="116" spans="1:33">
      <c r="A116" s="69"/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</row>
    <row r="117" spans="1:33">
      <c r="A117" s="69"/>
      <c r="B117" s="69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</row>
    <row r="118" spans="1:33">
      <c r="A118" s="69"/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</row>
    <row r="119" spans="1:33">
      <c r="A119" s="69"/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</row>
    <row r="120" spans="1:33">
      <c r="A120" s="69"/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</row>
    <row r="121" spans="1:33">
      <c r="A121" s="69"/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</row>
    <row r="122" spans="1:33">
      <c r="A122" s="69"/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</row>
    <row r="123" spans="1:33">
      <c r="A123" s="69"/>
      <c r="B123" s="69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</row>
    <row r="124" spans="1:33">
      <c r="A124" s="69"/>
      <c r="B124" s="69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</row>
    <row r="125" spans="1:33">
      <c r="A125" s="69"/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</row>
    <row r="126" spans="1:33">
      <c r="A126" s="69"/>
      <c r="B126" s="69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</row>
    <row r="127" spans="1:33">
      <c r="A127" s="69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</row>
    <row r="128" spans="1:33">
      <c r="A128" s="69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</row>
    <row r="129" spans="1:33">
      <c r="A129" s="69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</row>
    <row r="130" spans="1:33">
      <c r="A130" s="69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</row>
    <row r="131" spans="1:33">
      <c r="A131" s="69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</row>
    <row r="132" spans="1:33">
      <c r="A132" s="69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</row>
    <row r="133" spans="1:33">
      <c r="A133" s="69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</row>
    <row r="134" spans="1:33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</row>
    <row r="135" spans="1:33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</row>
    <row r="136" spans="1:33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</row>
    <row r="137" spans="1:33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</row>
    <row r="138" spans="1:33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</row>
    <row r="139" spans="1:33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</row>
    <row r="140" spans="1:33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</row>
    <row r="141" spans="1:33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</row>
    <row r="142" spans="1:33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</row>
    <row r="143" spans="1:33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</row>
    <row r="144" spans="1:33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</row>
    <row r="145" spans="1:33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</row>
    <row r="146" spans="1:33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</row>
    <row r="147" spans="1:33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</row>
    <row r="148" spans="1:33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69"/>
      <c r="AG148" s="69"/>
    </row>
    <row r="149" spans="1:33">
      <c r="A149" s="69"/>
      <c r="B149" s="69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69"/>
      <c r="AG149" s="69"/>
    </row>
    <row r="150" spans="1:33">
      <c r="A150" s="69"/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/>
      <c r="AE150" s="69"/>
      <c r="AF150" s="69"/>
      <c r="AG150" s="69"/>
    </row>
    <row r="151" spans="1:33">
      <c r="A151" s="69"/>
      <c r="B151" s="69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69"/>
    </row>
    <row r="152" spans="1:33">
      <c r="A152" s="69"/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</row>
    <row r="153" spans="1:33">
      <c r="A153" s="69"/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</row>
  </sheetData>
  <sheetProtection sheet="1" objects="1" scenarios="1" formatCells="0" formatColumns="0" formatRows="0" sort="0" autoFilter="0" pivotTables="0"/>
  <mergeCells count="5">
    <mergeCell ref="E8:Q8"/>
    <mergeCell ref="E9:Q9"/>
    <mergeCell ref="E14:Q14"/>
    <mergeCell ref="D17:D18"/>
    <mergeCell ref="E17:Q17"/>
  </mergeCells>
  <pageMargins left="0.7" right="0.7" top="0.75" bottom="0.75" header="0.3" footer="0.3"/>
  <pageSetup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103"/>
  <sheetViews>
    <sheetView topLeftCell="C16" zoomScaleSheetLayoutView="115" workbookViewId="0">
      <selection activeCell="J13" sqref="J13"/>
    </sheetView>
  </sheetViews>
  <sheetFormatPr defaultRowHeight="12.75"/>
  <cols>
    <col min="1" max="5" width="9" customWidth="1"/>
    <col min="6" max="6" width="25.85546875" customWidth="1"/>
    <col min="7" max="7" width="40.28515625" customWidth="1"/>
    <col min="8" max="11" width="14" customWidth="1"/>
    <col min="12" max="12" width="9.140625" hidden="1" customWidth="1"/>
    <col min="13" max="13" width="8" hidden="1" customWidth="1"/>
    <col min="14" max="14" width="9.28515625" hidden="1" customWidth="1"/>
    <col min="15" max="15" width="11.85546875" hidden="1" customWidth="1"/>
  </cols>
  <sheetData>
    <row r="1" spans="1:31">
      <c r="A1" s="69"/>
      <c r="B1" s="69"/>
      <c r="C1" s="69"/>
      <c r="D1" s="69"/>
      <c r="E1" s="69"/>
      <c r="F1" s="69"/>
      <c r="G1" s="69"/>
      <c r="H1" s="73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</row>
    <row r="2" spans="1:31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</row>
    <row r="3" spans="1:31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</row>
    <row r="4" spans="1:31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</row>
    <row r="5" spans="1:31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</row>
    <row r="6" spans="1:31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</row>
    <row r="7" spans="1:31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</row>
    <row r="8" spans="1:31" ht="15">
      <c r="A8" s="69"/>
      <c r="B8" s="69"/>
      <c r="C8" s="69"/>
      <c r="D8" s="69"/>
      <c r="E8" s="69"/>
      <c r="F8" s="69"/>
      <c r="G8" s="69"/>
      <c r="H8" s="76"/>
      <c r="I8" s="266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</row>
    <row r="9" spans="1:31" ht="15">
      <c r="A9" s="69"/>
      <c r="B9" s="69"/>
      <c r="C9" s="69"/>
      <c r="D9" s="69"/>
      <c r="E9" s="69"/>
      <c r="F9" s="69"/>
      <c r="G9" s="69"/>
      <c r="H9" s="266"/>
      <c r="I9" s="76"/>
      <c r="J9" s="76"/>
      <c r="K9" s="76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</row>
    <row r="10" spans="1:31" ht="15">
      <c r="A10" s="69"/>
      <c r="B10" s="69"/>
      <c r="C10" s="69"/>
      <c r="D10" s="69"/>
      <c r="E10" s="69"/>
      <c r="F10" s="69"/>
      <c r="G10" s="69"/>
      <c r="H10" s="266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</row>
    <row r="11" spans="1:31" ht="15">
      <c r="A11" s="69"/>
      <c r="B11" s="69"/>
      <c r="C11" s="69"/>
      <c r="D11" s="69"/>
      <c r="E11" s="69"/>
      <c r="F11" s="69"/>
      <c r="G11" s="69"/>
      <c r="H11" s="1176" t="str">
        <f>IF(MasterSheet!$A$1 = 1, MasterSheet!C6,MasterSheet!B6)</f>
        <v>MINISTARSTVO FINANSIJA</v>
      </c>
      <c r="I11" s="1176"/>
      <c r="J11" s="1176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</row>
    <row r="12" spans="1:31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</row>
    <row r="13" spans="1:31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</row>
    <row r="14" spans="1:31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</row>
    <row r="15" spans="1:31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</row>
    <row r="16" spans="1:31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</row>
    <row r="17" spans="1:31" ht="13.5" thickBot="1">
      <c r="A17" s="69"/>
      <c r="B17" s="69"/>
      <c r="C17" s="69"/>
      <c r="D17" s="69"/>
      <c r="E17" s="78"/>
      <c r="F17" s="78"/>
      <c r="G17" s="69"/>
      <c r="H17" s="69"/>
      <c r="I17" s="69"/>
      <c r="J17" s="69"/>
      <c r="K17" s="69"/>
      <c r="L17" s="69"/>
      <c r="M17" s="69"/>
      <c r="N17" s="69"/>
      <c r="O17" s="77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</row>
    <row r="18" spans="1:31" ht="16.5" customHeight="1" thickTop="1" thickBot="1">
      <c r="A18" s="69"/>
      <c r="B18" s="69"/>
      <c r="C18" s="69"/>
      <c r="D18" s="69"/>
      <c r="E18" s="69"/>
      <c r="F18" s="1183" t="str">
        <f>IF(MasterSheet!$A$1=1,MasterSheet!D40,MasterSheet!B40)</f>
        <v>Makroekonomski i fiskalni okvir  (u % BDP-a)</v>
      </c>
      <c r="G18" s="1184"/>
      <c r="H18" s="688" t="s">
        <v>416</v>
      </c>
      <c r="I18" s="763" t="s">
        <v>338</v>
      </c>
      <c r="J18" s="1177" t="s">
        <v>417</v>
      </c>
      <c r="K18" s="1178"/>
      <c r="L18" s="1178"/>
      <c r="M18" s="1178"/>
      <c r="N18" s="1178"/>
      <c r="O18" s="1178"/>
      <c r="P18" s="1178"/>
      <c r="Q18" s="117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</row>
    <row r="19" spans="1:31" ht="16.5" thickTop="1" thickBot="1">
      <c r="A19" s="69"/>
      <c r="B19" s="69"/>
      <c r="C19" s="69"/>
      <c r="D19" s="69"/>
      <c r="E19" s="69"/>
      <c r="F19" s="1185"/>
      <c r="G19" s="1186"/>
      <c r="H19" s="682" t="s">
        <v>224</v>
      </c>
      <c r="I19" s="681" t="s">
        <v>225</v>
      </c>
      <c r="J19" s="681" t="s">
        <v>418</v>
      </c>
      <c r="K19" s="682">
        <v>2014</v>
      </c>
      <c r="L19" s="682">
        <v>2015</v>
      </c>
      <c r="M19" s="682">
        <v>2015</v>
      </c>
      <c r="N19" s="682">
        <v>2015</v>
      </c>
      <c r="O19" s="682">
        <v>2015</v>
      </c>
      <c r="P19" s="682">
        <v>2015</v>
      </c>
      <c r="Q19" s="682">
        <v>2016</v>
      </c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</row>
    <row r="20" spans="1:31" ht="15.75" thickTop="1">
      <c r="A20" s="69"/>
      <c r="B20" s="69"/>
      <c r="C20" s="69"/>
      <c r="D20" s="69"/>
      <c r="E20" s="69"/>
      <c r="F20" s="1180" t="str">
        <f>IF(MasterSheet!$A$1=1,MasterSheet!D42,MasterSheet!B42)</f>
        <v>Makroekonomski pokazatelji</v>
      </c>
      <c r="G20" s="673" t="str">
        <f>IF(MasterSheet!$A$1=1,MasterSheet!E42,MasterSheet!C42)</f>
        <v>Nominalni rast BDP-a</v>
      </c>
      <c r="H20" s="968">
        <v>1.3</v>
      </c>
      <c r="I20" s="660">
        <v>5.3699999999999859</v>
      </c>
      <c r="J20" s="660">
        <v>5.3699999999999859</v>
      </c>
      <c r="K20" s="661">
        <v>6.190999999999991</v>
      </c>
      <c r="L20" s="670"/>
      <c r="M20" s="660"/>
      <c r="N20" s="660"/>
      <c r="O20" s="683"/>
      <c r="P20" s="661">
        <v>6.5999999999999837</v>
      </c>
      <c r="Q20" s="661">
        <v>7.1124999999999883</v>
      </c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</row>
    <row r="21" spans="1:31" ht="15">
      <c r="A21" s="69"/>
      <c r="B21" s="69"/>
      <c r="C21" s="69"/>
      <c r="D21" s="69"/>
      <c r="E21" s="69"/>
      <c r="F21" s="1181"/>
      <c r="G21" s="674" t="str">
        <f>IF(MasterSheet!$A$1=1,MasterSheet!E43,MasterSheet!C43)</f>
        <v>Realni rast BDP-a</v>
      </c>
      <c r="H21" s="969">
        <v>-0.54512499999999997</v>
      </c>
      <c r="I21" s="662">
        <v>2.5</v>
      </c>
      <c r="J21" s="662">
        <v>2.5</v>
      </c>
      <c r="K21" s="663">
        <v>3.5</v>
      </c>
      <c r="L21" s="671"/>
      <c r="M21" s="662"/>
      <c r="N21" s="662"/>
      <c r="O21" s="684"/>
      <c r="P21" s="663">
        <v>4</v>
      </c>
      <c r="Q21" s="663">
        <v>4.5</v>
      </c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</row>
    <row r="22" spans="1:31" ht="15">
      <c r="A22" s="69"/>
      <c r="B22" s="69"/>
      <c r="C22" s="69"/>
      <c r="D22" s="69"/>
      <c r="E22" s="69"/>
      <c r="F22" s="1181"/>
      <c r="G22" s="674" t="str">
        <f>IF(MasterSheet!$A$1=1,MasterSheet!E44,MasterSheet!C44)</f>
        <v>Inflacija</v>
      </c>
      <c r="H22" s="969">
        <v>4.0999999999999996</v>
      </c>
      <c r="I22" s="662">
        <v>3</v>
      </c>
      <c r="J22" s="662">
        <v>3</v>
      </c>
      <c r="K22" s="663">
        <v>2.9</v>
      </c>
      <c r="L22" s="671"/>
      <c r="M22" s="662"/>
      <c r="N22" s="662"/>
      <c r="O22" s="684"/>
      <c r="P22" s="663">
        <v>2.7</v>
      </c>
      <c r="Q22" s="663">
        <v>2.5</v>
      </c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</row>
    <row r="23" spans="1:31" ht="15">
      <c r="A23" s="69"/>
      <c r="B23" s="69"/>
      <c r="C23" s="69"/>
      <c r="D23" s="69"/>
      <c r="E23" s="69"/>
      <c r="F23" s="1181"/>
      <c r="G23" s="674" t="str">
        <f>IF(MasterSheet!$A$1=1,MasterSheet!E45,MasterSheet!C45)</f>
        <v xml:space="preserve">Uvoz </v>
      </c>
      <c r="H23" s="969">
        <v>41.622546530178639</v>
      </c>
      <c r="I23" s="662">
        <v>39.568861276075637</v>
      </c>
      <c r="J23" s="662">
        <v>39.568861276075637</v>
      </c>
      <c r="K23" s="663">
        <v>39.233271745308478</v>
      </c>
      <c r="L23" s="671"/>
      <c r="M23" s="706"/>
      <c r="N23" s="706"/>
      <c r="O23" s="707"/>
      <c r="P23" s="663">
        <v>38.92797552897359</v>
      </c>
      <c r="Q23" s="663">
        <v>38.623858275101142</v>
      </c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</row>
    <row r="24" spans="1:31" ht="15">
      <c r="A24" s="69"/>
      <c r="B24" s="69"/>
      <c r="C24" s="69"/>
      <c r="D24" s="69"/>
      <c r="E24" s="69"/>
      <c r="F24" s="1181"/>
      <c r="G24" s="674" t="str">
        <f>IF(MasterSheet!$A$1=1,MasterSheet!E46,MasterSheet!C46)</f>
        <v>Izvoz</v>
      </c>
      <c r="H24" s="969">
        <v>-64.884596961855038</v>
      </c>
      <c r="I24" s="662">
        <v>-61.123137863857735</v>
      </c>
      <c r="J24" s="662">
        <v>-61.123137863857735</v>
      </c>
      <c r="K24" s="663">
        <v>-60.451218431165444</v>
      </c>
      <c r="L24" s="671"/>
      <c r="M24" s="706"/>
      <c r="N24" s="706"/>
      <c r="O24" s="707"/>
      <c r="P24" s="663">
        <v>-60.211338792326828</v>
      </c>
      <c r="Q24" s="663">
        <v>-59.579453988137111</v>
      </c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</row>
    <row r="25" spans="1:31" ht="15">
      <c r="A25" s="69"/>
      <c r="B25" s="69"/>
      <c r="C25" s="69"/>
      <c r="D25" s="69"/>
      <c r="E25" s="69"/>
      <c r="F25" s="1181"/>
      <c r="G25" s="674" t="str">
        <f>IF(MasterSheet!$A$1=1,MasterSheet!E47,MasterSheet!C47)</f>
        <v>Ostalo</v>
      </c>
      <c r="H25" s="969">
        <v>5.6708849268155745</v>
      </c>
      <c r="I25" s="662">
        <v>5.2594327929365932</v>
      </c>
      <c r="J25" s="662">
        <v>5.2594327929365932</v>
      </c>
      <c r="K25" s="663">
        <v>4.5512259006996914</v>
      </c>
      <c r="L25" s="671"/>
      <c r="M25" s="708"/>
      <c r="N25" s="708"/>
      <c r="O25" s="709"/>
      <c r="P25" s="663">
        <v>4.2694426835831933</v>
      </c>
      <c r="Q25" s="663">
        <v>3.9859425217254767</v>
      </c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</row>
    <row r="26" spans="1:31" ht="15">
      <c r="A26" s="69"/>
      <c r="B26" s="69"/>
      <c r="C26" s="69"/>
      <c r="D26" s="69"/>
      <c r="E26" s="69"/>
      <c r="F26" s="1181"/>
      <c r="G26" s="674" t="str">
        <f>IF(MasterSheet!$A$1=1,MasterSheet!E48,MasterSheet!C48)</f>
        <v>Deficit tekućeg računa</v>
      </c>
      <c r="H26" s="969">
        <v>-17.591165504860822</v>
      </c>
      <c r="I26" s="662">
        <v>-16.294843794845505</v>
      </c>
      <c r="J26" s="662">
        <v>-16.294843794845505</v>
      </c>
      <c r="K26" s="663">
        <v>-16.666720785157271</v>
      </c>
      <c r="L26" s="671"/>
      <c r="M26" s="662"/>
      <c r="N26" s="662"/>
      <c r="O26" s="684"/>
      <c r="P26" s="663">
        <v>-17.013920579770044</v>
      </c>
      <c r="Q26" s="663">
        <v>-16.969653191310492</v>
      </c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</row>
    <row r="27" spans="1:31" ht="15">
      <c r="A27" s="69"/>
      <c r="B27" s="69"/>
      <c r="C27" s="69"/>
      <c r="D27" s="69"/>
      <c r="E27" s="69"/>
      <c r="F27" s="1181"/>
      <c r="G27" s="674" t="str">
        <f>IF(MasterSheet!$A$1=1,MasterSheet!E49,MasterSheet!C49)</f>
        <v>Neto strane direktne investicije</v>
      </c>
      <c r="H27" s="969">
        <v>13.588890994952607</v>
      </c>
      <c r="I27" s="662">
        <v>11.5</v>
      </c>
      <c r="J27" s="662">
        <v>11.5</v>
      </c>
      <c r="K27" s="663">
        <v>11.5</v>
      </c>
      <c r="L27" s="671"/>
      <c r="M27" s="708"/>
      <c r="N27" s="708"/>
      <c r="O27" s="709"/>
      <c r="P27" s="663">
        <v>11.5</v>
      </c>
      <c r="Q27" s="663">
        <v>11</v>
      </c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</row>
    <row r="28" spans="1:31" ht="14.25" customHeight="1">
      <c r="A28" s="69"/>
      <c r="B28" s="69"/>
      <c r="C28" s="69"/>
      <c r="D28" s="69"/>
      <c r="E28" s="69"/>
      <c r="F28" s="1181"/>
      <c r="G28" s="674" t="str">
        <f>IF(MasterSheet!$A$1=1,MasterSheet!E50,MasterSheet!C50)</f>
        <v>Domaći krediti</v>
      </c>
      <c r="H28" s="969">
        <v>55.796778222886623</v>
      </c>
      <c r="I28" s="662">
        <v>54.584383580747378</v>
      </c>
      <c r="J28" s="662">
        <v>54.584383580747378</v>
      </c>
      <c r="K28" s="663">
        <v>55.9</v>
      </c>
      <c r="L28" s="671"/>
      <c r="M28" s="708"/>
      <c r="N28" s="708"/>
      <c r="O28" s="709"/>
      <c r="P28" s="663">
        <v>56.2</v>
      </c>
      <c r="Q28" s="663">
        <v>56.5</v>
      </c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</row>
    <row r="29" spans="1:31" ht="15.75" thickBot="1">
      <c r="A29" s="69"/>
      <c r="B29" s="69"/>
      <c r="C29" s="69"/>
      <c r="D29" s="69"/>
      <c r="E29" s="69"/>
      <c r="F29" s="1182"/>
      <c r="G29" s="675" t="str">
        <f>IF(MasterSheet!$A$1=1,MasterSheet!E51,MasterSheet!C51)</f>
        <v>Bankarski depoziti (domaći)</v>
      </c>
      <c r="H29" s="970">
        <v>49.241711308612118</v>
      </c>
      <c r="I29" s="664">
        <v>50</v>
      </c>
      <c r="J29" s="664">
        <v>50</v>
      </c>
      <c r="K29" s="665">
        <v>50.4</v>
      </c>
      <c r="L29" s="672"/>
      <c r="M29" s="710"/>
      <c r="N29" s="710"/>
      <c r="O29" s="711"/>
      <c r="P29" s="665">
        <v>51.1</v>
      </c>
      <c r="Q29" s="665">
        <v>51.9</v>
      </c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</row>
    <row r="30" spans="1:31" ht="15.75" thickTop="1">
      <c r="A30" s="69"/>
      <c r="B30" s="69"/>
      <c r="C30" s="69"/>
      <c r="D30" s="69"/>
      <c r="E30" s="69"/>
      <c r="F30" s="1180" t="str">
        <f>IF(MasterSheet!$A$1=1,MasterSheet!D52,MasterSheet!B52)</f>
        <v>Fiskalni pokazatelji</v>
      </c>
      <c r="G30" s="673" t="str">
        <f>IF(MasterSheet!$A$1=1,MasterSheet!E52,MasterSheet!C52)</f>
        <v>Izvorni javni prihodi</v>
      </c>
      <c r="H30" s="971">
        <f>+'Public expenditure_int'!R20</f>
        <v>41.280012676511056</v>
      </c>
      <c r="I30" s="660">
        <f>+'Public expenditure_int'!T20</f>
        <v>36.795463568617059</v>
      </c>
      <c r="J30" s="660">
        <f>+'Public expenditure_int'!V20</f>
        <v>37.533358301270084</v>
      </c>
      <c r="K30" s="660">
        <f>+'Public expenditure_int'!Z20</f>
        <v>35.950698591858945</v>
      </c>
      <c r="L30" s="677"/>
      <c r="M30" s="660">
        <v>37</v>
      </c>
      <c r="N30" s="660">
        <v>36</v>
      </c>
      <c r="O30" s="685">
        <v>35.299999999999997</v>
      </c>
      <c r="P30" s="661">
        <f>+'Public expenditure_int'!AB20</f>
        <v>34.676596257895326</v>
      </c>
      <c r="Q30" s="661">
        <f>+'Public expenditure_int'!AD20</f>
        <v>33.534425407073968</v>
      </c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</row>
    <row r="31" spans="1:31" ht="15">
      <c r="A31" s="69"/>
      <c r="B31" s="69"/>
      <c r="C31" s="69"/>
      <c r="D31" s="69"/>
      <c r="E31" s="69"/>
      <c r="F31" s="1181"/>
      <c r="G31" s="676" t="str">
        <f>IF(MasterSheet!$A$1=1,MasterSheet!E53,MasterSheet!C53)</f>
        <v>Javna potrošnja</v>
      </c>
      <c r="H31" s="969">
        <f>+'Public expenditure_int'!R39</f>
        <v>46.515067221975237</v>
      </c>
      <c r="I31" s="662">
        <f>+'Public expenditure_int'!T39</f>
        <v>39.117578692521754</v>
      </c>
      <c r="J31" s="662">
        <f>+'Public expenditure_int'!V39</f>
        <v>39.409815659042081</v>
      </c>
      <c r="K31" s="662">
        <f>+'Public expenditure_int'!Z39</f>
        <v>36.957711992601759</v>
      </c>
      <c r="L31" s="678"/>
      <c r="M31" s="662">
        <v>39.5</v>
      </c>
      <c r="N31" s="662">
        <v>38.5</v>
      </c>
      <c r="O31" s="684">
        <v>37.700000000000003</v>
      </c>
      <c r="P31" s="663">
        <f>+'Public expenditure_int'!AB39</f>
        <v>35.454371487707839</v>
      </c>
      <c r="Q31" s="663">
        <f>+'Public expenditure_int'!AD39</f>
        <v>34.116846599510964</v>
      </c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</row>
    <row r="32" spans="1:31" ht="15">
      <c r="A32" s="69"/>
      <c r="B32" s="69"/>
      <c r="C32" s="69"/>
      <c r="D32" s="69"/>
      <c r="E32" s="69"/>
      <c r="F32" s="1181"/>
      <c r="G32" s="674" t="str">
        <f>IF(MasterSheet!$A$1=1,MasterSheet!E54,MasterSheet!C54)</f>
        <v>Deficit/Suficit</v>
      </c>
      <c r="H32" s="969">
        <f>+'Public expenditure_int'!R76</f>
        <v>-5.2350545454641795</v>
      </c>
      <c r="I32" s="662">
        <f>+'Public expenditure_int'!T76</f>
        <v>-2.3221151239046973</v>
      </c>
      <c r="J32" s="662">
        <f>+'Public expenditure_int'!V76</f>
        <v>-1.8764573577719923</v>
      </c>
      <c r="K32" s="662">
        <f>+'Public expenditure_int'!Z76</f>
        <v>-1.0070134007428129</v>
      </c>
      <c r="L32" s="678"/>
      <c r="M32" s="662">
        <v>-2.5</v>
      </c>
      <c r="N32" s="662">
        <v>-2.5</v>
      </c>
      <c r="O32" s="684">
        <v>-2.2999999999999998</v>
      </c>
      <c r="P32" s="663">
        <f>+'Public expenditure_int'!AB76</f>
        <v>-0.77777522981251856</v>
      </c>
      <c r="Q32" s="663">
        <f>+'Public expenditure_int'!AD76</f>
        <v>-0.58242119243699531</v>
      </c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</row>
    <row r="33" spans="1:31" ht="15">
      <c r="A33" s="69"/>
      <c r="B33" s="69"/>
      <c r="C33" s="69"/>
      <c r="D33" s="69"/>
      <c r="E33" s="69"/>
      <c r="F33" s="1181"/>
      <c r="G33" s="674" t="str">
        <f>IF(MasterSheet!$A$1=1,MasterSheet!E55,MasterSheet!C55)</f>
        <v>Deficit/Suficit (bez garancija)</v>
      </c>
      <c r="H33" s="969">
        <f>+H32+'Public expenditure_int'!$R$74</f>
        <v>-4.4500487458452529</v>
      </c>
      <c r="I33" s="662">
        <f>+I32+'Public expenditure_int'!$T$74</f>
        <v>-2.3221151239046973</v>
      </c>
      <c r="J33" s="662">
        <f>+J32+'Public expenditure_int'!$T$74</f>
        <v>-1.8764573577719923</v>
      </c>
      <c r="K33" s="662">
        <f>+K32+'Public expenditure_int'!$Z$74</f>
        <v>-1.0070134007428129</v>
      </c>
      <c r="L33" s="678"/>
      <c r="M33" s="662" t="s">
        <v>378</v>
      </c>
      <c r="N33" s="662" t="s">
        <v>378</v>
      </c>
      <c r="O33" s="684" t="s">
        <v>378</v>
      </c>
      <c r="P33" s="663">
        <f>+P32+'Public expenditure_int'!$AB$74</f>
        <v>-0.77777522981251856</v>
      </c>
      <c r="Q33" s="663">
        <f>+Q32+'Public expenditure_int'!$AB$74</f>
        <v>-0.58242119243699531</v>
      </c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</row>
    <row r="34" spans="1:31" ht="15">
      <c r="A34" s="69"/>
      <c r="B34" s="69"/>
      <c r="C34" s="69"/>
      <c r="D34" s="69"/>
      <c r="E34" s="69"/>
      <c r="F34" s="1181"/>
      <c r="G34" s="674" t="str">
        <f>IF(MasterSheet!$A$1=1,MasterSheet!E56,MasterSheet!C56)</f>
        <v>Kamate</v>
      </c>
      <c r="H34" s="969">
        <f>+'Public expenditure_int'!R51</f>
        <v>1.8964851298825025</v>
      </c>
      <c r="I34" s="662">
        <f>+'Public expenditure_int'!T51</f>
        <v>2.1132659296275236</v>
      </c>
      <c r="J34" s="662">
        <f>+'Public expenditure_int'!V51</f>
        <v>2.1154950768808645</v>
      </c>
      <c r="K34" s="662">
        <f>+'Public expenditure_int'!Z51</f>
        <v>2.4038202132971325</v>
      </c>
      <c r="L34" s="678"/>
      <c r="M34" s="662">
        <v>2.2000000000000002</v>
      </c>
      <c r="N34" s="662">
        <v>2.5</v>
      </c>
      <c r="O34" s="684">
        <v>2.8</v>
      </c>
      <c r="P34" s="663">
        <f>+'Public expenditure_int'!AB51</f>
        <v>2.686274668686738</v>
      </c>
      <c r="Q34" s="663">
        <f>+'Public expenditure_int'!AD51</f>
        <v>2.9661771936015455</v>
      </c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</row>
    <row r="35" spans="1:31" ht="15">
      <c r="A35" s="69"/>
      <c r="B35" s="69"/>
      <c r="C35" s="69"/>
      <c r="D35" s="69"/>
      <c r="E35" s="69"/>
      <c r="F35" s="1181"/>
      <c r="G35" s="674" t="str">
        <f>IF(MasterSheet!$A$1=1,MasterSheet!E57,MasterSheet!C57)</f>
        <v>Primarni deficit/suficit</v>
      </c>
      <c r="H35" s="969">
        <f t="shared" ref="H35:J35" si="0">+H32+H34</f>
        <v>-3.3385694155816772</v>
      </c>
      <c r="I35" s="662">
        <f t="shared" si="0"/>
        <v>-0.20884919427717374</v>
      </c>
      <c r="J35" s="662">
        <f t="shared" si="0"/>
        <v>0.23903771910887217</v>
      </c>
      <c r="K35" s="662">
        <f>+K32+K34</f>
        <v>1.3968068125543196</v>
      </c>
      <c r="L35" s="678"/>
      <c r="M35" s="662">
        <v>-0.3</v>
      </c>
      <c r="N35" s="662">
        <v>-0.1</v>
      </c>
      <c r="O35" s="684">
        <v>0.5</v>
      </c>
      <c r="P35" s="663">
        <f>+P32+P34</f>
        <v>1.9084994388742196</v>
      </c>
      <c r="Q35" s="663">
        <f>+Q32+Q34</f>
        <v>2.3837560011645502</v>
      </c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</row>
    <row r="36" spans="1:31" ht="15">
      <c r="A36" s="69"/>
      <c r="B36" s="69"/>
      <c r="C36" s="69"/>
      <c r="D36" s="69"/>
      <c r="E36" s="69"/>
      <c r="F36" s="1181"/>
      <c r="G36" s="674" t="str">
        <f>IF(MasterSheet!$A$1=1,MasterSheet!E58,MasterSheet!C58)</f>
        <v>Primarni deficit/suficit (bez garancija)</v>
      </c>
      <c r="H36" s="972">
        <f>+H35+'Public expenditure_int'!$R$74</f>
        <v>-2.5535636159627506</v>
      </c>
      <c r="I36" s="666">
        <f>+I35+'Public expenditure_int'!$T$74</f>
        <v>-0.20884919427717374</v>
      </c>
      <c r="J36" s="666">
        <f>+J35+'Public expenditure_int'!$T$74</f>
        <v>0.23903771910887217</v>
      </c>
      <c r="K36" s="666">
        <f>+K35+'Public expenditure_int'!$Z$74</f>
        <v>1.3968068125543196</v>
      </c>
      <c r="L36" s="679"/>
      <c r="M36" s="666" t="s">
        <v>378</v>
      </c>
      <c r="N36" s="666" t="s">
        <v>378</v>
      </c>
      <c r="O36" s="686" t="s">
        <v>378</v>
      </c>
      <c r="P36" s="667">
        <f>+P35+'Public expenditure_int'!$AB$74</f>
        <v>1.9084994388742196</v>
      </c>
      <c r="Q36" s="667">
        <f>+Q35+'Public expenditure_int'!$AB$74</f>
        <v>2.3837560011645502</v>
      </c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</row>
    <row r="37" spans="1:31" ht="15.75" thickBot="1">
      <c r="A37" s="69"/>
      <c r="B37" s="69"/>
      <c r="C37" s="69"/>
      <c r="D37" s="69"/>
      <c r="E37" s="69"/>
      <c r="F37" s="1182"/>
      <c r="G37" s="675" t="str">
        <f>IF(MasterSheet!$A$1=1,MasterSheet!E59,MasterSheet!C59)</f>
        <v>Državni dug</v>
      </c>
      <c r="H37" s="973">
        <v>50.9</v>
      </c>
      <c r="I37" s="668">
        <v>54.4</v>
      </c>
      <c r="J37" s="668">
        <v>54.1</v>
      </c>
      <c r="K37" s="668">
        <v>53.9</v>
      </c>
      <c r="L37" s="680"/>
      <c r="M37" s="668"/>
      <c r="N37" s="668"/>
      <c r="O37" s="687"/>
      <c r="P37" s="669">
        <v>53.6</v>
      </c>
      <c r="Q37" s="669">
        <v>52.1</v>
      </c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</row>
    <row r="38" spans="1:31" ht="13.5" thickTop="1">
      <c r="A38" s="69"/>
      <c r="B38" s="69"/>
      <c r="C38" s="69"/>
      <c r="D38" s="74"/>
      <c r="E38" s="69"/>
      <c r="F38" s="430" t="str">
        <f>IF(MasterSheet!$A$1=1,MasterSheet!D60,MasterSheet!B60)</f>
        <v>Izvor: Ministarstvo finansija, Centralna banka, Monstat</v>
      </c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</row>
    <row r="39" spans="1:31">
      <c r="A39" s="69"/>
      <c r="B39" s="69"/>
      <c r="C39" s="69"/>
      <c r="D39" s="74"/>
      <c r="E39" s="74"/>
      <c r="F39" s="69"/>
      <c r="G39" s="74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</row>
    <row r="40" spans="1:31">
      <c r="A40" s="69"/>
      <c r="B40" s="69"/>
      <c r="C40" s="69"/>
      <c r="D40" s="69"/>
      <c r="E40" s="69"/>
      <c r="F40" s="69"/>
      <c r="G40" s="69"/>
      <c r="H40" s="607"/>
      <c r="I40" s="607"/>
      <c r="J40" s="607"/>
      <c r="K40" s="607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</row>
    <row r="41" spans="1:31">
      <c r="A41" s="69"/>
      <c r="B41" s="69"/>
      <c r="C41" s="69"/>
      <c r="D41" s="69"/>
      <c r="E41" s="69"/>
      <c r="F41" s="69"/>
      <c r="G41" s="69"/>
      <c r="H41" s="608"/>
      <c r="I41" s="608"/>
      <c r="J41" s="608"/>
      <c r="K41" s="608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</row>
    <row r="42" spans="1:31">
      <c r="A42" s="69"/>
      <c r="B42" s="69"/>
      <c r="C42" s="69"/>
      <c r="D42" s="74"/>
      <c r="E42" s="69"/>
      <c r="F42" s="69"/>
      <c r="G42" s="69"/>
      <c r="H42" s="608"/>
      <c r="I42" s="608"/>
      <c r="J42" s="608"/>
      <c r="K42" s="608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</row>
    <row r="43" spans="1:31">
      <c r="A43" s="69"/>
      <c r="B43" s="69"/>
      <c r="C43" s="69"/>
      <c r="D43" s="69"/>
      <c r="E43" s="69"/>
      <c r="F43" s="69"/>
      <c r="G43" s="69"/>
      <c r="H43" s="608"/>
      <c r="I43" s="608"/>
      <c r="J43" s="608"/>
      <c r="K43" s="60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</row>
    <row r="44" spans="1:31">
      <c r="A44" s="69"/>
      <c r="B44" s="69"/>
      <c r="C44" s="69"/>
      <c r="D44" s="74"/>
      <c r="E44" s="69"/>
      <c r="F44" s="74"/>
      <c r="G44" s="74"/>
      <c r="H44" s="608"/>
      <c r="I44" s="608"/>
      <c r="J44" s="608"/>
      <c r="K44" s="60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</row>
    <row r="45" spans="1:31">
      <c r="A45" s="69"/>
      <c r="B45" s="69"/>
      <c r="C45" s="69"/>
      <c r="D45" s="69"/>
      <c r="E45" s="69"/>
      <c r="F45" s="69"/>
      <c r="G45" s="69"/>
      <c r="H45" s="608"/>
      <c r="I45" s="608"/>
      <c r="J45" s="608"/>
      <c r="K45" s="60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</row>
    <row r="46" spans="1:31">
      <c r="A46" s="69"/>
      <c r="B46" s="69"/>
      <c r="C46" s="69"/>
      <c r="D46" s="69"/>
      <c r="E46" s="69"/>
      <c r="F46" s="69"/>
      <c r="G46" s="69"/>
      <c r="H46" s="608"/>
      <c r="I46" s="608"/>
      <c r="J46" s="608"/>
      <c r="K46" s="60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</row>
    <row r="47" spans="1:31">
      <c r="A47" s="69"/>
      <c r="B47" s="69"/>
      <c r="C47" s="69"/>
      <c r="D47" s="69"/>
      <c r="E47" s="69"/>
      <c r="F47" s="69"/>
      <c r="G47" s="69"/>
      <c r="H47" s="608"/>
      <c r="I47" s="608"/>
      <c r="J47" s="608"/>
      <c r="K47" s="60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</row>
    <row r="48" spans="1:31">
      <c r="A48" s="69"/>
      <c r="B48" s="69"/>
      <c r="C48" s="69"/>
      <c r="D48" s="69"/>
      <c r="E48" s="69"/>
      <c r="F48" s="69"/>
      <c r="G48" s="69"/>
      <c r="H48" s="608"/>
      <c r="I48" s="608"/>
      <c r="J48" s="608"/>
      <c r="K48" s="60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</row>
    <row r="49" spans="1:31">
      <c r="A49" s="69"/>
      <c r="B49" s="69"/>
      <c r="C49" s="69"/>
      <c r="D49" s="69"/>
      <c r="E49" s="69"/>
      <c r="F49" s="69"/>
      <c r="G49" s="69"/>
      <c r="H49" s="608"/>
      <c r="I49" s="608"/>
      <c r="J49" s="608"/>
      <c r="K49" s="60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</row>
    <row r="50" spans="1:31">
      <c r="A50" s="69"/>
      <c r="B50" s="69"/>
      <c r="C50" s="69"/>
      <c r="D50" s="69"/>
      <c r="E50" s="69"/>
      <c r="F50" s="74"/>
      <c r="G50" s="75"/>
      <c r="H50" s="608"/>
      <c r="I50" s="608"/>
      <c r="J50" s="608"/>
      <c r="K50" s="608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</row>
    <row r="51" spans="1:31">
      <c r="A51" s="69"/>
      <c r="B51" s="69"/>
      <c r="C51" s="69"/>
      <c r="D51" s="69"/>
      <c r="E51" s="69"/>
      <c r="F51" s="69"/>
      <c r="G51" s="69"/>
      <c r="H51" s="608"/>
      <c r="I51" s="608"/>
      <c r="J51" s="608"/>
      <c r="K51" s="608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</row>
    <row r="52" spans="1:31">
      <c r="A52" s="69"/>
      <c r="B52" s="69"/>
      <c r="C52" s="69"/>
      <c r="D52" s="69"/>
      <c r="E52" s="69"/>
      <c r="F52" s="69"/>
      <c r="G52" s="69"/>
      <c r="H52" s="608"/>
      <c r="I52" s="608"/>
      <c r="J52" s="608"/>
      <c r="K52" s="608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</row>
    <row r="53" spans="1:31">
      <c r="A53" s="69"/>
      <c r="B53" s="69"/>
      <c r="C53" s="69"/>
      <c r="D53" s="69"/>
      <c r="E53" s="69"/>
      <c r="F53" s="69"/>
      <c r="G53" s="69"/>
      <c r="H53" s="608"/>
      <c r="I53" s="608"/>
      <c r="J53" s="608"/>
      <c r="K53" s="608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</row>
    <row r="54" spans="1:31">
      <c r="A54" s="69"/>
      <c r="B54" s="69"/>
      <c r="C54" s="69"/>
      <c r="D54" s="69"/>
      <c r="E54" s="69"/>
      <c r="F54" s="69"/>
      <c r="G54" s="69"/>
      <c r="H54" s="608"/>
      <c r="I54" s="608"/>
      <c r="J54" s="608"/>
      <c r="K54" s="608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</row>
    <row r="55" spans="1:31">
      <c r="A55" s="69"/>
      <c r="B55" s="69"/>
      <c r="C55" s="69"/>
      <c r="D55" s="69"/>
      <c r="E55" s="69"/>
      <c r="F55" s="69"/>
      <c r="G55" s="69"/>
      <c r="H55" s="610"/>
      <c r="I55" s="610"/>
      <c r="J55" s="610"/>
      <c r="K55" s="610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</row>
    <row r="56" spans="1:31">
      <c r="A56" s="69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</row>
    <row r="57" spans="1:31">
      <c r="A57" s="69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</row>
    <row r="58" spans="1:31">
      <c r="A58" s="69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</row>
    <row r="59" spans="1:31">
      <c r="A59" s="69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</row>
    <row r="60" spans="1:31">
      <c r="A60" s="69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</row>
    <row r="61" spans="1:31">
      <c r="A61" s="69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</row>
    <row r="62" spans="1:31">
      <c r="A62" s="69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</row>
    <row r="63" spans="1:31">
      <c r="A63" s="69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</row>
    <row r="64" spans="1:31">
      <c r="A64" s="69"/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</row>
    <row r="65" spans="1:31">
      <c r="A65" s="69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</row>
    <row r="66" spans="1:31">
      <c r="A66" s="69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</row>
    <row r="67" spans="1:31">
      <c r="A67" s="69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</row>
    <row r="68" spans="1:31">
      <c r="A68" s="69"/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</row>
    <row r="69" spans="1:31">
      <c r="A69" s="69"/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</row>
    <row r="70" spans="1:31">
      <c r="A70" s="69"/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</row>
    <row r="71" spans="1:31">
      <c r="A71" s="69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</row>
    <row r="72" spans="1:31">
      <c r="A72" s="69"/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</row>
    <row r="73" spans="1:31">
      <c r="A73" s="69"/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</row>
    <row r="74" spans="1:31">
      <c r="A74" s="69"/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</row>
    <row r="75" spans="1:31">
      <c r="A75" s="69"/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</row>
    <row r="76" spans="1:31">
      <c r="A76" s="69"/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</row>
    <row r="77" spans="1:31">
      <c r="A77" s="69"/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</row>
    <row r="78" spans="1:31">
      <c r="A78" s="69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</row>
    <row r="79" spans="1:31">
      <c r="A79" s="69"/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</row>
    <row r="80" spans="1:31">
      <c r="A80" s="69"/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</row>
    <row r="81" spans="1:31">
      <c r="A81" s="69"/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</row>
    <row r="82" spans="1:31">
      <c r="A82" s="69"/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</row>
    <row r="83" spans="1:31">
      <c r="A83" s="69"/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</row>
    <row r="84" spans="1:31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</row>
    <row r="85" spans="1:31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</row>
    <row r="86" spans="1:31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</row>
    <row r="87" spans="1:31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</row>
    <row r="88" spans="1:31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</row>
    <row r="89" spans="1:31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</row>
    <row r="90" spans="1:31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</row>
    <row r="91" spans="1:31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</row>
    <row r="92" spans="1:31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</row>
    <row r="93" spans="1:31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</row>
    <row r="94" spans="1:31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</row>
    <row r="95" spans="1:31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</row>
    <row r="96" spans="1:31">
      <c r="A96" s="69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</row>
    <row r="97" spans="1:31">
      <c r="A97" s="69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</row>
    <row r="98" spans="1:31">
      <c r="A98" s="69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</row>
    <row r="99" spans="1:31">
      <c r="A99" s="69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</row>
    <row r="100" spans="1:31">
      <c r="A100" s="69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</row>
    <row r="101" spans="1:31">
      <c r="A101" s="69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</row>
    <row r="102" spans="1:31">
      <c r="A102" s="69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</row>
    <row r="103" spans="1:31">
      <c r="A103" s="69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</row>
  </sheetData>
  <sheetProtection formatCells="0" formatColumns="0" formatRows="0" sort="0" autoFilter="0" pivotTables="0"/>
  <mergeCells count="5">
    <mergeCell ref="H11:J11"/>
    <mergeCell ref="J18:Q18"/>
    <mergeCell ref="F20:F29"/>
    <mergeCell ref="F30:F37"/>
    <mergeCell ref="F18:G19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53" orientation="landscape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DS208"/>
  <sheetViews>
    <sheetView topLeftCell="B13" workbookViewId="0">
      <pane ySplit="7" topLeftCell="A20" activePane="bottomLeft" state="frozen"/>
      <selection activeCell="B13" sqref="B13"/>
      <selection pane="bottomLeft" activeCell="AG38" sqref="AG38"/>
    </sheetView>
  </sheetViews>
  <sheetFormatPr defaultColWidth="9.140625" defaultRowHeight="12.75"/>
  <cols>
    <col min="1" max="3" width="9.140625" style="30" customWidth="1"/>
    <col min="4" max="4" width="58.140625" style="30" customWidth="1"/>
    <col min="5" max="5" width="6.5703125" style="30" hidden="1" customWidth="1"/>
    <col min="6" max="6" width="6.85546875" style="30" hidden="1" customWidth="1"/>
    <col min="7" max="7" width="7.5703125" style="30" hidden="1" customWidth="1"/>
    <col min="8" max="8" width="6.85546875" style="30" hidden="1" customWidth="1"/>
    <col min="9" max="9" width="7.5703125" style="30" hidden="1" customWidth="1"/>
    <col min="10" max="10" width="6.85546875" style="30" hidden="1" customWidth="1"/>
    <col min="11" max="11" width="7.5703125" style="30" hidden="1" customWidth="1"/>
    <col min="12" max="12" width="6.85546875" style="30" hidden="1" customWidth="1"/>
    <col min="13" max="13" width="7.5703125" style="30" hidden="1" customWidth="1"/>
    <col min="14" max="14" width="6.85546875" style="30" hidden="1" customWidth="1"/>
    <col min="15" max="15" width="7.5703125" style="30" hidden="1" customWidth="1"/>
    <col min="16" max="16" width="6.85546875" style="96" hidden="1" customWidth="1"/>
    <col min="17" max="17" width="9.7109375" style="997" customWidth="1"/>
    <col min="18" max="18" width="6.85546875" style="30" bestFit="1" customWidth="1"/>
    <col min="19" max="19" width="7.5703125" style="30" bestFit="1" customWidth="1"/>
    <col min="20" max="20" width="6.85546875" style="30" bestFit="1" customWidth="1"/>
    <col min="21" max="21" width="9.7109375" style="30" customWidth="1"/>
    <col min="22" max="22" width="6.85546875" style="30" bestFit="1" customWidth="1"/>
    <col min="23" max="24" width="9.7109375" style="30" customWidth="1"/>
    <col min="25" max="25" width="11" style="30" customWidth="1"/>
    <col min="26" max="26" width="6.85546875" style="30" bestFit="1" customWidth="1"/>
    <col min="27" max="27" width="10.28515625" style="30" customWidth="1"/>
    <col min="28" max="28" width="6.85546875" style="30" bestFit="1" customWidth="1"/>
    <col min="29" max="29" width="10.85546875" style="30" customWidth="1"/>
    <col min="30" max="30" width="6.85546875" style="30" bestFit="1" customWidth="1"/>
    <col min="31" max="39" width="13.85546875" style="30" customWidth="1"/>
    <col min="40" max="115" width="9.140625" style="30" customWidth="1"/>
    <col min="116" max="116" width="9.140625" style="30"/>
    <col min="117" max="117" width="15.42578125" style="30" customWidth="1"/>
    <col min="118" max="118" width="12.7109375" style="30" customWidth="1"/>
    <col min="119" max="119" width="11.85546875" style="30" customWidth="1"/>
    <col min="120" max="16384" width="9.140625" style="30"/>
  </cols>
  <sheetData>
    <row r="1" spans="1:115" ht="12.75" customHeight="1">
      <c r="A1" s="110"/>
      <c r="B1" s="110"/>
      <c r="C1" s="110"/>
      <c r="D1" s="110"/>
      <c r="E1" s="111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2"/>
      <c r="R1" s="111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</row>
    <row r="2" spans="1:115" ht="12.75" customHeight="1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2"/>
      <c r="R2" s="111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</row>
    <row r="3" spans="1:115" ht="12.75" customHeight="1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2"/>
      <c r="Q3" s="986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96"/>
    </row>
    <row r="4" spans="1:115" ht="15" customHeight="1">
      <c r="A4" s="110"/>
      <c r="B4" s="111"/>
      <c r="C4" s="110"/>
      <c r="D4" s="113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987"/>
      <c r="R4" s="114"/>
      <c r="S4" s="114"/>
      <c r="T4" s="114"/>
      <c r="U4" s="114"/>
      <c r="V4" s="114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4"/>
      <c r="DD4" s="94"/>
      <c r="DE4" s="94"/>
      <c r="DF4" s="94"/>
      <c r="DG4" s="94"/>
      <c r="DH4" s="94"/>
      <c r="DI4" s="94"/>
      <c r="DJ4" s="94"/>
      <c r="DK4" s="94"/>
    </row>
    <row r="5" spans="1:115" ht="15" customHeight="1">
      <c r="A5" s="110"/>
      <c r="B5" s="110"/>
      <c r="C5" s="110"/>
      <c r="D5" s="113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987"/>
      <c r="R5" s="114"/>
      <c r="S5" s="114"/>
      <c r="T5" s="114"/>
      <c r="U5" s="114"/>
      <c r="V5" s="114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4"/>
      <c r="DH5" s="94"/>
      <c r="DI5" s="94"/>
      <c r="DJ5" s="94"/>
      <c r="DK5" s="94"/>
    </row>
    <row r="6" spans="1:115" ht="15" customHeight="1">
      <c r="A6" s="110"/>
      <c r="B6" s="110"/>
      <c r="C6" s="110"/>
      <c r="D6" s="113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987"/>
      <c r="R6" s="114"/>
      <c r="S6" s="114"/>
      <c r="T6" s="114"/>
      <c r="U6" s="114"/>
      <c r="V6" s="114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/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94"/>
      <c r="DG6" s="94"/>
      <c r="DH6" s="94"/>
      <c r="DI6" s="94"/>
      <c r="DJ6" s="94"/>
      <c r="DK6" s="94"/>
    </row>
    <row r="7" spans="1:115" ht="15" customHeight="1">
      <c r="A7" s="110"/>
      <c r="B7" s="110"/>
      <c r="C7" s="110"/>
      <c r="D7" s="113"/>
      <c r="E7" s="114"/>
      <c r="F7" s="114"/>
      <c r="G7" s="114"/>
      <c r="H7" s="114"/>
      <c r="I7" s="114"/>
      <c r="M7" s="299"/>
      <c r="N7" s="114"/>
      <c r="O7" s="114"/>
      <c r="P7" s="114"/>
      <c r="Q7" s="987"/>
      <c r="R7" s="114"/>
      <c r="S7" s="114"/>
      <c r="AA7" s="111"/>
      <c r="AB7" s="111"/>
      <c r="AC7" s="111"/>
      <c r="AD7" s="111"/>
      <c r="AE7" s="111"/>
      <c r="AF7" s="111"/>
      <c r="AG7" s="111"/>
      <c r="AH7" s="111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4"/>
      <c r="CS7" s="94"/>
      <c r="CT7" s="94"/>
      <c r="CU7" s="94"/>
      <c r="CV7" s="94"/>
      <c r="CW7" s="94"/>
      <c r="CX7" s="94"/>
      <c r="CY7" s="94"/>
      <c r="CZ7" s="94"/>
      <c r="DA7" s="94"/>
      <c r="DB7" s="94"/>
      <c r="DC7" s="94"/>
      <c r="DD7" s="94"/>
      <c r="DE7" s="94"/>
      <c r="DF7" s="94"/>
      <c r="DG7" s="94"/>
      <c r="DH7" s="94"/>
      <c r="DI7" s="94"/>
      <c r="DJ7" s="94"/>
      <c r="DK7" s="94"/>
    </row>
    <row r="8" spans="1:115" ht="15" customHeight="1">
      <c r="A8" s="110"/>
      <c r="B8" s="110"/>
      <c r="C8" s="110"/>
      <c r="D8" s="113"/>
      <c r="E8" s="114"/>
      <c r="F8" s="114"/>
      <c r="G8" s="114"/>
      <c r="H8" s="114"/>
      <c r="N8" s="299"/>
      <c r="O8" s="114"/>
      <c r="P8" s="114"/>
      <c r="Q8" s="987"/>
      <c r="R8" s="114"/>
      <c r="S8" s="114"/>
      <c r="T8" s="114"/>
      <c r="W8" s="1142" t="str">
        <f>IF(MasterSheet!$A$1 = 1, MasterSheet!C5,MasterSheet!B5)</f>
        <v>CRNA GORA</v>
      </c>
      <c r="X8" s="1142"/>
      <c r="Y8" s="299"/>
      <c r="Z8" s="299"/>
      <c r="AA8" s="111"/>
      <c r="AB8" s="111"/>
      <c r="AC8" s="111"/>
      <c r="AD8" s="111"/>
      <c r="AE8" s="111"/>
      <c r="AF8" s="111"/>
      <c r="AG8" s="111"/>
      <c r="AH8" s="111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  <c r="BH8" s="94"/>
      <c r="BI8" s="94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4"/>
      <c r="BZ8" s="94"/>
      <c r="CA8" s="94"/>
      <c r="CB8" s="94"/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/>
      <c r="CR8" s="94"/>
      <c r="CS8" s="94"/>
      <c r="CT8" s="94"/>
      <c r="CU8" s="94"/>
      <c r="CV8" s="94"/>
      <c r="CW8" s="94"/>
      <c r="CX8" s="94"/>
      <c r="CY8" s="94"/>
      <c r="CZ8" s="94"/>
      <c r="DA8" s="94"/>
      <c r="DB8" s="94"/>
      <c r="DC8" s="94"/>
      <c r="DD8" s="94"/>
      <c r="DE8" s="94"/>
      <c r="DF8" s="94"/>
      <c r="DG8" s="94"/>
      <c r="DH8" s="94"/>
      <c r="DI8" s="94"/>
      <c r="DJ8" s="94"/>
      <c r="DK8" s="94"/>
    </row>
    <row r="9" spans="1:115" ht="15" customHeight="1">
      <c r="A9" s="110"/>
      <c r="B9" s="110"/>
      <c r="C9" s="110"/>
      <c r="D9" s="111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987"/>
      <c r="R9" s="114"/>
      <c r="V9" s="1142" t="str">
        <f>IF(MasterSheet!$A$1 = 1, MasterSheet!C6,MasterSheet!B6)</f>
        <v>MINISTARSTVO FINANSIJA</v>
      </c>
      <c r="W9" s="1142"/>
      <c r="X9" s="1142"/>
      <c r="Y9" s="1142"/>
      <c r="Z9" s="299"/>
      <c r="AA9" s="111"/>
      <c r="AB9" s="111"/>
      <c r="AC9" s="111"/>
      <c r="AD9" s="111"/>
      <c r="AE9" s="111"/>
      <c r="AF9" s="111"/>
      <c r="AG9" s="111"/>
      <c r="AH9" s="111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4"/>
      <c r="BG9" s="94"/>
      <c r="BH9" s="94"/>
      <c r="BI9" s="94"/>
      <c r="BJ9" s="94"/>
      <c r="BK9" s="94"/>
      <c r="BL9" s="94"/>
      <c r="BM9" s="94"/>
      <c r="BN9" s="94"/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94"/>
      <c r="BZ9" s="94"/>
      <c r="CA9" s="94"/>
      <c r="CB9" s="94"/>
      <c r="CC9" s="94"/>
      <c r="CD9" s="94"/>
      <c r="CE9" s="94"/>
      <c r="CF9" s="94"/>
      <c r="CG9" s="94"/>
      <c r="CH9" s="94"/>
      <c r="CI9" s="94"/>
      <c r="CJ9" s="94"/>
      <c r="CK9" s="94"/>
      <c r="CL9" s="94"/>
      <c r="CM9" s="94"/>
      <c r="CN9" s="94"/>
      <c r="CO9" s="94"/>
      <c r="CP9" s="94"/>
      <c r="CQ9" s="94"/>
      <c r="CR9" s="94"/>
      <c r="CS9" s="94"/>
      <c r="CT9" s="94"/>
      <c r="CU9" s="94"/>
      <c r="CV9" s="94"/>
      <c r="CW9" s="94"/>
      <c r="CX9" s="94"/>
      <c r="CY9" s="94"/>
      <c r="CZ9" s="94"/>
      <c r="DA9" s="94"/>
      <c r="DB9" s="94"/>
      <c r="DC9" s="94"/>
      <c r="DD9" s="94"/>
      <c r="DE9" s="94"/>
      <c r="DF9" s="94"/>
      <c r="DG9" s="94"/>
      <c r="DH9" s="94"/>
      <c r="DI9" s="94"/>
      <c r="DJ9" s="94"/>
      <c r="DK9" s="94"/>
    </row>
    <row r="10" spans="1:115" ht="15" customHeight="1">
      <c r="A10" s="110"/>
      <c r="B10" s="110"/>
      <c r="C10" s="110"/>
      <c r="D10" s="111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987"/>
      <c r="R10" s="114"/>
      <c r="S10" s="114"/>
      <c r="T10" s="114"/>
      <c r="U10" s="114"/>
      <c r="V10" s="114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4"/>
      <c r="BY10" s="94"/>
      <c r="BZ10" s="94"/>
      <c r="CA10" s="94"/>
      <c r="CB10" s="94"/>
      <c r="CC10" s="94"/>
      <c r="CD10" s="94"/>
      <c r="CE10" s="94"/>
      <c r="CF10" s="94"/>
      <c r="CG10" s="94"/>
      <c r="CH10" s="94"/>
      <c r="CI10" s="94"/>
      <c r="CJ10" s="94"/>
      <c r="CK10" s="94"/>
      <c r="CL10" s="94"/>
      <c r="CM10" s="94"/>
      <c r="CN10" s="94"/>
      <c r="CO10" s="94"/>
      <c r="CP10" s="94"/>
      <c r="CQ10" s="94"/>
      <c r="CR10" s="94"/>
      <c r="CS10" s="94"/>
      <c r="CT10" s="94"/>
      <c r="CU10" s="94"/>
      <c r="CV10" s="94"/>
      <c r="CW10" s="94"/>
      <c r="CX10" s="94"/>
      <c r="CY10" s="94"/>
      <c r="CZ10" s="94"/>
      <c r="DA10" s="94"/>
      <c r="DB10" s="94"/>
      <c r="DC10" s="94"/>
      <c r="DD10" s="94"/>
      <c r="DE10" s="94"/>
      <c r="DF10" s="94"/>
      <c r="DG10" s="94"/>
      <c r="DH10" s="94"/>
      <c r="DI10" s="94"/>
      <c r="DJ10" s="94"/>
      <c r="DK10" s="94"/>
    </row>
    <row r="11" spans="1:115" ht="15" customHeight="1">
      <c r="A11" s="110"/>
      <c r="B11" s="110"/>
      <c r="C11" s="110"/>
      <c r="D11" s="111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987"/>
      <c r="R11" s="114"/>
      <c r="S11" s="114"/>
      <c r="T11" s="114"/>
      <c r="U11" s="114"/>
      <c r="V11" s="114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4"/>
      <c r="CA11" s="94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4"/>
      <c r="CP11" s="94"/>
      <c r="CQ11" s="94"/>
      <c r="CR11" s="94"/>
      <c r="CS11" s="94"/>
      <c r="CT11" s="94"/>
      <c r="CU11" s="94"/>
      <c r="CV11" s="94"/>
      <c r="CW11" s="94"/>
      <c r="CX11" s="94"/>
      <c r="CY11" s="94"/>
      <c r="CZ11" s="94"/>
      <c r="DA11" s="94"/>
      <c r="DB11" s="94"/>
      <c r="DC11" s="94"/>
      <c r="DD11" s="94"/>
      <c r="DE11" s="94"/>
      <c r="DF11" s="94"/>
      <c r="DG11" s="94"/>
      <c r="DH11" s="94"/>
      <c r="DI11" s="94"/>
      <c r="DJ11" s="94"/>
      <c r="DK11" s="94"/>
    </row>
    <row r="12" spans="1:115" ht="15" customHeight="1">
      <c r="A12" s="110"/>
      <c r="B12" s="110"/>
      <c r="C12" s="110"/>
      <c r="D12" s="111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987"/>
      <c r="R12" s="114"/>
      <c r="S12" s="114"/>
      <c r="T12" s="114"/>
      <c r="U12" s="1196" t="s">
        <v>421</v>
      </c>
      <c r="V12" s="1197"/>
      <c r="W12" s="1197"/>
      <c r="X12" s="1197"/>
      <c r="Y12" s="1197"/>
      <c r="Z12" s="1197"/>
      <c r="AA12" s="1198"/>
      <c r="AB12" s="111"/>
      <c r="AC12" s="111"/>
      <c r="AD12" s="111"/>
      <c r="AE12" s="111"/>
      <c r="AF12" s="111"/>
      <c r="AG12" s="111"/>
      <c r="AH12" s="111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/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/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4"/>
      <c r="DK12" s="94"/>
    </row>
    <row r="13" spans="1:115" ht="15" customHeight="1">
      <c r="A13" s="110"/>
      <c r="B13" s="110"/>
      <c r="C13" s="110"/>
      <c r="D13" s="111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987"/>
      <c r="R13" s="114"/>
      <c r="S13" s="114"/>
      <c r="T13" s="114"/>
      <c r="U13" s="1196" t="s">
        <v>422</v>
      </c>
      <c r="V13" s="1197"/>
      <c r="W13" s="1197"/>
      <c r="X13" s="1197"/>
      <c r="Y13" s="1197"/>
      <c r="Z13" s="1198"/>
      <c r="AA13" s="111"/>
      <c r="AB13" s="111"/>
      <c r="AC13" s="111"/>
      <c r="AD13" s="111"/>
      <c r="AE13" s="111"/>
      <c r="AF13" s="111"/>
      <c r="AG13" s="111"/>
      <c r="AH13" s="111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4"/>
      <c r="BZ13" s="94"/>
      <c r="CA13" s="94"/>
      <c r="CB13" s="94"/>
      <c r="CC13" s="94"/>
      <c r="CD13" s="94"/>
      <c r="CE13" s="94"/>
      <c r="CF13" s="94"/>
      <c r="CG13" s="94"/>
      <c r="CH13" s="94"/>
      <c r="CI13" s="94"/>
      <c r="CJ13" s="94"/>
      <c r="CK13" s="94"/>
      <c r="CL13" s="94"/>
      <c r="CM13" s="94"/>
      <c r="CN13" s="94"/>
      <c r="CO13" s="94"/>
      <c r="CP13" s="94"/>
      <c r="CQ13" s="94"/>
      <c r="CR13" s="94"/>
      <c r="CS13" s="94"/>
      <c r="CT13" s="94"/>
      <c r="CU13" s="94"/>
      <c r="CV13" s="94"/>
      <c r="CW13" s="94"/>
      <c r="CX13" s="94"/>
      <c r="CY13" s="94"/>
      <c r="CZ13" s="94"/>
      <c r="DA13" s="94"/>
      <c r="DB13" s="94"/>
      <c r="DC13" s="94"/>
      <c r="DD13" s="94"/>
      <c r="DE13" s="94"/>
      <c r="DF13" s="94"/>
      <c r="DG13" s="94"/>
      <c r="DH13" s="94"/>
      <c r="DI13" s="94"/>
      <c r="DJ13" s="94"/>
      <c r="DK13" s="94"/>
    </row>
    <row r="14" spans="1:115" ht="15" customHeight="1" thickBot="1">
      <c r="A14" s="110"/>
      <c r="B14" s="110"/>
      <c r="C14" s="110"/>
      <c r="D14" s="111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987"/>
      <c r="R14" s="114"/>
      <c r="S14" s="114"/>
      <c r="T14" s="114"/>
      <c r="U14" s="114"/>
      <c r="V14" s="114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4"/>
      <c r="BD14" s="94"/>
      <c r="BE14" s="94"/>
      <c r="BF14" s="94"/>
      <c r="BG14" s="94"/>
      <c r="BH14" s="94"/>
      <c r="BI14" s="94"/>
      <c r="BJ14" s="94"/>
      <c r="BK14" s="94"/>
      <c r="BL14" s="94"/>
      <c r="BM14" s="94"/>
      <c r="BN14" s="94"/>
      <c r="BO14" s="94"/>
      <c r="BP14" s="94"/>
      <c r="BQ14" s="94"/>
      <c r="BR14" s="94"/>
      <c r="BS14" s="94"/>
      <c r="BT14" s="94"/>
      <c r="BU14" s="94"/>
      <c r="BV14" s="94"/>
      <c r="BW14" s="94"/>
      <c r="BX14" s="94"/>
      <c r="BY14" s="94"/>
      <c r="BZ14" s="94"/>
      <c r="CA14" s="94"/>
      <c r="CB14" s="94"/>
      <c r="CC14" s="94"/>
      <c r="CD14" s="94"/>
      <c r="CE14" s="94"/>
      <c r="CF14" s="94"/>
      <c r="CG14" s="94"/>
      <c r="CH14" s="94"/>
      <c r="CI14" s="94"/>
      <c r="CJ14" s="94"/>
      <c r="CK14" s="94"/>
      <c r="CL14" s="94"/>
      <c r="CM14" s="94"/>
      <c r="CN14" s="94"/>
      <c r="CO14" s="94"/>
      <c r="CP14" s="94"/>
      <c r="CQ14" s="94"/>
      <c r="CR14" s="94"/>
      <c r="CS14" s="94"/>
      <c r="CT14" s="94"/>
      <c r="CU14" s="94"/>
      <c r="CV14" s="94"/>
      <c r="CW14" s="94"/>
      <c r="CX14" s="94"/>
      <c r="CY14" s="94"/>
      <c r="CZ14" s="94"/>
      <c r="DA14" s="94"/>
      <c r="DB14" s="94"/>
      <c r="DC14" s="94"/>
      <c r="DD14" s="94"/>
      <c r="DE14" s="94"/>
      <c r="DF14" s="94"/>
      <c r="DG14" s="94"/>
      <c r="DH14" s="94"/>
      <c r="DI14" s="94"/>
      <c r="DJ14" s="94"/>
      <c r="DK14" s="94"/>
    </row>
    <row r="15" spans="1:115" ht="18.75" customHeight="1" thickTop="1" thickBot="1">
      <c r="A15" s="110"/>
      <c r="B15" s="110"/>
      <c r="C15" s="110"/>
      <c r="D15" s="458" t="str">
        <f>IF(MasterSheet!$A$1=1,MasterSheet!B67,MasterSheet!B66)</f>
        <v>BDP (u mil. €)</v>
      </c>
      <c r="E15" s="1212">
        <v>2148900000</v>
      </c>
      <c r="F15" s="1213"/>
      <c r="G15" s="1209">
        <v>2680500000</v>
      </c>
      <c r="H15" s="1210"/>
      <c r="I15" s="1209">
        <v>3085600000</v>
      </c>
      <c r="J15" s="1210"/>
      <c r="K15" s="1209">
        <v>2981000000</v>
      </c>
      <c r="L15" s="1210"/>
      <c r="M15" s="1209">
        <v>3104000000</v>
      </c>
      <c r="N15" s="1210"/>
      <c r="O15" s="1209">
        <v>3234000000</v>
      </c>
      <c r="P15" s="1210"/>
      <c r="Q15" s="1208">
        <v>3149000000</v>
      </c>
      <c r="R15" s="1208"/>
      <c r="S15" s="1207">
        <v>3517000000</v>
      </c>
      <c r="T15" s="1207"/>
      <c r="U15" s="1201">
        <v>3517000000</v>
      </c>
      <c r="V15" s="1202"/>
      <c r="W15" s="764"/>
      <c r="X15" s="764"/>
      <c r="Y15" s="1189">
        <v>3735000000</v>
      </c>
      <c r="Z15" s="1189"/>
      <c r="AA15" s="1189">
        <v>3982000000</v>
      </c>
      <c r="AB15" s="1189"/>
      <c r="AC15" s="1189">
        <v>4265000000</v>
      </c>
      <c r="AD15" s="1189"/>
      <c r="AE15" s="111"/>
      <c r="AF15" s="111"/>
      <c r="AG15" s="111"/>
      <c r="AH15" s="111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  <c r="BQ15" s="94"/>
      <c r="BR15" s="94"/>
      <c r="BS15" s="94"/>
      <c r="BT15" s="94"/>
      <c r="BU15" s="94"/>
      <c r="BV15" s="94"/>
      <c r="BW15" s="94"/>
      <c r="BX15" s="94"/>
      <c r="BY15" s="94"/>
      <c r="BZ15" s="94"/>
      <c r="CA15" s="94"/>
      <c r="CB15" s="94"/>
      <c r="CC15" s="94"/>
      <c r="CD15" s="94"/>
      <c r="CE15" s="94"/>
      <c r="CF15" s="94"/>
      <c r="CG15" s="94"/>
      <c r="CH15" s="94"/>
      <c r="CI15" s="94"/>
      <c r="CJ15" s="94"/>
      <c r="CK15" s="94"/>
      <c r="CL15" s="94"/>
      <c r="CM15" s="94"/>
      <c r="CN15" s="94"/>
      <c r="CO15" s="94"/>
      <c r="CP15" s="94"/>
      <c r="CQ15" s="94"/>
      <c r="CR15" s="94"/>
      <c r="CS15" s="94"/>
      <c r="CT15" s="94"/>
      <c r="CU15" s="94"/>
      <c r="CV15" s="94"/>
      <c r="CW15" s="94"/>
      <c r="CX15" s="94"/>
      <c r="CY15" s="94"/>
      <c r="CZ15" s="94"/>
      <c r="DA15" s="94"/>
      <c r="DB15" s="94"/>
      <c r="DC15" s="94"/>
      <c r="DD15" s="94"/>
      <c r="DE15" s="94"/>
      <c r="DF15" s="94"/>
      <c r="DG15" s="94"/>
      <c r="DH15" s="94"/>
      <c r="DI15" s="94"/>
      <c r="DJ15" s="94"/>
      <c r="DK15" s="94"/>
    </row>
    <row r="16" spans="1:115" ht="19.5" customHeight="1" thickTop="1">
      <c r="A16" s="110"/>
      <c r="B16" s="110"/>
      <c r="C16" s="110"/>
      <c r="D16" s="111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987"/>
      <c r="R16" s="114"/>
      <c r="S16" s="1192" t="str">
        <f>IF(MasterSheet!$A$1=1,MasterSheet!$O$67,MasterSheet!O68)</f>
        <v>Plan prema Zakonu o Budžetu za 2013. godinu</v>
      </c>
      <c r="T16" s="1193"/>
      <c r="U16" s="765"/>
      <c r="V16" s="114"/>
      <c r="W16" s="766"/>
      <c r="X16" s="766"/>
      <c r="Y16" s="114"/>
      <c r="Z16" s="114"/>
      <c r="AA16" s="767"/>
      <c r="AB16" s="767"/>
      <c r="AC16" s="767"/>
      <c r="AD16" s="767"/>
      <c r="AE16" s="111"/>
      <c r="AF16" s="111"/>
      <c r="AG16" s="111"/>
      <c r="AH16" s="111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4"/>
      <c r="BU16" s="94"/>
      <c r="BV16" s="94"/>
      <c r="BW16" s="94"/>
      <c r="BX16" s="94"/>
      <c r="BY16" s="94"/>
      <c r="BZ16" s="94"/>
      <c r="CA16" s="94"/>
      <c r="CB16" s="94"/>
      <c r="CC16" s="94"/>
      <c r="CD16" s="94"/>
      <c r="CE16" s="94"/>
      <c r="CF16" s="94"/>
      <c r="CG16" s="94"/>
      <c r="CH16" s="94"/>
      <c r="CI16" s="94"/>
      <c r="CJ16" s="94"/>
      <c r="CK16" s="94"/>
      <c r="CL16" s="94"/>
      <c r="CM16" s="94"/>
      <c r="CN16" s="94"/>
      <c r="CO16" s="94"/>
      <c r="CP16" s="94"/>
      <c r="CQ16" s="94"/>
      <c r="CR16" s="94"/>
      <c r="CS16" s="94"/>
      <c r="CT16" s="94"/>
      <c r="CU16" s="94"/>
      <c r="CV16" s="94"/>
      <c r="CW16" s="94"/>
      <c r="CX16" s="94"/>
      <c r="CY16" s="94"/>
      <c r="CZ16" s="94"/>
      <c r="DA16" s="94"/>
      <c r="DB16" s="94"/>
      <c r="DC16" s="94"/>
      <c r="DD16" s="94"/>
      <c r="DE16" s="94"/>
      <c r="DF16" s="94"/>
      <c r="DG16" s="94"/>
      <c r="DH16" s="94"/>
      <c r="DI16" s="94"/>
      <c r="DJ16" s="94"/>
      <c r="DK16" s="94"/>
    </row>
    <row r="17" spans="1:120" ht="17.25" customHeight="1" thickBot="1">
      <c r="A17" s="110"/>
      <c r="B17" s="110"/>
      <c r="C17" s="115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40"/>
      <c r="P17" s="1211"/>
      <c r="Q17" s="1190" t="s">
        <v>350</v>
      </c>
      <c r="R17" s="1191"/>
      <c r="S17" s="1194"/>
      <c r="T17" s="1195"/>
      <c r="U17" s="768"/>
      <c r="V17" s="768"/>
      <c r="W17" s="769"/>
      <c r="X17" s="769"/>
      <c r="Y17" s="768"/>
      <c r="Z17" s="768"/>
      <c r="AA17" s="768"/>
      <c r="AB17" s="768"/>
      <c r="AC17" s="767"/>
      <c r="AD17" s="767"/>
      <c r="AE17" s="111"/>
      <c r="AF17" s="111"/>
      <c r="AG17" s="111"/>
      <c r="AH17" s="111"/>
      <c r="AI17" s="94"/>
      <c r="AJ17" s="94"/>
      <c r="AK17" s="94"/>
      <c r="AL17" s="94"/>
      <c r="AM17" s="94"/>
      <c r="AN17" s="38"/>
      <c r="AO17" s="38"/>
      <c r="AP17" s="38"/>
      <c r="AQ17" s="38"/>
      <c r="AR17" s="38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W17" s="94"/>
      <c r="BX17" s="94"/>
      <c r="BY17" s="94"/>
      <c r="BZ17" s="94"/>
      <c r="CA17" s="94"/>
      <c r="CB17" s="94"/>
      <c r="CC17" s="94"/>
      <c r="CD17" s="94"/>
      <c r="CE17" s="94"/>
      <c r="CF17" s="94"/>
      <c r="CG17" s="94"/>
      <c r="CH17" s="94"/>
      <c r="CI17" s="94"/>
      <c r="CJ17" s="94"/>
      <c r="CK17" s="94"/>
      <c r="CL17" s="94"/>
      <c r="CM17" s="94"/>
      <c r="CN17" s="94"/>
      <c r="CO17" s="94"/>
      <c r="CP17" s="94"/>
      <c r="CQ17" s="94"/>
      <c r="CR17" s="94"/>
      <c r="CS17" s="94"/>
      <c r="CT17" s="94"/>
      <c r="CU17" s="94"/>
      <c r="CV17" s="94"/>
      <c r="CW17" s="94"/>
      <c r="CX17" s="94"/>
      <c r="CY17" s="94"/>
      <c r="CZ17" s="94"/>
      <c r="DA17" s="94"/>
      <c r="DB17" s="94"/>
      <c r="DC17" s="94"/>
      <c r="DD17" s="94"/>
      <c r="DE17" s="94"/>
      <c r="DF17" s="94"/>
      <c r="DG17" s="94"/>
      <c r="DH17" s="94"/>
      <c r="DI17" s="94"/>
      <c r="DJ17" s="94"/>
      <c r="DK17" s="94"/>
    </row>
    <row r="18" spans="1:120" ht="15.75" customHeight="1" thickTop="1">
      <c r="A18" s="110"/>
      <c r="B18" s="110"/>
      <c r="C18" s="117"/>
      <c r="D18" s="1137" t="str">
        <f>IF(MasterSheet!$A$1=1,MasterSheet!B71,MasterSheet!B70)</f>
        <v>Budžet Crne Gore</v>
      </c>
      <c r="E18" s="1187">
        <v>2006</v>
      </c>
      <c r="F18" s="1188"/>
      <c r="G18" s="1187">
        <v>2007</v>
      </c>
      <c r="H18" s="1188"/>
      <c r="I18" s="1187">
        <v>2008</v>
      </c>
      <c r="J18" s="1188"/>
      <c r="K18" s="1187">
        <v>2009</v>
      </c>
      <c r="L18" s="1188"/>
      <c r="M18" s="1187">
        <v>2010</v>
      </c>
      <c r="N18" s="1188"/>
      <c r="O18" s="1187">
        <v>2011</v>
      </c>
      <c r="P18" s="1188"/>
      <c r="Q18" s="1205">
        <v>2012</v>
      </c>
      <c r="R18" s="1206"/>
      <c r="S18" s="1205">
        <v>2013</v>
      </c>
      <c r="T18" s="1206"/>
      <c r="U18" s="1199" t="s">
        <v>419</v>
      </c>
      <c r="V18" s="1200"/>
      <c r="W18" s="1203" t="s">
        <v>420</v>
      </c>
      <c r="X18" s="1204"/>
      <c r="Y18" s="1199">
        <v>2014</v>
      </c>
      <c r="Z18" s="1200"/>
      <c r="AA18" s="1199">
        <v>2015</v>
      </c>
      <c r="AB18" s="1200"/>
      <c r="AC18" s="1199">
        <v>2016</v>
      </c>
      <c r="AD18" s="1200"/>
      <c r="AE18" s="118"/>
      <c r="AF18" s="118"/>
      <c r="AG18" s="118"/>
      <c r="AH18" s="118"/>
      <c r="AI18" s="27"/>
      <c r="AJ18" s="27"/>
      <c r="AK18" s="27"/>
      <c r="AL18" s="27"/>
      <c r="AM18" s="27"/>
      <c r="AN18" s="97"/>
      <c r="AO18" s="28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4"/>
      <c r="CY18" s="94"/>
      <c r="CZ18" s="94"/>
      <c r="DA18" s="94"/>
      <c r="DB18" s="94"/>
      <c r="DC18" s="94"/>
      <c r="DD18" s="94"/>
      <c r="DE18" s="94"/>
      <c r="DF18" s="94"/>
      <c r="DG18" s="94"/>
      <c r="DH18" s="94"/>
      <c r="DI18" s="94"/>
      <c r="DJ18" s="94"/>
      <c r="DK18" s="94"/>
    </row>
    <row r="19" spans="1:120" ht="15" customHeight="1" thickBot="1">
      <c r="A19" s="110"/>
      <c r="B19" s="110"/>
      <c r="C19" s="110"/>
      <c r="D19" s="1138" t="str">
        <f>IF(MasterSheet!$A$1=1,MasterSheet!B71,MasterSheet!B70)</f>
        <v>Budžet Crne Gore</v>
      </c>
      <c r="E19" s="907" t="str">
        <f>IF(MasterSheet!$A$1=1,MasterSheet!C71,MasterSheet!C70)</f>
        <v>mil. €</v>
      </c>
      <c r="F19" s="908" t="str">
        <f>IF(MasterSheet!$A$1=1,MasterSheet!D71,MasterSheet!D70)</f>
        <v>% BDP</v>
      </c>
      <c r="G19" s="909" t="str">
        <f>IF(MasterSheet!$A$1=1,MasterSheet!E71,MasterSheet!E70)</f>
        <v>mil. €</v>
      </c>
      <c r="H19" s="910" t="str">
        <f>IF(MasterSheet!$A$1=1,MasterSheet!F71,MasterSheet!F70)</f>
        <v>% BDP</v>
      </c>
      <c r="I19" s="911" t="str">
        <f>IF(MasterSheet!$A$1=1,MasterSheet!G71,MasterSheet!G70)</f>
        <v>mil. €</v>
      </c>
      <c r="J19" s="910" t="str">
        <f>IF(MasterSheet!$A$1=1,MasterSheet!H71,MasterSheet!H70)</f>
        <v>% BDP</v>
      </c>
      <c r="K19" s="907" t="str">
        <f>IF(MasterSheet!$A$1=1,MasterSheet!I71,MasterSheet!I70)</f>
        <v>mil. €</v>
      </c>
      <c r="L19" s="909" t="str">
        <f>IF(MasterSheet!$A$1=1,MasterSheet!J71,MasterSheet!J70)</f>
        <v>% BDP</v>
      </c>
      <c r="M19" s="907" t="str">
        <f>IF(MasterSheet!$A$1=1,MasterSheet!K71,MasterSheet!K70)</f>
        <v>mil. €</v>
      </c>
      <c r="N19" s="908" t="str">
        <f>IF(MasterSheet!$A$1=1,MasterSheet!L71,MasterSheet!L70)</f>
        <v>% BDP</v>
      </c>
      <c r="O19" s="907" t="str">
        <f>IF(MasterSheet!$A$1=1,MasterSheet!M71,MasterSheet!M70)</f>
        <v>mil. €</v>
      </c>
      <c r="P19" s="909" t="str">
        <f>IF(MasterSheet!$A$1=1,MasterSheet!N71,MasterSheet!N70)</f>
        <v>% BDP</v>
      </c>
      <c r="Q19" s="988" t="str">
        <f>IF(MasterSheet!$A$1=1,MasterSheet!O71,MasterSheet!O70)</f>
        <v>mil. €</v>
      </c>
      <c r="R19" s="908" t="str">
        <f>IF(MasterSheet!$A$1=1,MasterSheet!P71,MasterSheet!P70)</f>
        <v>% BDP</v>
      </c>
      <c r="S19" s="907" t="str">
        <f>IF(MasterSheet!$A$1=1,MasterSheet!Q71,MasterSheet!Q70)</f>
        <v>mil. €</v>
      </c>
      <c r="T19" s="908" t="str">
        <f>IF(MasterSheet!$A$1=1,MasterSheet!R71,MasterSheet!R70)</f>
        <v>% BDP</v>
      </c>
      <c r="U19" s="770" t="str">
        <f>IF(MasterSheet!$A$1=1,MasterSheet!S71,MasterSheet!S70)</f>
        <v>mil. €</v>
      </c>
      <c r="V19" s="771" t="str">
        <f>IF(MasterSheet!$A$1=1,MasterSheet!T71,MasterSheet!T70)</f>
        <v>% BDP</v>
      </c>
      <c r="W19" s="772" t="str">
        <f>IF(MasterSheet!$A$1=1,MasterSheet!U71,MasterSheet!U70)</f>
        <v>mil. €</v>
      </c>
      <c r="X19" s="773" t="str">
        <f>IF(MasterSheet!$A$1=1,MasterSheet!V71,MasterSheet!V70)</f>
        <v>% BDP</v>
      </c>
      <c r="Y19" s="770" t="str">
        <f>IF(MasterSheet!$A$1=1,MasterSheet!S71,MasterSheet!S70)</f>
        <v>mil. €</v>
      </c>
      <c r="Z19" s="771" t="str">
        <f>IF(MasterSheet!$A$1=1,MasterSheet!T71,MasterSheet!T70)</f>
        <v>% BDP</v>
      </c>
      <c r="AA19" s="770" t="str">
        <f>IF(MasterSheet!$A$1=1,MasterSheet!U71,MasterSheet!U70)</f>
        <v>mil. €</v>
      </c>
      <c r="AB19" s="771" t="str">
        <f>IF(MasterSheet!$A$1=1,MasterSheet!V71,MasterSheet!V70)</f>
        <v>% BDP</v>
      </c>
      <c r="AC19" s="770" t="s">
        <v>266</v>
      </c>
      <c r="AD19" s="771" t="s">
        <v>150</v>
      </c>
      <c r="AE19" s="118"/>
      <c r="AF19" s="118"/>
      <c r="AG19" s="118"/>
      <c r="AH19" s="118"/>
      <c r="AI19" s="27"/>
      <c r="AJ19" s="27"/>
      <c r="AK19" s="27"/>
      <c r="AL19" s="27"/>
      <c r="AM19" s="27"/>
      <c r="AN19" s="98"/>
      <c r="AO19" s="28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4"/>
      <c r="CY19" s="94"/>
      <c r="CZ19" s="94"/>
      <c r="DA19" s="94"/>
      <c r="DB19" s="94"/>
      <c r="DC19" s="94"/>
      <c r="DD19" s="94"/>
      <c r="DE19" s="94"/>
      <c r="DF19" s="94"/>
      <c r="DG19" s="94"/>
      <c r="DH19" s="94"/>
      <c r="DI19" s="94"/>
      <c r="DJ19" s="94"/>
      <c r="DK19" s="94"/>
    </row>
    <row r="20" spans="1:120" ht="15" customHeight="1" thickTop="1" thickBot="1">
      <c r="A20" s="110"/>
      <c r="B20" s="110"/>
      <c r="C20" s="110"/>
      <c r="D20" s="165" t="str">
        <f>IF(MasterSheet!$A$1=1,MasterSheet!C72,MasterSheet!B72)</f>
        <v>Izvorni prihodi</v>
      </c>
      <c r="E20" s="343">
        <f>E21+E29+E34+E39+E46+E51</f>
        <v>861248548.43999958</v>
      </c>
      <c r="F20" s="166">
        <f>E20/$E$15*100</f>
        <v>40.07857733910371</v>
      </c>
      <c r="G20" s="343">
        <f>G21+G29+G34+G39+G46+G51</f>
        <v>1128300449.6399999</v>
      </c>
      <c r="H20" s="167">
        <f>G20/$G$15*100</f>
        <v>42.092909891438154</v>
      </c>
      <c r="I20" s="343">
        <f>I21+I29+I34+I39+I46+I51</f>
        <v>1287200216.2899997</v>
      </c>
      <c r="J20" s="166">
        <f>I20/$I$15*100</f>
        <v>41.716366874837945</v>
      </c>
      <c r="K20" s="343">
        <f>K21+K29+K34+K39+K46+K51</f>
        <v>1169267417.6000001</v>
      </c>
      <c r="L20" s="167">
        <f>K20/$K$15*100</f>
        <v>39.223999248574309</v>
      </c>
      <c r="M20" s="343">
        <f>M21+M29+M34+M39+M46+M51</f>
        <v>1140357804.0200005</v>
      </c>
      <c r="N20" s="166">
        <f>M20/$M$15*100</f>
        <v>36.738331315077332</v>
      </c>
      <c r="O20" s="343">
        <f>O21+O29+O34+O39+O46+O51</f>
        <v>1129142807.0900002</v>
      </c>
      <c r="P20" s="167">
        <f>O20/$O$15*100</f>
        <v>34.914743571119359</v>
      </c>
      <c r="Q20" s="989">
        <f>Q21+Q29+Q34+Q39+Q46+Q51</f>
        <v>1121018319.5799999</v>
      </c>
      <c r="R20" s="648">
        <f>Q20/$Q$15*100</f>
        <v>35.59918448967926</v>
      </c>
      <c r="S20" s="647">
        <f>S21+S29+S34+S39+S46+S51</f>
        <v>1161800821.0012336</v>
      </c>
      <c r="T20" s="648">
        <f>S20/$S$15*100</f>
        <v>33.033858999182073</v>
      </c>
      <c r="U20" s="774">
        <f>U21+U29+U34+U39+U46+U51</f>
        <v>1183748266.0945003</v>
      </c>
      <c r="V20" s="775">
        <f>+U20/$U$15*100</f>
        <v>33.657897813321021</v>
      </c>
      <c r="W20" s="776">
        <f>+U20-S20</f>
        <v>21947445.093266726</v>
      </c>
      <c r="X20" s="777">
        <f>+V20-T20</f>
        <v>0.62403881413894879</v>
      </c>
      <c r="Y20" s="774">
        <f>Y21+Y29+Y34+Y39+Y46+Y51</f>
        <v>1201745344.390903</v>
      </c>
      <c r="Z20" s="775">
        <f>Y20/$Y$15*100</f>
        <v>32.175243491054964</v>
      </c>
      <c r="AA20" s="774">
        <f>AA21+AA29+AA34+AA39+AA46+AA51</f>
        <v>1237270299.514262</v>
      </c>
      <c r="AB20" s="775">
        <f>+AA20/$AA$15*100</f>
        <v>31.071579596038724</v>
      </c>
      <c r="AC20" s="774">
        <f>AC21+AC29+AC34+AC39+AC46+AC51</f>
        <v>1283723558.8948655</v>
      </c>
      <c r="AD20" s="775">
        <f t="shared" ref="AD20:AD83" si="0">+AC20/$AC$15*100</f>
        <v>30.099028344545498</v>
      </c>
      <c r="AE20" s="118"/>
      <c r="AF20" s="118"/>
      <c r="AG20" s="118"/>
      <c r="AH20" s="118"/>
      <c r="AI20" s="27"/>
      <c r="AJ20" s="27"/>
      <c r="AK20" s="27"/>
      <c r="AL20" s="27"/>
      <c r="AM20" s="27"/>
      <c r="AN20" s="29"/>
      <c r="AO20" s="29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94"/>
      <c r="CG20" s="94"/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</row>
    <row r="21" spans="1:120" ht="15" customHeight="1" thickTop="1">
      <c r="A21" s="110"/>
      <c r="B21" s="110"/>
      <c r="C21" s="110"/>
      <c r="D21" s="129" t="str">
        <f>IF(MasterSheet!$A$1=1,MasterSheet!C73,MasterSheet!B73)</f>
        <v>Porezi</v>
      </c>
      <c r="E21" s="344">
        <f>SUM(E22:E28)</f>
        <v>499381748.50999969</v>
      </c>
      <c r="F21" s="135">
        <f>E21/$E$15*100</f>
        <v>23.238947764437604</v>
      </c>
      <c r="G21" s="347">
        <f>SUM(G22:G28)</f>
        <v>708017212.35000002</v>
      </c>
      <c r="H21" s="135">
        <f t="shared" ref="H21:H85" si="1">G21/$G$15*100</f>
        <v>26.413624784555122</v>
      </c>
      <c r="I21" s="344">
        <f>SUM(I22:I28)</f>
        <v>827975111.18999994</v>
      </c>
      <c r="J21" s="136">
        <f t="shared" ref="J21:J85" si="2">I21/$I$15*100</f>
        <v>26.833520585623539</v>
      </c>
      <c r="K21" s="344">
        <f>SUM(K22:K28)</f>
        <v>712439343.42000008</v>
      </c>
      <c r="L21" s="135">
        <f t="shared" ref="L21:L85" si="3">K21/$K$15*100</f>
        <v>23.899340604495141</v>
      </c>
      <c r="M21" s="344">
        <f>SUM(M22:M28)</f>
        <v>675800345.0200001</v>
      </c>
      <c r="N21" s="136">
        <f t="shared" ref="N21:N85" si="4">M21/$M$15*100</f>
        <v>21.771918331829902</v>
      </c>
      <c r="O21" s="344">
        <f>SUM(O22:O28)</f>
        <v>704070354.97000003</v>
      </c>
      <c r="P21" s="135">
        <f t="shared" ref="P21:P85" si="5">O21/$O$15*100</f>
        <v>21.770882961348175</v>
      </c>
      <c r="Q21" s="990">
        <f>SUM(Q22:Q28)</f>
        <v>687444134.69000006</v>
      </c>
      <c r="R21" s="646">
        <f t="shared" ref="R21:R84" si="6">Q21/$Q$15*100</f>
        <v>21.830553657986666</v>
      </c>
      <c r="S21" s="645">
        <f>SUM(S22:S28)</f>
        <v>700430529.24184442</v>
      </c>
      <c r="T21" s="646">
        <f t="shared" ref="T21:T84" si="7">S21/$S$15*100</f>
        <v>19.915568076253752</v>
      </c>
      <c r="U21" s="778">
        <f>SUM(U22:U28)</f>
        <v>732155041.72119999</v>
      </c>
      <c r="V21" s="779">
        <f t="shared" ref="V21:V84" si="8">+U21/$U$15*100</f>
        <v>20.817601413738981</v>
      </c>
      <c r="W21" s="780">
        <f t="shared" ref="W21:X51" si="9">+U21-S21</f>
        <v>31724512.479355574</v>
      </c>
      <c r="X21" s="781">
        <f t="shared" si="9"/>
        <v>0.90203333748522851</v>
      </c>
      <c r="Y21" s="778">
        <f>SUM(Y22:Y28)</f>
        <v>748919124.23378611</v>
      </c>
      <c r="Z21" s="779">
        <f t="shared" ref="Z21:Z84" si="10">Y21/$Y$15*100</f>
        <v>20.051382174934034</v>
      </c>
      <c r="AA21" s="778">
        <f>SUM(AA22:AA28)</f>
        <v>771182927.45158815</v>
      </c>
      <c r="AB21" s="779">
        <f t="shared" ref="AB21:AB84" si="11">+AA21/$AA$15*100</f>
        <v>19.366723441777705</v>
      </c>
      <c r="AC21" s="778">
        <f>SUM(AC22:AC28)</f>
        <v>801657843.43130481</v>
      </c>
      <c r="AD21" s="779">
        <f t="shared" si="0"/>
        <v>18.796197970253338</v>
      </c>
      <c r="AE21" s="118"/>
      <c r="AF21" s="118"/>
      <c r="AG21" s="118"/>
      <c r="AH21" s="118"/>
      <c r="AI21" s="27"/>
      <c r="AJ21" s="27"/>
      <c r="AK21" s="27"/>
      <c r="AL21" s="27"/>
      <c r="AM21" s="27"/>
      <c r="AN21" s="29"/>
      <c r="AO21" s="29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94"/>
      <c r="BA21" s="94"/>
      <c r="BB21" s="94"/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4"/>
      <c r="BN21" s="94"/>
      <c r="BO21" s="94"/>
      <c r="BP21" s="94"/>
      <c r="BQ21" s="94"/>
      <c r="BR21" s="94"/>
      <c r="BS21" s="94"/>
      <c r="BT21" s="94"/>
      <c r="BU21" s="94"/>
      <c r="BV21" s="94"/>
      <c r="BW21" s="94"/>
      <c r="BX21" s="94"/>
      <c r="BY21" s="94"/>
      <c r="BZ21" s="94"/>
      <c r="CA21" s="94"/>
      <c r="CB21" s="94"/>
      <c r="CC21" s="94"/>
      <c r="CD21" s="94"/>
      <c r="CE21" s="94"/>
      <c r="CF21" s="94"/>
      <c r="CG21" s="94"/>
      <c r="CH21" s="94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</row>
    <row r="22" spans="1:120" ht="15" customHeight="1">
      <c r="A22" s="110"/>
      <c r="B22" s="110"/>
      <c r="C22" s="110"/>
      <c r="D22" s="130" t="str">
        <f>IF(MasterSheet!$A$1=1,MasterSheet!C74,MasterSheet!B74)</f>
        <v>Porez na dohodak fizičkih lica</v>
      </c>
      <c r="E22" s="345">
        <v>72493703.819999963</v>
      </c>
      <c r="F22" s="137">
        <f t="shared" ref="F22:F85" si="12">E22/$E$15*100</f>
        <v>3.3735261678067832</v>
      </c>
      <c r="G22" s="345">
        <v>85402227.900000006</v>
      </c>
      <c r="H22" s="138">
        <f t="shared" si="1"/>
        <v>3.1860558813654167</v>
      </c>
      <c r="I22" s="345">
        <v>111918603.98999999</v>
      </c>
      <c r="J22" s="137">
        <f t="shared" si="2"/>
        <v>3.6271261339771841</v>
      </c>
      <c r="K22" s="345">
        <v>94990513.510000005</v>
      </c>
      <c r="L22" s="138">
        <f t="shared" si="3"/>
        <v>3.1865318185172762</v>
      </c>
      <c r="M22" s="345">
        <v>89753928.969999999</v>
      </c>
      <c r="N22" s="137">
        <f t="shared" si="4"/>
        <v>2.8915569900128868</v>
      </c>
      <c r="O22" s="345">
        <v>81640031.710000008</v>
      </c>
      <c r="P22" s="138">
        <f t="shared" si="5"/>
        <v>2.5244289335188621</v>
      </c>
      <c r="Q22" s="991">
        <v>82261833.280000001</v>
      </c>
      <c r="R22" s="644">
        <f t="shared" si="6"/>
        <v>2.6123160774849161</v>
      </c>
      <c r="S22" s="643">
        <v>90882254.340598434</v>
      </c>
      <c r="T22" s="644">
        <f t="shared" si="7"/>
        <v>2.5840845703894919</v>
      </c>
      <c r="U22" s="786">
        <f>+(Q22+7500000)*1.025</f>
        <v>92005879.111999989</v>
      </c>
      <c r="V22" s="782">
        <f t="shared" si="8"/>
        <v>2.6160329574068806</v>
      </c>
      <c r="W22" s="783">
        <f t="shared" si="9"/>
        <v>1123624.7714015543</v>
      </c>
      <c r="X22" s="784">
        <f t="shared" si="9"/>
        <v>3.1948387017388669E-2</v>
      </c>
      <c r="Y22" s="785">
        <f>+(U22-7000000)*1.03</f>
        <v>87556055.485359997</v>
      </c>
      <c r="Z22" s="782">
        <f t="shared" si="10"/>
        <v>2.34420496614083</v>
      </c>
      <c r="AA22" s="785">
        <f>+Y22*1.03</f>
        <v>90182737.149920791</v>
      </c>
      <c r="AB22" s="782">
        <f t="shared" si="11"/>
        <v>2.2647598480643092</v>
      </c>
      <c r="AC22" s="785">
        <f>+AA22*1.04</f>
        <v>93790046.635917619</v>
      </c>
      <c r="AD22" s="782">
        <f t="shared" si="0"/>
        <v>2.199063227102406</v>
      </c>
      <c r="AE22" s="118"/>
      <c r="AF22" s="118"/>
      <c r="AG22" s="118"/>
      <c r="AH22" s="118"/>
      <c r="AI22" s="27"/>
      <c r="AJ22" s="27"/>
      <c r="AK22" s="27"/>
      <c r="AL22" s="27"/>
      <c r="AM22" s="27"/>
      <c r="AN22" s="29"/>
      <c r="AO22" s="29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4"/>
      <c r="CU22" s="94"/>
      <c r="CV22" s="94"/>
      <c r="CW22" s="94"/>
      <c r="CX22" s="94"/>
      <c r="CY22" s="94"/>
      <c r="CZ22" s="94"/>
      <c r="DA22" s="94"/>
      <c r="DB22" s="94"/>
      <c r="DC22" s="94"/>
      <c r="DD22" s="94"/>
      <c r="DE22" s="94"/>
      <c r="DF22" s="94"/>
      <c r="DG22" s="94"/>
      <c r="DH22" s="94"/>
      <c r="DI22" s="94"/>
      <c r="DJ22" s="94"/>
      <c r="DK22" s="94"/>
    </row>
    <row r="23" spans="1:120" ht="15" customHeight="1">
      <c r="A23" s="110"/>
      <c r="B23" s="110"/>
      <c r="C23" s="110"/>
      <c r="D23" s="130" t="str">
        <f>IF(MasterSheet!$A$1=1,MasterSheet!C75,MasterSheet!B75)</f>
        <v>Porez na dobit pravnih lica</v>
      </c>
      <c r="E23" s="345">
        <v>12681282.079999981</v>
      </c>
      <c r="F23" s="137">
        <f t="shared" si="12"/>
        <v>0.59012899995346368</v>
      </c>
      <c r="G23" s="345">
        <v>39076661.670000002</v>
      </c>
      <c r="H23" s="138">
        <f t="shared" si="1"/>
        <v>1.457812410744264</v>
      </c>
      <c r="I23" s="345">
        <v>62803344.119999997</v>
      </c>
      <c r="J23" s="137">
        <f t="shared" si="2"/>
        <v>2.035368943479388</v>
      </c>
      <c r="K23" s="345">
        <v>54738222.979999997</v>
      </c>
      <c r="L23" s="138">
        <f t="shared" si="3"/>
        <v>1.8362369332438777</v>
      </c>
      <c r="M23" s="345">
        <v>20270971.710000001</v>
      </c>
      <c r="N23" s="137">
        <f t="shared" si="4"/>
        <v>0.65305965560567014</v>
      </c>
      <c r="O23" s="345">
        <v>36101185.260000005</v>
      </c>
      <c r="P23" s="138">
        <f t="shared" si="5"/>
        <v>1.1163013376623379</v>
      </c>
      <c r="Q23" s="991">
        <v>64016557.520000003</v>
      </c>
      <c r="R23" s="644">
        <f t="shared" si="6"/>
        <v>2.0329170377897743</v>
      </c>
      <c r="S23" s="643">
        <v>41932967.183892116</v>
      </c>
      <c r="T23" s="644">
        <f t="shared" si="7"/>
        <v>1.1922936361641205</v>
      </c>
      <c r="U23" s="785">
        <f>+(Q23-25000000)*1.03+1200000</f>
        <v>41387054.245600007</v>
      </c>
      <c r="V23" s="782">
        <f t="shared" si="8"/>
        <v>1.1767715167927213</v>
      </c>
      <c r="W23" s="783">
        <f t="shared" si="9"/>
        <v>-545912.93829210848</v>
      </c>
      <c r="X23" s="784">
        <f t="shared" si="9"/>
        <v>-1.5522119371399246E-2</v>
      </c>
      <c r="Y23" s="785">
        <f>+U23*1.03</f>
        <v>42628665.872968011</v>
      </c>
      <c r="Z23" s="782">
        <f t="shared" si="10"/>
        <v>1.1413297422481394</v>
      </c>
      <c r="AA23" s="785">
        <f>+Y23*1.03</f>
        <v>43907525.84915705</v>
      </c>
      <c r="AB23" s="782">
        <f t="shared" si="11"/>
        <v>1.1026500715509053</v>
      </c>
      <c r="AC23" s="785">
        <f>+AA23*1.04</f>
        <v>45663826.883123331</v>
      </c>
      <c r="AD23" s="782">
        <f t="shared" si="0"/>
        <v>1.0706641707649081</v>
      </c>
      <c r="AE23" s="119"/>
      <c r="AF23" s="119"/>
      <c r="AG23" s="119"/>
      <c r="AH23" s="119"/>
      <c r="AI23" s="93"/>
      <c r="AJ23" s="93"/>
      <c r="AK23" s="93"/>
      <c r="AL23" s="93"/>
      <c r="AM23" s="93"/>
      <c r="AN23" s="29"/>
      <c r="AO23" s="29"/>
      <c r="AP23" s="94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100"/>
      <c r="BD23" s="100"/>
      <c r="BE23" s="100"/>
      <c r="BF23" s="100"/>
      <c r="BG23" s="100"/>
      <c r="BH23" s="100"/>
      <c r="BI23" s="100"/>
      <c r="BJ23" s="100"/>
      <c r="BK23" s="100"/>
      <c r="BL23" s="100"/>
      <c r="BM23" s="100"/>
      <c r="BN23" s="100"/>
      <c r="BO23" s="101"/>
      <c r="BP23" s="100"/>
      <c r="BQ23" s="100"/>
      <c r="BR23" s="100"/>
      <c r="BS23" s="100"/>
      <c r="BT23" s="100"/>
      <c r="BU23" s="100"/>
      <c r="BV23" s="100"/>
      <c r="BW23" s="100"/>
      <c r="BX23" s="100"/>
      <c r="BY23" s="100"/>
      <c r="BZ23" s="100"/>
      <c r="CA23" s="100"/>
      <c r="CB23" s="100"/>
      <c r="CC23" s="100"/>
      <c r="CD23" s="100"/>
      <c r="CE23" s="100"/>
      <c r="CF23" s="100"/>
      <c r="CG23" s="100"/>
      <c r="CH23" s="100"/>
      <c r="CI23" s="100"/>
      <c r="CJ23" s="100"/>
      <c r="CK23" s="100"/>
      <c r="CL23" s="100"/>
      <c r="CM23" s="100"/>
      <c r="CN23" s="94"/>
      <c r="CO23" s="94"/>
      <c r="CP23" s="94"/>
      <c r="CQ23" s="94"/>
      <c r="CR23" s="94"/>
      <c r="CS23" s="94"/>
      <c r="CT23" s="94"/>
      <c r="CU23" s="94"/>
      <c r="CV23" s="94"/>
      <c r="CW23" s="94"/>
      <c r="CX23" s="94"/>
      <c r="CY23" s="94"/>
      <c r="CZ23" s="94"/>
      <c r="DA23" s="94"/>
      <c r="DB23" s="94"/>
      <c r="DC23" s="94"/>
      <c r="DD23" s="94"/>
      <c r="DE23" s="94"/>
      <c r="DF23" s="94"/>
      <c r="DG23" s="94"/>
      <c r="DH23" s="94"/>
      <c r="DI23" s="94"/>
      <c r="DJ23" s="94"/>
      <c r="DK23" s="94"/>
      <c r="DM23" s="96"/>
    </row>
    <row r="24" spans="1:120" ht="15" customHeight="1">
      <c r="A24" s="110"/>
      <c r="B24" s="110"/>
      <c r="C24" s="110"/>
      <c r="D24" s="130" t="str">
        <f>IF(MasterSheet!$A$1=1,MasterSheet!C76,MasterSheet!B76)</f>
        <v>Porez na promet nepokretnosti</v>
      </c>
      <c r="E24" s="345">
        <v>7371892.8599999985</v>
      </c>
      <c r="F24" s="137">
        <f t="shared" si="12"/>
        <v>0.3430542538042719</v>
      </c>
      <c r="G24" s="345">
        <v>20590669.43</v>
      </c>
      <c r="H24" s="138">
        <f t="shared" si="1"/>
        <v>0.76816524640925199</v>
      </c>
      <c r="I24" s="345">
        <v>11428331.24</v>
      </c>
      <c r="J24" s="137">
        <f t="shared" si="2"/>
        <v>0.37037630412237488</v>
      </c>
      <c r="K24" s="345">
        <v>5206820.57</v>
      </c>
      <c r="L24" s="138">
        <f t="shared" si="3"/>
        <v>0.17466690942636701</v>
      </c>
      <c r="M24" s="345">
        <v>4938431.08</v>
      </c>
      <c r="N24" s="137">
        <f t="shared" si="4"/>
        <v>0.15909893943298969</v>
      </c>
      <c r="O24" s="345">
        <v>1237096.94</v>
      </c>
      <c r="P24" s="138">
        <f t="shared" si="5"/>
        <v>3.8252842918985772E-2</v>
      </c>
      <c r="Q24" s="991">
        <v>1441449.4</v>
      </c>
      <c r="R24" s="644">
        <f t="shared" si="6"/>
        <v>4.5774830104795168E-2</v>
      </c>
      <c r="S24" s="643">
        <v>1521889.0598464904</v>
      </c>
      <c r="T24" s="644">
        <f t="shared" si="7"/>
        <v>4.3272364510847039E-2</v>
      </c>
      <c r="U24" s="785">
        <f>+Q24*1.03</f>
        <v>1484692.882</v>
      </c>
      <c r="V24" s="782">
        <f t="shared" si="8"/>
        <v>4.2214753539948822E-2</v>
      </c>
      <c r="W24" s="783">
        <f t="shared" si="9"/>
        <v>-37196.177846490405</v>
      </c>
      <c r="X24" s="784">
        <f t="shared" si="9"/>
        <v>-1.0576109708982165E-3</v>
      </c>
      <c r="Y24" s="785">
        <f>+U24*1.025</f>
        <v>1521810.2040499998</v>
      </c>
      <c r="Z24" s="782">
        <f t="shared" si="10"/>
        <v>4.0744583776439081E-2</v>
      </c>
      <c r="AA24" s="785">
        <f>+Y24*1.025</f>
        <v>1559855.4591512496</v>
      </c>
      <c r="AB24" s="782">
        <f t="shared" si="11"/>
        <v>3.9172663464370906E-2</v>
      </c>
      <c r="AC24" s="785">
        <f>+AA24*1.03</f>
        <v>1606651.1229257872</v>
      </c>
      <c r="AD24" s="782">
        <f t="shared" si="0"/>
        <v>3.7670600771999699E-2</v>
      </c>
      <c r="AE24" s="119"/>
      <c r="AF24" s="119"/>
      <c r="AG24" s="119"/>
      <c r="AH24" s="119"/>
      <c r="AI24" s="93"/>
      <c r="AJ24" s="93"/>
      <c r="AK24" s="93"/>
      <c r="AL24" s="93"/>
      <c r="AM24" s="93"/>
      <c r="AN24" s="29"/>
      <c r="AO24" s="29"/>
      <c r="AP24" s="94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100"/>
      <c r="BD24" s="100"/>
      <c r="BE24" s="100"/>
      <c r="BF24" s="100"/>
      <c r="BG24" s="100"/>
      <c r="BH24" s="100"/>
      <c r="BI24" s="100"/>
      <c r="BJ24" s="100"/>
      <c r="BK24" s="100"/>
      <c r="BL24" s="100"/>
      <c r="BM24" s="100"/>
      <c r="BN24" s="100"/>
      <c r="BO24" s="101"/>
      <c r="BP24" s="100"/>
      <c r="BQ24" s="100"/>
      <c r="BR24" s="100"/>
      <c r="BS24" s="100"/>
      <c r="BT24" s="100"/>
      <c r="BU24" s="100"/>
      <c r="BV24" s="100"/>
      <c r="BW24" s="100"/>
      <c r="BX24" s="100"/>
      <c r="BY24" s="100"/>
      <c r="BZ24" s="100"/>
      <c r="CA24" s="100"/>
      <c r="CB24" s="100"/>
      <c r="CC24" s="100"/>
      <c r="CD24" s="100"/>
      <c r="CE24" s="100"/>
      <c r="CF24" s="100"/>
      <c r="CG24" s="100"/>
      <c r="CH24" s="100"/>
      <c r="CI24" s="100"/>
      <c r="CJ24" s="100"/>
      <c r="CK24" s="100"/>
      <c r="CL24" s="100"/>
      <c r="CM24" s="100"/>
      <c r="CN24" s="101"/>
      <c r="CO24" s="101"/>
      <c r="CP24" s="101"/>
      <c r="CQ24" s="101"/>
      <c r="CR24" s="101"/>
      <c r="CS24" s="101"/>
      <c r="CT24" s="101"/>
      <c r="CU24" s="101"/>
      <c r="CV24" s="101"/>
      <c r="CW24" s="101"/>
      <c r="CX24" s="101"/>
      <c r="CY24" s="101"/>
      <c r="CZ24" s="100"/>
      <c r="DA24" s="100"/>
      <c r="DB24" s="100"/>
      <c r="DC24" s="100"/>
      <c r="DD24" s="100"/>
      <c r="DE24" s="100"/>
      <c r="DF24" s="100"/>
      <c r="DG24" s="100"/>
      <c r="DH24" s="100"/>
      <c r="DI24" s="100"/>
      <c r="DJ24" s="100"/>
      <c r="DK24" s="100"/>
    </row>
    <row r="25" spans="1:120" ht="15" customHeight="1">
      <c r="A25" s="110"/>
      <c r="B25" s="110"/>
      <c r="C25" s="110"/>
      <c r="D25" s="130" t="str">
        <f>IF(MasterSheet!$A$1=1,MasterSheet!C77,MasterSheet!B77)</f>
        <v>Porez na dodatu vrijednost</v>
      </c>
      <c r="E25" s="345">
        <v>273156637.07999986</v>
      </c>
      <c r="F25" s="137">
        <f t="shared" si="12"/>
        <v>12.711463403601837</v>
      </c>
      <c r="G25" s="345">
        <v>393174255.16000003</v>
      </c>
      <c r="H25" s="138">
        <f t="shared" si="1"/>
        <v>14.667944605857116</v>
      </c>
      <c r="I25" s="345">
        <v>440064484.29000002</v>
      </c>
      <c r="J25" s="137">
        <f t="shared" si="2"/>
        <v>14.26187724559243</v>
      </c>
      <c r="K25" s="345">
        <v>370776941.73000002</v>
      </c>
      <c r="L25" s="138">
        <f t="shared" si="3"/>
        <v>12.438005425360618</v>
      </c>
      <c r="M25" s="345">
        <v>364177041.45999998</v>
      </c>
      <c r="N25" s="137">
        <f t="shared" si="4"/>
        <v>11.732507778994844</v>
      </c>
      <c r="O25" s="345">
        <v>392235880.90999997</v>
      </c>
      <c r="P25" s="138">
        <f t="shared" si="5"/>
        <v>12.12850590321583</v>
      </c>
      <c r="Q25" s="991">
        <v>354714031.35000002</v>
      </c>
      <c r="R25" s="644">
        <f t="shared" si="6"/>
        <v>11.264338880597016</v>
      </c>
      <c r="S25" s="643">
        <v>373045631.00580901</v>
      </c>
      <c r="T25" s="644">
        <f t="shared" si="7"/>
        <v>10.606927239289424</v>
      </c>
      <c r="U25" s="786">
        <f>+Q25*1.02+19000000+25000000</f>
        <v>405808311.97700006</v>
      </c>
      <c r="V25" s="782">
        <f t="shared" si="8"/>
        <v>11.538479157719648</v>
      </c>
      <c r="W25" s="783">
        <f t="shared" si="9"/>
        <v>32762680.971191049</v>
      </c>
      <c r="X25" s="784">
        <f t="shared" si="9"/>
        <v>0.93155191843022322</v>
      </c>
      <c r="Y25" s="786">
        <f>+U25*1.03</f>
        <v>417982561.33631009</v>
      </c>
      <c r="Z25" s="787">
        <f t="shared" si="10"/>
        <v>11.190965497625438</v>
      </c>
      <c r="AA25" s="786">
        <f>+Y25*1.03</f>
        <v>430522038.17639941</v>
      </c>
      <c r="AB25" s="787">
        <f t="shared" si="11"/>
        <v>10.811703620703149</v>
      </c>
      <c r="AC25" s="786">
        <f>+AA25*1.04</f>
        <v>447742919.70345539</v>
      </c>
      <c r="AD25" s="782">
        <f t="shared" si="0"/>
        <v>10.498075491288521</v>
      </c>
      <c r="AE25" s="120"/>
      <c r="AF25" s="120"/>
      <c r="AG25" s="120"/>
      <c r="AH25" s="120"/>
      <c r="AI25" s="102"/>
      <c r="AJ25" s="102"/>
      <c r="AK25" s="102"/>
      <c r="AL25" s="102"/>
      <c r="AM25" s="103"/>
      <c r="AN25" s="32"/>
      <c r="AO25" s="32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</row>
    <row r="26" spans="1:120" ht="15" customHeight="1">
      <c r="A26" s="110"/>
      <c r="B26" s="110"/>
      <c r="C26" s="110"/>
      <c r="D26" s="130" t="str">
        <f>IF(MasterSheet!$A$1=1,MasterSheet!C78,MasterSheet!B78)</f>
        <v>Akcize</v>
      </c>
      <c r="E26" s="345">
        <v>72376242.179999948</v>
      </c>
      <c r="F26" s="137">
        <f t="shared" si="12"/>
        <v>3.3680600390897646</v>
      </c>
      <c r="G26" s="345">
        <v>94538367.25</v>
      </c>
      <c r="H26" s="138">
        <f t="shared" si="1"/>
        <v>3.526893014362992</v>
      </c>
      <c r="I26" s="345">
        <v>120303864.65000001</v>
      </c>
      <c r="J26" s="137">
        <f t="shared" si="2"/>
        <v>3.8988807573891631</v>
      </c>
      <c r="K26" s="345">
        <v>128684864.44</v>
      </c>
      <c r="L26" s="138">
        <f t="shared" si="3"/>
        <v>4.3168354391143904</v>
      </c>
      <c r="M26" s="345">
        <v>134261371.03</v>
      </c>
      <c r="N26" s="137">
        <f t="shared" si="4"/>
        <v>4.3254307677190722</v>
      </c>
      <c r="O26" s="345">
        <v>143379590.77000001</v>
      </c>
      <c r="P26" s="138">
        <f t="shared" si="5"/>
        <v>4.4335062081014227</v>
      </c>
      <c r="Q26" s="991">
        <v>151766097.75999999</v>
      </c>
      <c r="R26" s="644">
        <f t="shared" si="6"/>
        <v>4.8195013578913937</v>
      </c>
      <c r="S26" s="643">
        <v>157448789.82527599</v>
      </c>
      <c r="T26" s="644">
        <f t="shared" si="7"/>
        <v>4.47679243176787</v>
      </c>
      <c r="U26" s="786">
        <f>+(Q26+2000000)*1.025</f>
        <v>157610250.20399997</v>
      </c>
      <c r="V26" s="782">
        <f t="shared" si="8"/>
        <v>4.4813832870059702</v>
      </c>
      <c r="W26" s="783">
        <f t="shared" si="9"/>
        <v>161460.378723979</v>
      </c>
      <c r="X26" s="784">
        <f t="shared" si="9"/>
        <v>4.590855238100211E-3</v>
      </c>
      <c r="Y26" s="786">
        <f>+(U26+2000000)*1.03</f>
        <v>164398557.71011996</v>
      </c>
      <c r="Z26" s="782">
        <f t="shared" si="10"/>
        <v>4.4015678101772409</v>
      </c>
      <c r="AA26" s="785">
        <f>+Y26*1.03</f>
        <v>169330514.44142357</v>
      </c>
      <c r="AB26" s="782">
        <f t="shared" si="11"/>
        <v>4.2523986549830122</v>
      </c>
      <c r="AC26" s="785">
        <f>+AA26*1.04</f>
        <v>176103735.01908052</v>
      </c>
      <c r="AD26" s="782">
        <f t="shared" si="0"/>
        <v>4.1290441973993088</v>
      </c>
      <c r="AE26" s="120"/>
      <c r="AF26" s="120"/>
      <c r="AG26" s="120"/>
      <c r="AH26" s="120"/>
      <c r="AI26" s="102"/>
      <c r="AJ26" s="102"/>
      <c r="AK26" s="102"/>
      <c r="AL26" s="102"/>
      <c r="AM26" s="103"/>
      <c r="AN26" s="32"/>
      <c r="AO26" s="32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</row>
    <row r="27" spans="1:120" ht="15" customHeight="1">
      <c r="A27" s="110"/>
      <c r="B27" s="110"/>
      <c r="C27" s="110"/>
      <c r="D27" s="130" t="str">
        <f>IF(MasterSheet!$A$1=1,MasterSheet!C79,MasterSheet!B79)</f>
        <v>Porez na međunarodnu trgovinu i transakcije</v>
      </c>
      <c r="E27" s="345">
        <v>56766223.619999953</v>
      </c>
      <c r="F27" s="137">
        <f t="shared" si="12"/>
        <v>2.6416410079575572</v>
      </c>
      <c r="G27" s="345">
        <v>68495722.040000007</v>
      </c>
      <c r="H27" s="138">
        <f t="shared" si="1"/>
        <v>2.5553337825032645</v>
      </c>
      <c r="I27" s="345">
        <v>72926890</v>
      </c>
      <c r="J27" s="137">
        <f t="shared" si="2"/>
        <v>2.3634589707026183</v>
      </c>
      <c r="K27" s="345">
        <v>49121124.340000004</v>
      </c>
      <c r="L27" s="138">
        <f t="shared" si="3"/>
        <v>1.6478069218383093</v>
      </c>
      <c r="M27" s="345">
        <v>50811537.57</v>
      </c>
      <c r="N27" s="137">
        <f t="shared" si="4"/>
        <v>1.6369696382087628</v>
      </c>
      <c r="O27" s="345">
        <v>45327985.280000009</v>
      </c>
      <c r="P27" s="138">
        <f t="shared" si="5"/>
        <v>1.4016074607297468</v>
      </c>
      <c r="Q27" s="991">
        <v>28965025.329999998</v>
      </c>
      <c r="R27" s="644">
        <f t="shared" si="6"/>
        <v>0.91981661892664335</v>
      </c>
      <c r="S27" s="643">
        <v>31189932.243369091</v>
      </c>
      <c r="T27" s="644">
        <f t="shared" si="7"/>
        <v>0.88683344450864632</v>
      </c>
      <c r="U27" s="785">
        <f>+Q27*1.02</f>
        <v>29544325.836599998</v>
      </c>
      <c r="V27" s="782">
        <f t="shared" si="8"/>
        <v>0.84004338460619854</v>
      </c>
      <c r="W27" s="783">
        <f t="shared" si="9"/>
        <v>-1645606.4067690931</v>
      </c>
      <c r="X27" s="784">
        <f t="shared" si="9"/>
        <v>-4.6790059902447778E-2</v>
      </c>
      <c r="Y27" s="785">
        <f>+U27*1.03</f>
        <v>30430655.611697998</v>
      </c>
      <c r="Z27" s="782">
        <f t="shared" si="10"/>
        <v>0.81474312213381528</v>
      </c>
      <c r="AA27" s="785">
        <f>+Y27*1.025</f>
        <v>31191422.001990445</v>
      </c>
      <c r="AB27" s="782">
        <f t="shared" si="11"/>
        <v>0.78331044706153807</v>
      </c>
      <c r="AC27" s="785">
        <f>+AA27*1.03</f>
        <v>32127164.662050158</v>
      </c>
      <c r="AD27" s="782">
        <f t="shared" si="0"/>
        <v>0.75327466968464618</v>
      </c>
      <c r="AE27" s="120"/>
      <c r="AF27" s="120"/>
      <c r="AG27" s="120"/>
      <c r="AH27" s="120"/>
      <c r="AI27" s="102"/>
      <c r="AJ27" s="102"/>
      <c r="AK27" s="102"/>
      <c r="AL27" s="102"/>
      <c r="AM27" s="103"/>
      <c r="AN27" s="37"/>
      <c r="AO27" s="37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DN27" s="5"/>
      <c r="DO27" s="5"/>
      <c r="DP27" s="96"/>
    </row>
    <row r="28" spans="1:120" ht="15" customHeight="1">
      <c r="A28" s="110"/>
      <c r="B28" s="110"/>
      <c r="C28" s="110"/>
      <c r="D28" s="130" t="str">
        <f>IF(MasterSheet!$A$1=1,MasterSheet!C80,MasterSheet!B80)</f>
        <v>Ostali republički prihodi</v>
      </c>
      <c r="E28" s="345">
        <v>4535766.87</v>
      </c>
      <c r="F28" s="137">
        <f t="shared" si="12"/>
        <v>0.21107389222392853</v>
      </c>
      <c r="G28" s="345">
        <v>6739308.9000000004</v>
      </c>
      <c r="H28" s="138">
        <f t="shared" si="1"/>
        <v>0.25141984331281481</v>
      </c>
      <c r="I28" s="345">
        <v>8529592.9000000004</v>
      </c>
      <c r="J28" s="137">
        <f t="shared" si="2"/>
        <v>0.27643223036038372</v>
      </c>
      <c r="K28" s="345">
        <v>8920855.8499999996</v>
      </c>
      <c r="L28" s="138">
        <f t="shared" si="3"/>
        <v>0.29925715699429722</v>
      </c>
      <c r="M28" s="345">
        <v>11587063.199999999</v>
      </c>
      <c r="N28" s="137">
        <f t="shared" si="4"/>
        <v>0.37329456185567006</v>
      </c>
      <c r="O28" s="345">
        <v>4148584.0999999996</v>
      </c>
      <c r="P28" s="138">
        <f t="shared" si="5"/>
        <v>0.12828027520098947</v>
      </c>
      <c r="Q28" s="991">
        <v>4279140.05</v>
      </c>
      <c r="R28" s="644">
        <f t="shared" si="6"/>
        <v>0.13588885519212449</v>
      </c>
      <c r="S28" s="643">
        <v>4409065.5830532741</v>
      </c>
      <c r="T28" s="644">
        <f t="shared" si="7"/>
        <v>0.12536438962335156</v>
      </c>
      <c r="U28" s="785">
        <f>+O28*1.04</f>
        <v>4314527.4639999997</v>
      </c>
      <c r="V28" s="782">
        <f t="shared" si="8"/>
        <v>0.12267635666761445</v>
      </c>
      <c r="W28" s="783">
        <f t="shared" si="9"/>
        <v>-94538.119053274393</v>
      </c>
      <c r="X28" s="784">
        <f t="shared" si="9"/>
        <v>-2.6880329557371074E-3</v>
      </c>
      <c r="Y28" s="785">
        <f>+U28*1.02</f>
        <v>4400818.0132799996</v>
      </c>
      <c r="Z28" s="782">
        <f t="shared" si="10"/>
        <v>0.1178264528321285</v>
      </c>
      <c r="AA28" s="785">
        <f>+Y28*1.02</f>
        <v>4488834.3735456001</v>
      </c>
      <c r="AB28" s="782">
        <f t="shared" si="11"/>
        <v>0.11272813595041688</v>
      </c>
      <c r="AC28" s="785">
        <f>+AA28*1.03</f>
        <v>4623499.4047519686</v>
      </c>
      <c r="AD28" s="782">
        <f t="shared" si="0"/>
        <v>0.10840561324154674</v>
      </c>
      <c r="AE28" s="120"/>
      <c r="AF28" s="120"/>
      <c r="AG28" s="120"/>
      <c r="AH28" s="120"/>
      <c r="AI28" s="102"/>
      <c r="AJ28" s="102"/>
      <c r="AK28" s="102"/>
      <c r="AL28" s="102"/>
      <c r="AM28" s="103"/>
      <c r="AN28" s="32"/>
      <c r="AO28" s="32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DN28" s="5"/>
      <c r="DO28" s="5"/>
      <c r="DP28" s="96"/>
    </row>
    <row r="29" spans="1:120" ht="15" customHeight="1">
      <c r="A29" s="110"/>
      <c r="B29" s="110"/>
      <c r="C29" s="110"/>
      <c r="D29" s="129" t="str">
        <f>IF(MasterSheet!$A$1=1,MasterSheet!C81,MasterSheet!B81)</f>
        <v>Doprinosi</v>
      </c>
      <c r="E29" s="344">
        <f>SUM(E30:E33)</f>
        <v>255157132.13</v>
      </c>
      <c r="F29" s="136">
        <f t="shared" si="12"/>
        <v>11.873848579738471</v>
      </c>
      <c r="G29" s="344">
        <f>SUM(G30:G33)</f>
        <v>306787808.32999998</v>
      </c>
      <c r="H29" s="135">
        <f t="shared" si="1"/>
        <v>11.445170987875395</v>
      </c>
      <c r="I29" s="344">
        <f>SUM(I30:I33)</f>
        <v>339912631.83999997</v>
      </c>
      <c r="J29" s="136">
        <f t="shared" si="2"/>
        <v>11.016095146486906</v>
      </c>
      <c r="K29" s="344">
        <f>SUM(K30:K33)</f>
        <v>307544352.32999998</v>
      </c>
      <c r="L29" s="135">
        <f t="shared" si="3"/>
        <v>10.316818259979872</v>
      </c>
      <c r="M29" s="344">
        <f>SUM(M30:M33)</f>
        <v>379756996.48000008</v>
      </c>
      <c r="N29" s="136">
        <f t="shared" si="4"/>
        <v>12.234439319587631</v>
      </c>
      <c r="O29" s="344">
        <f>SUM(O30:O33)</f>
        <v>353577453.33000004</v>
      </c>
      <c r="P29" s="135">
        <f>O29/$O$15*100</f>
        <v>10.933130900742116</v>
      </c>
      <c r="Q29" s="990">
        <f>SUM(Q30:Q33)</f>
        <v>362250409.59999996</v>
      </c>
      <c r="R29" s="646">
        <f t="shared" si="6"/>
        <v>11.503664960304857</v>
      </c>
      <c r="S29" s="645">
        <f>SUM(S30:S33)</f>
        <v>384217730.43822622</v>
      </c>
      <c r="T29" s="646">
        <f t="shared" si="7"/>
        <v>10.924587160597845</v>
      </c>
      <c r="U29" s="788">
        <f>SUM(U30:U33)</f>
        <v>376795417.792</v>
      </c>
      <c r="V29" s="779">
        <f t="shared" si="8"/>
        <v>10.713546141370486</v>
      </c>
      <c r="W29" s="780">
        <f t="shared" si="9"/>
        <v>-7422312.6462262273</v>
      </c>
      <c r="X29" s="781">
        <f t="shared" si="9"/>
        <v>-0.21104101922735907</v>
      </c>
      <c r="Y29" s="778">
        <f>SUM(Y30:Y33)</f>
        <v>388099280.32576001</v>
      </c>
      <c r="Z29" s="779">
        <f t="shared" si="10"/>
        <v>10.39087765263079</v>
      </c>
      <c r="AA29" s="778">
        <f>SUM(AA30:AA33)</f>
        <v>399742258.73553282</v>
      </c>
      <c r="AB29" s="779">
        <f t="shared" si="11"/>
        <v>10.038730756793893</v>
      </c>
      <c r="AC29" s="778">
        <f>SUM(AC30:AC33)</f>
        <v>413733237.79127651</v>
      </c>
      <c r="AD29" s="779">
        <f t="shared" si="0"/>
        <v>9.7006620818587699</v>
      </c>
      <c r="AE29" s="120"/>
      <c r="AF29" s="120"/>
      <c r="AG29" s="120"/>
      <c r="AH29" s="120"/>
      <c r="AI29" s="102"/>
      <c r="AJ29" s="102"/>
      <c r="AK29" s="102"/>
      <c r="AL29" s="102"/>
      <c r="AM29" s="103"/>
      <c r="AN29" s="32"/>
      <c r="AO29" s="32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DN29" s="5"/>
      <c r="DO29" s="5"/>
      <c r="DP29" s="96"/>
    </row>
    <row r="30" spans="1:120" ht="15" customHeight="1">
      <c r="A30" s="110"/>
      <c r="B30" s="110"/>
      <c r="C30" s="110"/>
      <c r="D30" s="130" t="str">
        <f>IF(MasterSheet!$A$1=1,MasterSheet!C82,MasterSheet!B82)</f>
        <v>Doprinosi za penzijsko i invalidsko osiguranje</v>
      </c>
      <c r="E30" s="345">
        <v>138179769.16</v>
      </c>
      <c r="F30" s="137">
        <f t="shared" si="12"/>
        <v>6.4302559058122766</v>
      </c>
      <c r="G30" s="345">
        <v>173517241.65000001</v>
      </c>
      <c r="H30" s="138">
        <f t="shared" si="1"/>
        <v>6.473316233911584</v>
      </c>
      <c r="I30" s="345">
        <v>213850904.31999999</v>
      </c>
      <c r="J30" s="137">
        <f t="shared" si="2"/>
        <v>6.9306100700025919</v>
      </c>
      <c r="K30" s="345">
        <v>199510659.24000001</v>
      </c>
      <c r="L30" s="138">
        <f t="shared" si="3"/>
        <v>6.6927426782958737</v>
      </c>
      <c r="M30" s="345">
        <v>233496116.37</v>
      </c>
      <c r="N30" s="137">
        <f t="shared" si="4"/>
        <v>7.5224264294458765</v>
      </c>
      <c r="O30" s="345">
        <v>213452220.68000001</v>
      </c>
      <c r="P30" s="138">
        <f t="shared" si="5"/>
        <v>6.6002541954236245</v>
      </c>
      <c r="Q30" s="991">
        <v>216501675.27000001</v>
      </c>
      <c r="R30" s="644">
        <f t="shared" si="6"/>
        <v>6.8752516757700857</v>
      </c>
      <c r="S30" s="643">
        <v>226849483.25081635</v>
      </c>
      <c r="T30" s="644">
        <f t="shared" si="7"/>
        <v>6.4500848237366029</v>
      </c>
      <c r="U30" s="785">
        <f>+Q30*1.02+4000000</f>
        <v>224831708.77540001</v>
      </c>
      <c r="V30" s="782">
        <f t="shared" si="8"/>
        <v>6.3927127886096109</v>
      </c>
      <c r="W30" s="783">
        <f t="shared" si="9"/>
        <v>-2017774.4754163325</v>
      </c>
      <c r="X30" s="784">
        <f t="shared" si="9"/>
        <v>-5.737203512699196E-2</v>
      </c>
      <c r="Y30" s="785">
        <f>+U30*1.03</f>
        <v>231576660.03866202</v>
      </c>
      <c r="Z30" s="782">
        <f t="shared" si="10"/>
        <v>6.2001783142881397</v>
      </c>
      <c r="AA30" s="785">
        <f>+Y30*1.03</f>
        <v>238523959.83982188</v>
      </c>
      <c r="AB30" s="782">
        <f t="shared" si="11"/>
        <v>5.9900542400758887</v>
      </c>
      <c r="AC30" s="785">
        <f>+AA30*1.035</f>
        <v>246872298.43421564</v>
      </c>
      <c r="AD30" s="782">
        <f t="shared" si="0"/>
        <v>5.7883305611773892</v>
      </c>
      <c r="AE30" s="120"/>
      <c r="AF30" s="120"/>
      <c r="AG30" s="120"/>
      <c r="AH30" s="120"/>
      <c r="AI30" s="102"/>
      <c r="AJ30" s="102"/>
      <c r="AK30" s="102"/>
      <c r="AL30" s="102"/>
      <c r="AM30" s="103"/>
      <c r="AN30" s="32"/>
      <c r="AO30" s="32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DN30" s="5"/>
      <c r="DO30" s="5"/>
      <c r="DP30" s="96"/>
    </row>
    <row r="31" spans="1:120" ht="15" customHeight="1">
      <c r="A31" s="110"/>
      <c r="B31" s="110"/>
      <c r="C31" s="110"/>
      <c r="D31" s="130" t="str">
        <f>IF(MasterSheet!$A$1=1,MasterSheet!C83,MasterSheet!B83)</f>
        <v>Doprinosi za zdravstveno osiguranje</v>
      </c>
      <c r="E31" s="345">
        <v>110592983</v>
      </c>
      <c r="F31" s="137">
        <f t="shared" si="12"/>
        <v>5.1464927637395883</v>
      </c>
      <c r="G31" s="345">
        <v>125446267</v>
      </c>
      <c r="H31" s="138">
        <f t="shared" si="1"/>
        <v>4.6799577317664616</v>
      </c>
      <c r="I31" s="345">
        <v>115860488.59999999</v>
      </c>
      <c r="J31" s="137">
        <f t="shared" si="2"/>
        <v>3.7548771260046667</v>
      </c>
      <c r="K31" s="345">
        <v>97587762.519999996</v>
      </c>
      <c r="L31" s="138">
        <f t="shared" si="3"/>
        <v>3.2736585883931566</v>
      </c>
      <c r="M31" s="345">
        <v>129895634.22</v>
      </c>
      <c r="N31" s="137">
        <f t="shared" si="4"/>
        <v>4.1847820302835048</v>
      </c>
      <c r="O31" s="345">
        <v>120890439.24000001</v>
      </c>
      <c r="P31" s="138">
        <f t="shared" si="5"/>
        <v>3.7381088200371062</v>
      </c>
      <c r="Q31" s="991">
        <v>125738855</v>
      </c>
      <c r="R31" s="644">
        <f t="shared" si="6"/>
        <v>3.9929772943791679</v>
      </c>
      <c r="S31" s="643">
        <v>133924915.28862785</v>
      </c>
      <c r="T31" s="644">
        <f t="shared" si="7"/>
        <v>3.8079304887298222</v>
      </c>
      <c r="U31" s="785">
        <f>+Q31*1.02+300000</f>
        <v>128553632.10000001</v>
      </c>
      <c r="V31" s="782">
        <f t="shared" si="8"/>
        <v>3.6552070543076485</v>
      </c>
      <c r="W31" s="783">
        <f t="shared" si="9"/>
        <v>-5371283.1886278391</v>
      </c>
      <c r="X31" s="784">
        <f t="shared" si="9"/>
        <v>-0.15272343442217373</v>
      </c>
      <c r="Y31" s="785">
        <f t="shared" ref="Y31:Y33" si="13">+U31*1.03</f>
        <v>132410241.06300001</v>
      </c>
      <c r="Z31" s="782">
        <f t="shared" si="10"/>
        <v>3.5451202426506025</v>
      </c>
      <c r="AA31" s="785">
        <f t="shared" ref="AA31:AA33" si="14">+Y31*1.03</f>
        <v>136382548.29489002</v>
      </c>
      <c r="AB31" s="782">
        <f t="shared" si="11"/>
        <v>3.4249760998214467</v>
      </c>
      <c r="AC31" s="785">
        <f t="shared" ref="AC31:AC33" si="15">+AA31*1.035</f>
        <v>141155937.48521116</v>
      </c>
      <c r="AD31" s="782">
        <f t="shared" si="0"/>
        <v>3.3096351110248805</v>
      </c>
      <c r="AE31" s="120"/>
      <c r="AF31" s="120"/>
      <c r="AG31" s="120"/>
      <c r="AH31" s="120"/>
      <c r="AI31" s="102"/>
      <c r="AJ31" s="102"/>
      <c r="AK31" s="102"/>
      <c r="AL31" s="102"/>
      <c r="AM31" s="103"/>
      <c r="AN31" s="32"/>
      <c r="AO31" s="32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DN31" s="5"/>
      <c r="DO31" s="5"/>
      <c r="DP31" s="96"/>
    </row>
    <row r="32" spans="1:120" ht="15" customHeight="1">
      <c r="A32" s="110"/>
      <c r="B32" s="110"/>
      <c r="C32" s="110"/>
      <c r="D32" s="130" t="str">
        <f>IF(MasterSheet!$A$1=1,MasterSheet!C84,MasterSheet!B84)</f>
        <v>Doprinosi za osiguranje od nezaposlenosti</v>
      </c>
      <c r="E32" s="345">
        <v>6384379.9699999997</v>
      </c>
      <c r="F32" s="137">
        <f t="shared" si="12"/>
        <v>0.29709991018660709</v>
      </c>
      <c r="G32" s="345">
        <v>7824299.6800000006</v>
      </c>
      <c r="H32" s="138">
        <f t="shared" si="1"/>
        <v>0.29189702219735131</v>
      </c>
      <c r="I32" s="345">
        <v>10201238.92</v>
      </c>
      <c r="J32" s="137">
        <f t="shared" si="2"/>
        <v>0.33060795047964742</v>
      </c>
      <c r="K32" s="345">
        <v>10445930.57</v>
      </c>
      <c r="L32" s="138">
        <f t="shared" si="3"/>
        <v>0.35041699329084197</v>
      </c>
      <c r="M32" s="345">
        <v>10149691.789999999</v>
      </c>
      <c r="N32" s="137">
        <f t="shared" si="4"/>
        <v>0.32698749323453608</v>
      </c>
      <c r="O32" s="345">
        <v>10764704.380000001</v>
      </c>
      <c r="P32" s="138">
        <f t="shared" si="5"/>
        <v>0.33286037043908479</v>
      </c>
      <c r="Q32" s="991">
        <v>9987592.2599999998</v>
      </c>
      <c r="R32" s="644">
        <f t="shared" si="6"/>
        <v>0.31716710892346772</v>
      </c>
      <c r="S32" s="643">
        <v>11220074.127307795</v>
      </c>
      <c r="T32" s="644">
        <f t="shared" si="7"/>
        <v>0.31902400134511788</v>
      </c>
      <c r="U32" s="785">
        <f>+Q32*1.02+1000000</f>
        <v>11187344.1052</v>
      </c>
      <c r="V32" s="782">
        <f t="shared" si="8"/>
        <v>0.31809337802672732</v>
      </c>
      <c r="W32" s="783">
        <f t="shared" si="9"/>
        <v>-32730.022107794881</v>
      </c>
      <c r="X32" s="784">
        <f t="shared" si="9"/>
        <v>-9.3062331839055545E-4</v>
      </c>
      <c r="Y32" s="785">
        <f t="shared" si="13"/>
        <v>11522964.428356001</v>
      </c>
      <c r="Z32" s="782">
        <f t="shared" si="10"/>
        <v>0.30851310383817943</v>
      </c>
      <c r="AA32" s="785">
        <f t="shared" si="14"/>
        <v>11868653.361206682</v>
      </c>
      <c r="AB32" s="782">
        <f t="shared" si="11"/>
        <v>0.2980575931995651</v>
      </c>
      <c r="AC32" s="785">
        <f t="shared" si="15"/>
        <v>12284056.228848916</v>
      </c>
      <c r="AD32" s="782">
        <f t="shared" si="0"/>
        <v>0.28802007570571903</v>
      </c>
      <c r="AE32" s="120"/>
      <c r="AF32" s="120"/>
      <c r="AG32" s="119"/>
      <c r="AH32" s="119"/>
      <c r="AI32" s="103"/>
      <c r="AJ32" s="102"/>
      <c r="AK32" s="102"/>
      <c r="AL32" s="102"/>
      <c r="AM32" s="103"/>
      <c r="AN32" s="37"/>
      <c r="AO32" s="37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DN32" s="5"/>
      <c r="DO32" s="5"/>
      <c r="DP32" s="96"/>
    </row>
    <row r="33" spans="1:123" ht="15" customHeight="1">
      <c r="A33" s="110"/>
      <c r="B33" s="110"/>
      <c r="C33" s="110"/>
      <c r="D33" s="130" t="str">
        <f>IF(MasterSheet!$A$1=1,MasterSheet!C85,MasterSheet!B85)</f>
        <v>Ostali doprinosi</v>
      </c>
      <c r="E33" s="345"/>
      <c r="F33" s="137">
        <f t="shared" si="12"/>
        <v>0</v>
      </c>
      <c r="G33" s="345"/>
      <c r="H33" s="138">
        <f t="shared" si="1"/>
        <v>0</v>
      </c>
      <c r="I33" s="345"/>
      <c r="J33" s="137">
        <f t="shared" si="2"/>
        <v>0</v>
      </c>
      <c r="K33" s="345"/>
      <c r="L33" s="138">
        <f t="shared" si="3"/>
        <v>0</v>
      </c>
      <c r="M33" s="345">
        <v>6215554.0999999996</v>
      </c>
      <c r="N33" s="137">
        <f t="shared" si="4"/>
        <v>0.20024336662371134</v>
      </c>
      <c r="O33" s="345">
        <v>8470089.0300000012</v>
      </c>
      <c r="P33" s="138">
        <f t="shared" si="5"/>
        <v>0.26190751484230057</v>
      </c>
      <c r="Q33" s="991">
        <v>10022287.07</v>
      </c>
      <c r="R33" s="644">
        <f t="shared" si="6"/>
        <v>0.3182688812321372</v>
      </c>
      <c r="S33" s="643">
        <v>12223257.771474268</v>
      </c>
      <c r="T33" s="644">
        <f t="shared" si="7"/>
        <v>0.34754784678630274</v>
      </c>
      <c r="U33" s="785">
        <f>+Q33*1.02+1000000+1000000</f>
        <v>12222732.8114</v>
      </c>
      <c r="V33" s="782">
        <f t="shared" si="8"/>
        <v>0.34753292042649986</v>
      </c>
      <c r="W33" s="783">
        <f t="shared" si="9"/>
        <v>-524.96007426828146</v>
      </c>
      <c r="X33" s="784">
        <f t="shared" si="9"/>
        <v>-1.4926359802880373E-5</v>
      </c>
      <c r="Y33" s="785">
        <f t="shared" si="13"/>
        <v>12589414.795742</v>
      </c>
      <c r="Z33" s="782">
        <f t="shared" si="10"/>
        <v>0.33706599185386882</v>
      </c>
      <c r="AA33" s="785">
        <f t="shared" si="14"/>
        <v>12967097.239614259</v>
      </c>
      <c r="AB33" s="782">
        <f t="shared" si="11"/>
        <v>0.32564282369699293</v>
      </c>
      <c r="AC33" s="785">
        <f t="shared" si="15"/>
        <v>13420945.643000757</v>
      </c>
      <c r="AD33" s="782">
        <f t="shared" si="0"/>
        <v>0.31467633395077976</v>
      </c>
      <c r="AE33" s="120"/>
      <c r="AF33" s="120"/>
      <c r="AG33" s="119"/>
      <c r="AH33" s="119"/>
      <c r="AI33" s="103"/>
      <c r="AJ33" s="102"/>
      <c r="AK33" s="102"/>
      <c r="AL33" s="102"/>
      <c r="AM33" s="103"/>
      <c r="AN33" s="32"/>
      <c r="AO33" s="32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DN33" s="96"/>
      <c r="DO33" s="96"/>
      <c r="DP33" s="96"/>
    </row>
    <row r="34" spans="1:123" ht="15" customHeight="1">
      <c r="A34" s="110"/>
      <c r="B34" s="110"/>
      <c r="C34" s="110"/>
      <c r="D34" s="129" t="str">
        <f>IF(MasterSheet!$A$1=1,MasterSheet!C86,MasterSheet!B86)</f>
        <v>Takse</v>
      </c>
      <c r="E34" s="344">
        <f>SUM(E35:E38)</f>
        <v>15777845.709999993</v>
      </c>
      <c r="F34" s="136">
        <f t="shared" si="12"/>
        <v>0.73422894085345958</v>
      </c>
      <c r="G34" s="344">
        <f>SUM(G35:G38)</f>
        <v>21847073.970000003</v>
      </c>
      <c r="H34" s="135">
        <f t="shared" si="1"/>
        <v>0.81503726804700616</v>
      </c>
      <c r="I34" s="344">
        <f>SUM(I35:I38)</f>
        <v>26594093.5</v>
      </c>
      <c r="J34" s="136">
        <f t="shared" si="2"/>
        <v>0.86187754407570649</v>
      </c>
      <c r="K34" s="344">
        <f>SUM(K35:K38)</f>
        <v>22516562.169999998</v>
      </c>
      <c r="L34" s="135">
        <f t="shared" si="3"/>
        <v>0.75533586615229786</v>
      </c>
      <c r="M34" s="344">
        <f>SUM(M35:M38)</f>
        <v>20544226.239999998</v>
      </c>
      <c r="N34" s="136">
        <f t="shared" si="4"/>
        <v>0.66186295876288659</v>
      </c>
      <c r="O34" s="344">
        <f>SUM(O35:O38)</f>
        <v>16011669.92</v>
      </c>
      <c r="P34" s="135">
        <f t="shared" si="5"/>
        <v>0.49510420284477424</v>
      </c>
      <c r="Q34" s="990">
        <f>SUM(Q35:Q38)</f>
        <v>17998206.289999999</v>
      </c>
      <c r="R34" s="646">
        <f t="shared" si="6"/>
        <v>0.57155307367418229</v>
      </c>
      <c r="S34" s="645">
        <f>SUM(S35:S38)</f>
        <v>29066769.356451314</v>
      </c>
      <c r="T34" s="646">
        <f t="shared" si="7"/>
        <v>0.82646486654681017</v>
      </c>
      <c r="U34" s="778">
        <f>SUM(U35:U38)</f>
        <v>25685456.673299998</v>
      </c>
      <c r="V34" s="779">
        <f t="shared" si="8"/>
        <v>0.73032290796986055</v>
      </c>
      <c r="W34" s="780">
        <f t="shared" si="9"/>
        <v>-3381312.6831513159</v>
      </c>
      <c r="X34" s="781">
        <f t="shared" si="9"/>
        <v>-9.6141958576949627E-2</v>
      </c>
      <c r="Y34" s="778">
        <f>SUM(Y35:Y38)</f>
        <v>14386781.175657101</v>
      </c>
      <c r="Z34" s="779">
        <f t="shared" si="10"/>
        <v>0.38518825102160914</v>
      </c>
      <c r="AA34" s="778">
        <f>SUM(AA35:AA38)</f>
        <v>14746450.705048524</v>
      </c>
      <c r="AB34" s="779">
        <f t="shared" si="11"/>
        <v>0.37032774246731603</v>
      </c>
      <c r="AC34" s="778">
        <f>SUM(AC35:AC38)</f>
        <v>15188844.226199983</v>
      </c>
      <c r="AD34" s="779">
        <f t="shared" si="0"/>
        <v>0.35612764891441928</v>
      </c>
      <c r="AE34" s="120"/>
      <c r="AF34" s="120"/>
      <c r="AG34" s="119"/>
      <c r="AH34" s="119"/>
      <c r="AI34" s="103"/>
      <c r="AJ34" s="102"/>
      <c r="AK34" s="102"/>
      <c r="AL34" s="102"/>
      <c r="AM34" s="103"/>
      <c r="AN34" s="32"/>
      <c r="AO34" s="32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DN34" s="96"/>
      <c r="DO34" s="96"/>
      <c r="DP34" s="96"/>
    </row>
    <row r="35" spans="1:123" ht="15" customHeight="1">
      <c r="A35" s="110"/>
      <c r="B35" s="110"/>
      <c r="C35" s="110"/>
      <c r="D35" s="130" t="str">
        <f>IF(MasterSheet!$A$1=1,MasterSheet!C87,MasterSheet!B87)</f>
        <v>Administrativne takse</v>
      </c>
      <c r="E35" s="345">
        <v>7506509.4799999958</v>
      </c>
      <c r="F35" s="137">
        <f t="shared" si="12"/>
        <v>0.34931869700777124</v>
      </c>
      <c r="G35" s="345">
        <v>9153048.3600000013</v>
      </c>
      <c r="H35" s="138">
        <f t="shared" si="1"/>
        <v>0.34146794851706774</v>
      </c>
      <c r="I35" s="345">
        <v>18319319.420000002</v>
      </c>
      <c r="J35" s="137">
        <f>I35/$I$15*100</f>
        <v>0.59370363689395911</v>
      </c>
      <c r="K35" s="345">
        <v>14744246.369999999</v>
      </c>
      <c r="L35" s="138">
        <f>K35/$K$15*100</f>
        <v>0.49460739248574298</v>
      </c>
      <c r="M35" s="345">
        <v>13257206.299999997</v>
      </c>
      <c r="N35" s="137">
        <f t="shared" si="4"/>
        <v>0.42710071842783498</v>
      </c>
      <c r="O35" s="345">
        <v>10724280.77</v>
      </c>
      <c r="P35" s="138">
        <f t="shared" si="5"/>
        <v>0.33161041341991337</v>
      </c>
      <c r="Q35" s="991">
        <v>8544481.8000000007</v>
      </c>
      <c r="R35" s="644">
        <f t="shared" si="6"/>
        <v>0.27133953000952682</v>
      </c>
      <c r="S35" s="643">
        <v>8766628.5488016624</v>
      </c>
      <c r="T35" s="644">
        <f t="shared" si="7"/>
        <v>0.24926438864946437</v>
      </c>
      <c r="U35" s="785">
        <f>+Q35*1.025</f>
        <v>8758093.8450000007</v>
      </c>
      <c r="V35" s="782">
        <f t="shared" si="8"/>
        <v>0.24902171865226044</v>
      </c>
      <c r="W35" s="783">
        <f t="shared" si="9"/>
        <v>-8534.7038016617298</v>
      </c>
      <c r="X35" s="784">
        <f t="shared" si="9"/>
        <v>-2.4266999720393145E-4</v>
      </c>
      <c r="Y35" s="785">
        <f>+U35*1.02</f>
        <v>8933255.7219000012</v>
      </c>
      <c r="Z35" s="782">
        <f t="shared" si="10"/>
        <v>0.23917686002409641</v>
      </c>
      <c r="AA35" s="785">
        <f>+Y35*1.025</f>
        <v>9156587.1149474997</v>
      </c>
      <c r="AB35" s="782">
        <f t="shared" si="11"/>
        <v>0.2299494504004897</v>
      </c>
      <c r="AC35" s="785">
        <f>+AA35*1.03</f>
        <v>9431284.7283959258</v>
      </c>
      <c r="AD35" s="782">
        <f t="shared" si="0"/>
        <v>0.22113211555441795</v>
      </c>
      <c r="AE35" s="120"/>
      <c r="AF35" s="120"/>
      <c r="AG35" s="119"/>
      <c r="AH35" s="119"/>
      <c r="AI35" s="103"/>
      <c r="AJ35" s="102"/>
      <c r="AK35" s="102"/>
      <c r="AL35" s="102"/>
      <c r="AM35" s="103"/>
      <c r="AN35" s="32"/>
      <c r="AO35" s="32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DN35" s="96"/>
      <c r="DO35" s="96"/>
      <c r="DP35" s="96"/>
    </row>
    <row r="36" spans="1:123" ht="15" customHeight="1">
      <c r="A36" s="110"/>
      <c r="B36" s="110"/>
      <c r="C36" s="110"/>
      <c r="D36" s="130" t="str">
        <f>IF(MasterSheet!$A$1=1,MasterSheet!C88,MasterSheet!B88)</f>
        <v>Sudske takse</v>
      </c>
      <c r="E36" s="345">
        <v>6027790.6899999976</v>
      </c>
      <c r="F36" s="137">
        <f t="shared" si="12"/>
        <v>0.28050587230676149</v>
      </c>
      <c r="G36" s="345">
        <v>8663338.5800000001</v>
      </c>
      <c r="H36" s="138">
        <f t="shared" si="1"/>
        <v>0.32319860399179257</v>
      </c>
      <c r="I36" s="345">
        <v>7688705.0099999998</v>
      </c>
      <c r="J36" s="137">
        <f>I36/$I$15*100</f>
        <v>0.24918022459165154</v>
      </c>
      <c r="K36" s="345">
        <v>6834686.9299999997</v>
      </c>
      <c r="L36" s="138">
        <f>K36/$K$15*100</f>
        <v>0.22927497249245221</v>
      </c>
      <c r="M36" s="345">
        <v>6236916.9700000007</v>
      </c>
      <c r="N36" s="137">
        <f t="shared" si="4"/>
        <v>0.20093160341494845</v>
      </c>
      <c r="O36" s="345">
        <v>3918273.44</v>
      </c>
      <c r="P36" s="138">
        <f t="shared" si="5"/>
        <v>0.12115873345701918</v>
      </c>
      <c r="Q36" s="991">
        <v>3475076.76</v>
      </c>
      <c r="R36" s="644">
        <f t="shared" si="6"/>
        <v>0.11035493045411242</v>
      </c>
      <c r="S36" s="643">
        <v>3555464.5495234663</v>
      </c>
      <c r="T36" s="644">
        <f t="shared" si="7"/>
        <v>0.1010936749935589</v>
      </c>
      <c r="U36" s="785">
        <f>+Q36*1.03</f>
        <v>3579329.0628</v>
      </c>
      <c r="V36" s="782">
        <f t="shared" si="8"/>
        <v>0.10177222242820586</v>
      </c>
      <c r="W36" s="783">
        <f t="shared" si="9"/>
        <v>23864.513276533689</v>
      </c>
      <c r="X36" s="784">
        <f t="shared" si="9"/>
        <v>6.7854743464695888E-4</v>
      </c>
      <c r="Y36" s="785">
        <f t="shared" ref="Y36:Y37" si="16">+U36*1.02</f>
        <v>3650915.6440559998</v>
      </c>
      <c r="Z36" s="782">
        <f t="shared" si="10"/>
        <v>9.7748745490120484E-2</v>
      </c>
      <c r="AA36" s="785">
        <f t="shared" ref="AA36:AA38" si="17">+Y36*1.025</f>
        <v>3742188.5351573997</v>
      </c>
      <c r="AB36" s="782">
        <f t="shared" si="11"/>
        <v>9.3977612635796084E-2</v>
      </c>
      <c r="AC36" s="785">
        <f t="shared" ref="AC36:AC38" si="18">+AA36*1.03</f>
        <v>3854454.1912121219</v>
      </c>
      <c r="AD36" s="782">
        <f t="shared" si="0"/>
        <v>9.0374072478596065E-2</v>
      </c>
      <c r="AE36" s="120"/>
      <c r="AF36" s="120"/>
      <c r="AG36" s="119"/>
      <c r="AH36" s="119"/>
      <c r="AI36" s="103"/>
      <c r="AJ36" s="102"/>
      <c r="AK36" s="102"/>
      <c r="AL36" s="102"/>
      <c r="AM36" s="103"/>
      <c r="AN36" s="32"/>
      <c r="AO36" s="32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DN36" s="5"/>
      <c r="DO36" s="5"/>
      <c r="DP36" s="5"/>
    </row>
    <row r="37" spans="1:123" ht="15" customHeight="1">
      <c r="A37" s="110"/>
      <c r="B37" s="110"/>
      <c r="C37" s="110"/>
      <c r="D37" s="130" t="str">
        <f>IF(MasterSheet!$A$1=1,MasterSheet!C89,MasterSheet!B89)</f>
        <v>Boravišne takse</v>
      </c>
      <c r="E37" s="345">
        <v>365979.02</v>
      </c>
      <c r="F37" s="137">
        <f t="shared" si="12"/>
        <v>1.7030993531574296E-2</v>
      </c>
      <c r="G37" s="345">
        <v>564651.91</v>
      </c>
      <c r="H37" s="138">
        <f t="shared" si="1"/>
        <v>2.1065171050177207E-2</v>
      </c>
      <c r="I37" s="345">
        <v>544318.97</v>
      </c>
      <c r="J37" s="137">
        <f>I37/$I$15*100</f>
        <v>1.76406199766658E-2</v>
      </c>
      <c r="K37" s="345">
        <v>409061.18</v>
      </c>
      <c r="L37" s="138">
        <f>K37/$K$15*100</f>
        <v>1.3722280442804427E-2</v>
      </c>
      <c r="M37" s="345">
        <v>449587.51</v>
      </c>
      <c r="N37" s="137">
        <f t="shared" si="4"/>
        <v>1.4484133698453607E-2</v>
      </c>
      <c r="O37" s="345">
        <v>553959.80999999994</v>
      </c>
      <c r="P37" s="138">
        <f t="shared" si="5"/>
        <v>1.7129245825602966E-2</v>
      </c>
      <c r="Q37" s="991">
        <v>491975.95</v>
      </c>
      <c r="R37" s="644">
        <f t="shared" si="6"/>
        <v>1.5623243886948239E-2</v>
      </c>
      <c r="S37" s="643">
        <v>502511.14882618561</v>
      </c>
      <c r="T37" s="644">
        <f t="shared" si="7"/>
        <v>1.4288062235603801E-2</v>
      </c>
      <c r="U37" s="785">
        <f>+Q37*1.05</f>
        <v>516574.74750000006</v>
      </c>
      <c r="V37" s="782">
        <f t="shared" si="8"/>
        <v>1.4687937091270972E-2</v>
      </c>
      <c r="W37" s="783">
        <f t="shared" si="9"/>
        <v>14063.598673814442</v>
      </c>
      <c r="X37" s="784">
        <f t="shared" si="9"/>
        <v>3.9987485566717051E-4</v>
      </c>
      <c r="Y37" s="785">
        <f t="shared" si="16"/>
        <v>526906.24245000002</v>
      </c>
      <c r="Z37" s="782">
        <f t="shared" si="10"/>
        <v>1.4107262180722892E-2</v>
      </c>
      <c r="AA37" s="785">
        <f t="shared" si="17"/>
        <v>540078.89851124992</v>
      </c>
      <c r="AB37" s="782">
        <f t="shared" si="11"/>
        <v>1.3563005989735056E-2</v>
      </c>
      <c r="AC37" s="785">
        <f t="shared" si="18"/>
        <v>556281.26546658739</v>
      </c>
      <c r="AD37" s="782">
        <f t="shared" si="0"/>
        <v>1.3042937056660899E-2</v>
      </c>
      <c r="AE37" s="120"/>
      <c r="AF37" s="120"/>
      <c r="AG37" s="119"/>
      <c r="AH37" s="121"/>
      <c r="AI37" s="103"/>
      <c r="AJ37" s="102"/>
      <c r="AK37" s="102"/>
      <c r="AL37" s="102"/>
      <c r="AM37" s="103"/>
      <c r="AN37" s="37"/>
      <c r="AO37" s="37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DN37" s="5"/>
      <c r="DO37" s="5"/>
      <c r="DP37" s="5"/>
    </row>
    <row r="38" spans="1:123" ht="15" customHeight="1">
      <c r="A38" s="110"/>
      <c r="B38" s="110"/>
      <c r="C38" s="110"/>
      <c r="D38" s="130" t="str">
        <f>IF(MasterSheet!$A$1=1,MasterSheet!C90,MasterSheet!B90)</f>
        <v>Ostale takse</v>
      </c>
      <c r="E38" s="345">
        <v>1877566.52</v>
      </c>
      <c r="F38" s="137">
        <f t="shared" si="12"/>
        <v>8.7373378007352592E-2</v>
      </c>
      <c r="G38" s="345">
        <v>3466035.12</v>
      </c>
      <c r="H38" s="138">
        <f t="shared" si="1"/>
        <v>0.12930554448796866</v>
      </c>
      <c r="I38" s="345">
        <v>41750.1</v>
      </c>
      <c r="J38" s="137">
        <f>I38/$I$15*100</f>
        <v>1.3530626134301269E-3</v>
      </c>
      <c r="K38" s="345">
        <v>528567.68999999994</v>
      </c>
      <c r="L38" s="138">
        <f>K38/$K$15*100</f>
        <v>1.7731220731298222E-2</v>
      </c>
      <c r="M38" s="345">
        <v>600515.46</v>
      </c>
      <c r="N38" s="137">
        <f t="shared" si="4"/>
        <v>1.9346503221649484E-2</v>
      </c>
      <c r="O38" s="345">
        <v>815155.9</v>
      </c>
      <c r="P38" s="138">
        <f t="shared" si="5"/>
        <v>2.5205810142238712E-2</v>
      </c>
      <c r="Q38" s="991">
        <v>5486671.7800000003</v>
      </c>
      <c r="R38" s="644">
        <f t="shared" si="6"/>
        <v>0.17423536932359479</v>
      </c>
      <c r="S38" s="643">
        <v>16242165.109299999</v>
      </c>
      <c r="T38" s="644">
        <f t="shared" si="7"/>
        <v>0.46181874066818307</v>
      </c>
      <c r="U38" s="786">
        <f>+O38*1.02+12000000</f>
        <v>12831459.017999999</v>
      </c>
      <c r="V38" s="782">
        <f t="shared" si="8"/>
        <v>0.36484102979812338</v>
      </c>
      <c r="W38" s="783">
        <f t="shared" si="9"/>
        <v>-3410706.0912999995</v>
      </c>
      <c r="X38" s="784">
        <f t="shared" si="9"/>
        <v>-9.6977710870059686E-2</v>
      </c>
      <c r="Y38" s="785">
        <v>1275703.5672510986</v>
      </c>
      <c r="Z38" s="782">
        <f t="shared" si="10"/>
        <v>3.41553833266693E-2</v>
      </c>
      <c r="AA38" s="785">
        <f t="shared" si="17"/>
        <v>1307596.156432376</v>
      </c>
      <c r="AB38" s="782">
        <f t="shared" si="11"/>
        <v>3.2837673441295227E-2</v>
      </c>
      <c r="AC38" s="785">
        <f t="shared" si="18"/>
        <v>1346824.0411253474</v>
      </c>
      <c r="AD38" s="782">
        <f t="shared" si="0"/>
        <v>3.1578523824744367E-2</v>
      </c>
      <c r="AE38" s="120"/>
      <c r="AF38" s="120"/>
      <c r="AG38" s="119"/>
      <c r="AH38" s="119"/>
      <c r="AI38" s="103"/>
      <c r="AJ38" s="102"/>
      <c r="AK38" s="102"/>
      <c r="AL38" s="102"/>
      <c r="AM38" s="103"/>
      <c r="AN38" s="32"/>
      <c r="AO38" s="32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DN38" s="5"/>
      <c r="DO38" s="5"/>
      <c r="DP38" s="5"/>
    </row>
    <row r="39" spans="1:123" ht="15" customHeight="1">
      <c r="A39" s="110"/>
      <c r="B39" s="110"/>
      <c r="C39" s="110"/>
      <c r="D39" s="129" t="str">
        <f>IF(MasterSheet!$A$1=1,MasterSheet!C91,MasterSheet!B91)</f>
        <v>Naknade</v>
      </c>
      <c r="E39" s="344">
        <f>SUM(E40:E45)</f>
        <v>17868340.149999995</v>
      </c>
      <c r="F39" s="136">
        <f t="shared" si="12"/>
        <v>0.83151101261110316</v>
      </c>
      <c r="G39" s="344">
        <f>SUM(G40:G45)</f>
        <v>22895117.909999996</v>
      </c>
      <c r="H39" s="135">
        <f t="shared" si="1"/>
        <v>0.85413609065472851</v>
      </c>
      <c r="I39" s="344">
        <f>SUM(I40:I45)</f>
        <v>38239154.099999994</v>
      </c>
      <c r="J39" s="136">
        <f t="shared" si="2"/>
        <v>1.2392777450090742</v>
      </c>
      <c r="K39" s="344">
        <f>SUM(K40:K45)</f>
        <v>28332415.080000002</v>
      </c>
      <c r="L39" s="135">
        <f t="shared" si="3"/>
        <v>0.95043324656155659</v>
      </c>
      <c r="M39" s="344">
        <f>SUM(M40:M45)</f>
        <v>27428633.469999999</v>
      </c>
      <c r="N39" s="136">
        <f t="shared" si="4"/>
        <v>0.88365442880154643</v>
      </c>
      <c r="O39" s="344">
        <f>SUM(O40:O45)</f>
        <v>25699255.23</v>
      </c>
      <c r="P39" s="135">
        <f t="shared" si="5"/>
        <v>0.79465847959183677</v>
      </c>
      <c r="Q39" s="990">
        <f>SUM(Q40:Q45)</f>
        <v>12706115.310000001</v>
      </c>
      <c r="R39" s="646">
        <f t="shared" si="6"/>
        <v>0.40349683423308985</v>
      </c>
      <c r="S39" s="645">
        <f>SUM(S40:S45)</f>
        <v>13858592.542606136</v>
      </c>
      <c r="T39" s="646">
        <f t="shared" si="7"/>
        <v>0.39404584994615111</v>
      </c>
      <c r="U39" s="778">
        <f>SUM(U40:U45)</f>
        <v>13002454.5624</v>
      </c>
      <c r="V39" s="779">
        <f t="shared" si="8"/>
        <v>0.36970300148990615</v>
      </c>
      <c r="W39" s="780">
        <f t="shared" si="9"/>
        <v>-856137.98020613566</v>
      </c>
      <c r="X39" s="781">
        <f t="shared" si="9"/>
        <v>-2.4342848456244959E-2</v>
      </c>
      <c r="Y39" s="778">
        <f>SUM(Y40:Y45)</f>
        <v>13327515.926460002</v>
      </c>
      <c r="Z39" s="779">
        <f t="shared" si="10"/>
        <v>0.35682773564819281</v>
      </c>
      <c r="AA39" s="778">
        <f>SUM(AA40:AA45)</f>
        <v>13660703.824621499</v>
      </c>
      <c r="AB39" s="779">
        <f t="shared" si="11"/>
        <v>0.34306137178858609</v>
      </c>
      <c r="AC39" s="778">
        <f>SUM(AC40:AC45)</f>
        <v>14067535.884689003</v>
      </c>
      <c r="AD39" s="779">
        <f t="shared" si="0"/>
        <v>0.32983671476410326</v>
      </c>
      <c r="AE39" s="120"/>
      <c r="AF39" s="120"/>
      <c r="AG39" s="119"/>
      <c r="AH39" s="119"/>
      <c r="AI39" s="103"/>
      <c r="AJ39" s="102"/>
      <c r="AK39" s="102"/>
      <c r="AL39" s="102"/>
      <c r="AM39" s="103"/>
      <c r="AN39" s="32"/>
      <c r="AO39" s="32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DN39" s="5"/>
      <c r="DO39" s="5"/>
      <c r="DP39" s="5"/>
    </row>
    <row r="40" spans="1:123" ht="15" customHeight="1">
      <c r="A40" s="110"/>
      <c r="B40" s="110"/>
      <c r="C40" s="110"/>
      <c r="D40" s="130" t="str">
        <f>IF(MasterSheet!$A$1=1,MasterSheet!C92,MasterSheet!B92)</f>
        <v>Naknade za korišćenje dobara od opšteg interesa</v>
      </c>
      <c r="E40" s="345">
        <v>1274186.23</v>
      </c>
      <c r="F40" s="137">
        <f t="shared" si="12"/>
        <v>5.9294812694867145E-2</v>
      </c>
      <c r="G40" s="345">
        <v>2986015.41</v>
      </c>
      <c r="H40" s="138">
        <f t="shared" si="1"/>
        <v>0.11139770229434809</v>
      </c>
      <c r="I40" s="345">
        <v>2856435.93</v>
      </c>
      <c r="J40" s="137">
        <f t="shared" si="2"/>
        <v>9.25731115504278E-2</v>
      </c>
      <c r="K40" s="345">
        <v>2890522.73</v>
      </c>
      <c r="L40" s="138">
        <f t="shared" si="3"/>
        <v>9.696486850050319E-2</v>
      </c>
      <c r="M40" s="345">
        <v>2020524.58</v>
      </c>
      <c r="N40" s="137">
        <f t="shared" si="4"/>
        <v>6.5094219716494844E-2</v>
      </c>
      <c r="O40" s="345">
        <v>1002041.9199999999</v>
      </c>
      <c r="P40" s="138">
        <f t="shared" si="5"/>
        <v>3.0984598639455779E-2</v>
      </c>
      <c r="Q40" s="991">
        <v>563371.34</v>
      </c>
      <c r="R40" s="644">
        <f t="shared" si="6"/>
        <v>1.7890483963162909E-2</v>
      </c>
      <c r="S40" s="643">
        <v>767516.73656893231</v>
      </c>
      <c r="T40" s="644">
        <f t="shared" si="7"/>
        <v>2.1823051935425997E-2</v>
      </c>
      <c r="U40" s="785">
        <f>+Q40*1.01</f>
        <v>569005.05339999998</v>
      </c>
      <c r="V40" s="782">
        <f t="shared" si="8"/>
        <v>1.6178704958771679E-2</v>
      </c>
      <c r="W40" s="783">
        <f t="shared" si="9"/>
        <v>-198511.68316893233</v>
      </c>
      <c r="X40" s="784">
        <f t="shared" si="9"/>
        <v>-5.6443469766543179E-3</v>
      </c>
      <c r="Y40" s="785">
        <f>+U40*1.025</f>
        <v>583230.1797349999</v>
      </c>
      <c r="Z40" s="782">
        <f t="shared" si="10"/>
        <v>1.5615265856358765E-2</v>
      </c>
      <c r="AA40" s="785">
        <f>+Y40*1.025</f>
        <v>597810.93422837486</v>
      </c>
      <c r="AB40" s="782">
        <f t="shared" si="11"/>
        <v>1.501283109563975E-2</v>
      </c>
      <c r="AC40" s="785">
        <f>+AA40*1.025</f>
        <v>612756.20758408413</v>
      </c>
      <c r="AD40" s="782">
        <f t="shared" si="0"/>
        <v>1.4367085758126239E-2</v>
      </c>
      <c r="AE40" s="120"/>
      <c r="AF40" s="120"/>
      <c r="AG40" s="120"/>
      <c r="AH40" s="120"/>
      <c r="AI40" s="102"/>
      <c r="AJ40" s="102"/>
      <c r="AK40" s="102"/>
      <c r="AL40" s="102"/>
      <c r="AM40" s="103"/>
      <c r="AN40" s="32"/>
      <c r="AO40" s="32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DN40" s="5"/>
      <c r="DO40" s="5"/>
      <c r="DP40" s="5"/>
    </row>
    <row r="41" spans="1:123" ht="15" customHeight="1">
      <c r="A41" s="110"/>
      <c r="B41" s="110"/>
      <c r="C41" s="110"/>
      <c r="D41" s="130" t="str">
        <f>IF(MasterSheet!$A$1=1,MasterSheet!C93,MasterSheet!B93)</f>
        <v>Naknade za korišćenje prirodnih dobara</v>
      </c>
      <c r="E41" s="345">
        <v>3521417.44</v>
      </c>
      <c r="F41" s="137">
        <f t="shared" si="12"/>
        <v>0.16387069849690539</v>
      </c>
      <c r="G41" s="345">
        <v>3729314.35</v>
      </c>
      <c r="H41" s="138">
        <f t="shared" si="1"/>
        <v>0.13912756388733447</v>
      </c>
      <c r="I41" s="345">
        <v>3925540.16</v>
      </c>
      <c r="J41" s="137">
        <f t="shared" si="2"/>
        <v>0.12722129115893183</v>
      </c>
      <c r="K41" s="345">
        <v>3661578.93</v>
      </c>
      <c r="L41" s="138">
        <f t="shared" si="3"/>
        <v>0.12283055786648776</v>
      </c>
      <c r="M41" s="345">
        <v>3239633.87</v>
      </c>
      <c r="N41" s="137">
        <f t="shared" si="4"/>
        <v>0.10436964787371135</v>
      </c>
      <c r="O41" s="345">
        <v>3009556.45</v>
      </c>
      <c r="P41" s="138">
        <f t="shared" si="5"/>
        <v>9.3059877860235007E-2</v>
      </c>
      <c r="Q41" s="991">
        <v>1376923.26</v>
      </c>
      <c r="R41" s="644">
        <f t="shared" si="6"/>
        <v>4.3725730708161319E-2</v>
      </c>
      <c r="S41" s="643">
        <v>1273375.6964537622</v>
      </c>
      <c r="T41" s="644">
        <f t="shared" si="7"/>
        <v>3.6206303567067451E-2</v>
      </c>
      <c r="U41" s="785">
        <f>+Q41*1.05</f>
        <v>1445769.4230000002</v>
      </c>
      <c r="V41" s="782">
        <f t="shared" si="8"/>
        <v>4.1108030224623261E-2</v>
      </c>
      <c r="W41" s="783">
        <f t="shared" si="9"/>
        <v>172393.72654623794</v>
      </c>
      <c r="X41" s="784">
        <f t="shared" si="9"/>
        <v>4.9017266575558105E-3</v>
      </c>
      <c r="Y41" s="785">
        <f t="shared" ref="Y41:Y45" si="19">+U41*1.025</f>
        <v>1481913.658575</v>
      </c>
      <c r="Z41" s="782">
        <f t="shared" si="10"/>
        <v>3.9676403174698796E-2</v>
      </c>
      <c r="AA41" s="785">
        <f t="shared" ref="AA41:AA45" si="20">+Y41*1.025</f>
        <v>1518961.5000393749</v>
      </c>
      <c r="AB41" s="782">
        <f t="shared" si="11"/>
        <v>3.8145693120024485E-2</v>
      </c>
      <c r="AC41" s="785">
        <f>+AA41*1.03</f>
        <v>1564530.3450405563</v>
      </c>
      <c r="AD41" s="782">
        <f t="shared" si="0"/>
        <v>3.6683009262381154E-2</v>
      </c>
      <c r="AE41" s="120"/>
      <c r="AF41" s="120"/>
      <c r="AG41" s="120"/>
      <c r="AH41" s="120"/>
      <c r="AI41" s="102"/>
      <c r="AJ41" s="102"/>
      <c r="AK41" s="102"/>
      <c r="AL41" s="102"/>
      <c r="AM41" s="103"/>
      <c r="AN41" s="32"/>
      <c r="AO41" s="32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DN41" s="5"/>
      <c r="DO41" s="5"/>
      <c r="DP41" s="5"/>
    </row>
    <row r="42" spans="1:123" ht="15" customHeight="1">
      <c r="A42" s="110"/>
      <c r="B42" s="110"/>
      <c r="C42" s="110"/>
      <c r="D42" s="130" t="str">
        <f>IF(MasterSheet!$A$1=1,MasterSheet!C94,MasterSheet!B94)</f>
        <v>Ekološke naknade</v>
      </c>
      <c r="E42" s="345">
        <v>1902110.17</v>
      </c>
      <c r="F42" s="137">
        <f t="shared" si="12"/>
        <v>8.851552747917539E-2</v>
      </c>
      <c r="G42" s="345">
        <v>2195706.9700000002</v>
      </c>
      <c r="H42" s="138">
        <f t="shared" si="1"/>
        <v>8.1914082074239891E-2</v>
      </c>
      <c r="I42" s="345">
        <v>9210786.3699999992</v>
      </c>
      <c r="J42" s="137">
        <f t="shared" si="2"/>
        <v>0.2985087623152709</v>
      </c>
      <c r="K42" s="345">
        <v>9651406.9600000009</v>
      </c>
      <c r="L42" s="138">
        <f t="shared" si="3"/>
        <v>0.32376407111707484</v>
      </c>
      <c r="M42" s="345">
        <v>7609457.3499999996</v>
      </c>
      <c r="N42" s="137">
        <f t="shared" si="4"/>
        <v>0.24515004349226804</v>
      </c>
      <c r="O42" s="345">
        <v>7452842.79</v>
      </c>
      <c r="P42" s="138">
        <f t="shared" si="5"/>
        <v>0.23045277643784787</v>
      </c>
      <c r="Q42" s="991">
        <v>654296.18000000005</v>
      </c>
      <c r="R42" s="644">
        <f t="shared" si="6"/>
        <v>2.0777903461416322E-2</v>
      </c>
      <c r="S42" s="643">
        <v>906158.07444858248</v>
      </c>
      <c r="T42" s="644">
        <f t="shared" si="7"/>
        <v>2.5765085995126034E-2</v>
      </c>
      <c r="U42" s="785">
        <f>+Q42*1.03</f>
        <v>673925.06540000008</v>
      </c>
      <c r="V42" s="782">
        <f t="shared" si="8"/>
        <v>1.9161929638896787E-2</v>
      </c>
      <c r="W42" s="783">
        <f t="shared" si="9"/>
        <v>-232233.0090485824</v>
      </c>
      <c r="X42" s="784">
        <f t="shared" si="9"/>
        <v>-6.6031563562292464E-3</v>
      </c>
      <c r="Y42" s="785">
        <f t="shared" si="19"/>
        <v>690773.19203500007</v>
      </c>
      <c r="Z42" s="782">
        <f t="shared" si="10"/>
        <v>1.8494596841633203E-2</v>
      </c>
      <c r="AA42" s="785">
        <f t="shared" si="20"/>
        <v>708042.521835875</v>
      </c>
      <c r="AB42" s="782">
        <f t="shared" si="11"/>
        <v>1.7781077896430814E-2</v>
      </c>
      <c r="AC42" s="785">
        <f>+AA42*1.03</f>
        <v>729283.79749095126</v>
      </c>
      <c r="AD42" s="782">
        <f t="shared" si="0"/>
        <v>1.7099268405415036E-2</v>
      </c>
      <c r="AE42" s="120"/>
      <c r="AF42" s="120"/>
      <c r="AG42" s="120"/>
      <c r="AH42" s="120"/>
      <c r="AI42" s="102"/>
      <c r="AJ42" s="102"/>
      <c r="AK42" s="102"/>
      <c r="AL42" s="102"/>
      <c r="AM42" s="103"/>
      <c r="AN42" s="32"/>
      <c r="AO42" s="32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DN42" s="5"/>
      <c r="DO42" s="5"/>
      <c r="DP42" s="5"/>
      <c r="DQ42" s="96"/>
      <c r="DR42" s="96"/>
    </row>
    <row r="43" spans="1:123" ht="15" customHeight="1">
      <c r="A43" s="110"/>
      <c r="B43" s="110"/>
      <c r="C43" s="110"/>
      <c r="D43" s="130" t="str">
        <f>IF(MasterSheet!$A$1=1,MasterSheet!C95,MasterSheet!B95)</f>
        <v>Naknade za priređivanje igara na sreću</v>
      </c>
      <c r="E43" s="345">
        <v>3406245.76</v>
      </c>
      <c r="F43" s="137">
        <f t="shared" si="12"/>
        <v>0.15851113406859324</v>
      </c>
      <c r="G43" s="345">
        <v>4400291.1100000003</v>
      </c>
      <c r="H43" s="138">
        <f t="shared" si="1"/>
        <v>0.16415934004849844</v>
      </c>
      <c r="I43" s="345">
        <v>5175563.96</v>
      </c>
      <c r="J43" s="137">
        <f t="shared" si="2"/>
        <v>0.16773282214156079</v>
      </c>
      <c r="K43" s="345">
        <v>4679989.66</v>
      </c>
      <c r="L43" s="138">
        <f t="shared" si="3"/>
        <v>0.15699395035223079</v>
      </c>
      <c r="M43" s="345">
        <v>6380752.96</v>
      </c>
      <c r="N43" s="137">
        <f t="shared" si="4"/>
        <v>0.20556549484536082</v>
      </c>
      <c r="O43" s="345">
        <v>4180845.3600000003</v>
      </c>
      <c r="P43" s="138">
        <f t="shared" si="5"/>
        <v>0.12927784044526905</v>
      </c>
      <c r="Q43" s="991">
        <v>3319092.83</v>
      </c>
      <c r="R43" s="644">
        <f t="shared" si="6"/>
        <v>0.10540148713877422</v>
      </c>
      <c r="S43" s="643">
        <v>2899337.5332013476</v>
      </c>
      <c r="T43" s="644">
        <f t="shared" si="7"/>
        <v>8.2437803048090633E-2</v>
      </c>
      <c r="U43" s="785">
        <f>+Q43*1.02</f>
        <v>3385474.6866000001</v>
      </c>
      <c r="V43" s="782">
        <f t="shared" si="8"/>
        <v>9.6260298168893949E-2</v>
      </c>
      <c r="W43" s="783">
        <f t="shared" si="9"/>
        <v>486137.15339865256</v>
      </c>
      <c r="X43" s="784">
        <f t="shared" si="9"/>
        <v>1.3822495120803316E-2</v>
      </c>
      <c r="Y43" s="785">
        <f t="shared" si="19"/>
        <v>3470111.5537649998</v>
      </c>
      <c r="Z43" s="782">
        <f t="shared" si="10"/>
        <v>9.2907939859839347E-2</v>
      </c>
      <c r="AA43" s="785">
        <f t="shared" si="20"/>
        <v>3556864.3426091247</v>
      </c>
      <c r="AB43" s="782">
        <f t="shared" si="11"/>
        <v>8.9323564605954905E-2</v>
      </c>
      <c r="AC43" s="785">
        <f>+AA43*1.03</f>
        <v>3663570.2728873985</v>
      </c>
      <c r="AD43" s="782">
        <f t="shared" si="0"/>
        <v>8.5898482365472414E-2</v>
      </c>
      <c r="AE43" s="120"/>
      <c r="AF43" s="120"/>
      <c r="AG43" s="120"/>
      <c r="AH43" s="120"/>
      <c r="AI43" s="102"/>
      <c r="AJ43" s="102"/>
      <c r="AK43" s="102"/>
      <c r="AL43" s="102"/>
      <c r="AM43" s="103"/>
      <c r="AN43" s="32"/>
      <c r="AO43" s="32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DN43" s="5"/>
      <c r="DO43" s="5"/>
      <c r="DP43" s="5"/>
      <c r="DQ43" s="96"/>
      <c r="DR43" s="96"/>
    </row>
    <row r="44" spans="1:123" ht="15" customHeight="1">
      <c r="A44" s="110"/>
      <c r="B44" s="110"/>
      <c r="C44" s="110"/>
      <c r="D44" s="130" t="str">
        <f>IF(MasterSheet!$A$1=1,MasterSheet!C96,MasterSheet!B96)</f>
        <v>Naknada za puteve</v>
      </c>
      <c r="E44" s="345">
        <v>5372953.1699999962</v>
      </c>
      <c r="F44" s="137">
        <f t="shared" si="12"/>
        <v>0.25003272232304885</v>
      </c>
      <c r="G44" s="345">
        <v>6458859.3499999996</v>
      </c>
      <c r="H44" s="138">
        <f t="shared" si="1"/>
        <v>0.24095725983958216</v>
      </c>
      <c r="I44" s="345">
        <v>7089990.1699999999</v>
      </c>
      <c r="J44" s="137">
        <f t="shared" si="2"/>
        <v>0.2297767102022297</v>
      </c>
      <c r="K44" s="345">
        <v>4037944.42</v>
      </c>
      <c r="L44" s="138">
        <f t="shared" si="3"/>
        <v>0.13545603555853739</v>
      </c>
      <c r="M44" s="345">
        <v>3597161.86</v>
      </c>
      <c r="N44" s="137">
        <f t="shared" si="4"/>
        <v>0.11588794652061854</v>
      </c>
      <c r="O44" s="345">
        <v>4863937.55</v>
      </c>
      <c r="P44" s="138">
        <f t="shared" si="5"/>
        <v>0.15040004792826223</v>
      </c>
      <c r="Q44" s="991">
        <v>3327409.68</v>
      </c>
      <c r="R44" s="644">
        <f t="shared" si="6"/>
        <v>0.10566559796760877</v>
      </c>
      <c r="S44" s="643">
        <v>4038872.8310599797</v>
      </c>
      <c r="T44" s="644">
        <f t="shared" si="7"/>
        <v>0.11483857921694568</v>
      </c>
      <c r="U44" s="785">
        <f>+Q44*1.02</f>
        <v>3393957.8736</v>
      </c>
      <c r="V44" s="782">
        <f t="shared" si="8"/>
        <v>9.650150337219221E-2</v>
      </c>
      <c r="W44" s="783">
        <f t="shared" si="9"/>
        <v>-644914.95745997969</v>
      </c>
      <c r="X44" s="784">
        <f t="shared" si="9"/>
        <v>-1.833707584475347E-2</v>
      </c>
      <c r="Y44" s="785">
        <f t="shared" si="19"/>
        <v>3478806.8204399999</v>
      </c>
      <c r="Z44" s="782">
        <f t="shared" si="10"/>
        <v>9.3140744857831331E-2</v>
      </c>
      <c r="AA44" s="785">
        <f t="shared" si="20"/>
        <v>3565776.9909509998</v>
      </c>
      <c r="AB44" s="782">
        <f t="shared" si="11"/>
        <v>8.954738801986438E-2</v>
      </c>
      <c r="AC44" s="785">
        <f>+AA44*1.03</f>
        <v>3672750.30067953</v>
      </c>
      <c r="AD44" s="782">
        <f t="shared" si="0"/>
        <v>8.6113723345358259E-2</v>
      </c>
      <c r="AE44" s="120"/>
      <c r="AF44" s="120"/>
      <c r="AG44" s="120"/>
      <c r="AH44" s="120"/>
      <c r="AI44" s="102"/>
      <c r="AJ44" s="102"/>
      <c r="AK44" s="102"/>
      <c r="AL44" s="102"/>
      <c r="AM44" s="103"/>
      <c r="AN44" s="37"/>
      <c r="AO44" s="37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DN44" s="5"/>
      <c r="DO44" s="5"/>
      <c r="DP44" s="5"/>
      <c r="DQ44" s="96"/>
      <c r="DR44" s="96"/>
    </row>
    <row r="45" spans="1:123" ht="15" customHeight="1">
      <c r="A45" s="110"/>
      <c r="B45" s="110"/>
      <c r="C45" s="110"/>
      <c r="D45" s="130" t="str">
        <f>IF(MasterSheet!$A$1=1,MasterSheet!C97,MasterSheet!B97)</f>
        <v>Ostale naknade</v>
      </c>
      <c r="E45" s="345">
        <v>2391427.38</v>
      </c>
      <c r="F45" s="137">
        <f t="shared" si="12"/>
        <v>0.11128611754851318</v>
      </c>
      <c r="G45" s="345">
        <v>3124930.72</v>
      </c>
      <c r="H45" s="138">
        <f t="shared" si="1"/>
        <v>0.11658014251072563</v>
      </c>
      <c r="I45" s="345">
        <v>9980837.5099999998</v>
      </c>
      <c r="J45" s="137">
        <f t="shared" si="2"/>
        <v>0.32346504764065337</v>
      </c>
      <c r="K45" s="345">
        <v>3410972.38</v>
      </c>
      <c r="L45" s="138">
        <f t="shared" si="3"/>
        <v>0.11442376316672256</v>
      </c>
      <c r="M45" s="345">
        <v>4581102.8499999996</v>
      </c>
      <c r="N45" s="137">
        <f t="shared" si="4"/>
        <v>0.14758707635309276</v>
      </c>
      <c r="O45" s="345">
        <v>5190031.1599999992</v>
      </c>
      <c r="P45" s="138">
        <f t="shared" si="5"/>
        <v>0.16048333828076683</v>
      </c>
      <c r="Q45" s="991">
        <v>3465022.02</v>
      </c>
      <c r="R45" s="644">
        <f t="shared" si="6"/>
        <v>0.11003563099396634</v>
      </c>
      <c r="S45" s="643">
        <v>3973331.6708735316</v>
      </c>
      <c r="T45" s="644">
        <f t="shared" si="7"/>
        <v>0.11297502618349536</v>
      </c>
      <c r="U45" s="785">
        <f>+Q45*1.02</f>
        <v>3534322.4604000002</v>
      </c>
      <c r="V45" s="782">
        <f t="shared" si="8"/>
        <v>0.1004925351265283</v>
      </c>
      <c r="W45" s="783">
        <f t="shared" si="9"/>
        <v>-439009.21047353139</v>
      </c>
      <c r="X45" s="784">
        <f t="shared" si="9"/>
        <v>-1.2482491056967068E-2</v>
      </c>
      <c r="Y45" s="785">
        <f t="shared" si="19"/>
        <v>3622680.5219100001</v>
      </c>
      <c r="Z45" s="782">
        <f t="shared" si="10"/>
        <v>9.6992785057831321E-2</v>
      </c>
      <c r="AA45" s="785">
        <f t="shared" si="20"/>
        <v>3713247.5349577498</v>
      </c>
      <c r="AB45" s="782">
        <f t="shared" si="11"/>
        <v>9.3250817050671772E-2</v>
      </c>
      <c r="AC45" s="785">
        <f>+AA45*1.03</f>
        <v>3824644.9610064821</v>
      </c>
      <c r="AD45" s="782">
        <f t="shared" si="0"/>
        <v>8.96751456273501E-2</v>
      </c>
      <c r="AE45" s="120"/>
      <c r="AF45" s="120"/>
      <c r="AG45" s="120"/>
      <c r="AH45" s="120"/>
      <c r="AI45" s="102"/>
      <c r="AJ45" s="102"/>
      <c r="AK45" s="102"/>
      <c r="AL45" s="102"/>
      <c r="AM45" s="103"/>
      <c r="AN45" s="32"/>
      <c r="AO45" s="32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DN45" s="96"/>
      <c r="DO45" s="96"/>
      <c r="DP45" s="96"/>
      <c r="DQ45" s="96"/>
      <c r="DR45" s="96"/>
    </row>
    <row r="46" spans="1:123" ht="15" customHeight="1">
      <c r="A46" s="110"/>
      <c r="B46" s="110"/>
      <c r="C46" s="110"/>
      <c r="D46" s="129" t="str">
        <f>IF(MasterSheet!$A$1=1,MasterSheet!C98,MasterSheet!B98)</f>
        <v>Ostali prihodi</v>
      </c>
      <c r="E46" s="344">
        <f>SUM(E47:E50)</f>
        <v>60725640.779999994</v>
      </c>
      <c r="F46" s="136">
        <f t="shared" si="12"/>
        <v>2.8258942147145047</v>
      </c>
      <c r="G46" s="344">
        <f>SUM(G47:G50)</f>
        <v>58512071.479999997</v>
      </c>
      <c r="H46" s="135">
        <f t="shared" si="1"/>
        <v>2.1828789957097556</v>
      </c>
      <c r="I46" s="344">
        <f>SUM(I47:I50)</f>
        <v>45480397.879999995</v>
      </c>
      <c r="J46" s="136">
        <f t="shared" si="2"/>
        <v>1.4739563741249675</v>
      </c>
      <c r="K46" s="344">
        <f>SUM(K47:K50)</f>
        <v>43622195.68</v>
      </c>
      <c r="L46" s="135">
        <f t="shared" si="3"/>
        <v>1.4633410157665214</v>
      </c>
      <c r="M46" s="344">
        <f>SUM(M47:M50)</f>
        <v>31858288.899999999</v>
      </c>
      <c r="N46" s="136">
        <f t="shared" si="4"/>
        <v>1.0263624001288658</v>
      </c>
      <c r="O46" s="344">
        <f>SUM(O47:O50)</f>
        <v>24777629.66</v>
      </c>
      <c r="P46" s="135">
        <f t="shared" si="5"/>
        <v>0.76616047186147185</v>
      </c>
      <c r="Q46" s="990">
        <f>SUM(Q47:Q50)</f>
        <v>35120651.189999998</v>
      </c>
      <c r="R46" s="646">
        <f t="shared" si="6"/>
        <v>1.1152953696411558</v>
      </c>
      <c r="S46" s="645">
        <f>SUM(S47:S50)</f>
        <v>29418139.413963016</v>
      </c>
      <c r="T46" s="646">
        <f t="shared" si="7"/>
        <v>0.83645548518518664</v>
      </c>
      <c r="U46" s="778">
        <f>SUM(U47:U50)</f>
        <v>30418634.758100003</v>
      </c>
      <c r="V46" s="779">
        <f t="shared" si="8"/>
        <v>0.86490289332101233</v>
      </c>
      <c r="W46" s="780">
        <f t="shared" si="9"/>
        <v>1000495.3441369869</v>
      </c>
      <c r="X46" s="781">
        <f t="shared" si="9"/>
        <v>2.8447408135825691E-2</v>
      </c>
      <c r="Y46" s="778">
        <f>SUM(Y47:Y50)</f>
        <v>31179100.627052501</v>
      </c>
      <c r="Z46" s="779">
        <f t="shared" si="10"/>
        <v>0.83478181063058909</v>
      </c>
      <c r="AA46" s="778">
        <f>SUM(AA47:AA50)</f>
        <v>31958578.142728806</v>
      </c>
      <c r="AB46" s="779">
        <f t="shared" si="11"/>
        <v>0.80257604577420405</v>
      </c>
      <c r="AC46" s="778">
        <f>SUM(AC47:AC50)</f>
        <v>32917335.487010673</v>
      </c>
      <c r="AD46" s="779">
        <f t="shared" si="0"/>
        <v>0.77180153545159846</v>
      </c>
      <c r="AE46" s="120"/>
      <c r="AF46" s="120"/>
      <c r="AG46" s="120"/>
      <c r="AH46" s="120"/>
      <c r="AI46" s="102"/>
      <c r="AJ46" s="102"/>
      <c r="AK46" s="102"/>
      <c r="AL46" s="102"/>
      <c r="AM46" s="103"/>
      <c r="AN46" s="32"/>
      <c r="AO46" s="32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DN46" s="96"/>
      <c r="DO46" s="96"/>
      <c r="DP46" s="96"/>
      <c r="DQ46" s="96"/>
      <c r="DR46" s="96"/>
    </row>
    <row r="47" spans="1:123" ht="15" customHeight="1">
      <c r="A47" s="110"/>
      <c r="B47" s="110"/>
      <c r="C47" s="110"/>
      <c r="D47" s="130" t="str">
        <f>IF(MasterSheet!$A$1=1,MasterSheet!C99,MasterSheet!B99)</f>
        <v>Prihodi od kapitala</v>
      </c>
      <c r="E47" s="345">
        <v>8168377.7700000005</v>
      </c>
      <c r="F47" s="137">
        <f t="shared" si="12"/>
        <v>0.38011902694401789</v>
      </c>
      <c r="G47" s="345">
        <v>18699178.469999999</v>
      </c>
      <c r="H47" s="138">
        <f t="shared" si="1"/>
        <v>0.69760039059876877</v>
      </c>
      <c r="I47" s="345">
        <v>13798997.720000001</v>
      </c>
      <c r="J47" s="137">
        <f t="shared" si="2"/>
        <v>0.44720630412237494</v>
      </c>
      <c r="K47" s="345">
        <v>14050397.890000001</v>
      </c>
      <c r="L47" s="138">
        <f t="shared" si="3"/>
        <v>0.47133169708151629</v>
      </c>
      <c r="M47" s="345">
        <v>7714681.46</v>
      </c>
      <c r="N47" s="137">
        <f t="shared" si="4"/>
        <v>0.24853999548969075</v>
      </c>
      <c r="O47" s="345">
        <v>5467464.75</v>
      </c>
      <c r="P47" s="138">
        <f t="shared" si="5"/>
        <v>0.16906198979591838</v>
      </c>
      <c r="Q47" s="991">
        <v>12780311.91</v>
      </c>
      <c r="R47" s="644">
        <f t="shared" si="6"/>
        <v>0.40585302985074628</v>
      </c>
      <c r="S47" s="643">
        <v>8815295.2540114876</v>
      </c>
      <c r="T47" s="644">
        <f t="shared" si="7"/>
        <v>0.25064814483967834</v>
      </c>
      <c r="U47" s="785">
        <f>+O47*1.03+2000000</f>
        <v>7631488.6924999999</v>
      </c>
      <c r="V47" s="782">
        <f t="shared" si="8"/>
        <v>0.2169885894938868</v>
      </c>
      <c r="W47" s="783">
        <f t="shared" si="9"/>
        <v>-1183806.5615114877</v>
      </c>
      <c r="X47" s="784">
        <f t="shared" si="9"/>
        <v>-3.3659555345791542E-2</v>
      </c>
      <c r="Y47" s="785">
        <f>+U47*1.025</f>
        <v>7822275.9098124988</v>
      </c>
      <c r="Z47" s="782">
        <f t="shared" si="10"/>
        <v>0.20943175126673358</v>
      </c>
      <c r="AA47" s="785">
        <f>+Y47*1.025</f>
        <v>8017832.807557811</v>
      </c>
      <c r="AB47" s="782">
        <f t="shared" si="11"/>
        <v>0.20135190375584661</v>
      </c>
      <c r="AC47" s="785">
        <f>+AA47*1.03</f>
        <v>8258367.7917845454</v>
      </c>
      <c r="AD47" s="782">
        <f t="shared" si="0"/>
        <v>0.19363113228099754</v>
      </c>
      <c r="AE47" s="120"/>
      <c r="AF47" s="120"/>
      <c r="AG47" s="120"/>
      <c r="AH47" s="120"/>
      <c r="AI47" s="102"/>
      <c r="AJ47" s="102"/>
      <c r="AK47" s="102"/>
      <c r="AL47" s="102"/>
      <c r="AM47" s="103"/>
      <c r="AN47" s="32"/>
      <c r="AO47" s="32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DN47" s="39"/>
      <c r="DO47" s="39"/>
      <c r="DP47" s="39"/>
      <c r="DQ47" s="39"/>
      <c r="DR47" s="39"/>
      <c r="DS47" s="6"/>
    </row>
    <row r="48" spans="1:123" ht="15" customHeight="1">
      <c r="A48" s="110"/>
      <c r="B48" s="110"/>
      <c r="C48" s="110"/>
      <c r="D48" s="130" t="str">
        <f>IF(MasterSheet!$A$1=1,MasterSheet!C100,MasterSheet!B100)</f>
        <v>Novčane kazne i oduzete imovinske koristi</v>
      </c>
      <c r="E48" s="345">
        <v>7615600.2199999951</v>
      </c>
      <c r="F48" s="137">
        <f t="shared" si="12"/>
        <v>0.35439528223742356</v>
      </c>
      <c r="G48" s="345">
        <v>10141066.57</v>
      </c>
      <c r="H48" s="138">
        <f t="shared" si="1"/>
        <v>0.37832742286886772</v>
      </c>
      <c r="I48" s="345">
        <v>9427789.2100000009</v>
      </c>
      <c r="J48" s="137">
        <f t="shared" si="2"/>
        <v>0.30554152223230496</v>
      </c>
      <c r="K48" s="345">
        <v>8057798.4800000004</v>
      </c>
      <c r="L48" s="138">
        <f t="shared" si="3"/>
        <v>0.27030521569942972</v>
      </c>
      <c r="M48" s="345">
        <v>7698309.5599999996</v>
      </c>
      <c r="N48" s="137">
        <f t="shared" si="4"/>
        <v>0.24801255025773192</v>
      </c>
      <c r="O48" s="345">
        <v>7094815.5099999998</v>
      </c>
      <c r="P48" s="138">
        <f t="shared" si="5"/>
        <v>0.21938205040197897</v>
      </c>
      <c r="Q48" s="991">
        <v>8748262.1099999994</v>
      </c>
      <c r="R48" s="644">
        <f t="shared" si="6"/>
        <v>0.27781080057161001</v>
      </c>
      <c r="S48" s="643">
        <v>8511345.516661834</v>
      </c>
      <c r="T48" s="644">
        <f t="shared" si="7"/>
        <v>0.24200584352180363</v>
      </c>
      <c r="U48" s="785">
        <f>+Q48*1.02</f>
        <v>8923227.3521999996</v>
      </c>
      <c r="V48" s="782">
        <f t="shared" si="8"/>
        <v>0.25371701314188227</v>
      </c>
      <c r="W48" s="783">
        <f t="shared" si="9"/>
        <v>411881.83553816564</v>
      </c>
      <c r="X48" s="784">
        <f t="shared" si="9"/>
        <v>1.1711169620078649E-2</v>
      </c>
      <c r="Y48" s="785">
        <f t="shared" ref="Y48:Y51" si="21">+U48*1.025</f>
        <v>9146308.0360049997</v>
      </c>
      <c r="Z48" s="782">
        <f t="shared" si="10"/>
        <v>0.24488107191445782</v>
      </c>
      <c r="AA48" s="785">
        <f t="shared" ref="AA48:AA51" si="22">+Y48*1.025</f>
        <v>9374965.736905124</v>
      </c>
      <c r="AB48" s="782">
        <f t="shared" si="11"/>
        <v>0.23543359459832053</v>
      </c>
      <c r="AC48" s="785">
        <f t="shared" ref="AC48:AC50" si="23">+AA48*1.03</f>
        <v>9656214.7090122774</v>
      </c>
      <c r="AD48" s="782">
        <f t="shared" si="0"/>
        <v>0.22640597207531718</v>
      </c>
      <c r="AE48" s="120"/>
      <c r="AF48" s="120"/>
      <c r="AG48" s="120"/>
      <c r="AH48" s="120"/>
      <c r="AI48" s="102"/>
      <c r="AJ48" s="102"/>
      <c r="AK48" s="102"/>
      <c r="AL48" s="102"/>
      <c r="AM48" s="103"/>
      <c r="AN48" s="32"/>
      <c r="AO48" s="32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DN48" s="39"/>
      <c r="DO48" s="39"/>
      <c r="DP48" s="7"/>
      <c r="DQ48" s="7"/>
      <c r="DR48" s="26"/>
      <c r="DS48" s="6"/>
    </row>
    <row r="49" spans="1:123" ht="15" customHeight="1">
      <c r="A49" s="110"/>
      <c r="B49" s="110"/>
      <c r="C49" s="110"/>
      <c r="D49" s="130" t="str">
        <f>IF(MasterSheet!$A$1=1,MasterSheet!C101,MasterSheet!B101)</f>
        <v>Prihodi koje organi ostvaruju vršenjem svoje djelatnosti</v>
      </c>
      <c r="E49" s="345">
        <v>28553597.170000002</v>
      </c>
      <c r="F49" s="137">
        <f t="shared" si="12"/>
        <v>1.3287541146633162</v>
      </c>
      <c r="G49" s="345">
        <v>18195249.18</v>
      </c>
      <c r="H49" s="138">
        <f t="shared" si="1"/>
        <v>0.67880056631225516</v>
      </c>
      <c r="I49" s="345">
        <v>5377701.7699999996</v>
      </c>
      <c r="J49" s="137">
        <f t="shared" si="2"/>
        <v>0.17428382713248636</v>
      </c>
      <c r="K49" s="345">
        <v>2358239.02</v>
      </c>
      <c r="L49" s="138">
        <f t="shared" si="3"/>
        <v>7.9108990942636709E-2</v>
      </c>
      <c r="M49" s="345">
        <v>2576571.9700000002</v>
      </c>
      <c r="N49" s="137">
        <f t="shared" si="4"/>
        <v>8.3008117590206182E-2</v>
      </c>
      <c r="O49" s="345">
        <v>2308669.88</v>
      </c>
      <c r="P49" s="138">
        <f t="shared" si="5"/>
        <v>7.138744217687075E-2</v>
      </c>
      <c r="Q49" s="991">
        <v>2007154.91</v>
      </c>
      <c r="R49" s="644">
        <f t="shared" si="6"/>
        <v>6.373943823436011E-2</v>
      </c>
      <c r="S49" s="643">
        <v>2107170.7859136686</v>
      </c>
      <c r="T49" s="644">
        <f t="shared" si="7"/>
        <v>5.9913869374855516E-2</v>
      </c>
      <c r="U49" s="785">
        <f>+Q49*1.02</f>
        <v>2047298.0082</v>
      </c>
      <c r="V49" s="782">
        <f t="shared" si="8"/>
        <v>5.8211487295990898E-2</v>
      </c>
      <c r="W49" s="783">
        <f t="shared" si="9"/>
        <v>-59872.777713668533</v>
      </c>
      <c r="X49" s="784">
        <f t="shared" si="9"/>
        <v>-1.7023820788646185E-3</v>
      </c>
      <c r="Y49" s="785">
        <f t="shared" si="21"/>
        <v>2098480.4584049997</v>
      </c>
      <c r="Z49" s="782">
        <f t="shared" si="10"/>
        <v>5.6184215753815256E-2</v>
      </c>
      <c r="AA49" s="785">
        <f t="shared" si="22"/>
        <v>2150942.4698651247</v>
      </c>
      <c r="AB49" s="782">
        <f t="shared" si="11"/>
        <v>5.4016636611379329E-2</v>
      </c>
      <c r="AC49" s="785">
        <f t="shared" si="23"/>
        <v>2215470.7439610786</v>
      </c>
      <c r="AD49" s="782">
        <f t="shared" si="0"/>
        <v>5.194538672827851E-2</v>
      </c>
      <c r="AE49" s="120"/>
      <c r="AF49" s="120"/>
      <c r="AG49" s="120"/>
      <c r="AH49" s="120"/>
      <c r="AI49" s="102"/>
      <c r="AJ49" s="102"/>
      <c r="AK49" s="102"/>
      <c r="AL49" s="102"/>
      <c r="AM49" s="103"/>
      <c r="AN49" s="37"/>
      <c r="AO49" s="37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DN49" s="8"/>
      <c r="DO49" s="8"/>
      <c r="DP49" s="9"/>
      <c r="DQ49" s="9"/>
      <c r="DR49" s="9"/>
      <c r="DS49" s="6"/>
    </row>
    <row r="50" spans="1:123" ht="15" customHeight="1">
      <c r="A50" s="110"/>
      <c r="B50" s="110"/>
      <c r="C50" s="110"/>
      <c r="D50" s="130" t="str">
        <f>IF(MasterSheet!$A$1=1,MasterSheet!C102,MasterSheet!B102)</f>
        <v>Ostali prihodi</v>
      </c>
      <c r="E50" s="345">
        <v>16388065.619999999</v>
      </c>
      <c r="F50" s="137">
        <f t="shared" si="12"/>
        <v>0.76262579086974736</v>
      </c>
      <c r="G50" s="345">
        <v>11476577.26</v>
      </c>
      <c r="H50" s="138">
        <f t="shared" si="1"/>
        <v>0.42815061592986386</v>
      </c>
      <c r="I50" s="345">
        <v>16875909.18</v>
      </c>
      <c r="J50" s="137">
        <f t="shared" si="2"/>
        <v>0.5469247206378014</v>
      </c>
      <c r="K50" s="345">
        <v>19155760.289999999</v>
      </c>
      <c r="L50" s="138">
        <f t="shared" si="3"/>
        <v>0.64259511204293862</v>
      </c>
      <c r="M50" s="345">
        <v>13868725.91</v>
      </c>
      <c r="N50" s="137">
        <f t="shared" si="4"/>
        <v>0.44680173679123708</v>
      </c>
      <c r="O50" s="345">
        <v>9906679.5199999996</v>
      </c>
      <c r="P50" s="138">
        <f t="shared" si="5"/>
        <v>0.30632898948670373</v>
      </c>
      <c r="Q50" s="991">
        <v>11584922.26</v>
      </c>
      <c r="R50" s="644">
        <f t="shared" si="6"/>
        <v>0.36789210098443953</v>
      </c>
      <c r="S50" s="643">
        <v>9984327.8573760279</v>
      </c>
      <c r="T50" s="644">
        <f t="shared" si="7"/>
        <v>0.28388762744884927</v>
      </c>
      <c r="U50" s="785">
        <f>+Q50*1.02</f>
        <v>11816620.7052</v>
      </c>
      <c r="V50" s="782">
        <f t="shared" si="8"/>
        <v>0.33598580338925221</v>
      </c>
      <c r="W50" s="783">
        <f t="shared" si="9"/>
        <v>1832292.8478239719</v>
      </c>
      <c r="X50" s="784">
        <f t="shared" si="9"/>
        <v>5.2098175940402947E-2</v>
      </c>
      <c r="Y50" s="785">
        <f t="shared" si="21"/>
        <v>12112036.222829999</v>
      </c>
      <c r="Z50" s="782">
        <f t="shared" si="10"/>
        <v>0.32428477169558229</v>
      </c>
      <c r="AA50" s="785">
        <f t="shared" si="22"/>
        <v>12414837.128400749</v>
      </c>
      <c r="AB50" s="782">
        <f t="shared" si="11"/>
        <v>0.31177391080865768</v>
      </c>
      <c r="AC50" s="785">
        <f t="shared" si="23"/>
        <v>12787282.242252771</v>
      </c>
      <c r="AD50" s="782">
        <f t="shared" si="0"/>
        <v>0.29981904436700518</v>
      </c>
      <c r="AE50" s="120"/>
      <c r="AF50" s="120"/>
      <c r="AG50" s="120"/>
      <c r="AH50" s="120"/>
      <c r="AI50" s="102"/>
      <c r="AJ50" s="102"/>
      <c r="AK50" s="102"/>
      <c r="AL50" s="102"/>
      <c r="AM50" s="103"/>
      <c r="AN50" s="104"/>
      <c r="AO50" s="33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DM50" s="102"/>
      <c r="DN50" s="102"/>
      <c r="DO50" s="10"/>
      <c r="DP50" s="9"/>
      <c r="DQ50" s="9"/>
      <c r="DR50" s="9"/>
      <c r="DS50" s="6"/>
    </row>
    <row r="51" spans="1:123" ht="26.25" thickBot="1">
      <c r="A51" s="110"/>
      <c r="B51" s="111"/>
      <c r="C51" s="110"/>
      <c r="D51" s="131" t="str">
        <f>IF(MasterSheet!$A$1=1,MasterSheet!C103,MasterSheet!B103)</f>
        <v>Primici od otplate kredita i sredstva prenijeta iz prethodne godine</v>
      </c>
      <c r="E51" s="344">
        <v>12337841.16</v>
      </c>
      <c r="F51" s="136">
        <f t="shared" si="12"/>
        <v>0.57414682674856898</v>
      </c>
      <c r="G51" s="344">
        <v>10241165.600000001</v>
      </c>
      <c r="H51" s="135">
        <f t="shared" si="1"/>
        <v>0.38206176459615748</v>
      </c>
      <c r="I51" s="344">
        <v>8998827.7799999993</v>
      </c>
      <c r="J51" s="136">
        <f t="shared" si="2"/>
        <v>0.29163947951775987</v>
      </c>
      <c r="K51" s="344">
        <v>54812548.920000002</v>
      </c>
      <c r="L51" s="135">
        <f t="shared" si="3"/>
        <v>1.83873025561892</v>
      </c>
      <c r="M51" s="344">
        <v>4969313.91</v>
      </c>
      <c r="N51" s="136">
        <f t="shared" si="4"/>
        <v>0.16009387596649485</v>
      </c>
      <c r="O51" s="344">
        <v>5006443.9800000004</v>
      </c>
      <c r="P51" s="135">
        <f t="shared" si="5"/>
        <v>0.15480655473098331</v>
      </c>
      <c r="Q51" s="990">
        <v>5498802.5</v>
      </c>
      <c r="R51" s="646">
        <f t="shared" si="6"/>
        <v>0.17462059383931408</v>
      </c>
      <c r="S51" s="643">
        <v>4809060.008142584</v>
      </c>
      <c r="T51" s="646">
        <f t="shared" si="7"/>
        <v>0.13673756065233392</v>
      </c>
      <c r="U51" s="785">
        <f>+Q51*1.035</f>
        <v>5691260.5874999994</v>
      </c>
      <c r="V51" s="779">
        <f t="shared" si="8"/>
        <v>0.16182145543076484</v>
      </c>
      <c r="W51" s="783">
        <f t="shared" si="9"/>
        <v>882200.57935741544</v>
      </c>
      <c r="X51" s="784">
        <f t="shared" si="9"/>
        <v>2.5083894778430926E-2</v>
      </c>
      <c r="Y51" s="785">
        <f t="shared" si="21"/>
        <v>5833542.1021874985</v>
      </c>
      <c r="Z51" s="779">
        <f t="shared" si="10"/>
        <v>0.15618586618975899</v>
      </c>
      <c r="AA51" s="785">
        <f t="shared" si="22"/>
        <v>5979380.654742185</v>
      </c>
      <c r="AB51" s="779">
        <f t="shared" si="11"/>
        <v>0.15016023743702123</v>
      </c>
      <c r="AC51" s="785">
        <f>+AA51*1.03</f>
        <v>6158762.0743844509</v>
      </c>
      <c r="AD51" s="779">
        <f t="shared" si="0"/>
        <v>0.14440239330326968</v>
      </c>
      <c r="AE51" s="120"/>
      <c r="AF51" s="120"/>
      <c r="AG51" s="120"/>
      <c r="AH51" s="120"/>
      <c r="AI51" s="102"/>
      <c r="AJ51" s="102"/>
      <c r="AK51" s="102"/>
      <c r="AL51" s="102"/>
      <c r="AM51" s="103"/>
      <c r="AN51" s="104"/>
      <c r="AO51" s="33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DM51" s="102"/>
      <c r="DN51" s="102"/>
      <c r="DO51" s="10"/>
      <c r="DP51" s="9"/>
      <c r="DQ51" s="9"/>
      <c r="DR51" s="9"/>
      <c r="DS51" s="6"/>
    </row>
    <row r="52" spans="1:123" ht="15" customHeight="1" thickTop="1" thickBot="1">
      <c r="A52" s="110"/>
      <c r="B52" s="110"/>
      <c r="C52" s="110"/>
      <c r="D52" s="165" t="str">
        <f>IF(MasterSheet!$A$1=1,MasterSheet!C104,MasterSheet!B104)</f>
        <v>Izdaci</v>
      </c>
      <c r="E52" s="343">
        <f>E54+E69+E75+E81+E82+E83+E84</f>
        <v>788059673.71999991</v>
      </c>
      <c r="F52" s="166">
        <f t="shared" si="12"/>
        <v>36.67270108985992</v>
      </c>
      <c r="G52" s="343">
        <f>G54+G69+G75+G81+G82+G83+G84</f>
        <v>951337553.28000009</v>
      </c>
      <c r="H52" s="167">
        <f t="shared" si="1"/>
        <v>35.491048434247347</v>
      </c>
      <c r="I52" s="343">
        <f>I54+I69+I75+I81+I82+I83+I84</f>
        <v>1272030297.74</v>
      </c>
      <c r="J52" s="166">
        <f t="shared" si="2"/>
        <v>41.224730935312422</v>
      </c>
      <c r="K52" s="343">
        <f>K54+K69+K75+K81+K82+K83+K84+K85</f>
        <v>1301362942.5444999</v>
      </c>
      <c r="L52" s="167">
        <f t="shared" si="3"/>
        <v>43.65524798874538</v>
      </c>
      <c r="M52" s="343">
        <f>M54+M69+M75+M81+M82+M83+M84+M85</f>
        <v>1252601635.3800001</v>
      </c>
      <c r="N52" s="166">
        <f>M52/$M$15*100</f>
        <v>40.354434129510317</v>
      </c>
      <c r="O52" s="343">
        <f>O54+O69+O75+O81+O82+O83+O84+O85</f>
        <v>1318816401.5000002</v>
      </c>
      <c r="P52" s="167">
        <f t="shared" si="5"/>
        <v>40.779727937538659</v>
      </c>
      <c r="Q52" s="992">
        <f>Q54+Q69+Q75+Q81+Q82+Q83+Q84+Q85</f>
        <v>1316574562.0600004</v>
      </c>
      <c r="R52" s="648">
        <f t="shared" si="6"/>
        <v>41.809290633852029</v>
      </c>
      <c r="S52" s="343">
        <f>S54+S69+S75+S81+S82+S83+S84+S85</f>
        <v>1257116536.9899998</v>
      </c>
      <c r="T52" s="648">
        <f t="shared" si="7"/>
        <v>35.744001620415119</v>
      </c>
      <c r="U52" s="789">
        <f>U54+U69+U75+U81+U82+U83+U84+U85</f>
        <v>1263616536.9899998</v>
      </c>
      <c r="V52" s="775">
        <f t="shared" si="8"/>
        <v>35.928818225476249</v>
      </c>
      <c r="W52" s="790">
        <f>+U52-S52</f>
        <v>6500000</v>
      </c>
      <c r="X52" s="791">
        <f t="shared" ref="X52:X98" si="24">+V52-T52</f>
        <v>0.18481660506112974</v>
      </c>
      <c r="Y52" s="789">
        <f>Y54+Y69+Y75+Y81+Y82+Y83+Y84+Y85</f>
        <v>1250817293.0217979</v>
      </c>
      <c r="Z52" s="775">
        <f t="shared" si="10"/>
        <v>33.489084150516682</v>
      </c>
      <c r="AA52" s="789">
        <f>AA54+AA69+AA75+AA81+AA82+AA83+AA84+AA85</f>
        <v>1276743343.6521239</v>
      </c>
      <c r="AB52" s="775">
        <f t="shared" si="11"/>
        <v>32.062866490510395</v>
      </c>
      <c r="AC52" s="789">
        <f>AC54+AC69+AC75+AC81+AC82+AC83+AC84+AC85</f>
        <v>1316156661.5439703</v>
      </c>
      <c r="AD52" s="775">
        <f t="shared" si="0"/>
        <v>30.859476237842209</v>
      </c>
      <c r="AE52" s="110"/>
      <c r="AF52" s="110"/>
      <c r="AG52" s="110"/>
      <c r="AH52" s="110"/>
      <c r="AM52" s="96"/>
      <c r="AN52" s="37"/>
      <c r="AO52" s="37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DN52" s="8"/>
      <c r="DO52" s="8"/>
      <c r="DP52" s="9"/>
      <c r="DQ52" s="9"/>
      <c r="DR52" s="9"/>
      <c r="DS52" s="6"/>
    </row>
    <row r="53" spans="1:123" ht="13.5" customHeight="1" thickTop="1" thickBot="1">
      <c r="A53" s="110"/>
      <c r="B53" s="110"/>
      <c r="C53" s="110"/>
      <c r="D53" s="165" t="str">
        <f>IF(MasterSheet!$A$1=1,MasterSheet!C105,MasterSheet!B105)</f>
        <v>Tekuća budžetska potrošnja</v>
      </c>
      <c r="E53" s="343">
        <f>E52-E68-E81</f>
        <v>747917838.57999992</v>
      </c>
      <c r="F53" s="166">
        <f t="shared" si="12"/>
        <v>34.804683260272697</v>
      </c>
      <c r="G53" s="343">
        <f>G52-G68-G81</f>
        <v>868878314.29000008</v>
      </c>
      <c r="H53" s="167">
        <f t="shared" si="1"/>
        <v>32.414785088229806</v>
      </c>
      <c r="I53" s="343">
        <f>I52-I68-I81</f>
        <v>1123493415.3699999</v>
      </c>
      <c r="J53" s="166">
        <f t="shared" si="2"/>
        <v>36.410857381708581</v>
      </c>
      <c r="K53" s="343">
        <f>K52-K68-K81</f>
        <v>1162486791.9844997</v>
      </c>
      <c r="L53" s="167">
        <f t="shared" si="3"/>
        <v>38.996537805585362</v>
      </c>
      <c r="M53" s="343">
        <f>M52-M68-M81</f>
        <v>1169979386.6200001</v>
      </c>
      <c r="N53" s="166">
        <f t="shared" si="4"/>
        <v>37.692634878221654</v>
      </c>
      <c r="O53" s="343">
        <f>O52-O68-O81</f>
        <v>1234690221.24</v>
      </c>
      <c r="P53" s="167">
        <f t="shared" si="5"/>
        <v>38.178423662337664</v>
      </c>
      <c r="Q53" s="992">
        <f>Q52-Q68-Q81</f>
        <v>1244445549.0000002</v>
      </c>
      <c r="R53" s="648">
        <f t="shared" si="6"/>
        <v>39.518753540806614</v>
      </c>
      <c r="S53" s="343">
        <f>S52-S68-S81</f>
        <v>1182157389.1399999</v>
      </c>
      <c r="T53" s="648">
        <f t="shared" si="7"/>
        <v>33.612663893659366</v>
      </c>
      <c r="U53" s="789">
        <f>U52-U68-U81</f>
        <v>1182857389.1399999</v>
      </c>
      <c r="V53" s="775">
        <f t="shared" si="8"/>
        <v>33.632567220358254</v>
      </c>
      <c r="W53" s="790">
        <f>+U53-S53</f>
        <v>700000</v>
      </c>
      <c r="X53" s="791">
        <f t="shared" si="24"/>
        <v>1.9903326698887724E-2</v>
      </c>
      <c r="Y53" s="789">
        <f>Y52-Y68-Y81</f>
        <v>1174964022.214298</v>
      </c>
      <c r="Z53" s="775">
        <f t="shared" si="10"/>
        <v>31.458206752725516</v>
      </c>
      <c r="AA53" s="789">
        <f>AA52-AA68-AA81</f>
        <v>1197202736.384999</v>
      </c>
      <c r="AB53" s="775">
        <f t="shared" si="11"/>
        <v>30.065362541059741</v>
      </c>
      <c r="AC53" s="789">
        <f>AC52-AC68-AC81</f>
        <v>1234776751.2405097</v>
      </c>
      <c r="AD53" s="775">
        <f t="shared" si="0"/>
        <v>28.951389243622739</v>
      </c>
      <c r="AE53" s="120"/>
      <c r="AF53" s="120"/>
      <c r="AG53" s="120"/>
      <c r="AH53" s="120"/>
      <c r="AI53" s="102"/>
      <c r="AJ53" s="102"/>
      <c r="AK53" s="102"/>
      <c r="AL53" s="102"/>
      <c r="AM53" s="103"/>
      <c r="AN53" s="35"/>
      <c r="AO53" s="35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DN53" s="11"/>
      <c r="DO53" s="11"/>
      <c r="DP53" s="9"/>
      <c r="DQ53" s="9"/>
      <c r="DR53" s="9"/>
      <c r="DS53" s="6"/>
    </row>
    <row r="54" spans="1:123" ht="15" customHeight="1" thickTop="1">
      <c r="A54" s="110"/>
      <c r="B54" s="110"/>
      <c r="C54" s="110"/>
      <c r="D54" s="129" t="str">
        <f>IF(MasterSheet!$A$1=1,MasterSheet!C106,MasterSheet!B106)</f>
        <v>Tekući izdaci</v>
      </c>
      <c r="E54" s="344">
        <f>E55+SUM(E61:E68)</f>
        <v>436259421.93999994</v>
      </c>
      <c r="F54" s="136">
        <f t="shared" si="12"/>
        <v>20.301522729768717</v>
      </c>
      <c r="G54" s="344">
        <f>G55+SUM(G61:G68)</f>
        <v>494161800.55000007</v>
      </c>
      <c r="H54" s="135">
        <f t="shared" si="1"/>
        <v>18.435433708263385</v>
      </c>
      <c r="I54" s="344">
        <f>I55+SUM(I61:I68)</f>
        <v>563429464.72000003</v>
      </c>
      <c r="J54" s="136">
        <f t="shared" si="2"/>
        <v>18.259964503500132</v>
      </c>
      <c r="K54" s="344">
        <f>K55+SUM(K61:K68)</f>
        <v>512411835.38449979</v>
      </c>
      <c r="L54" s="135">
        <f t="shared" si="3"/>
        <v>17.189259825041926</v>
      </c>
      <c r="M54" s="344">
        <f>M55+SUM(M61:M68)</f>
        <v>545097642.15999997</v>
      </c>
      <c r="N54" s="136">
        <f t="shared" si="4"/>
        <v>17.561135378865977</v>
      </c>
      <c r="O54" s="344">
        <f>O55+SUM(O61:O68)</f>
        <v>632034765.5200001</v>
      </c>
      <c r="P54" s="135">
        <f t="shared" si="5"/>
        <v>19.54343740012369</v>
      </c>
      <c r="Q54" s="993">
        <f>Q55+SUM(Q61:Q68)</f>
        <v>667002984.10000014</v>
      </c>
      <c r="R54" s="646">
        <f t="shared" si="6"/>
        <v>21.181422168942525</v>
      </c>
      <c r="S54" s="344">
        <f>S55+SUM(S61:S68)</f>
        <v>592648042.07999992</v>
      </c>
      <c r="T54" s="646">
        <f t="shared" si="7"/>
        <v>16.850953712823426</v>
      </c>
      <c r="U54" s="792">
        <f>U55+SUM(U61:U68)</f>
        <v>601448042.07999992</v>
      </c>
      <c r="V54" s="779">
        <f t="shared" si="8"/>
        <v>17.101166962752341</v>
      </c>
      <c r="W54" s="793">
        <f>+U54-S54</f>
        <v>8800000</v>
      </c>
      <c r="X54" s="794">
        <f t="shared" si="24"/>
        <v>0.25021324992891536</v>
      </c>
      <c r="Y54" s="792">
        <f>Y55+SUM(Y61:Y68)</f>
        <v>645032995.11679792</v>
      </c>
      <c r="Z54" s="779">
        <f t="shared" si="10"/>
        <v>17.26995970861574</v>
      </c>
      <c r="AA54" s="792">
        <f>AA55+SUM(AA61:AA68)</f>
        <v>649827935.02331388</v>
      </c>
      <c r="AB54" s="779">
        <f t="shared" si="11"/>
        <v>16.319134480746207</v>
      </c>
      <c r="AC54" s="792">
        <f>AC55+SUM(AC61:AC68)</f>
        <v>669693344.12746859</v>
      </c>
      <c r="AD54" s="779">
        <f t="shared" si="0"/>
        <v>15.702071374618253</v>
      </c>
      <c r="AE54" s="120"/>
      <c r="AF54" s="120"/>
      <c r="AG54" s="120"/>
      <c r="AH54" s="120"/>
      <c r="AI54" s="102"/>
      <c r="AJ54" s="102"/>
      <c r="AK54" s="102"/>
      <c r="AL54" s="102"/>
      <c r="AM54" s="103"/>
      <c r="AN54" s="34"/>
      <c r="AO54" s="34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</row>
    <row r="55" spans="1:123" ht="15" customHeight="1">
      <c r="A55" s="110"/>
      <c r="B55" s="110"/>
      <c r="C55" s="110"/>
      <c r="D55" s="129" t="str">
        <f>IF(MasterSheet!$A$1=1,MasterSheet!C107,MasterSheet!B107)</f>
        <v>Bruto zarade i doprinosi na teret poslodavca</v>
      </c>
      <c r="E55" s="344">
        <f>SUM(E56:E60)</f>
        <v>211619268.66999999</v>
      </c>
      <c r="F55" s="136">
        <f t="shared" si="12"/>
        <v>9.8477950891153601</v>
      </c>
      <c r="G55" s="344">
        <f>SUM(G56:G60)</f>
        <v>256098289.82000002</v>
      </c>
      <c r="H55" s="135">
        <f t="shared" si="1"/>
        <v>9.5541238507741095</v>
      </c>
      <c r="I55" s="344">
        <f>SUM(I56:I60)</f>
        <v>274699863.13999999</v>
      </c>
      <c r="J55" s="136">
        <f t="shared" si="2"/>
        <v>8.9026401069484056</v>
      </c>
      <c r="K55" s="344">
        <f>SUM(K56:K60)</f>
        <v>259160937.78449979</v>
      </c>
      <c r="L55" s="135">
        <f t="shared" si="3"/>
        <v>8.6937583959912725</v>
      </c>
      <c r="M55" s="344">
        <f>SUM(M56:M60)</f>
        <v>283662646.70999998</v>
      </c>
      <c r="N55" s="136">
        <f t="shared" si="4"/>
        <v>9.138616195554123</v>
      </c>
      <c r="O55" s="344">
        <f>SUM(O56:O60)</f>
        <v>371258246.90999997</v>
      </c>
      <c r="P55" s="135">
        <f t="shared" si="5"/>
        <v>11.479846843228199</v>
      </c>
      <c r="Q55" s="990">
        <f>SUM(Q56:Q60)</f>
        <v>374653307.63</v>
      </c>
      <c r="R55" s="646">
        <f t="shared" si="6"/>
        <v>11.897532792315021</v>
      </c>
      <c r="S55" s="645">
        <f>SUM(S56:S60)</f>
        <v>372128611.75</v>
      </c>
      <c r="T55" s="646">
        <f t="shared" si="7"/>
        <v>10.580853333807221</v>
      </c>
      <c r="U55" s="778">
        <f>SUM(U56:U60)</f>
        <v>372128611.75</v>
      </c>
      <c r="V55" s="779">
        <f t="shared" si="8"/>
        <v>10.580853333807221</v>
      </c>
      <c r="W55" s="793"/>
      <c r="X55" s="781">
        <f t="shared" si="24"/>
        <v>0</v>
      </c>
      <c r="Y55" s="788">
        <f>SUM(Y56:Y60)</f>
        <v>369999999.99999994</v>
      </c>
      <c r="Z55" s="779">
        <f t="shared" si="10"/>
        <v>9.9062918340026762</v>
      </c>
      <c r="AA55" s="788">
        <f>SUM(AA56:AA60)</f>
        <v>369999999.99999994</v>
      </c>
      <c r="AB55" s="779">
        <f t="shared" si="11"/>
        <v>9.2918131592164723</v>
      </c>
      <c r="AC55" s="788">
        <f>SUM(AC56:AC60)</f>
        <v>369999999.99999994</v>
      </c>
      <c r="AD55" s="779">
        <f t="shared" si="0"/>
        <v>8.6752637749120733</v>
      </c>
      <c r="AE55" s="120"/>
      <c r="AF55" s="120"/>
      <c r="AG55" s="120"/>
      <c r="AH55" s="120"/>
      <c r="AI55" s="102"/>
      <c r="AJ55" s="102"/>
      <c r="AK55" s="102"/>
      <c r="AL55" s="102"/>
      <c r="AM55" s="103"/>
      <c r="AN55" s="34"/>
      <c r="AO55" s="34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DQ55" s="12"/>
    </row>
    <row r="56" spans="1:123" ht="15" customHeight="1">
      <c r="A56" s="110"/>
      <c r="B56" s="110"/>
      <c r="C56" s="110"/>
      <c r="D56" s="130" t="str">
        <f>IF(MasterSheet!$A$1=1,MasterSheet!C108,MasterSheet!B108)</f>
        <v>Neto zarade</v>
      </c>
      <c r="E56" s="345">
        <v>122073803.08999999</v>
      </c>
      <c r="F56" s="137">
        <f t="shared" si="12"/>
        <v>5.6807577407045455</v>
      </c>
      <c r="G56" s="345">
        <v>147753470.87000003</v>
      </c>
      <c r="H56" s="138">
        <f t="shared" si="1"/>
        <v>5.5121608233538533</v>
      </c>
      <c r="I56" s="345">
        <v>158140128.56</v>
      </c>
      <c r="J56" s="137">
        <f t="shared" si="2"/>
        <v>5.1251013922737876</v>
      </c>
      <c r="K56" s="345">
        <v>149173408.38193399</v>
      </c>
      <c r="L56" s="138">
        <f t="shared" si="3"/>
        <v>5.004139831665011</v>
      </c>
      <c r="M56" s="345">
        <v>165721016.36000001</v>
      </c>
      <c r="N56" s="137">
        <f t="shared" si="4"/>
        <v>5.3389502693298976</v>
      </c>
      <c r="O56" s="345">
        <v>220303195.69999999</v>
      </c>
      <c r="P56" s="138">
        <f t="shared" si="5"/>
        <v>6.8120963419913414</v>
      </c>
      <c r="Q56" s="991">
        <v>223106865.93000001</v>
      </c>
      <c r="R56" s="644">
        <f t="shared" si="6"/>
        <v>7.0850068570974907</v>
      </c>
      <c r="S56" s="643">
        <v>221498560.84</v>
      </c>
      <c r="T56" s="644">
        <f t="shared" si="7"/>
        <v>6.2979403139038954</v>
      </c>
      <c r="U56" s="785">
        <v>221498560.84</v>
      </c>
      <c r="V56" s="782">
        <f t="shared" si="8"/>
        <v>6.2979403139038954</v>
      </c>
      <c r="W56" s="793"/>
      <c r="X56" s="784">
        <f t="shared" si="24"/>
        <v>0</v>
      </c>
      <c r="Y56" s="785">
        <v>220968506.88624737</v>
      </c>
      <c r="Z56" s="782">
        <f t="shared" si="10"/>
        <v>5.9161581495648559</v>
      </c>
      <c r="AA56" s="785">
        <v>220968506.88624737</v>
      </c>
      <c r="AB56" s="782">
        <f t="shared" si="11"/>
        <v>5.54918400015689</v>
      </c>
      <c r="AC56" s="785">
        <v>220968506.88624737</v>
      </c>
      <c r="AD56" s="782">
        <f t="shared" si="0"/>
        <v>5.1809731978018139</v>
      </c>
      <c r="AE56" s="120"/>
      <c r="AF56" s="120"/>
      <c r="AG56" s="120"/>
      <c r="AH56" s="120"/>
      <c r="AI56" s="102"/>
      <c r="AJ56" s="102"/>
      <c r="AK56" s="102"/>
      <c r="AL56" s="102"/>
      <c r="AM56" s="103"/>
      <c r="AN56" s="34"/>
      <c r="AO56" s="34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</row>
    <row r="57" spans="1:123" ht="15" customHeight="1">
      <c r="A57" s="110"/>
      <c r="B57" s="110"/>
      <c r="C57" s="110"/>
      <c r="D57" s="130" t="str">
        <f>IF(MasterSheet!$A$1=1,MasterSheet!C109,MasterSheet!B109)</f>
        <v>Porez na zarade</v>
      </c>
      <c r="E57" s="345">
        <v>24568593.439999998</v>
      </c>
      <c r="F57" s="137">
        <f t="shared" si="12"/>
        <v>1.1433102256968681</v>
      </c>
      <c r="G57" s="345">
        <v>26916847.73</v>
      </c>
      <c r="H57" s="138">
        <f t="shared" si="1"/>
        <v>1.0041726442827832</v>
      </c>
      <c r="I57" s="345">
        <v>29446439.690000001</v>
      </c>
      <c r="J57" s="137">
        <f t="shared" si="2"/>
        <v>0.95431811284677226</v>
      </c>
      <c r="K57" s="345">
        <v>27786106.092939563</v>
      </c>
      <c r="L57" s="138">
        <f t="shared" si="3"/>
        <v>0.93210688000468167</v>
      </c>
      <c r="M57" s="345">
        <v>22646761.260000002</v>
      </c>
      <c r="N57" s="137">
        <f t="shared" si="4"/>
        <v>0.72959926739690728</v>
      </c>
      <c r="O57" s="345">
        <v>29343979.530000001</v>
      </c>
      <c r="P57" s="138">
        <f t="shared" si="5"/>
        <v>0.90735867439703155</v>
      </c>
      <c r="Q57" s="991">
        <v>29398079.799999997</v>
      </c>
      <c r="R57" s="644">
        <f t="shared" si="6"/>
        <v>0.93356874563353431</v>
      </c>
      <c r="S57" s="643">
        <v>29925458.93</v>
      </c>
      <c r="T57" s="644">
        <f t="shared" si="7"/>
        <v>0.85088026528291161</v>
      </c>
      <c r="U57" s="785">
        <v>29925458.93</v>
      </c>
      <c r="V57" s="782">
        <f t="shared" si="8"/>
        <v>0.85088026528291161</v>
      </c>
      <c r="W57" s="793"/>
      <c r="X57" s="784">
        <f t="shared" si="24"/>
        <v>0</v>
      </c>
      <c r="Y57" s="785">
        <v>29761173.546343092</v>
      </c>
      <c r="Z57" s="782">
        <f t="shared" si="10"/>
        <v>0.79681856884452718</v>
      </c>
      <c r="AA57" s="785">
        <v>29761173.546343092</v>
      </c>
      <c r="AB57" s="782">
        <f t="shared" si="11"/>
        <v>0.74739260538279995</v>
      </c>
      <c r="AC57" s="785">
        <v>29761173.546343092</v>
      </c>
      <c r="AD57" s="782">
        <f t="shared" si="0"/>
        <v>0.69780008314989672</v>
      </c>
      <c r="AE57" s="120"/>
      <c r="AF57" s="120"/>
      <c r="AG57" s="120"/>
      <c r="AH57" s="120"/>
      <c r="AI57" s="102"/>
      <c r="AJ57" s="102"/>
      <c r="AK57" s="102"/>
      <c r="AL57" s="102"/>
      <c r="AM57" s="103"/>
      <c r="AN57" s="34"/>
      <c r="AO57" s="34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</row>
    <row r="58" spans="1:123" ht="15" customHeight="1">
      <c r="A58" s="110"/>
      <c r="B58" s="110"/>
      <c r="C58" s="110"/>
      <c r="D58" s="130" t="str">
        <f>IF(MasterSheet!$A$1=1,MasterSheet!C110,MasterSheet!B110)</f>
        <v>Doprinosi na teret zaposlenog</v>
      </c>
      <c r="E58" s="345">
        <v>31579861.260000002</v>
      </c>
      <c r="F58" s="137">
        <f t="shared" si="12"/>
        <v>1.4695826357671367</v>
      </c>
      <c r="G58" s="345">
        <v>40145380.400000006</v>
      </c>
      <c r="H58" s="138">
        <f t="shared" si="1"/>
        <v>1.4976825368401419</v>
      </c>
      <c r="I58" s="345">
        <v>42046795.229999997</v>
      </c>
      <c r="J58" s="137">
        <f t="shared" si="2"/>
        <v>1.3626780927534352</v>
      </c>
      <c r="K58" s="345">
        <v>39675992.256736048</v>
      </c>
      <c r="L58" s="138">
        <f t="shared" si="3"/>
        <v>1.33096250441919</v>
      </c>
      <c r="M58" s="345">
        <v>59935832.810000002</v>
      </c>
      <c r="N58" s="137">
        <f t="shared" si="4"/>
        <v>1.9309224487757732</v>
      </c>
      <c r="O58" s="345">
        <v>76702574.069999993</v>
      </c>
      <c r="P58" s="138">
        <f t="shared" si="5"/>
        <v>2.3717555371057513</v>
      </c>
      <c r="Q58" s="991">
        <v>77127985.669999987</v>
      </c>
      <c r="R58" s="644">
        <f t="shared" si="6"/>
        <v>2.4492850323912347</v>
      </c>
      <c r="S58" s="643">
        <v>75998502.739999995</v>
      </c>
      <c r="T58" s="644">
        <f t="shared" si="7"/>
        <v>2.1608900409439862</v>
      </c>
      <c r="U58" s="785">
        <v>75998502.739999995</v>
      </c>
      <c r="V58" s="782">
        <f t="shared" si="8"/>
        <v>2.1608900409439862</v>
      </c>
      <c r="W58" s="793"/>
      <c r="X58" s="784">
        <f t="shared" si="24"/>
        <v>0</v>
      </c>
      <c r="Y58" s="785">
        <v>75221328.560673699</v>
      </c>
      <c r="Z58" s="782">
        <f t="shared" si="10"/>
        <v>2.0139579266579304</v>
      </c>
      <c r="AA58" s="785">
        <v>75221328.560673699</v>
      </c>
      <c r="AB58" s="782">
        <f t="shared" si="11"/>
        <v>1.8890338664157131</v>
      </c>
      <c r="AC58" s="785">
        <v>75221328.560673699</v>
      </c>
      <c r="AD58" s="782">
        <f t="shared" si="0"/>
        <v>1.7636888290896529</v>
      </c>
      <c r="AE58" s="120"/>
      <c r="AF58" s="120"/>
      <c r="AG58" s="120"/>
      <c r="AH58" s="120"/>
      <c r="AI58" s="102"/>
      <c r="AJ58" s="102"/>
      <c r="AK58" s="102"/>
      <c r="AL58" s="102"/>
      <c r="AM58" s="103"/>
      <c r="AN58" s="34"/>
      <c r="AO58" s="34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</row>
    <row r="59" spans="1:123" ht="15" customHeight="1">
      <c r="A59" s="110"/>
      <c r="B59" s="110"/>
      <c r="C59" s="110"/>
      <c r="D59" s="130" t="str">
        <f>IF(MasterSheet!$A$1=1,MasterSheet!C111,MasterSheet!B111)</f>
        <v>Doprinosi na teret poslodavca</v>
      </c>
      <c r="E59" s="345">
        <v>29479999.799999997</v>
      </c>
      <c r="F59" s="137">
        <f t="shared" si="12"/>
        <v>1.3718646656428868</v>
      </c>
      <c r="G59" s="345">
        <v>37349335.560000002</v>
      </c>
      <c r="H59" s="138">
        <f t="shared" si="1"/>
        <v>1.3933719664241748</v>
      </c>
      <c r="I59" s="345">
        <v>40930764.380000003</v>
      </c>
      <c r="J59" s="137">
        <f t="shared" si="2"/>
        <v>1.3265090867254343</v>
      </c>
      <c r="K59" s="345">
        <v>38622888.658217676</v>
      </c>
      <c r="L59" s="138">
        <f t="shared" si="3"/>
        <v>1.2956353122515154</v>
      </c>
      <c r="M59" s="345">
        <v>32139632.719999999</v>
      </c>
      <c r="N59" s="137">
        <f t="shared" si="4"/>
        <v>1.0354263118556699</v>
      </c>
      <c r="O59" s="345">
        <v>40786208.719999999</v>
      </c>
      <c r="P59" s="138">
        <f t="shared" si="5"/>
        <v>1.2611691008039578</v>
      </c>
      <c r="Q59" s="991">
        <v>40846412.990000002</v>
      </c>
      <c r="R59" s="644">
        <f t="shared" si="6"/>
        <v>1.2971233086694189</v>
      </c>
      <c r="S59" s="643">
        <v>40399381.549999997</v>
      </c>
      <c r="T59" s="644">
        <f t="shared" si="7"/>
        <v>1.1486886991754335</v>
      </c>
      <c r="U59" s="785">
        <v>40399381.549999997</v>
      </c>
      <c r="V59" s="782">
        <f t="shared" si="8"/>
        <v>1.1486886991754335</v>
      </c>
      <c r="W59" s="793"/>
      <c r="X59" s="784">
        <f t="shared" si="24"/>
        <v>0</v>
      </c>
      <c r="Y59" s="785">
        <v>39716919.4640503</v>
      </c>
      <c r="Z59" s="782">
        <f t="shared" si="10"/>
        <v>1.0633713377255769</v>
      </c>
      <c r="AA59" s="785">
        <v>39716919.4640503</v>
      </c>
      <c r="AB59" s="782">
        <f t="shared" si="11"/>
        <v>0.99741133762055001</v>
      </c>
      <c r="AC59" s="785">
        <v>39716919.4640503</v>
      </c>
      <c r="AD59" s="782">
        <f t="shared" si="0"/>
        <v>0.93122906129074567</v>
      </c>
      <c r="AE59" s="120"/>
      <c r="AF59" s="120"/>
      <c r="AG59" s="120"/>
      <c r="AH59" s="120"/>
      <c r="AI59" s="102"/>
      <c r="AJ59" s="102"/>
      <c r="AK59" s="102"/>
      <c r="AL59" s="102"/>
      <c r="AM59" s="103"/>
      <c r="AN59" s="35"/>
      <c r="AO59" s="35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</row>
    <row r="60" spans="1:123" ht="15" customHeight="1">
      <c r="A60" s="110"/>
      <c r="B60" s="110"/>
      <c r="C60" s="110"/>
      <c r="D60" s="130" t="str">
        <f>IF(MasterSheet!$A$1=1,MasterSheet!C112,MasterSheet!B112)</f>
        <v>Prirez na porez na dohodak</v>
      </c>
      <c r="E60" s="345">
        <v>3917011.08</v>
      </c>
      <c r="F60" s="137">
        <f t="shared" si="12"/>
        <v>0.18227982130392292</v>
      </c>
      <c r="G60" s="345">
        <v>3933255.26</v>
      </c>
      <c r="H60" s="138">
        <f t="shared" si="1"/>
        <v>0.14673587987315798</v>
      </c>
      <c r="I60" s="345">
        <v>4135735.28</v>
      </c>
      <c r="J60" s="137">
        <f t="shared" si="2"/>
        <v>0.13403342234897589</v>
      </c>
      <c r="K60" s="345">
        <v>3902542.3946725391</v>
      </c>
      <c r="L60" s="138">
        <f t="shared" si="3"/>
        <v>0.13091386765087348</v>
      </c>
      <c r="M60" s="345">
        <v>3219403.56</v>
      </c>
      <c r="N60" s="137">
        <f t="shared" si="4"/>
        <v>0.10371789819587629</v>
      </c>
      <c r="O60" s="345">
        <v>4122288.89</v>
      </c>
      <c r="P60" s="138">
        <f t="shared" si="5"/>
        <v>0.12746718893011749</v>
      </c>
      <c r="Q60" s="991">
        <v>4173963.2399999998</v>
      </c>
      <c r="R60" s="644">
        <f t="shared" si="6"/>
        <v>0.13254884852334073</v>
      </c>
      <c r="S60" s="643">
        <v>4306707.6900000004</v>
      </c>
      <c r="T60" s="644">
        <f t="shared" si="7"/>
        <v>0.12245401450099519</v>
      </c>
      <c r="U60" s="785">
        <v>4306707.6900000004</v>
      </c>
      <c r="V60" s="782">
        <f t="shared" si="8"/>
        <v>0.12245401450099519</v>
      </c>
      <c r="W60" s="793"/>
      <c r="X60" s="784">
        <f t="shared" si="24"/>
        <v>0</v>
      </c>
      <c r="Y60" s="785">
        <v>4332071.5426855208</v>
      </c>
      <c r="Z60" s="782">
        <f t="shared" si="10"/>
        <v>0.11598585120978636</v>
      </c>
      <c r="AA60" s="785">
        <v>4332071.5426855208</v>
      </c>
      <c r="AB60" s="782">
        <f t="shared" si="11"/>
        <v>0.10879134964052037</v>
      </c>
      <c r="AC60" s="785">
        <v>4332071.5426855208</v>
      </c>
      <c r="AD60" s="782">
        <f t="shared" si="0"/>
        <v>0.10157260357996532</v>
      </c>
      <c r="AE60" s="120"/>
      <c r="AF60" s="120"/>
      <c r="AG60" s="120"/>
      <c r="AH60" s="120"/>
      <c r="AI60" s="102"/>
      <c r="AJ60" s="102"/>
      <c r="AK60" s="102"/>
      <c r="AL60" s="102"/>
      <c r="AM60" s="103"/>
      <c r="AN60" s="35"/>
      <c r="AO60" s="35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</row>
    <row r="61" spans="1:123" ht="15" customHeight="1">
      <c r="A61" s="110"/>
      <c r="B61" s="110"/>
      <c r="C61" s="110"/>
      <c r="D61" s="129" t="str">
        <f>IF(MasterSheet!$A$1=1,MasterSheet!C113,MasterSheet!B113)</f>
        <v>Ostala lična primanja</v>
      </c>
      <c r="E61" s="344">
        <v>15461447.869999999</v>
      </c>
      <c r="F61" s="136">
        <f t="shared" si="12"/>
        <v>0.71950522918702586</v>
      </c>
      <c r="G61" s="344">
        <v>27511729.489999998</v>
      </c>
      <c r="H61" s="135">
        <f t="shared" si="1"/>
        <v>1.0263655844058945</v>
      </c>
      <c r="I61" s="344">
        <v>21753186.010000002</v>
      </c>
      <c r="J61" s="136">
        <f t="shared" si="2"/>
        <v>0.7049904721934146</v>
      </c>
      <c r="K61" s="344">
        <v>21646046.59</v>
      </c>
      <c r="L61" s="135">
        <f t="shared" si="3"/>
        <v>0.72613373331096953</v>
      </c>
      <c r="M61" s="344">
        <v>18835767.040000003</v>
      </c>
      <c r="N61" s="136">
        <f t="shared" si="4"/>
        <v>0.60682239175257746</v>
      </c>
      <c r="O61" s="344">
        <v>12829673.57</v>
      </c>
      <c r="P61" s="135">
        <f t="shared" si="5"/>
        <v>0.39671223160173164</v>
      </c>
      <c r="Q61" s="990">
        <v>10336327.24</v>
      </c>
      <c r="R61" s="646">
        <f t="shared" si="6"/>
        <v>0.32824157637345192</v>
      </c>
      <c r="S61" s="645">
        <v>10477302.41</v>
      </c>
      <c r="T61" s="646">
        <f t="shared" si="7"/>
        <v>0.29790453255615584</v>
      </c>
      <c r="U61" s="778">
        <f>10477302.41+500000</f>
        <v>10977302.41</v>
      </c>
      <c r="V61" s="779">
        <f t="shared" si="8"/>
        <v>0.31212119448393516</v>
      </c>
      <c r="W61" s="793">
        <f t="shared" ref="W61:W76" si="25">+U61-S61</f>
        <v>500000</v>
      </c>
      <c r="X61" s="781">
        <f t="shared" si="24"/>
        <v>1.4216661927779317E-2</v>
      </c>
      <c r="Y61" s="778">
        <v>9207426.8970000017</v>
      </c>
      <c r="Z61" s="779">
        <f t="shared" si="10"/>
        <v>0.24651745373493983</v>
      </c>
      <c r="AA61" s="778">
        <v>8286684.2073000018</v>
      </c>
      <c r="AB61" s="779">
        <f t="shared" si="11"/>
        <v>0.20810357125313916</v>
      </c>
      <c r="AC61" s="778">
        <f>+AA61*0.99</f>
        <v>8203817.3652270017</v>
      </c>
      <c r="AD61" s="779">
        <f t="shared" si="0"/>
        <v>0.1923521070393201</v>
      </c>
      <c r="AE61" s="120"/>
      <c r="AF61" s="120"/>
      <c r="AG61" s="120"/>
      <c r="AH61" s="120"/>
      <c r="AI61" s="102"/>
      <c r="AJ61" s="102"/>
      <c r="AK61" s="102"/>
      <c r="AL61" s="102"/>
      <c r="AM61" s="103"/>
      <c r="AN61" s="35"/>
      <c r="AO61" s="35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DQ61" s="105"/>
    </row>
    <row r="62" spans="1:123" ht="15" customHeight="1">
      <c r="A62" s="110"/>
      <c r="B62" s="110"/>
      <c r="C62" s="110"/>
      <c r="D62" s="129" t="str">
        <f>IF(MasterSheet!$A$1=1,MasterSheet!C114,MasterSheet!B114)</f>
        <v>Rashodi za materijal i usluge</v>
      </c>
      <c r="E62" s="344">
        <v>112547776.84</v>
      </c>
      <c r="F62" s="136">
        <f t="shared" si="12"/>
        <v>5.2374599488110203</v>
      </c>
      <c r="G62" s="344">
        <v>137071242.36000001</v>
      </c>
      <c r="H62" s="135">
        <f t="shared" si="1"/>
        <v>5.1136445573587022</v>
      </c>
      <c r="I62" s="344">
        <v>114434326.15000001</v>
      </c>
      <c r="J62" s="136">
        <f t="shared" si="2"/>
        <v>3.7086571866087636</v>
      </c>
      <c r="K62" s="344">
        <v>109956288.45999999</v>
      </c>
      <c r="L62" s="135">
        <f t="shared" si="3"/>
        <v>3.6885705622274405</v>
      </c>
      <c r="M62" s="344">
        <v>112683384.09</v>
      </c>
      <c r="N62" s="136">
        <f t="shared" si="4"/>
        <v>3.6302636626932991</v>
      </c>
      <c r="O62" s="344">
        <v>104006154.47999999</v>
      </c>
      <c r="P62" s="135">
        <f t="shared" si="5"/>
        <v>3.2160220927643786</v>
      </c>
      <c r="Q62" s="990">
        <v>150386742.56999999</v>
      </c>
      <c r="R62" s="646">
        <f t="shared" si="6"/>
        <v>4.7756983985392187</v>
      </c>
      <c r="S62" s="645">
        <v>81984047.560000002</v>
      </c>
      <c r="T62" s="646">
        <f t="shared" si="7"/>
        <v>2.3310789752630083</v>
      </c>
      <c r="U62" s="778">
        <f>81984047.56+1500000</f>
        <v>83484047.560000002</v>
      </c>
      <c r="V62" s="779">
        <f t="shared" si="8"/>
        <v>2.3737289610463463</v>
      </c>
      <c r="W62" s="793">
        <f t="shared" si="25"/>
        <v>1500000</v>
      </c>
      <c r="X62" s="781">
        <f t="shared" si="24"/>
        <v>4.2649985783338007E-2</v>
      </c>
      <c r="Y62" s="778">
        <v>125250481.01009999</v>
      </c>
      <c r="Z62" s="779">
        <f t="shared" si="10"/>
        <v>3.3534265330682733</v>
      </c>
      <c r="AA62" s="778">
        <v>116482947.33939299</v>
      </c>
      <c r="AB62" s="779">
        <f t="shared" si="11"/>
        <v>2.9252372511148415</v>
      </c>
      <c r="AC62" s="778">
        <f>+AA62*1.005</f>
        <v>117065362.07608995</v>
      </c>
      <c r="AD62" s="779">
        <f t="shared" si="0"/>
        <v>2.7447916078801864</v>
      </c>
      <c r="AE62" s="120"/>
      <c r="AF62" s="120"/>
      <c r="AG62" s="120"/>
      <c r="AH62" s="120"/>
      <c r="AI62" s="102"/>
      <c r="AJ62" s="102"/>
      <c r="AK62" s="102"/>
      <c r="AL62" s="102"/>
      <c r="AM62" s="103"/>
      <c r="AN62" s="35"/>
      <c r="AO62" s="35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</row>
    <row r="63" spans="1:123" ht="15" customHeight="1">
      <c r="A63" s="110"/>
      <c r="B63" s="110"/>
      <c r="C63" s="110"/>
      <c r="D63" s="129" t="str">
        <f>IF(MasterSheet!$A$1=1,MasterSheet!C115,MasterSheet!B115)</f>
        <v>Tekuće održavanje</v>
      </c>
      <c r="E63" s="344">
        <v>20449366.720000003</v>
      </c>
      <c r="F63" s="136">
        <f t="shared" si="12"/>
        <v>0.95162021127088292</v>
      </c>
      <c r="G63" s="344">
        <v>22633631.750000004</v>
      </c>
      <c r="H63" s="135">
        <f t="shared" si="1"/>
        <v>0.8443809643723188</v>
      </c>
      <c r="I63" s="344">
        <v>22151878.379999999</v>
      </c>
      <c r="J63" s="136">
        <f t="shared" si="2"/>
        <v>0.71791153681617836</v>
      </c>
      <c r="K63" s="344">
        <v>5130736.91</v>
      </c>
      <c r="L63" s="135">
        <f t="shared" si="3"/>
        <v>0.17211462294532037</v>
      </c>
      <c r="M63" s="344">
        <v>28005189.850000001</v>
      </c>
      <c r="N63" s="136">
        <f t="shared" si="4"/>
        <v>0.90222905444587631</v>
      </c>
      <c r="O63" s="344">
        <v>23542025.550000001</v>
      </c>
      <c r="P63" s="135">
        <f t="shared" si="5"/>
        <v>0.72795378942486089</v>
      </c>
      <c r="Q63" s="990">
        <v>22365850.899999999</v>
      </c>
      <c r="R63" s="646">
        <f t="shared" si="6"/>
        <v>0.71025248967926324</v>
      </c>
      <c r="S63" s="645">
        <v>20466680.050000001</v>
      </c>
      <c r="T63" s="646">
        <f t="shared" si="7"/>
        <v>0.58193574210975263</v>
      </c>
      <c r="U63" s="778">
        <v>20466680.050000001</v>
      </c>
      <c r="V63" s="779">
        <f t="shared" si="8"/>
        <v>0.58193574210975263</v>
      </c>
      <c r="W63" s="793"/>
      <c r="X63" s="781">
        <f t="shared" si="24"/>
        <v>0</v>
      </c>
      <c r="Y63" s="778">
        <v>21120947.399500001</v>
      </c>
      <c r="Z63" s="779">
        <f t="shared" si="10"/>
        <v>0.56548721283801873</v>
      </c>
      <c r="AA63" s="778">
        <v>20064900.029525001</v>
      </c>
      <c r="AB63" s="779">
        <f t="shared" si="11"/>
        <v>0.50389000576406329</v>
      </c>
      <c r="AC63" s="778">
        <f t="shared" ref="AC63" si="26">+AA63*1.01</f>
        <v>20265549.029820252</v>
      </c>
      <c r="AD63" s="779">
        <f t="shared" si="0"/>
        <v>0.47515941453271399</v>
      </c>
      <c r="AE63" s="120"/>
      <c r="AF63" s="120"/>
      <c r="AG63" s="120"/>
      <c r="AH63" s="120"/>
      <c r="AI63" s="102"/>
      <c r="AJ63" s="102"/>
      <c r="AK63" s="102"/>
      <c r="AL63" s="102"/>
      <c r="AM63" s="103"/>
      <c r="AN63" s="35"/>
      <c r="AO63" s="35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</row>
    <row r="64" spans="1:123" ht="15" customHeight="1">
      <c r="A64" s="110"/>
      <c r="B64" s="110"/>
      <c r="C64" s="110"/>
      <c r="D64" s="129" t="str">
        <f>IF(MasterSheet!$A$1=1,MasterSheet!C116,MasterSheet!B116)</f>
        <v>Kamate</v>
      </c>
      <c r="E64" s="344">
        <v>23398994.059999999</v>
      </c>
      <c r="F64" s="136">
        <f t="shared" si="12"/>
        <v>1.0888824077434966</v>
      </c>
      <c r="G64" s="344">
        <v>27098929.48</v>
      </c>
      <c r="H64" s="135">
        <f t="shared" si="1"/>
        <v>1.0109654721134116</v>
      </c>
      <c r="I64" s="344">
        <v>22531993.84</v>
      </c>
      <c r="J64" s="136">
        <f t="shared" si="2"/>
        <v>0.73023054964998702</v>
      </c>
      <c r="K64" s="344">
        <v>24512028.640000001</v>
      </c>
      <c r="L64" s="135">
        <f t="shared" si="3"/>
        <v>0.82227536531365319</v>
      </c>
      <c r="M64" s="344">
        <v>30256278.469999999</v>
      </c>
      <c r="N64" s="136">
        <f t="shared" si="4"/>
        <v>0.97475123936855668</v>
      </c>
      <c r="O64" s="344">
        <v>45092350.030000001</v>
      </c>
      <c r="P64" s="135">
        <f t="shared" si="5"/>
        <v>1.3943212748917748</v>
      </c>
      <c r="Q64" s="990">
        <v>56859854.539999999</v>
      </c>
      <c r="R64" s="646">
        <f t="shared" si="6"/>
        <v>1.805647968879009</v>
      </c>
      <c r="S64" s="645">
        <v>70403607.299999997</v>
      </c>
      <c r="T64" s="646">
        <f t="shared" si="7"/>
        <v>2.0018085669604777</v>
      </c>
      <c r="U64" s="788">
        <v>70403607.299999997</v>
      </c>
      <c r="V64" s="869">
        <f t="shared" si="8"/>
        <v>2.0018085669604777</v>
      </c>
      <c r="W64" s="870"/>
      <c r="X64" s="871">
        <f t="shared" si="24"/>
        <v>0</v>
      </c>
      <c r="Y64" s="788">
        <f>83431534.4226979+2000000</f>
        <v>85431534.422697902</v>
      </c>
      <c r="Z64" s="869">
        <f t="shared" si="10"/>
        <v>2.2873235454537588</v>
      </c>
      <c r="AA64" s="788">
        <f>95950961.5999709+6000000</f>
        <v>101950961.59997091</v>
      </c>
      <c r="AB64" s="869">
        <f t="shared" si="11"/>
        <v>2.5602953691604946</v>
      </c>
      <c r="AC64" s="788">
        <f>+AA64+12000000+7000000</f>
        <v>120950961.59997091</v>
      </c>
      <c r="AD64" s="869">
        <f t="shared" si="0"/>
        <v>2.8358959343486734</v>
      </c>
      <c r="AE64" s="120"/>
      <c r="AF64" s="120"/>
      <c r="AG64" s="120"/>
      <c r="AH64" s="120"/>
      <c r="AI64" s="102"/>
      <c r="AJ64" s="102"/>
      <c r="AK64" s="102"/>
      <c r="AL64" s="102"/>
      <c r="AM64" s="103"/>
      <c r="AN64" s="35"/>
      <c r="AO64" s="35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</row>
    <row r="65" spans="1:54" ht="15" customHeight="1">
      <c r="A65" s="110"/>
      <c r="B65" s="110"/>
      <c r="C65" s="110"/>
      <c r="D65" s="129" t="str">
        <f>IF(MasterSheet!$A$1=1,MasterSheet!C117,MasterSheet!B117)</f>
        <v>Renta</v>
      </c>
      <c r="E65" s="344">
        <v>2663918.17</v>
      </c>
      <c r="F65" s="136">
        <f t="shared" si="12"/>
        <v>0.12396659546744847</v>
      </c>
      <c r="G65" s="344">
        <v>4927168.12</v>
      </c>
      <c r="H65" s="135">
        <f t="shared" si="1"/>
        <v>0.18381526282409999</v>
      </c>
      <c r="I65" s="344">
        <v>8361199.96</v>
      </c>
      <c r="J65" s="136">
        <f t="shared" si="2"/>
        <v>0.27097484962406015</v>
      </c>
      <c r="K65" s="344">
        <v>8038103.2300000004</v>
      </c>
      <c r="L65" s="135">
        <f t="shared" si="3"/>
        <v>0.26964452297886615</v>
      </c>
      <c r="M65" s="344">
        <v>8015830.71</v>
      </c>
      <c r="N65" s="136">
        <f t="shared" si="4"/>
        <v>0.25824196874999999</v>
      </c>
      <c r="O65" s="344">
        <v>7376287.9199999999</v>
      </c>
      <c r="P65" s="135">
        <f t="shared" si="5"/>
        <v>0.22808558812615953</v>
      </c>
      <c r="Q65" s="990">
        <v>7110247.5800000001</v>
      </c>
      <c r="R65" s="646">
        <f t="shared" si="6"/>
        <v>0.22579382597650047</v>
      </c>
      <c r="S65" s="645">
        <v>7875739.4000000004</v>
      </c>
      <c r="T65" s="646">
        <f t="shared" si="7"/>
        <v>0.2239334489621837</v>
      </c>
      <c r="U65" s="778">
        <v>7875739.4000000004</v>
      </c>
      <c r="V65" s="779">
        <f t="shared" si="8"/>
        <v>0.2239334489621837</v>
      </c>
      <c r="W65" s="793"/>
      <c r="X65" s="781">
        <f t="shared" si="24"/>
        <v>0</v>
      </c>
      <c r="Y65" s="778">
        <v>7947739.4000000004</v>
      </c>
      <c r="Z65" s="779">
        <f t="shared" si="10"/>
        <v>0.2127908808567604</v>
      </c>
      <c r="AA65" s="778">
        <v>7947739.4000000004</v>
      </c>
      <c r="AB65" s="779">
        <f t="shared" si="11"/>
        <v>0.19959164741336013</v>
      </c>
      <c r="AC65" s="778">
        <f>+AA65*1.005</f>
        <v>7987478.0969999991</v>
      </c>
      <c r="AD65" s="779">
        <f t="shared" si="0"/>
        <v>0.18727967402110199</v>
      </c>
      <c r="AE65" s="120"/>
      <c r="AF65" s="120"/>
      <c r="AG65" s="120"/>
      <c r="AH65" s="120"/>
      <c r="AI65" s="102"/>
      <c r="AJ65" s="102"/>
      <c r="AK65" s="102"/>
      <c r="AL65" s="102"/>
      <c r="AM65" s="103"/>
      <c r="AN65" s="35"/>
      <c r="AO65" s="35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</row>
    <row r="66" spans="1:54" ht="15" customHeight="1">
      <c r="A66" s="110"/>
      <c r="B66" s="110"/>
      <c r="C66" s="110"/>
      <c r="D66" s="129" t="str">
        <f>IF(MasterSheet!$A$1=1,MasterSheet!C118,MasterSheet!B118)</f>
        <v>Subvencije</v>
      </c>
      <c r="E66" s="344">
        <v>6072666.8299999991</v>
      </c>
      <c r="F66" s="136">
        <f t="shared" si="12"/>
        <v>0.28259420308064587</v>
      </c>
      <c r="G66" s="344">
        <v>13072586.5</v>
      </c>
      <c r="H66" s="135">
        <f t="shared" si="1"/>
        <v>0.48769209102779337</v>
      </c>
      <c r="I66" s="344">
        <v>18592791.149999999</v>
      </c>
      <c r="J66" s="136">
        <f t="shared" si="2"/>
        <v>0.60256647491573756</v>
      </c>
      <c r="K66" s="344">
        <v>49824327.469999999</v>
      </c>
      <c r="L66" s="135">
        <f t="shared" si="3"/>
        <v>1.6713964263669909</v>
      </c>
      <c r="M66" s="344">
        <v>39035362.68</v>
      </c>
      <c r="N66" s="136">
        <f t="shared" si="4"/>
        <v>1.2575825605670103</v>
      </c>
      <c r="O66" s="344">
        <v>45400496.520000003</v>
      </c>
      <c r="P66" s="135">
        <f t="shared" si="5"/>
        <v>1.4038496141001857</v>
      </c>
      <c r="Q66" s="990">
        <v>25853418.300000001</v>
      </c>
      <c r="R66" s="646">
        <f t="shared" si="6"/>
        <v>0.82100407430930455</v>
      </c>
      <c r="S66" s="645">
        <v>14230000</v>
      </c>
      <c r="T66" s="646">
        <f t="shared" si="7"/>
        <v>0.40460619846460055</v>
      </c>
      <c r="U66" s="778">
        <f>14230000+1000000</f>
        <v>15230000</v>
      </c>
      <c r="V66" s="779">
        <f t="shared" si="8"/>
        <v>0.43303952232015924</v>
      </c>
      <c r="W66" s="793">
        <f t="shared" si="25"/>
        <v>1000000</v>
      </c>
      <c r="X66" s="781">
        <f t="shared" si="24"/>
        <v>2.843332385555869E-2</v>
      </c>
      <c r="Y66" s="778">
        <v>11750000</v>
      </c>
      <c r="Z66" s="779">
        <f t="shared" si="10"/>
        <v>0.31459170013386883</v>
      </c>
      <c r="AA66" s="778">
        <v>11162500</v>
      </c>
      <c r="AB66" s="779">
        <f t="shared" si="11"/>
        <v>0.28032395781014563</v>
      </c>
      <c r="AC66" s="778">
        <f>+AA66*1.005</f>
        <v>11218312.499999998</v>
      </c>
      <c r="AD66" s="779">
        <f t="shared" si="0"/>
        <v>0.2630319460726846</v>
      </c>
      <c r="AE66" s="120"/>
      <c r="AF66" s="120"/>
      <c r="AG66" s="120"/>
      <c r="AH66" s="120"/>
      <c r="AI66" s="102"/>
      <c r="AJ66" s="102"/>
      <c r="AK66" s="102"/>
      <c r="AL66" s="102"/>
      <c r="AM66" s="103"/>
      <c r="AN66" s="37"/>
      <c r="AO66" s="37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</row>
    <row r="67" spans="1:54" ht="15" customHeight="1">
      <c r="A67" s="110"/>
      <c r="B67" s="110"/>
      <c r="C67" s="110"/>
      <c r="D67" s="129" t="str">
        <f>IF(MasterSheet!$A$1=1,MasterSheet!C119,MasterSheet!B119)</f>
        <v>Ostali izdaci</v>
      </c>
      <c r="E67" s="344">
        <v>3904147.64</v>
      </c>
      <c r="F67" s="136">
        <f t="shared" si="12"/>
        <v>0.18168121550560754</v>
      </c>
      <c r="G67" s="344">
        <v>5748223.0299999993</v>
      </c>
      <c r="H67" s="135">
        <f t="shared" si="1"/>
        <v>0.21444592538705462</v>
      </c>
      <c r="I67" s="344">
        <v>5738203.1799999997</v>
      </c>
      <c r="J67" s="136">
        <f t="shared" si="2"/>
        <v>0.18596717591392273</v>
      </c>
      <c r="K67" s="344">
        <v>7631912.3799999999</v>
      </c>
      <c r="L67" s="135">
        <f t="shared" si="3"/>
        <v>0.25601853002348207</v>
      </c>
      <c r="M67" s="344">
        <v>5231302.66</v>
      </c>
      <c r="N67" s="136">
        <f t="shared" si="4"/>
        <v>0.16853423518041238</v>
      </c>
      <c r="O67" s="344">
        <v>5518538.25</v>
      </c>
      <c r="P67" s="135">
        <f t="shared" si="5"/>
        <v>0.17064125695732837</v>
      </c>
      <c r="Q67" s="990">
        <v>6046195.5600000005</v>
      </c>
      <c r="R67" s="646">
        <f t="shared" si="6"/>
        <v>0.19200366973642427</v>
      </c>
      <c r="S67" s="645">
        <v>5761905.7600000016</v>
      </c>
      <c r="T67" s="646">
        <f t="shared" si="7"/>
        <v>0.16383013249928921</v>
      </c>
      <c r="U67" s="778">
        <v>5761905.7600000016</v>
      </c>
      <c r="V67" s="779">
        <f t="shared" si="8"/>
        <v>0.16383013249928921</v>
      </c>
      <c r="W67" s="793"/>
      <c r="X67" s="781">
        <f t="shared" si="24"/>
        <v>0</v>
      </c>
      <c r="Y67" s="778">
        <v>6471595.1799999997</v>
      </c>
      <c r="Z67" s="779">
        <f t="shared" si="10"/>
        <v>0.17326894725568942</v>
      </c>
      <c r="AA67" s="778">
        <v>6471595.1799999997</v>
      </c>
      <c r="AB67" s="779">
        <f t="shared" si="11"/>
        <v>0.1625212250125565</v>
      </c>
      <c r="AC67" s="778">
        <f>+AA67*1.005</f>
        <v>6503953.1558999987</v>
      </c>
      <c r="AD67" s="779">
        <f t="shared" si="0"/>
        <v>0.15249597083001168</v>
      </c>
      <c r="AE67" s="120"/>
      <c r="AF67" s="120"/>
      <c r="AG67" s="120"/>
      <c r="AH67" s="120"/>
      <c r="AI67" s="102"/>
      <c r="AJ67" s="102"/>
      <c r="AK67" s="102"/>
      <c r="AL67" s="102"/>
      <c r="AM67" s="103"/>
      <c r="AN67" s="37"/>
      <c r="AO67" s="37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</row>
    <row r="68" spans="1:54" ht="15" customHeight="1">
      <c r="A68" s="110"/>
      <c r="B68" s="110"/>
      <c r="C68" s="110"/>
      <c r="D68" s="129" t="str">
        <f>IF(MasterSheet!$A$1=1,MasterSheet!C120,MasterSheet!B120)</f>
        <v>Kapitalni izdaci u tekućem budžetu</v>
      </c>
      <c r="E68" s="344">
        <v>40141835.139999993</v>
      </c>
      <c r="F68" s="136">
        <f t="shared" si="12"/>
        <v>1.8680178295872305</v>
      </c>
      <c r="G68" s="344"/>
      <c r="H68" s="135">
        <f t="shared" si="1"/>
        <v>0</v>
      </c>
      <c r="I68" s="344">
        <v>75166022.909999996</v>
      </c>
      <c r="J68" s="136">
        <f t="shared" si="2"/>
        <v>2.4360261508296603</v>
      </c>
      <c r="K68" s="344">
        <v>26511453.920000002</v>
      </c>
      <c r="L68" s="135">
        <f t="shared" si="3"/>
        <v>0.88934766588393155</v>
      </c>
      <c r="M68" s="344">
        <v>19371879.949999999</v>
      </c>
      <c r="N68" s="136">
        <f t="shared" si="4"/>
        <v>0.62409407055412369</v>
      </c>
      <c r="O68" s="344">
        <v>17010992.290000129</v>
      </c>
      <c r="P68" s="135">
        <f t="shared" si="5"/>
        <v>0.52600470902907015</v>
      </c>
      <c r="Q68" s="990">
        <v>13391039.780000195</v>
      </c>
      <c r="R68" s="646">
        <f t="shared" si="6"/>
        <v>0.42524737313433458</v>
      </c>
      <c r="S68" s="645">
        <v>9320147.8499999996</v>
      </c>
      <c r="T68" s="646">
        <f t="shared" si="7"/>
        <v>0.26500278220073925</v>
      </c>
      <c r="U68" s="778">
        <f>9320147.85+1300000+3800000+700000</f>
        <v>15120147.85</v>
      </c>
      <c r="V68" s="779">
        <f t="shared" si="8"/>
        <v>0.42991606056297976</v>
      </c>
      <c r="W68" s="793">
        <f t="shared" si="25"/>
        <v>5800000</v>
      </c>
      <c r="X68" s="781">
        <f t="shared" si="24"/>
        <v>0.16491327836224051</v>
      </c>
      <c r="Y68" s="778">
        <v>7853270.8074999992</v>
      </c>
      <c r="Z68" s="779">
        <f t="shared" si="10"/>
        <v>0.21026160127175364</v>
      </c>
      <c r="AA68" s="778">
        <v>7460607.2671249993</v>
      </c>
      <c r="AB68" s="779">
        <f t="shared" si="11"/>
        <v>0.18735829400113008</v>
      </c>
      <c r="AC68" s="778">
        <f>+AA68*1.005</f>
        <v>7497910.3034606231</v>
      </c>
      <c r="AD68" s="779">
        <f t="shared" si="0"/>
        <v>0.17580094498149176</v>
      </c>
      <c r="AE68" s="120"/>
      <c r="AF68" s="120"/>
      <c r="AG68" s="120"/>
      <c r="AH68" s="120"/>
      <c r="AI68" s="102"/>
      <c r="AJ68" s="102"/>
      <c r="AK68" s="102"/>
      <c r="AL68" s="102"/>
      <c r="AM68" s="103"/>
      <c r="AN68" s="35"/>
      <c r="AO68" s="35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</row>
    <row r="69" spans="1:54" ht="15" customHeight="1">
      <c r="A69" s="110"/>
      <c r="B69" s="110"/>
      <c r="C69" s="110"/>
      <c r="D69" s="129" t="str">
        <f>IF(MasterSheet!$A$1=1,MasterSheet!C121,MasterSheet!B121)</f>
        <v>Transferi za socijalnu zaštitu</v>
      </c>
      <c r="E69" s="344">
        <f>SUM(E70:E74)</f>
        <v>259768574.91000003</v>
      </c>
      <c r="F69" s="136">
        <f t="shared" si="12"/>
        <v>12.088444083484575</v>
      </c>
      <c r="G69" s="344">
        <f>SUM(G70:G74)</f>
        <v>298508977.88999999</v>
      </c>
      <c r="H69" s="135">
        <f t="shared" si="1"/>
        <v>11.136317026301063</v>
      </c>
      <c r="I69" s="344">
        <f>SUM(I70:I74)</f>
        <v>346538078.38999999</v>
      </c>
      <c r="J69" s="136">
        <f t="shared" si="2"/>
        <v>11.230816644736842</v>
      </c>
      <c r="K69" s="344">
        <f>SUM(K70:K74)</f>
        <v>412466515.33000004</v>
      </c>
      <c r="L69" s="135">
        <f t="shared" si="3"/>
        <v>13.836515106675614</v>
      </c>
      <c r="M69" s="344">
        <f>SUM(M70:M74)</f>
        <v>423148492.50000012</v>
      </c>
      <c r="N69" s="136">
        <f t="shared" si="4"/>
        <v>13.632361227448458</v>
      </c>
      <c r="O69" s="344">
        <f>SUM(O70:O74)</f>
        <v>454762150.30000001</v>
      </c>
      <c r="P69" s="135">
        <f t="shared" si="5"/>
        <v>14.061909409400124</v>
      </c>
      <c r="Q69" s="993">
        <f>SUM(Q70:Q74)</f>
        <v>481633606.48000002</v>
      </c>
      <c r="R69" s="646">
        <f t="shared" si="6"/>
        <v>15.294811256906954</v>
      </c>
      <c r="S69" s="344">
        <f>SUM(S70:S74)</f>
        <v>497872727.10000002</v>
      </c>
      <c r="T69" s="646">
        <f t="shared" si="7"/>
        <v>14.156176488484503</v>
      </c>
      <c r="U69" s="792">
        <f>SUM(U70:U74)</f>
        <v>491872727.10000002</v>
      </c>
      <c r="V69" s="779">
        <f t="shared" si="8"/>
        <v>13.985576545351153</v>
      </c>
      <c r="W69" s="793">
        <f t="shared" si="25"/>
        <v>-6000000</v>
      </c>
      <c r="X69" s="794">
        <f t="shared" si="24"/>
        <v>-0.17059994313335025</v>
      </c>
      <c r="Y69" s="792">
        <f>SUM(Y70:Y74)</f>
        <v>502594874.18400002</v>
      </c>
      <c r="Z69" s="779">
        <f t="shared" si="10"/>
        <v>13.456355399839357</v>
      </c>
      <c r="AA69" s="792">
        <f>SUM(AA70:AA74)</f>
        <v>519773267.15136003</v>
      </c>
      <c r="AB69" s="779">
        <f t="shared" si="11"/>
        <v>13.053070496016073</v>
      </c>
      <c r="AC69" s="792">
        <f>SUM(AC70:AC74)</f>
        <v>537276646.3374145</v>
      </c>
      <c r="AD69" s="779">
        <f t="shared" si="0"/>
        <v>12.597342235343834</v>
      </c>
      <c r="AE69" s="120"/>
      <c r="AF69" s="120"/>
      <c r="AG69" s="120"/>
      <c r="AH69" s="120"/>
      <c r="AI69" s="102"/>
      <c r="AJ69" s="102"/>
      <c r="AK69" s="102"/>
      <c r="AL69" s="102"/>
      <c r="AM69" s="103"/>
      <c r="AN69" s="35"/>
      <c r="AO69" s="35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</row>
    <row r="70" spans="1:54" ht="15" customHeight="1">
      <c r="A70" s="110"/>
      <c r="B70" s="110"/>
      <c r="C70" s="110"/>
      <c r="D70" s="130" t="str">
        <f>IF(MasterSheet!$A$1=1,MasterSheet!C122,MasterSheet!B122)</f>
        <v>Prava iz oblasti socijalne zaštite</v>
      </c>
      <c r="E70" s="345">
        <v>34076058.170000002</v>
      </c>
      <c r="F70" s="137">
        <f t="shared" si="12"/>
        <v>1.5857442491507283</v>
      </c>
      <c r="G70" s="345">
        <v>39187983.710000001</v>
      </c>
      <c r="H70" s="138">
        <f t="shared" si="1"/>
        <v>1.4619654433874278</v>
      </c>
      <c r="I70" s="345">
        <v>42104253.460000001</v>
      </c>
      <c r="J70" s="137">
        <f t="shared" si="2"/>
        <v>1.3645402339901478</v>
      </c>
      <c r="K70" s="345">
        <v>46907483.859999999</v>
      </c>
      <c r="L70" s="138">
        <f t="shared" si="3"/>
        <v>1.5735486031533044</v>
      </c>
      <c r="M70" s="345">
        <v>51591720.359999999</v>
      </c>
      <c r="N70" s="137">
        <f t="shared" si="4"/>
        <v>1.6621043930412371</v>
      </c>
      <c r="O70" s="345">
        <v>59330834.700000003</v>
      </c>
      <c r="P70" s="138">
        <f t="shared" si="5"/>
        <v>1.8345960018552876</v>
      </c>
      <c r="Q70" s="991">
        <v>65188636.469999999</v>
      </c>
      <c r="R70" s="644">
        <f t="shared" si="6"/>
        <v>2.0701377094315654</v>
      </c>
      <c r="S70" s="643">
        <v>61009000</v>
      </c>
      <c r="T70" s="644">
        <f t="shared" si="7"/>
        <v>1.7346886551037815</v>
      </c>
      <c r="U70" s="785">
        <f>61009000+6000000</f>
        <v>67009000</v>
      </c>
      <c r="V70" s="782">
        <f t="shared" si="8"/>
        <v>1.9052885982371339</v>
      </c>
      <c r="W70" s="793">
        <f t="shared" si="25"/>
        <v>6000000</v>
      </c>
      <c r="X70" s="784">
        <f t="shared" si="24"/>
        <v>0.17059994313335247</v>
      </c>
      <c r="Y70" s="785">
        <v>61700000</v>
      </c>
      <c r="Z70" s="782">
        <f t="shared" si="10"/>
        <v>1.6519410977242304</v>
      </c>
      <c r="AA70" s="785">
        <v>62700000</v>
      </c>
      <c r="AB70" s="782">
        <f t="shared" si="11"/>
        <v>1.5745856353591159</v>
      </c>
      <c r="AC70" s="785">
        <f>+AA70*1.005</f>
        <v>63013499.999999993</v>
      </c>
      <c r="AD70" s="782">
        <f t="shared" si="0"/>
        <v>1.4774560375146539</v>
      </c>
      <c r="AE70" s="120"/>
      <c r="AF70" s="120"/>
      <c r="AG70" s="120"/>
      <c r="AH70" s="120"/>
      <c r="AI70" s="102"/>
      <c r="AJ70" s="102"/>
      <c r="AK70" s="102"/>
      <c r="AL70" s="102"/>
      <c r="AM70" s="103"/>
      <c r="AN70" s="35"/>
      <c r="AO70" s="35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</row>
    <row r="71" spans="1:54" ht="15" customHeight="1">
      <c r="A71" s="110"/>
      <c r="B71" s="110"/>
      <c r="C71" s="110"/>
      <c r="D71" s="130" t="str">
        <f>IF(MasterSheet!$A$1=1,MasterSheet!C123,MasterSheet!B123)</f>
        <v>Sredstva za tehnološke viškove</v>
      </c>
      <c r="E71" s="345">
        <v>9796008.3399999999</v>
      </c>
      <c r="F71" s="137">
        <f t="shared" si="12"/>
        <v>0.45586152636232491</v>
      </c>
      <c r="G71" s="345">
        <v>11417546.32</v>
      </c>
      <c r="H71" s="138">
        <f t="shared" si="1"/>
        <v>0.42594837977989186</v>
      </c>
      <c r="I71" s="345">
        <v>30206318.57</v>
      </c>
      <c r="J71" s="137">
        <f t="shared" si="2"/>
        <v>0.97894472938812538</v>
      </c>
      <c r="K71" s="345">
        <v>19907692.059999999</v>
      </c>
      <c r="L71" s="138">
        <f t="shared" si="3"/>
        <v>0.66781925729620928</v>
      </c>
      <c r="M71" s="345">
        <v>20073795.120000001</v>
      </c>
      <c r="N71" s="137">
        <f t="shared" si="4"/>
        <v>0.64670731701030937</v>
      </c>
      <c r="O71" s="345">
        <v>17323007.039999999</v>
      </c>
      <c r="P71" s="138">
        <f t="shared" si="5"/>
        <v>0.5356526604823747</v>
      </c>
      <c r="Q71" s="991">
        <v>16130418.140000001</v>
      </c>
      <c r="R71" s="644">
        <f t="shared" si="6"/>
        <v>0.51223938202604002</v>
      </c>
      <c r="S71" s="643">
        <v>15360050</v>
      </c>
      <c r="T71" s="644">
        <f t="shared" si="7"/>
        <v>0.43673727608757468</v>
      </c>
      <c r="U71" s="785">
        <v>15360050</v>
      </c>
      <c r="V71" s="782">
        <f t="shared" si="8"/>
        <v>0.43673727608757468</v>
      </c>
      <c r="W71" s="793"/>
      <c r="X71" s="784">
        <f t="shared" si="24"/>
        <v>0</v>
      </c>
      <c r="Y71" s="785">
        <v>15360050</v>
      </c>
      <c r="Z71" s="782">
        <f t="shared" si="10"/>
        <v>0.41124631860776439</v>
      </c>
      <c r="AA71" s="785">
        <v>15360050</v>
      </c>
      <c r="AB71" s="782">
        <f t="shared" si="11"/>
        <v>0.38573706680060271</v>
      </c>
      <c r="AC71" s="785">
        <f>+AA71*1.01</f>
        <v>15513650.5</v>
      </c>
      <c r="AD71" s="782">
        <f t="shared" si="0"/>
        <v>0.36374327080890972</v>
      </c>
      <c r="AE71" s="120"/>
      <c r="AF71" s="120"/>
      <c r="AG71" s="120"/>
      <c r="AH71" s="120"/>
      <c r="AI71" s="102"/>
      <c r="AJ71" s="102"/>
      <c r="AK71" s="102"/>
      <c r="AL71" s="102"/>
      <c r="AM71" s="103"/>
      <c r="AN71" s="35"/>
      <c r="AO71" s="35"/>
      <c r="AP71" s="96"/>
      <c r="AQ71" s="96"/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96"/>
    </row>
    <row r="72" spans="1:54" ht="15" customHeight="1">
      <c r="A72" s="110"/>
      <c r="B72" s="110"/>
      <c r="C72" s="110"/>
      <c r="D72" s="130" t="str">
        <f>IF(MasterSheet!$A$1=1,MasterSheet!C124,MasterSheet!B124)</f>
        <v>Prava iz oblasti penzijskog i invalidskog osiguranja</v>
      </c>
      <c r="E72" s="345">
        <v>199416686.40000001</v>
      </c>
      <c r="F72" s="137">
        <f t="shared" si="12"/>
        <v>9.2799425938852451</v>
      </c>
      <c r="G72" s="345">
        <v>228365332.86000001</v>
      </c>
      <c r="H72" s="138">
        <f t="shared" si="1"/>
        <v>8.5195050498041418</v>
      </c>
      <c r="I72" s="345">
        <v>250935783.35999998</v>
      </c>
      <c r="J72" s="137">
        <f t="shared" si="2"/>
        <v>8.1324793673839775</v>
      </c>
      <c r="K72" s="345">
        <v>323500545.41000003</v>
      </c>
      <c r="L72" s="138">
        <f t="shared" si="3"/>
        <v>10.852081362294532</v>
      </c>
      <c r="M72" s="345">
        <v>330972340.54000008</v>
      </c>
      <c r="N72" s="137">
        <f t="shared" si="4"/>
        <v>10.66276870296392</v>
      </c>
      <c r="O72" s="345">
        <v>356875323.42000002</v>
      </c>
      <c r="P72" s="138">
        <f t="shared" si="5"/>
        <v>11.035105857142858</v>
      </c>
      <c r="Q72" s="991">
        <v>378962096.58999997</v>
      </c>
      <c r="R72" s="644">
        <f t="shared" si="6"/>
        <v>12.034363181644967</v>
      </c>
      <c r="S72" s="643">
        <v>400903677.10000002</v>
      </c>
      <c r="T72" s="644">
        <f t="shared" si="7"/>
        <v>11.399024085868639</v>
      </c>
      <c r="U72" s="785">
        <f>400903677.1-12000000</f>
        <v>388903677.10000002</v>
      </c>
      <c r="V72" s="782">
        <f t="shared" si="8"/>
        <v>11.057824199601935</v>
      </c>
      <c r="W72" s="793">
        <f t="shared" si="25"/>
        <v>-12000000</v>
      </c>
      <c r="X72" s="784">
        <f t="shared" si="24"/>
        <v>-0.34119988626670406</v>
      </c>
      <c r="Y72" s="786">
        <f>+U72*1.04</f>
        <v>404459824.18400002</v>
      </c>
      <c r="Z72" s="787">
        <f t="shared" si="10"/>
        <v>10.828910955394914</v>
      </c>
      <c r="AA72" s="786">
        <f>+Y72*1.04</f>
        <v>420638217.15136003</v>
      </c>
      <c r="AB72" s="787">
        <f t="shared" si="11"/>
        <v>10.563491138909093</v>
      </c>
      <c r="AC72" s="786">
        <f>+AA72*1.04</f>
        <v>437463745.83741444</v>
      </c>
      <c r="AD72" s="782">
        <f t="shared" si="0"/>
        <v>10.257063208380176</v>
      </c>
      <c r="AE72" s="110"/>
      <c r="AF72" s="110"/>
      <c r="AG72" s="110"/>
      <c r="AH72" s="110"/>
      <c r="AM72" s="96"/>
      <c r="AN72" s="35"/>
      <c r="AO72" s="35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</row>
    <row r="73" spans="1:54" ht="15" customHeight="1">
      <c r="A73" s="110"/>
      <c r="B73" s="110"/>
      <c r="C73" s="110"/>
      <c r="D73" s="130" t="str">
        <f>IF(MasterSheet!$A$1=1,MasterSheet!C125,MasterSheet!B125)</f>
        <v>Ostala prava iz oblasti zdravstvene zaštite</v>
      </c>
      <c r="E73" s="345">
        <v>10828245</v>
      </c>
      <c r="F73" s="137">
        <f t="shared" si="12"/>
        <v>0.50389711014937877</v>
      </c>
      <c r="G73" s="345">
        <v>12762198</v>
      </c>
      <c r="H73" s="138">
        <f t="shared" si="1"/>
        <v>0.47611259093452718</v>
      </c>
      <c r="I73" s="345">
        <v>15724080</v>
      </c>
      <c r="J73" s="137">
        <f t="shared" si="2"/>
        <v>0.50959554057557688</v>
      </c>
      <c r="K73" s="345">
        <v>14442818</v>
      </c>
      <c r="L73" s="138">
        <f t="shared" si="3"/>
        <v>0.48449573968466958</v>
      </c>
      <c r="M73" s="345">
        <v>12638749.91</v>
      </c>
      <c r="N73" s="137">
        <f t="shared" si="4"/>
        <v>0.40717622132731957</v>
      </c>
      <c r="O73" s="345">
        <v>12978814.83</v>
      </c>
      <c r="P73" s="138">
        <f t="shared" si="5"/>
        <v>0.40132389703153987</v>
      </c>
      <c r="Q73" s="991">
        <v>13497405.869999999</v>
      </c>
      <c r="R73" s="644">
        <f t="shared" si="6"/>
        <v>0.42862514671324226</v>
      </c>
      <c r="S73" s="643">
        <v>13600000</v>
      </c>
      <c r="T73" s="644">
        <f t="shared" si="7"/>
        <v>0.38669320443559851</v>
      </c>
      <c r="U73" s="785">
        <v>13600000</v>
      </c>
      <c r="V73" s="782">
        <f t="shared" si="8"/>
        <v>0.38669320443559851</v>
      </c>
      <c r="W73" s="793"/>
      <c r="X73" s="784">
        <f t="shared" si="24"/>
        <v>0</v>
      </c>
      <c r="Y73" s="785">
        <v>13800000</v>
      </c>
      <c r="Z73" s="782">
        <f t="shared" si="10"/>
        <v>0.36947791164658633</v>
      </c>
      <c r="AA73" s="785">
        <v>13800000</v>
      </c>
      <c r="AB73" s="782">
        <f t="shared" si="11"/>
        <v>0.34655951783023603</v>
      </c>
      <c r="AC73" s="785">
        <f>+AA73*1.01</f>
        <v>13938000</v>
      </c>
      <c r="AD73" s="782">
        <f t="shared" si="0"/>
        <v>0.32679953106682302</v>
      </c>
      <c r="AE73" s="110"/>
      <c r="AF73" s="110"/>
      <c r="AG73" s="110"/>
      <c r="AH73" s="110"/>
      <c r="AM73" s="96"/>
      <c r="AN73" s="37"/>
      <c r="AO73" s="37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</row>
    <row r="74" spans="1:54" ht="15" customHeight="1">
      <c r="A74" s="110"/>
      <c r="B74" s="110"/>
      <c r="C74" s="110"/>
      <c r="D74" s="130" t="str">
        <f>IF(MasterSheet!$A$1=1,MasterSheet!C126,MasterSheet!B126)</f>
        <v>Ostala prava iz oblasti zdravstvenog osiguranja</v>
      </c>
      <c r="E74" s="345">
        <v>5651577</v>
      </c>
      <c r="F74" s="137">
        <f t="shared" si="12"/>
        <v>0.26299860393689795</v>
      </c>
      <c r="G74" s="345">
        <v>6775917</v>
      </c>
      <c r="H74" s="138">
        <f t="shared" si="1"/>
        <v>0.25278556239507555</v>
      </c>
      <c r="I74" s="345">
        <v>7567643</v>
      </c>
      <c r="J74" s="137">
        <f t="shared" si="2"/>
        <v>0.24525677339901478</v>
      </c>
      <c r="K74" s="345">
        <v>7707976</v>
      </c>
      <c r="L74" s="138">
        <f t="shared" si="3"/>
        <v>0.258570144246897</v>
      </c>
      <c r="M74" s="345">
        <v>7871886.5700000003</v>
      </c>
      <c r="N74" s="137">
        <f t="shared" si="4"/>
        <v>0.25360459310567013</v>
      </c>
      <c r="O74" s="345">
        <v>8254170.3099999996</v>
      </c>
      <c r="P74" s="138">
        <f t="shared" si="5"/>
        <v>0.25523099288806428</v>
      </c>
      <c r="Q74" s="991">
        <v>7855049.4100000001</v>
      </c>
      <c r="R74" s="644">
        <f t="shared" si="6"/>
        <v>0.24944583709114004</v>
      </c>
      <c r="S74" s="643">
        <v>7000000</v>
      </c>
      <c r="T74" s="644">
        <f t="shared" si="7"/>
        <v>0.199033266988911</v>
      </c>
      <c r="U74" s="785">
        <v>7000000</v>
      </c>
      <c r="V74" s="782">
        <f t="shared" si="8"/>
        <v>0.199033266988911</v>
      </c>
      <c r="W74" s="793"/>
      <c r="X74" s="784">
        <f t="shared" si="24"/>
        <v>0</v>
      </c>
      <c r="Y74" s="785">
        <v>7275000</v>
      </c>
      <c r="Z74" s="782">
        <f t="shared" si="10"/>
        <v>0.19477911646586346</v>
      </c>
      <c r="AA74" s="785">
        <v>7275000</v>
      </c>
      <c r="AB74" s="782">
        <f t="shared" si="11"/>
        <v>0.18269713711702662</v>
      </c>
      <c r="AC74" s="785">
        <f>+AA74*1.01</f>
        <v>7347750</v>
      </c>
      <c r="AD74" s="782">
        <f t="shared" si="0"/>
        <v>0.17228018757327079</v>
      </c>
      <c r="AE74" s="120"/>
      <c r="AF74" s="120"/>
      <c r="AG74" s="120"/>
      <c r="AH74" s="120"/>
      <c r="AI74" s="102"/>
      <c r="AJ74" s="102"/>
      <c r="AK74" s="102"/>
      <c r="AL74" s="102"/>
      <c r="AM74" s="103"/>
      <c r="AN74" s="35"/>
      <c r="AO74" s="35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</row>
    <row r="75" spans="1:54" ht="25.5">
      <c r="A75" s="110"/>
      <c r="B75" s="110"/>
      <c r="C75" s="110"/>
      <c r="D75" s="131" t="str">
        <f>IF(MasterSheet!$A$1=1,MasterSheet!C127,MasterSheet!B127)</f>
        <v>Transferi institucijama pojedinicima nevladinom i javnom sektoru</v>
      </c>
      <c r="E75" s="344">
        <f>SUM(E76:E80)</f>
        <v>48400132.840000004</v>
      </c>
      <c r="F75" s="136">
        <f t="shared" si="12"/>
        <v>2.2523213197449858</v>
      </c>
      <c r="G75" s="344">
        <f>SUM(G76:G80)</f>
        <v>57507793.979999997</v>
      </c>
      <c r="H75" s="135">
        <f t="shared" si="1"/>
        <v>2.145412944599888</v>
      </c>
      <c r="I75" s="344">
        <f>SUM(I76:I80)</f>
        <v>213711795.17000002</v>
      </c>
      <c r="J75" s="136">
        <f t="shared" si="2"/>
        <v>6.9261017361291159</v>
      </c>
      <c r="K75" s="344">
        <f>SUM(K76:K80)</f>
        <v>204672473.13999999</v>
      </c>
      <c r="L75" s="135">
        <f t="shared" si="3"/>
        <v>6.8658998034216694</v>
      </c>
      <c r="M75" s="344">
        <f>SUM(M76:M80)</f>
        <v>174638922.39000002</v>
      </c>
      <c r="N75" s="136">
        <f t="shared" si="4"/>
        <v>5.6262539429768044</v>
      </c>
      <c r="O75" s="344">
        <f>SUM(O76:O80)</f>
        <v>87914180.150000006</v>
      </c>
      <c r="P75" s="135">
        <f t="shared" si="5"/>
        <v>2.7184347603586891</v>
      </c>
      <c r="Q75" s="993">
        <f>SUM(Q76:Q80)</f>
        <v>31512266.289999995</v>
      </c>
      <c r="R75" s="646">
        <f t="shared" si="6"/>
        <v>1.0007070908224831</v>
      </c>
      <c r="S75" s="344">
        <f>SUM(S76:S80)</f>
        <v>91880698.230000004</v>
      </c>
      <c r="T75" s="646">
        <f t="shared" si="7"/>
        <v>2.6124736488484506</v>
      </c>
      <c r="U75" s="792">
        <f>SUM(U76:U80)</f>
        <v>95480698.230000004</v>
      </c>
      <c r="V75" s="779">
        <f t="shared" si="8"/>
        <v>2.7148336147284615</v>
      </c>
      <c r="W75" s="793">
        <f t="shared" si="25"/>
        <v>3600000</v>
      </c>
      <c r="X75" s="794">
        <f t="shared" si="24"/>
        <v>0.10235996588001095</v>
      </c>
      <c r="Y75" s="792">
        <f>SUM(Y76:Y80)</f>
        <v>25839423.721000001</v>
      </c>
      <c r="Z75" s="779">
        <f t="shared" si="10"/>
        <v>0.69181857352074971</v>
      </c>
      <c r="AA75" s="792">
        <f>SUM(AA76:AA80)</f>
        <v>25712141.477449998</v>
      </c>
      <c r="AB75" s="779">
        <f t="shared" si="11"/>
        <v>0.64570922846433954</v>
      </c>
      <c r="AC75" s="792">
        <f>SUM(AC76:AC80)</f>
        <v>25907921.07908725</v>
      </c>
      <c r="AD75" s="779">
        <f t="shared" si="0"/>
        <v>0.60745418708293675</v>
      </c>
      <c r="AE75" s="120"/>
      <c r="AF75" s="120"/>
      <c r="AG75" s="120"/>
      <c r="AH75" s="120"/>
      <c r="AI75" s="102"/>
      <c r="AJ75" s="102"/>
      <c r="AK75" s="102"/>
      <c r="AL75" s="102"/>
      <c r="AM75" s="103"/>
      <c r="AN75" s="35"/>
      <c r="AO75" s="35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</row>
    <row r="76" spans="1:54" ht="15" customHeight="1">
      <c r="A76" s="110"/>
      <c r="B76" s="110"/>
      <c r="C76" s="110"/>
      <c r="D76" s="130" t="str">
        <f>IF(MasterSheet!$A$1=1,MasterSheet!C128,MasterSheet!B128)</f>
        <v>Transferi javnim institucijama</v>
      </c>
      <c r="E76" s="345">
        <v>24580394.890000001</v>
      </c>
      <c r="F76" s="137">
        <f t="shared" si="12"/>
        <v>1.1438594113267253</v>
      </c>
      <c r="G76" s="345">
        <v>30859655.299999997</v>
      </c>
      <c r="H76" s="138">
        <f t="shared" si="1"/>
        <v>1.1512648871479201</v>
      </c>
      <c r="I76" s="345">
        <v>186049189.96000001</v>
      </c>
      <c r="J76" s="137">
        <f t="shared" si="2"/>
        <v>6.0295952151931553</v>
      </c>
      <c r="K76" s="345">
        <v>204672473.13999999</v>
      </c>
      <c r="L76" s="138">
        <f t="shared" si="3"/>
        <v>6.8658998034216694</v>
      </c>
      <c r="M76" s="345">
        <v>153781612.11000001</v>
      </c>
      <c r="N76" s="137">
        <f t="shared" si="4"/>
        <v>4.954304513853093</v>
      </c>
      <c r="O76" s="345">
        <v>68686902.969999999</v>
      </c>
      <c r="P76" s="138">
        <f t="shared" si="5"/>
        <v>2.1238992878787877</v>
      </c>
      <c r="Q76" s="991">
        <v>13467068.969999999</v>
      </c>
      <c r="R76" s="644">
        <f t="shared" si="6"/>
        <v>0.42766176468720229</v>
      </c>
      <c r="S76" s="643">
        <v>70676472.049999997</v>
      </c>
      <c r="T76" s="644">
        <f t="shared" si="7"/>
        <v>2.0095670187659938</v>
      </c>
      <c r="U76" s="785">
        <f>70676472.05+2900000+200000+500000</f>
        <v>74276472.049999997</v>
      </c>
      <c r="V76" s="782">
        <f t="shared" si="8"/>
        <v>2.1119269846460051</v>
      </c>
      <c r="W76" s="793">
        <f t="shared" si="25"/>
        <v>3600000</v>
      </c>
      <c r="X76" s="784">
        <f t="shared" si="24"/>
        <v>0.10235996588001139</v>
      </c>
      <c r="Y76" s="785">
        <v>13443778.85</v>
      </c>
      <c r="Z76" s="782">
        <f t="shared" si="10"/>
        <v>0.35994053145916999</v>
      </c>
      <c r="AA76" s="785">
        <v>13443778.85</v>
      </c>
      <c r="AB76" s="782">
        <f t="shared" si="11"/>
        <v>0.33761373304871922</v>
      </c>
      <c r="AC76" s="785">
        <f>+AA76*1.01</f>
        <v>13578216.638499999</v>
      </c>
      <c r="AD76" s="782">
        <f t="shared" si="0"/>
        <v>0.31836381332942554</v>
      </c>
      <c r="AE76" s="120"/>
      <c r="AF76" s="120"/>
      <c r="AG76" s="120"/>
      <c r="AH76" s="120"/>
      <c r="AI76" s="102"/>
      <c r="AJ76" s="102"/>
      <c r="AK76" s="102"/>
      <c r="AL76" s="102"/>
      <c r="AM76" s="103"/>
      <c r="AN76" s="35"/>
      <c r="AO76" s="35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</row>
    <row r="77" spans="1:54" ht="15" customHeight="1">
      <c r="A77" s="110"/>
      <c r="B77" s="110"/>
      <c r="C77" s="110"/>
      <c r="D77" s="130" t="str">
        <f>IF(MasterSheet!$A$1=1,MasterSheet!C129,MasterSheet!B129)</f>
        <v>Transferi nevladinim organizacijama</v>
      </c>
      <c r="E77" s="345">
        <v>3574431.37</v>
      </c>
      <c r="F77" s="137">
        <f t="shared" si="12"/>
        <v>0.16633772488249804</v>
      </c>
      <c r="G77" s="345">
        <v>7039265.6799999988</v>
      </c>
      <c r="H77" s="138">
        <f t="shared" si="1"/>
        <v>0.26261017272896842</v>
      </c>
      <c r="I77" s="345">
        <v>8424788.2100000009</v>
      </c>
      <c r="J77" s="137">
        <f t="shared" si="2"/>
        <v>0.27303565627430648</v>
      </c>
      <c r="K77" s="345"/>
      <c r="L77" s="138">
        <f t="shared" si="3"/>
        <v>0</v>
      </c>
      <c r="M77" s="345">
        <v>4286887.0199999996</v>
      </c>
      <c r="N77" s="137">
        <f t="shared" si="4"/>
        <v>0.13810847358247422</v>
      </c>
      <c r="O77" s="345">
        <v>4915342.76</v>
      </c>
      <c r="P77" s="138">
        <f t="shared" si="5"/>
        <v>0.15198957204700062</v>
      </c>
      <c r="Q77" s="991">
        <v>4589753.04</v>
      </c>
      <c r="R77" s="644">
        <f t="shared" si="6"/>
        <v>0.14575271641791043</v>
      </c>
      <c r="S77" s="643">
        <v>2534626.1800000002</v>
      </c>
      <c r="T77" s="644">
        <f t="shared" si="7"/>
        <v>7.2067847028717658E-2</v>
      </c>
      <c r="U77" s="785">
        <v>2534626.1800000002</v>
      </c>
      <c r="V77" s="782">
        <f t="shared" si="8"/>
        <v>7.2067847028717658E-2</v>
      </c>
      <c r="W77" s="793"/>
      <c r="X77" s="784">
        <f t="shared" si="24"/>
        <v>0</v>
      </c>
      <c r="Y77" s="785">
        <v>2545644.8710000003</v>
      </c>
      <c r="Z77" s="782">
        <f t="shared" si="10"/>
        <v>6.8156489183400282E-2</v>
      </c>
      <c r="AA77" s="785">
        <v>2418362.6274500005</v>
      </c>
      <c r="AB77" s="782">
        <f t="shared" si="11"/>
        <v>6.073236131215471E-2</v>
      </c>
      <c r="AC77" s="785">
        <f>+AA77*1.005</f>
        <v>2430454.4405872501</v>
      </c>
      <c r="AD77" s="782">
        <f t="shared" si="0"/>
        <v>5.6986036121623687E-2</v>
      </c>
      <c r="AE77" s="120"/>
      <c r="AF77" s="120"/>
      <c r="AG77" s="120"/>
      <c r="AH77" s="120"/>
      <c r="AI77" s="102"/>
      <c r="AJ77" s="102"/>
      <c r="AK77" s="102"/>
      <c r="AL77" s="102"/>
      <c r="AM77" s="103"/>
      <c r="AN77" s="35"/>
      <c r="AO77" s="35"/>
      <c r="AP77" s="96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</row>
    <row r="78" spans="1:54" ht="15" customHeight="1">
      <c r="A78" s="110"/>
      <c r="B78" s="110"/>
      <c r="C78" s="110"/>
      <c r="D78" s="130" t="str">
        <f>IF(MasterSheet!$A$1=1,MasterSheet!C130,MasterSheet!B130)</f>
        <v>Transferi pojedincima</v>
      </c>
      <c r="E78" s="345">
        <v>20245306.579999998</v>
      </c>
      <c r="F78" s="137">
        <f t="shared" si="12"/>
        <v>0.94212418353576233</v>
      </c>
      <c r="G78" s="345">
        <v>16556151.310000001</v>
      </c>
      <c r="H78" s="138">
        <f t="shared" si="1"/>
        <v>0.61765160641671335</v>
      </c>
      <c r="I78" s="345">
        <v>16902417.300000001</v>
      </c>
      <c r="J78" s="137">
        <f t="shared" si="2"/>
        <v>0.54778381190044079</v>
      </c>
      <c r="K78" s="345"/>
      <c r="L78" s="138">
        <f t="shared" si="3"/>
        <v>0</v>
      </c>
      <c r="M78" s="345">
        <v>15666835.189999999</v>
      </c>
      <c r="N78" s="137">
        <f t="shared" si="4"/>
        <v>0.50473051514175249</v>
      </c>
      <c r="O78" s="345">
        <v>13244846.4</v>
      </c>
      <c r="P78" s="138">
        <f t="shared" si="5"/>
        <v>0.40954998144712429</v>
      </c>
      <c r="Q78" s="991">
        <v>12608423.289999999</v>
      </c>
      <c r="R78" s="644">
        <f t="shared" si="6"/>
        <v>0.40039451540171478</v>
      </c>
      <c r="S78" s="643">
        <v>18419600</v>
      </c>
      <c r="T78" s="644">
        <f t="shared" si="7"/>
        <v>0.52373045208984925</v>
      </c>
      <c r="U78" s="785">
        <v>18419600</v>
      </c>
      <c r="V78" s="782">
        <f t="shared" si="8"/>
        <v>0.52373045208984925</v>
      </c>
      <c r="W78" s="793"/>
      <c r="X78" s="784">
        <f t="shared" si="24"/>
        <v>0</v>
      </c>
      <c r="Y78" s="785">
        <v>9100000</v>
      </c>
      <c r="Z78" s="782">
        <f t="shared" si="10"/>
        <v>0.24364123159303885</v>
      </c>
      <c r="AA78" s="785">
        <v>9100000</v>
      </c>
      <c r="AB78" s="782">
        <f t="shared" si="11"/>
        <v>0.2285283776996484</v>
      </c>
      <c r="AC78" s="785">
        <f>+AA78*1.005</f>
        <v>9145499.9999999981</v>
      </c>
      <c r="AD78" s="782">
        <f t="shared" si="0"/>
        <v>0.21443141852286046</v>
      </c>
      <c r="AE78" s="120"/>
      <c r="AF78" s="120"/>
      <c r="AG78" s="120"/>
      <c r="AH78" s="120"/>
      <c r="AI78" s="102"/>
      <c r="AJ78" s="102"/>
      <c r="AK78" s="102"/>
      <c r="AL78" s="102"/>
      <c r="AM78" s="103"/>
      <c r="AN78" s="35"/>
      <c r="AO78" s="35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</row>
    <row r="79" spans="1:54" ht="15" customHeight="1">
      <c r="A79" s="110"/>
      <c r="B79" s="110"/>
      <c r="C79" s="110"/>
      <c r="D79" s="130" t="str">
        <f>IF(MasterSheet!$A$1=1,MasterSheet!C131,MasterSheet!B131)</f>
        <v>Transferi opštinama</v>
      </c>
      <c r="E79" s="345"/>
      <c r="F79" s="137">
        <f t="shared" si="12"/>
        <v>0</v>
      </c>
      <c r="G79" s="345">
        <v>2094166.36</v>
      </c>
      <c r="H79" s="138">
        <f t="shared" si="1"/>
        <v>7.8125960082074244E-2</v>
      </c>
      <c r="I79" s="345">
        <v>2285399.7000000002</v>
      </c>
      <c r="J79" s="137">
        <f t="shared" si="2"/>
        <v>7.4066622374902788E-2</v>
      </c>
      <c r="K79" s="345"/>
      <c r="L79" s="138">
        <f t="shared" si="3"/>
        <v>0</v>
      </c>
      <c r="M79" s="345">
        <v>903588.07</v>
      </c>
      <c r="N79" s="137">
        <f t="shared" si="4"/>
        <v>2.911044039948453E-2</v>
      </c>
      <c r="O79" s="345">
        <v>1067088.02</v>
      </c>
      <c r="P79" s="138">
        <f t="shared" si="5"/>
        <v>3.2995918985776126E-2</v>
      </c>
      <c r="Q79" s="991">
        <v>847020.99</v>
      </c>
      <c r="R79" s="644">
        <f t="shared" si="6"/>
        <v>2.6898094315655763E-2</v>
      </c>
      <c r="S79" s="643">
        <v>250000</v>
      </c>
      <c r="T79" s="644">
        <f t="shared" si="7"/>
        <v>7.1083309638896785E-3</v>
      </c>
      <c r="U79" s="785">
        <v>250000</v>
      </c>
      <c r="V79" s="782">
        <f t="shared" si="8"/>
        <v>7.1083309638896785E-3</v>
      </c>
      <c r="W79" s="793"/>
      <c r="X79" s="784">
        <f t="shared" si="24"/>
        <v>0</v>
      </c>
      <c r="Y79" s="785">
        <v>750000</v>
      </c>
      <c r="Z79" s="782">
        <f t="shared" si="10"/>
        <v>2.0080321285140562E-2</v>
      </c>
      <c r="AA79" s="785">
        <v>750000</v>
      </c>
      <c r="AB79" s="782">
        <f t="shared" si="11"/>
        <v>1.8834756403817179E-2</v>
      </c>
      <c r="AC79" s="785">
        <f>+AA79*1.005</f>
        <v>753749.99999999988</v>
      </c>
      <c r="AD79" s="782">
        <f t="shared" si="0"/>
        <v>1.7672919109026963E-2</v>
      </c>
      <c r="AE79" s="120"/>
      <c r="AF79" s="120"/>
      <c r="AG79" s="120"/>
      <c r="AH79" s="120"/>
      <c r="AI79" s="102"/>
      <c r="AJ79" s="102"/>
      <c r="AK79" s="102"/>
      <c r="AL79" s="102"/>
      <c r="AM79" s="103"/>
      <c r="AN79" s="37"/>
      <c r="AO79" s="37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</row>
    <row r="80" spans="1:54" ht="15" customHeight="1" thickBot="1">
      <c r="A80" s="110"/>
      <c r="B80" s="110"/>
      <c r="C80" s="110"/>
      <c r="D80" s="130" t="str">
        <f>IF(MasterSheet!$A$1=1,MasterSheet!C132,MasterSheet!B132)</f>
        <v>Transferi javnim preduzećima</v>
      </c>
      <c r="E80" s="345">
        <v>0</v>
      </c>
      <c r="F80" s="137">
        <f t="shared" si="12"/>
        <v>0</v>
      </c>
      <c r="G80" s="345">
        <v>958555.33</v>
      </c>
      <c r="H80" s="138">
        <f t="shared" si="1"/>
        <v>3.5760318224211898E-2</v>
      </c>
      <c r="I80" s="345">
        <v>50000</v>
      </c>
      <c r="J80" s="137">
        <f t="shared" si="2"/>
        <v>1.6204303863106039E-3</v>
      </c>
      <c r="K80" s="345"/>
      <c r="L80" s="138">
        <f t="shared" si="3"/>
        <v>0</v>
      </c>
      <c r="M80" s="345">
        <v>0</v>
      </c>
      <c r="N80" s="137">
        <f t="shared" si="4"/>
        <v>0</v>
      </c>
      <c r="O80" s="345"/>
      <c r="P80" s="138">
        <f t="shared" si="5"/>
        <v>0</v>
      </c>
      <c r="Q80" s="991">
        <v>0</v>
      </c>
      <c r="R80" s="644">
        <f t="shared" si="6"/>
        <v>0</v>
      </c>
      <c r="S80" s="643">
        <v>0</v>
      </c>
      <c r="T80" s="644">
        <f t="shared" si="7"/>
        <v>0</v>
      </c>
      <c r="U80" s="785">
        <v>0</v>
      </c>
      <c r="V80" s="782">
        <f t="shared" si="8"/>
        <v>0</v>
      </c>
      <c r="W80" s="793"/>
      <c r="X80" s="784">
        <f t="shared" si="24"/>
        <v>0</v>
      </c>
      <c r="Y80" s="785">
        <v>0</v>
      </c>
      <c r="Z80" s="782">
        <f t="shared" si="10"/>
        <v>0</v>
      </c>
      <c r="AA80" s="785">
        <v>0</v>
      </c>
      <c r="AB80" s="782">
        <f t="shared" si="11"/>
        <v>0</v>
      </c>
      <c r="AC80" s="785">
        <f t="shared" ref="AC80" si="27">+AA80*1.01</f>
        <v>0</v>
      </c>
      <c r="AD80" s="782">
        <f t="shared" si="0"/>
        <v>0</v>
      </c>
      <c r="AE80" s="120"/>
      <c r="AF80" s="120"/>
      <c r="AG80" s="120"/>
      <c r="AH80" s="120"/>
      <c r="AI80" s="102"/>
      <c r="AJ80" s="102"/>
      <c r="AK80" s="102"/>
      <c r="AL80" s="102"/>
      <c r="AM80" s="103"/>
      <c r="AN80" s="37"/>
      <c r="AO80" s="37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</row>
    <row r="81" spans="1:54" ht="15" customHeight="1" thickTop="1" thickBot="1">
      <c r="A81" s="110"/>
      <c r="B81" s="110"/>
      <c r="C81" s="110"/>
      <c r="D81" s="165" t="str">
        <f>IF(MasterSheet!$A$1=1,MasterSheet!C133,MasterSheet!B133)</f>
        <v>Kapitalni budžet</v>
      </c>
      <c r="E81" s="343">
        <v>0</v>
      </c>
      <c r="F81" s="166">
        <f t="shared" si="12"/>
        <v>0</v>
      </c>
      <c r="G81" s="343">
        <v>82459238.990000024</v>
      </c>
      <c r="H81" s="167">
        <f t="shared" si="1"/>
        <v>3.076263346017535</v>
      </c>
      <c r="I81" s="343">
        <v>73370859.459999993</v>
      </c>
      <c r="J81" s="166">
        <f t="shared" si="2"/>
        <v>2.3778474027741763</v>
      </c>
      <c r="K81" s="343">
        <v>112364696.64</v>
      </c>
      <c r="L81" s="167">
        <f t="shared" si="3"/>
        <v>3.7693625172760821</v>
      </c>
      <c r="M81" s="343">
        <v>63250368.810000002</v>
      </c>
      <c r="N81" s="166">
        <f t="shared" si="4"/>
        <v>2.0377051807345361</v>
      </c>
      <c r="O81" s="343">
        <v>67115187.969999999</v>
      </c>
      <c r="P81" s="167">
        <f t="shared" si="5"/>
        <v>2.0752995661719229</v>
      </c>
      <c r="Q81" s="989">
        <v>58737973.279999994</v>
      </c>
      <c r="R81" s="648">
        <f t="shared" si="6"/>
        <v>1.8652897199110827</v>
      </c>
      <c r="S81" s="647">
        <v>65639000</v>
      </c>
      <c r="T81" s="648">
        <f t="shared" si="7"/>
        <v>1.8663349445550186</v>
      </c>
      <c r="U81" s="774">
        <v>65639000</v>
      </c>
      <c r="V81" s="775">
        <f t="shared" si="8"/>
        <v>1.8663349445550186</v>
      </c>
      <c r="W81" s="776">
        <f>+U81-S81</f>
        <v>0</v>
      </c>
      <c r="X81" s="777">
        <f t="shared" si="24"/>
        <v>0</v>
      </c>
      <c r="Y81" s="774">
        <v>68000000</v>
      </c>
      <c r="Z81" s="775">
        <f t="shared" si="10"/>
        <v>1.820615796519411</v>
      </c>
      <c r="AA81" s="774">
        <v>72080000</v>
      </c>
      <c r="AB81" s="775">
        <f t="shared" si="11"/>
        <v>1.810145655449523</v>
      </c>
      <c r="AC81" s="774">
        <f>+AA81*1.025</f>
        <v>73882000</v>
      </c>
      <c r="AD81" s="775">
        <f t="shared" si="0"/>
        <v>1.7322860492379837</v>
      </c>
      <c r="AE81" s="120"/>
      <c r="AF81" s="120"/>
      <c r="AG81" s="120"/>
      <c r="AH81" s="120"/>
      <c r="AI81" s="102"/>
      <c r="AJ81" s="102"/>
      <c r="AK81" s="102"/>
      <c r="AL81" s="102"/>
      <c r="AM81" s="103"/>
      <c r="AN81" s="37"/>
      <c r="AO81" s="37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</row>
    <row r="82" spans="1:54" ht="15" customHeight="1" thickTop="1">
      <c r="A82" s="110"/>
      <c r="B82" s="110"/>
      <c r="C82" s="110"/>
      <c r="D82" s="132" t="str">
        <f>IF(MasterSheet!$A$1=1,MasterSheet!C134,MasterSheet!B134)</f>
        <v>Pozajmice i krediti</v>
      </c>
      <c r="E82" s="344">
        <v>15376170.280000001</v>
      </c>
      <c r="F82" s="136">
        <f t="shared" si="12"/>
        <v>0.71553679929266145</v>
      </c>
      <c r="G82" s="344">
        <v>7854938.71</v>
      </c>
      <c r="H82" s="135">
        <f t="shared" si="1"/>
        <v>0.29304005633277375</v>
      </c>
      <c r="I82" s="344">
        <v>62542537.890000001</v>
      </c>
      <c r="J82" s="136">
        <f t="shared" si="2"/>
        <v>2.026916576678766</v>
      </c>
      <c r="K82" s="344">
        <v>17652930.710000001</v>
      </c>
      <c r="L82" s="135">
        <f t="shared" si="3"/>
        <v>0.59218150654142909</v>
      </c>
      <c r="M82" s="344">
        <v>4074638.38</v>
      </c>
      <c r="N82" s="136">
        <f t="shared" si="4"/>
        <v>0.13127056636597936</v>
      </c>
      <c r="O82" s="344">
        <v>2091768.6</v>
      </c>
      <c r="P82" s="135">
        <f t="shared" si="5"/>
        <v>6.4680538033395185E-2</v>
      </c>
      <c r="Q82" s="990">
        <v>1775633.69</v>
      </c>
      <c r="R82" s="646">
        <f t="shared" si="6"/>
        <v>5.6387224198158142E-2</v>
      </c>
      <c r="S82" s="645">
        <v>1720000</v>
      </c>
      <c r="T82" s="646">
        <f t="shared" si="7"/>
        <v>4.8905317031560987E-2</v>
      </c>
      <c r="U82" s="778">
        <f>1720000+100000</f>
        <v>1820000</v>
      </c>
      <c r="V82" s="779">
        <f t="shared" si="8"/>
        <v>5.1748649417116856E-2</v>
      </c>
      <c r="W82" s="780">
        <f>+U82-S82</f>
        <v>100000</v>
      </c>
      <c r="X82" s="781">
        <f t="shared" si="24"/>
        <v>2.843332385555869E-3</v>
      </c>
      <c r="Y82" s="778">
        <v>1350000</v>
      </c>
      <c r="Z82" s="779">
        <f t="shared" si="10"/>
        <v>3.614457831325301E-2</v>
      </c>
      <c r="AA82" s="778">
        <v>1350000</v>
      </c>
      <c r="AB82" s="779">
        <f t="shared" si="11"/>
        <v>3.390256152687092E-2</v>
      </c>
      <c r="AC82" s="778">
        <f>+AA82*1.005</f>
        <v>1356749.9999999998</v>
      </c>
      <c r="AD82" s="779">
        <f t="shared" si="0"/>
        <v>3.1811254396248531E-2</v>
      </c>
      <c r="AE82" s="120"/>
      <c r="AF82" s="120"/>
      <c r="AG82" s="120"/>
      <c r="AH82" s="120"/>
      <c r="AI82" s="102"/>
      <c r="AJ82" s="102"/>
      <c r="AK82" s="102"/>
      <c r="AL82" s="102"/>
      <c r="AM82" s="103"/>
      <c r="AN82" s="37"/>
      <c r="AO82" s="37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</row>
    <row r="83" spans="1:54" ht="15" customHeight="1" thickBot="1">
      <c r="A83" s="110"/>
      <c r="B83" s="110"/>
      <c r="C83" s="110"/>
      <c r="D83" s="133" t="str">
        <f>IF(MasterSheet!$A$1=1,MasterSheet!C135,MasterSheet!B135)</f>
        <v>Rezerve</v>
      </c>
      <c r="E83" s="346">
        <v>27204434.309999999</v>
      </c>
      <c r="F83" s="139">
        <f t="shared" si="12"/>
        <v>1.2659702317464749</v>
      </c>
      <c r="G83" s="346">
        <v>10844803.16</v>
      </c>
      <c r="H83" s="140">
        <f t="shared" si="1"/>
        <v>0.40458135273269918</v>
      </c>
      <c r="I83" s="346">
        <v>12437562.109999999</v>
      </c>
      <c r="J83" s="139">
        <f t="shared" si="2"/>
        <v>0.40308407149338865</v>
      </c>
      <c r="K83" s="346">
        <v>10901702.15</v>
      </c>
      <c r="L83" s="140">
        <f t="shared" si="3"/>
        <v>0.36570621100301914</v>
      </c>
      <c r="M83" s="346">
        <v>12589952.310000001</v>
      </c>
      <c r="N83" s="139">
        <f t="shared" si="4"/>
        <v>0.40560413369845366</v>
      </c>
      <c r="O83" s="346">
        <v>11789476.779999999</v>
      </c>
      <c r="P83" s="140">
        <f t="shared" si="5"/>
        <v>0.36454782869511437</v>
      </c>
      <c r="Q83" s="994">
        <v>18078018.460000001</v>
      </c>
      <c r="R83" s="657">
        <f t="shared" si="6"/>
        <v>0.57408759796760878</v>
      </c>
      <c r="S83" s="656">
        <v>7356069.5800000001</v>
      </c>
      <c r="T83" s="657">
        <f t="shared" si="7"/>
        <v>0.20915750867216376</v>
      </c>
      <c r="U83" s="795">
        <v>7356069.5800000001</v>
      </c>
      <c r="V83" s="796">
        <f t="shared" si="8"/>
        <v>0.20915750867216376</v>
      </c>
      <c r="W83" s="797">
        <f>+U83-S83</f>
        <v>0</v>
      </c>
      <c r="X83" s="798">
        <f t="shared" si="24"/>
        <v>0</v>
      </c>
      <c r="Y83" s="795">
        <v>8000000</v>
      </c>
      <c r="Z83" s="796">
        <f t="shared" si="10"/>
        <v>0.214190093708166</v>
      </c>
      <c r="AA83" s="795">
        <v>8000000</v>
      </c>
      <c r="AB83" s="796">
        <f t="shared" si="11"/>
        <v>0.20090406830738325</v>
      </c>
      <c r="AC83" s="778">
        <f>+AA83*1.005</f>
        <v>8039999.9999999991</v>
      </c>
      <c r="AD83" s="796">
        <f t="shared" si="0"/>
        <v>0.18851113716295426</v>
      </c>
      <c r="AE83" s="110"/>
      <c r="AF83" s="110"/>
      <c r="AG83" s="110"/>
      <c r="AH83" s="110"/>
      <c r="AM83" s="96"/>
      <c r="AN83" s="106"/>
      <c r="AO83" s="10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</row>
    <row r="84" spans="1:54" ht="15" customHeight="1" thickTop="1" thickBot="1">
      <c r="A84" s="110"/>
      <c r="B84" s="110"/>
      <c r="C84" s="110"/>
      <c r="D84" s="566" t="str">
        <f>IF(MasterSheet!$A$1=1,MasterSheet!C143,MasterSheet!B143)</f>
        <v>Otplata garancija</v>
      </c>
      <c r="E84" s="567">
        <v>1050939.44</v>
      </c>
      <c r="F84" s="568">
        <f>E84/$E$15*100</f>
        <v>4.8905925822513845E-2</v>
      </c>
      <c r="G84" s="567">
        <v>0</v>
      </c>
      <c r="H84" s="569">
        <f>G84/$G$15*100</f>
        <v>0</v>
      </c>
      <c r="I84" s="567">
        <v>0</v>
      </c>
      <c r="J84" s="568">
        <f>I84/$I$15*100</f>
        <v>0</v>
      </c>
      <c r="K84" s="567">
        <v>1769093.84</v>
      </c>
      <c r="L84" s="569">
        <f>K84/$K$15*100</f>
        <v>5.9345650452868166E-2</v>
      </c>
      <c r="M84" s="567">
        <v>0</v>
      </c>
      <c r="N84" s="568">
        <f>M84/$M$15*100</f>
        <v>0</v>
      </c>
      <c r="O84" s="567">
        <v>33915163.380000003</v>
      </c>
      <c r="P84" s="569">
        <f>O84/$O$15*100</f>
        <v>1.0487063506493508</v>
      </c>
      <c r="Q84" s="995">
        <v>24719832.629999999</v>
      </c>
      <c r="R84" s="659">
        <f t="shared" si="6"/>
        <v>0.78500579961892658</v>
      </c>
      <c r="S84" s="658">
        <v>0</v>
      </c>
      <c r="T84" s="659">
        <f t="shared" si="7"/>
        <v>0</v>
      </c>
      <c r="U84" s="799">
        <v>0</v>
      </c>
      <c r="V84" s="800">
        <f t="shared" si="8"/>
        <v>0</v>
      </c>
      <c r="W84" s="801">
        <v>0</v>
      </c>
      <c r="X84" s="802">
        <f t="shared" si="24"/>
        <v>0</v>
      </c>
      <c r="Y84" s="799">
        <v>0</v>
      </c>
      <c r="Z84" s="800">
        <f t="shared" si="10"/>
        <v>0</v>
      </c>
      <c r="AA84" s="799">
        <v>0</v>
      </c>
      <c r="AB84" s="800">
        <f t="shared" si="11"/>
        <v>0</v>
      </c>
      <c r="AC84" s="799">
        <v>0</v>
      </c>
      <c r="AD84" s="800">
        <f t="shared" ref="AD84:AD98" si="28">+AC84/$AC$15*100</f>
        <v>0</v>
      </c>
      <c r="AE84" s="110"/>
      <c r="AF84" s="110"/>
      <c r="AG84" s="110"/>
      <c r="AH84" s="110"/>
      <c r="AM84" s="96"/>
      <c r="AN84" s="104"/>
      <c r="AO84" s="98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96"/>
      <c r="BA84" s="96"/>
      <c r="BB84" s="96"/>
    </row>
    <row r="85" spans="1:54" ht="15" customHeight="1" thickTop="1" thickBot="1">
      <c r="A85" s="110"/>
      <c r="B85" s="110"/>
      <c r="C85" s="110"/>
      <c r="D85" s="129" t="str">
        <f>IF(MasterSheet!$A$1=1,MasterSheet!C136,MasterSheet!B136)</f>
        <v>Neto povećanje obaveza</v>
      </c>
      <c r="E85" s="344">
        <v>0</v>
      </c>
      <c r="F85" s="136">
        <f t="shared" si="12"/>
        <v>0</v>
      </c>
      <c r="G85" s="344">
        <v>0</v>
      </c>
      <c r="H85" s="570">
        <f t="shared" si="1"/>
        <v>0</v>
      </c>
      <c r="I85" s="344">
        <v>0</v>
      </c>
      <c r="J85" s="136">
        <f t="shared" si="2"/>
        <v>0</v>
      </c>
      <c r="K85" s="344">
        <v>29123695.350000001</v>
      </c>
      <c r="L85" s="135">
        <f t="shared" si="3"/>
        <v>0.97697736833277427</v>
      </c>
      <c r="M85" s="344">
        <v>29801618.829999998</v>
      </c>
      <c r="N85" s="136">
        <f t="shared" si="4"/>
        <v>0.9601036994201031</v>
      </c>
      <c r="O85" s="344">
        <v>29193708.800000001</v>
      </c>
      <c r="P85" s="135">
        <f t="shared" si="5"/>
        <v>0.90271208410636994</v>
      </c>
      <c r="Q85" s="990">
        <v>33114247.129999999</v>
      </c>
      <c r="R85" s="646">
        <f t="shared" ref="R85:R98" si="29">Q85/$Q$15*100</f>
        <v>1.0515797754842806</v>
      </c>
      <c r="S85" s="645">
        <v>0</v>
      </c>
      <c r="T85" s="646">
        <f t="shared" ref="T85:T98" si="30">S85/$S$15*100</f>
        <v>0</v>
      </c>
      <c r="U85" s="778">
        <v>0</v>
      </c>
      <c r="V85" s="779">
        <f t="shared" ref="V85:V98" si="31">+U85/$U$15*100</f>
        <v>0</v>
      </c>
      <c r="W85" s="780">
        <v>0</v>
      </c>
      <c r="X85" s="781">
        <f t="shared" si="24"/>
        <v>0</v>
      </c>
      <c r="Y85" s="778">
        <v>0</v>
      </c>
      <c r="Z85" s="779">
        <f t="shared" ref="Z85:Z98" si="32">Y85/$Y$15*100</f>
        <v>0</v>
      </c>
      <c r="AA85" s="778">
        <v>0</v>
      </c>
      <c r="AB85" s="779">
        <f t="shared" ref="AB85:AB98" si="33">+AA85/$AA$15*100</f>
        <v>0</v>
      </c>
      <c r="AC85" s="778">
        <v>0</v>
      </c>
      <c r="AD85" s="779">
        <f t="shared" si="28"/>
        <v>0</v>
      </c>
      <c r="AE85" s="110"/>
      <c r="AF85" s="110"/>
      <c r="AG85" s="110"/>
      <c r="AH85" s="110"/>
      <c r="AM85" s="96"/>
      <c r="AN85" s="106"/>
      <c r="AO85" s="10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</row>
    <row r="86" spans="1:54" s="95" customFormat="1" ht="15" customHeight="1" thickTop="1" thickBot="1">
      <c r="A86" s="110"/>
      <c r="B86" s="110"/>
      <c r="C86" s="110"/>
      <c r="D86" s="165" t="str">
        <f>IF(MasterSheet!$A$1=1,MasterSheet!C137,MasterSheet!B137)</f>
        <v>Suficit/ Deficit</v>
      </c>
      <c r="E86" s="343">
        <f>E20-E52</f>
        <v>73188874.719999671</v>
      </c>
      <c r="F86" s="166">
        <f t="shared" ref="F86:F98" si="34">E86/$E$15*100</f>
        <v>3.405876249243784</v>
      </c>
      <c r="G86" s="343">
        <f>G20-G52</f>
        <v>176962896.35999978</v>
      </c>
      <c r="H86" s="167">
        <f t="shared" ref="H86:H98" si="35">G86/$G$15*100</f>
        <v>6.6018614571908145</v>
      </c>
      <c r="I86" s="343">
        <f>I20-I52</f>
        <v>15169918.549999714</v>
      </c>
      <c r="J86" s="166">
        <f t="shared" ref="J86:J98" si="36">I86/$I$15*100</f>
        <v>0.4916359395255287</v>
      </c>
      <c r="K86" s="343">
        <f>K20-K52</f>
        <v>-132095524.94449973</v>
      </c>
      <c r="L86" s="167">
        <f t="shared" ref="L86:L98" si="37">K86/$K$15*100</f>
        <v>-4.4312487401710747</v>
      </c>
      <c r="M86" s="343">
        <f>M20-M52</f>
        <v>-112243831.35999966</v>
      </c>
      <c r="N86" s="166">
        <f t="shared" ref="N86:N98" si="38">M86/$M$15*100</f>
        <v>-3.616102814432979</v>
      </c>
      <c r="O86" s="343">
        <f>O20-O52</f>
        <v>-189673594.41000009</v>
      </c>
      <c r="P86" s="167">
        <f t="shared" ref="P86:P98" si="39">O86/$O$15*100</f>
        <v>-5.8649843664192982</v>
      </c>
      <c r="Q86" s="992">
        <f>Q20-Q52</f>
        <v>-195556242.4800005</v>
      </c>
      <c r="R86" s="648">
        <f t="shared" si="29"/>
        <v>-6.2101061441727685</v>
      </c>
      <c r="S86" s="343">
        <f>S20-S52</f>
        <v>-95315715.988766193</v>
      </c>
      <c r="T86" s="648">
        <f t="shared" si="30"/>
        <v>-2.7101426212330448</v>
      </c>
      <c r="U86" s="789">
        <f>U20-U52</f>
        <v>-79868270.895499468</v>
      </c>
      <c r="V86" s="775">
        <f t="shared" si="31"/>
        <v>-2.2709204121552307</v>
      </c>
      <c r="W86" s="790">
        <f>+U86-S86</f>
        <v>15447445.093266726</v>
      </c>
      <c r="X86" s="791">
        <f t="shared" si="24"/>
        <v>0.43922220907781417</v>
      </c>
      <c r="Y86" s="789">
        <f>Y20-Y52</f>
        <v>-49071948.630894899</v>
      </c>
      <c r="Z86" s="775">
        <f t="shared" si="32"/>
        <v>-1.3138406594617109</v>
      </c>
      <c r="AA86" s="789">
        <f>AA20-AA52</f>
        <v>-39473044.137861967</v>
      </c>
      <c r="AB86" s="775">
        <f t="shared" si="33"/>
        <v>-0.99128689447167162</v>
      </c>
      <c r="AC86" s="789">
        <f>AC20-AC52</f>
        <v>-32433102.649104834</v>
      </c>
      <c r="AD86" s="775">
        <f t="shared" si="28"/>
        <v>-0.76044789329671358</v>
      </c>
      <c r="AE86" s="110"/>
      <c r="AF86" s="110"/>
      <c r="AG86" s="110"/>
      <c r="AH86" s="110"/>
      <c r="AM86" s="94"/>
      <c r="AN86" s="107"/>
      <c r="AO86" s="98"/>
      <c r="AP86" s="94"/>
      <c r="AQ86" s="94"/>
      <c r="AR86" s="94"/>
      <c r="AS86" s="94"/>
      <c r="AT86" s="94"/>
      <c r="AU86" s="94"/>
      <c r="AV86" s="94"/>
      <c r="AW86" s="94"/>
      <c r="AX86" s="94"/>
      <c r="AY86" s="94"/>
      <c r="AZ86" s="94"/>
      <c r="BA86" s="94"/>
      <c r="BB86" s="94"/>
    </row>
    <row r="87" spans="1:54" s="95" customFormat="1" ht="15" customHeight="1" thickTop="1" thickBot="1">
      <c r="A87" s="110"/>
      <c r="B87" s="110"/>
      <c r="C87" s="110"/>
      <c r="D87" s="165" t="str">
        <f>IF(MasterSheet!$A$1=1,MasterSheet!C138,MasterSheet!B138)</f>
        <v>Primarni deficit</v>
      </c>
      <c r="E87" s="343">
        <f>E86+E64</f>
        <v>96587868.779999673</v>
      </c>
      <c r="F87" s="166">
        <f t="shared" si="34"/>
        <v>4.4947586569872806</v>
      </c>
      <c r="G87" s="343">
        <f>G86+G64</f>
        <v>204061825.83999977</v>
      </c>
      <c r="H87" s="167">
        <f t="shared" si="35"/>
        <v>7.6128269293042257</v>
      </c>
      <c r="I87" s="343">
        <f>I86+I64</f>
        <v>37701912.389999717</v>
      </c>
      <c r="J87" s="166">
        <f t="shared" si="36"/>
        <v>1.2218664891755158</v>
      </c>
      <c r="K87" s="343">
        <f>K86+K64</f>
        <v>-107583496.30449973</v>
      </c>
      <c r="L87" s="167">
        <f t="shared" si="37"/>
        <v>-3.6089733748574213</v>
      </c>
      <c r="M87" s="343">
        <f>M86+M64</f>
        <v>-81987552.889999658</v>
      </c>
      <c r="N87" s="166">
        <f t="shared" si="38"/>
        <v>-2.6413515750644221</v>
      </c>
      <c r="O87" s="343">
        <f>O86+O64</f>
        <v>-144581244.38000008</v>
      </c>
      <c r="P87" s="167">
        <f t="shared" si="39"/>
        <v>-4.4706630915275225</v>
      </c>
      <c r="Q87" s="992">
        <f>Q86+Q64</f>
        <v>-138696387.9400005</v>
      </c>
      <c r="R87" s="648">
        <f t="shared" si="29"/>
        <v>-4.4044581752937599</v>
      </c>
      <c r="S87" s="343">
        <f>S86+S64</f>
        <v>-24912108.688766196</v>
      </c>
      <c r="T87" s="648">
        <f t="shared" si="30"/>
        <v>-0.70833405427256735</v>
      </c>
      <c r="U87" s="789">
        <f>U86+U64</f>
        <v>-9464663.5954994708</v>
      </c>
      <c r="V87" s="775">
        <f t="shared" si="31"/>
        <v>-0.26911184519475323</v>
      </c>
      <c r="W87" s="790">
        <f t="shared" ref="W87:W88" si="40">+U87-S87</f>
        <v>15447445.093266726</v>
      </c>
      <c r="X87" s="791">
        <f t="shared" si="24"/>
        <v>0.43922220907781412</v>
      </c>
      <c r="Y87" s="789">
        <f>Y86+Y64</f>
        <v>36359585.791803002</v>
      </c>
      <c r="Z87" s="775">
        <f t="shared" si="32"/>
        <v>0.97348288599204835</v>
      </c>
      <c r="AA87" s="789">
        <f>AA86+AA64</f>
        <v>62477917.46210894</v>
      </c>
      <c r="AB87" s="775">
        <f t="shared" si="33"/>
        <v>1.5690084746888231</v>
      </c>
      <c r="AC87" s="789">
        <f>AC86+AC64</f>
        <v>88517858.950866073</v>
      </c>
      <c r="AD87" s="775">
        <f t="shared" si="28"/>
        <v>2.0754480410519598</v>
      </c>
      <c r="AE87" s="110"/>
      <c r="AF87" s="110"/>
      <c r="AG87" s="110"/>
      <c r="AH87" s="110"/>
      <c r="AM87" s="94"/>
      <c r="AN87" s="107"/>
      <c r="AO87" s="98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4"/>
      <c r="BB87" s="94"/>
    </row>
    <row r="88" spans="1:54" s="95" customFormat="1" ht="15" customHeight="1" thickTop="1" thickBot="1">
      <c r="A88" s="110"/>
      <c r="B88" s="110"/>
      <c r="C88" s="110"/>
      <c r="D88" s="165" t="str">
        <f>IF(MasterSheet!$A$1=1,MasterSheet!C139,MasterSheet!B139)</f>
        <v>Otplata duga</v>
      </c>
      <c r="E88" s="343">
        <f>SUM(E89:E91)</f>
        <v>104045865.95999999</v>
      </c>
      <c r="F88" s="166">
        <f t="shared" si="34"/>
        <v>4.841819812927544</v>
      </c>
      <c r="G88" s="343">
        <f>SUM(G89:G91)</f>
        <v>160963531.41999999</v>
      </c>
      <c r="H88" s="167">
        <f t="shared" si="35"/>
        <v>6.0049815862712181</v>
      </c>
      <c r="I88" s="343">
        <f>SUM(I89:I91)</f>
        <v>122913293.86</v>
      </c>
      <c r="J88" s="166">
        <f t="shared" si="36"/>
        <v>3.9834487250453723</v>
      </c>
      <c r="K88" s="343">
        <f>SUM(K89:K91)</f>
        <v>151220956.42000002</v>
      </c>
      <c r="L88" s="167">
        <f t="shared" si="37"/>
        <v>5.0728264481717549</v>
      </c>
      <c r="M88" s="343">
        <f>SUM(M89:M91)</f>
        <v>186013130.75999999</v>
      </c>
      <c r="N88" s="166">
        <f t="shared" si="38"/>
        <v>5.9926910682989689</v>
      </c>
      <c r="O88" s="343">
        <f>SUM(O89:O91)</f>
        <v>132767747.19999999</v>
      </c>
      <c r="P88" s="167">
        <f t="shared" si="39"/>
        <v>4.1053725170068018</v>
      </c>
      <c r="Q88" s="989">
        <f>SUM(Q89:Q91)</f>
        <v>135439484.43000001</v>
      </c>
      <c r="R88" s="648">
        <f t="shared" si="29"/>
        <v>4.3010315792315019</v>
      </c>
      <c r="S88" s="647">
        <f>SUM(S89:S91)</f>
        <v>118677132</v>
      </c>
      <c r="T88" s="648">
        <f t="shared" si="30"/>
        <v>3.3743853284048906</v>
      </c>
      <c r="U88" s="774">
        <f>SUM(U89:U91)</f>
        <v>118677132</v>
      </c>
      <c r="V88" s="775">
        <f t="shared" si="31"/>
        <v>3.3743853284048906</v>
      </c>
      <c r="W88" s="790">
        <f t="shared" si="40"/>
        <v>0</v>
      </c>
      <c r="X88" s="777">
        <f t="shared" si="24"/>
        <v>0</v>
      </c>
      <c r="Y88" s="774">
        <f>SUM(Y89:Y91)</f>
        <v>137500000</v>
      </c>
      <c r="Z88" s="775">
        <f t="shared" si="32"/>
        <v>3.6813922356091031</v>
      </c>
      <c r="AA88" s="774">
        <f>SUM(AA89:AA91)</f>
        <v>340000000</v>
      </c>
      <c r="AB88" s="775">
        <f t="shared" si="33"/>
        <v>8.5384229030637879</v>
      </c>
      <c r="AC88" s="774">
        <f>SUM(AC89:AC91)</f>
        <v>309100000</v>
      </c>
      <c r="AD88" s="775">
        <f t="shared" si="28"/>
        <v>7.2473622508792497</v>
      </c>
      <c r="AE88" s="110"/>
      <c r="AF88" s="110"/>
      <c r="AG88" s="110"/>
      <c r="AH88" s="110"/>
      <c r="AM88" s="94"/>
      <c r="AN88" s="107"/>
      <c r="AO88" s="98"/>
      <c r="AP88" s="94"/>
      <c r="AQ88" s="94"/>
      <c r="AR88" s="94"/>
      <c r="AS88" s="94"/>
      <c r="AT88" s="94"/>
      <c r="AU88" s="94"/>
      <c r="AV88" s="94"/>
      <c r="AW88" s="94"/>
      <c r="AX88" s="94"/>
      <c r="AY88" s="94"/>
      <c r="AZ88" s="94"/>
      <c r="BA88" s="94"/>
      <c r="BB88" s="94"/>
    </row>
    <row r="89" spans="1:54" s="95" customFormat="1" ht="15" customHeight="1" thickTop="1">
      <c r="A89" s="110"/>
      <c r="B89" s="110"/>
      <c r="C89" s="110"/>
      <c r="D89" s="130" t="str">
        <f>IF(MasterSheet!$A$1=1,MasterSheet!C140,MasterSheet!B140)</f>
        <v>Otplata duga rezidentima</v>
      </c>
      <c r="E89" s="345">
        <v>34109764.159999996</v>
      </c>
      <c r="F89" s="137">
        <f t="shared" si="34"/>
        <v>1.5873127721159661</v>
      </c>
      <c r="G89" s="345">
        <v>23247139.440000001</v>
      </c>
      <c r="H89" s="138">
        <f t="shared" si="35"/>
        <v>0.86726877224398446</v>
      </c>
      <c r="I89" s="345">
        <v>48375025.880000003</v>
      </c>
      <c r="J89" s="137">
        <f t="shared" si="36"/>
        <v>1.5677672374902776</v>
      </c>
      <c r="K89" s="345">
        <v>68898727.290000007</v>
      </c>
      <c r="L89" s="138">
        <f t="shared" si="37"/>
        <v>2.3112622371687355</v>
      </c>
      <c r="M89" s="345">
        <v>56807566.530000001</v>
      </c>
      <c r="N89" s="137">
        <f t="shared" si="38"/>
        <v>1.8301406742912374</v>
      </c>
      <c r="O89" s="345">
        <v>31950887.579999998</v>
      </c>
      <c r="P89" s="138">
        <f t="shared" si="39"/>
        <v>0.98796807606679038</v>
      </c>
      <c r="Q89" s="991">
        <v>77940832.650000006</v>
      </c>
      <c r="R89" s="644">
        <f t="shared" si="29"/>
        <v>2.4750978929818994</v>
      </c>
      <c r="S89" s="643">
        <v>23800000</v>
      </c>
      <c r="T89" s="644">
        <f t="shared" si="30"/>
        <v>0.67671310776229743</v>
      </c>
      <c r="U89" s="785">
        <v>23800000</v>
      </c>
      <c r="V89" s="782">
        <f t="shared" si="31"/>
        <v>0.67671310776229743</v>
      </c>
      <c r="W89" s="783">
        <f>+U89-S89</f>
        <v>0</v>
      </c>
      <c r="X89" s="784">
        <f t="shared" si="24"/>
        <v>0</v>
      </c>
      <c r="Y89" s="785">
        <v>24600000</v>
      </c>
      <c r="Z89" s="782">
        <f t="shared" si="32"/>
        <v>0.65863453815261042</v>
      </c>
      <c r="AA89" s="785">
        <v>27600000</v>
      </c>
      <c r="AB89" s="782">
        <f t="shared" si="33"/>
        <v>0.69311903566047206</v>
      </c>
      <c r="AC89" s="785">
        <v>22500000</v>
      </c>
      <c r="AD89" s="782">
        <f t="shared" si="28"/>
        <v>0.52754982415005858</v>
      </c>
      <c r="AE89" s="110"/>
      <c r="AF89" s="110"/>
      <c r="AG89" s="110"/>
      <c r="AH89" s="110"/>
      <c r="AM89" s="94"/>
      <c r="AN89" s="107"/>
      <c r="AO89" s="98"/>
      <c r="AP89" s="94"/>
      <c r="AQ89" s="94"/>
      <c r="AR89" s="94"/>
      <c r="AS89" s="94"/>
      <c r="AT89" s="94"/>
      <c r="AU89" s="94"/>
      <c r="AV89" s="94"/>
      <c r="AW89" s="94"/>
      <c r="AX89" s="94"/>
      <c r="AY89" s="94"/>
      <c r="AZ89" s="94"/>
      <c r="BA89" s="94"/>
      <c r="BB89" s="94"/>
    </row>
    <row r="90" spans="1:54" s="95" customFormat="1" ht="15" customHeight="1">
      <c r="A90" s="110"/>
      <c r="B90" s="110"/>
      <c r="C90" s="110"/>
      <c r="D90" s="130" t="str">
        <f>IF(MasterSheet!$A$1=1,MasterSheet!C141,MasterSheet!B141)</f>
        <v>Otplata duga nerezidentima</v>
      </c>
      <c r="E90" s="345">
        <v>14260035.939999999</v>
      </c>
      <c r="F90" s="137">
        <f t="shared" si="34"/>
        <v>0.66359700032574798</v>
      </c>
      <c r="G90" s="345">
        <v>84151518.439999998</v>
      </c>
      <c r="H90" s="138">
        <f t="shared" si="35"/>
        <v>3.1393963230740534</v>
      </c>
      <c r="I90" s="345">
        <v>16762329.57</v>
      </c>
      <c r="J90" s="137">
        <f t="shared" si="36"/>
        <v>0.5432437636116153</v>
      </c>
      <c r="K90" s="345">
        <v>25402765.82</v>
      </c>
      <c r="L90" s="138">
        <f t="shared" si="37"/>
        <v>0.8521558477021135</v>
      </c>
      <c r="M90" s="345">
        <v>45342776.32</v>
      </c>
      <c r="N90" s="137">
        <f t="shared" si="38"/>
        <v>1.4607853195876288</v>
      </c>
      <c r="O90" s="345">
        <v>59510365.689999998</v>
      </c>
      <c r="P90" s="138">
        <f t="shared" si="39"/>
        <v>1.8401473620902906</v>
      </c>
      <c r="Q90" s="991">
        <v>54874811.390000001</v>
      </c>
      <c r="R90" s="644">
        <f t="shared" si="29"/>
        <v>1.7426107141949827</v>
      </c>
      <c r="S90" s="643">
        <v>62700000</v>
      </c>
      <c r="T90" s="644">
        <f t="shared" si="30"/>
        <v>1.7827694057435315</v>
      </c>
      <c r="U90" s="785">
        <v>62700000</v>
      </c>
      <c r="V90" s="782">
        <f t="shared" si="31"/>
        <v>1.7827694057435315</v>
      </c>
      <c r="W90" s="783">
        <f t="shared" ref="W90:W98" si="41">+U90-S90</f>
        <v>0</v>
      </c>
      <c r="X90" s="784">
        <f t="shared" si="24"/>
        <v>0</v>
      </c>
      <c r="Y90" s="785">
        <v>95000000</v>
      </c>
      <c r="Z90" s="782">
        <f t="shared" si="32"/>
        <v>2.5435073627844713</v>
      </c>
      <c r="AA90" s="785">
        <v>294900000</v>
      </c>
      <c r="AB90" s="782">
        <f t="shared" si="33"/>
        <v>7.4058262179809136</v>
      </c>
      <c r="AC90" s="785">
        <v>271900000</v>
      </c>
      <c r="AD90" s="782">
        <f t="shared" si="28"/>
        <v>6.3751465416178199</v>
      </c>
      <c r="AE90" s="110"/>
      <c r="AF90" s="110"/>
      <c r="AG90" s="110"/>
      <c r="AH90" s="110"/>
      <c r="AM90" s="94"/>
      <c r="AN90" s="107"/>
      <c r="AO90" s="98"/>
      <c r="AP90" s="94"/>
      <c r="AQ90" s="94"/>
      <c r="AR90" s="94"/>
      <c r="AS90" s="94"/>
      <c r="AT90" s="94"/>
      <c r="AU90" s="94"/>
      <c r="AV90" s="94"/>
      <c r="AW90" s="94"/>
      <c r="AX90" s="94"/>
      <c r="AY90" s="94"/>
      <c r="AZ90" s="94"/>
      <c r="BA90" s="94"/>
      <c r="BB90" s="94"/>
    </row>
    <row r="91" spans="1:54" s="95" customFormat="1" ht="15" customHeight="1" thickBot="1">
      <c r="A91" s="110"/>
      <c r="B91" s="110"/>
      <c r="C91" s="110"/>
      <c r="D91" s="130" t="str">
        <f>IF(MasterSheet!$A$1=1,MasterSheet!C142,MasterSheet!B142)</f>
        <v>Otplata obaveza iz prethodnog perioda</v>
      </c>
      <c r="E91" s="345">
        <v>55676065.859999999</v>
      </c>
      <c r="F91" s="137">
        <f t="shared" si="34"/>
        <v>2.5909100404858298</v>
      </c>
      <c r="G91" s="345">
        <v>53564873.539999999</v>
      </c>
      <c r="H91" s="138">
        <f t="shared" si="35"/>
        <v>1.9983164909531801</v>
      </c>
      <c r="I91" s="345">
        <v>57775938.409999996</v>
      </c>
      <c r="J91" s="137">
        <f t="shared" si="36"/>
        <v>1.8724377239434791</v>
      </c>
      <c r="K91" s="345">
        <v>56919463.310000002</v>
      </c>
      <c r="L91" s="138">
        <f t="shared" si="37"/>
        <v>1.909408363300906</v>
      </c>
      <c r="M91" s="345">
        <v>83862787.909999996</v>
      </c>
      <c r="N91" s="137">
        <f t="shared" si="38"/>
        <v>2.7017650744201029</v>
      </c>
      <c r="O91" s="345">
        <v>41306493.93</v>
      </c>
      <c r="P91" s="138">
        <f t="shared" si="39"/>
        <v>1.2772570788497217</v>
      </c>
      <c r="Q91" s="991">
        <v>2623840.39</v>
      </c>
      <c r="R91" s="644">
        <f t="shared" si="29"/>
        <v>8.3322972054620512E-2</v>
      </c>
      <c r="S91" s="643">
        <v>32177132</v>
      </c>
      <c r="T91" s="644">
        <f t="shared" si="30"/>
        <v>0.91490281489906167</v>
      </c>
      <c r="U91" s="785">
        <v>32177132</v>
      </c>
      <c r="V91" s="782">
        <f t="shared" si="31"/>
        <v>0.91490281489906167</v>
      </c>
      <c r="W91" s="783">
        <f t="shared" si="41"/>
        <v>0</v>
      </c>
      <c r="X91" s="784">
        <f t="shared" si="24"/>
        <v>0</v>
      </c>
      <c r="Y91" s="785">
        <v>17900000</v>
      </c>
      <c r="Z91" s="782">
        <f t="shared" si="32"/>
        <v>0.47925033467202144</v>
      </c>
      <c r="AA91" s="785">
        <v>17500000</v>
      </c>
      <c r="AB91" s="782">
        <f t="shared" si="33"/>
        <v>0.43947764942240075</v>
      </c>
      <c r="AC91" s="785">
        <v>14700000</v>
      </c>
      <c r="AD91" s="782">
        <f t="shared" si="28"/>
        <v>0.34466588511137164</v>
      </c>
      <c r="AE91" s="110"/>
      <c r="AF91" s="110"/>
      <c r="AG91" s="110"/>
      <c r="AH91" s="110"/>
      <c r="AM91" s="94"/>
      <c r="AN91" s="107"/>
      <c r="AO91" s="98"/>
      <c r="AP91" s="94"/>
      <c r="AQ91" s="94"/>
      <c r="AR91" s="94"/>
      <c r="AS91" s="94"/>
      <c r="AT91" s="94"/>
      <c r="AU91" s="94"/>
      <c r="AV91" s="94"/>
      <c r="AW91" s="94"/>
      <c r="AX91" s="94"/>
      <c r="AY91" s="94"/>
      <c r="AZ91" s="94"/>
      <c r="BA91" s="94"/>
      <c r="BB91" s="94"/>
    </row>
    <row r="92" spans="1:54" ht="15" customHeight="1" thickTop="1" thickBot="1">
      <c r="A92" s="110"/>
      <c r="B92" s="110"/>
      <c r="C92" s="110"/>
      <c r="D92" s="165" t="str">
        <f>IF(MasterSheet!$A$1=1,MasterSheet!C144,MasterSheet!B144)</f>
        <v>Nedostajuća sredstva</v>
      </c>
      <c r="E92" s="343">
        <f>E86-E88</f>
        <v>-30856991.240000322</v>
      </c>
      <c r="F92" s="166">
        <f t="shared" si="34"/>
        <v>-1.4359435636837603</v>
      </c>
      <c r="G92" s="343">
        <f>G86-G88</f>
        <v>15999364.939999789</v>
      </c>
      <c r="H92" s="167">
        <f t="shared" si="35"/>
        <v>0.59687987091959671</v>
      </c>
      <c r="I92" s="343">
        <f>I86-I88</f>
        <v>-107743375.31000029</v>
      </c>
      <c r="J92" s="166">
        <f t="shared" si="36"/>
        <v>-3.4918127855198433</v>
      </c>
      <c r="K92" s="343">
        <f>K86-K88</f>
        <v>-283316481.36449975</v>
      </c>
      <c r="L92" s="167">
        <f t="shared" si="37"/>
        <v>-9.5040751883428296</v>
      </c>
      <c r="M92" s="343">
        <f>M86-M88</f>
        <v>-298256962.11999965</v>
      </c>
      <c r="N92" s="166">
        <f t="shared" si="38"/>
        <v>-9.6087938827319483</v>
      </c>
      <c r="O92" s="343">
        <f>O86-O88</f>
        <v>-322441341.61000007</v>
      </c>
      <c r="P92" s="167">
        <f t="shared" si="39"/>
        <v>-9.9703568834260992</v>
      </c>
      <c r="Q92" s="989">
        <f>Q86-Q88</f>
        <v>-330995726.9100005</v>
      </c>
      <c r="R92" s="648">
        <f t="shared" si="29"/>
        <v>-10.511137723404271</v>
      </c>
      <c r="S92" s="647">
        <f>S86-S88</f>
        <v>-213992847.98876619</v>
      </c>
      <c r="T92" s="648">
        <f t="shared" si="30"/>
        <v>-6.0845279496379359</v>
      </c>
      <c r="U92" s="774">
        <f>U86-U88</f>
        <v>-198545402.89549947</v>
      </c>
      <c r="V92" s="775">
        <f t="shared" si="31"/>
        <v>-5.6453057405601212</v>
      </c>
      <c r="W92" s="790">
        <f t="shared" si="41"/>
        <v>15447445.093266726</v>
      </c>
      <c r="X92" s="777">
        <f t="shared" si="24"/>
        <v>0.43922220907781462</v>
      </c>
      <c r="Y92" s="774">
        <f>Y86-Y88</f>
        <v>-186571948.6308949</v>
      </c>
      <c r="Z92" s="775">
        <f t="shared" si="32"/>
        <v>-4.9952328950708145</v>
      </c>
      <c r="AA92" s="774">
        <f>AA86-AA88</f>
        <v>-379473044.13786197</v>
      </c>
      <c r="AB92" s="775">
        <f t="shared" si="33"/>
        <v>-9.5297097975354585</v>
      </c>
      <c r="AC92" s="774">
        <f>AC86-AC88</f>
        <v>-341533102.64910483</v>
      </c>
      <c r="AD92" s="775">
        <f t="shared" si="28"/>
        <v>-8.0078101441759628</v>
      </c>
      <c r="AE92" s="110"/>
      <c r="AF92" s="110"/>
      <c r="AG92" s="110"/>
      <c r="AH92" s="110"/>
      <c r="AM92" s="96"/>
      <c r="AN92" s="35"/>
      <c r="AO92" s="98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</row>
    <row r="93" spans="1:54" ht="15" customHeight="1" thickTop="1" thickBot="1">
      <c r="A93" s="110"/>
      <c r="B93" s="110"/>
      <c r="C93" s="110"/>
      <c r="D93" s="165" t="str">
        <f>IF(MasterSheet!$A$1=1,MasterSheet!C145,MasterSheet!B145)</f>
        <v>Finansiranje</v>
      </c>
      <c r="E93" s="343">
        <f>SUM(E94:E98)</f>
        <v>30856991.240000322</v>
      </c>
      <c r="F93" s="166">
        <f t="shared" si="34"/>
        <v>1.4359435636837603</v>
      </c>
      <c r="G93" s="343">
        <f>SUM(G94:G98)</f>
        <v>-15999364.939999789</v>
      </c>
      <c r="H93" s="167">
        <f t="shared" si="35"/>
        <v>-0.59687987091959671</v>
      </c>
      <c r="I93" s="343">
        <f>SUM(I94:I98)</f>
        <v>107743375.31000027</v>
      </c>
      <c r="J93" s="166">
        <f t="shared" si="36"/>
        <v>3.4918127855198424</v>
      </c>
      <c r="K93" s="343">
        <f>SUM(K94:K98)</f>
        <v>283316481.36449975</v>
      </c>
      <c r="L93" s="167">
        <f t="shared" si="37"/>
        <v>9.5040751883428296</v>
      </c>
      <c r="M93" s="343">
        <f>SUM(M94:M98)</f>
        <v>298256962.11999965</v>
      </c>
      <c r="N93" s="166">
        <f t="shared" si="38"/>
        <v>9.6087938827319483</v>
      </c>
      <c r="O93" s="343">
        <f>SUM(O94:O98)</f>
        <v>322441341.61000007</v>
      </c>
      <c r="P93" s="167">
        <f>O93/$O$15*100</f>
        <v>9.9703568834260992</v>
      </c>
      <c r="Q93" s="989">
        <f>SUM(Q94:Q98)</f>
        <v>330995726.9100005</v>
      </c>
      <c r="R93" s="648">
        <f t="shared" si="29"/>
        <v>10.511137723404271</v>
      </c>
      <c r="S93" s="647">
        <f>SUM(S94:S98)</f>
        <v>213992847.98876619</v>
      </c>
      <c r="T93" s="648">
        <f t="shared" si="30"/>
        <v>6.0845279496379359</v>
      </c>
      <c r="U93" s="774">
        <f>SUM(U94:U98)</f>
        <v>198545402.89549947</v>
      </c>
      <c r="V93" s="775">
        <f t="shared" si="31"/>
        <v>5.6453057405601212</v>
      </c>
      <c r="W93" s="790">
        <f t="shared" si="41"/>
        <v>-15447445.093266726</v>
      </c>
      <c r="X93" s="777">
        <f t="shared" si="24"/>
        <v>-0.43922220907781462</v>
      </c>
      <c r="Y93" s="774">
        <f>SUM(Y94:Y98)</f>
        <v>186571948.6308949</v>
      </c>
      <c r="Z93" s="775">
        <f t="shared" si="32"/>
        <v>4.9952328950708145</v>
      </c>
      <c r="AA93" s="774">
        <f>SUM(AA94:AA98)</f>
        <v>379473044.13786197</v>
      </c>
      <c r="AB93" s="775">
        <f t="shared" si="33"/>
        <v>9.5297097975354585</v>
      </c>
      <c r="AC93" s="774">
        <f>SUM(AC94:AC98)</f>
        <v>341533102.64910483</v>
      </c>
      <c r="AD93" s="775">
        <f t="shared" si="28"/>
        <v>8.0078101441759628</v>
      </c>
      <c r="AE93" s="110"/>
      <c r="AF93" s="110"/>
      <c r="AG93" s="110"/>
      <c r="AH93" s="110"/>
      <c r="AM93" s="96"/>
      <c r="AN93" s="36"/>
      <c r="AO93" s="98"/>
      <c r="AP93" s="96"/>
      <c r="AQ93" s="96"/>
      <c r="AR93" s="96"/>
      <c r="AS93" s="96"/>
      <c r="AT93" s="96"/>
      <c r="AU93" s="96"/>
      <c r="AV93" s="96"/>
      <c r="AW93" s="96"/>
      <c r="AX93" s="96"/>
      <c r="AY93" s="96"/>
      <c r="AZ93" s="96"/>
      <c r="BA93" s="96"/>
      <c r="BB93" s="96"/>
    </row>
    <row r="94" spans="1:54" ht="15" customHeight="1" thickTop="1">
      <c r="A94" s="110"/>
      <c r="B94" s="110"/>
      <c r="C94" s="110"/>
      <c r="D94" s="130" t="str">
        <f>IF(MasterSheet!$A$1=1,MasterSheet!C146,MasterSheet!B146)</f>
        <v>Pozajmice i krediti iz domaćih izvora</v>
      </c>
      <c r="E94" s="345">
        <v>10687379.58</v>
      </c>
      <c r="F94" s="137">
        <f t="shared" si="34"/>
        <v>0.49734187630880911</v>
      </c>
      <c r="G94" s="345">
        <v>8315797</v>
      </c>
      <c r="H94" s="138">
        <f t="shared" si="35"/>
        <v>0.31023305353478825</v>
      </c>
      <c r="I94" s="345">
        <v>7657882.2599999998</v>
      </c>
      <c r="J94" s="137">
        <f t="shared" si="36"/>
        <v>0.24818130217785844</v>
      </c>
      <c r="K94" s="345">
        <v>108130460.73</v>
      </c>
      <c r="L94" s="138">
        <f t="shared" si="37"/>
        <v>3.6273217286145591</v>
      </c>
      <c r="M94" s="345">
        <v>20068251.93</v>
      </c>
      <c r="N94" s="137">
        <f t="shared" si="38"/>
        <v>0.64652873485824736</v>
      </c>
      <c r="O94" s="345">
        <v>47000000</v>
      </c>
      <c r="P94" s="138">
        <f t="shared" si="39"/>
        <v>1.453308596165739</v>
      </c>
      <c r="Q94" s="991">
        <v>63454375.850000001</v>
      </c>
      <c r="R94" s="644">
        <f t="shared" si="29"/>
        <v>2.015064333121626</v>
      </c>
      <c r="S94" s="643">
        <v>0</v>
      </c>
      <c r="T94" s="644">
        <f t="shared" si="30"/>
        <v>0</v>
      </c>
      <c r="U94" s="785">
        <v>0</v>
      </c>
      <c r="V94" s="782">
        <f t="shared" si="31"/>
        <v>0</v>
      </c>
      <c r="W94" s="783">
        <f t="shared" si="41"/>
        <v>0</v>
      </c>
      <c r="X94" s="784">
        <f t="shared" si="24"/>
        <v>0</v>
      </c>
      <c r="Y94" s="785">
        <v>0</v>
      </c>
      <c r="Z94" s="782">
        <f t="shared" si="32"/>
        <v>0</v>
      </c>
      <c r="AA94" s="785">
        <v>0</v>
      </c>
      <c r="AB94" s="782">
        <f t="shared" si="33"/>
        <v>0</v>
      </c>
      <c r="AC94" s="785">
        <v>0</v>
      </c>
      <c r="AD94" s="782">
        <f t="shared" si="28"/>
        <v>0</v>
      </c>
      <c r="AE94" s="110"/>
      <c r="AF94" s="110"/>
      <c r="AG94" s="110"/>
      <c r="AH94" s="110"/>
      <c r="AM94" s="96"/>
      <c r="AN94" s="36"/>
      <c r="AO94" s="98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</row>
    <row r="95" spans="1:54" ht="15" customHeight="1">
      <c r="A95" s="110"/>
      <c r="B95" s="110"/>
      <c r="C95" s="110"/>
      <c r="D95" s="130" t="str">
        <f>IF(MasterSheet!$A$1=1,MasterSheet!C147,MasterSheet!B147)</f>
        <v>Pozajmice i krediti iz inostranih izvora</v>
      </c>
      <c r="E95" s="345">
        <v>13153290.85</v>
      </c>
      <c r="F95" s="137">
        <f t="shared" si="34"/>
        <v>0.61209413420819947</v>
      </c>
      <c r="G95" s="345">
        <v>1996377.48</v>
      </c>
      <c r="H95" s="138">
        <f t="shared" si="35"/>
        <v>7.4477801902630106E-2</v>
      </c>
      <c r="I95" s="345">
        <v>2981267.98</v>
      </c>
      <c r="J95" s="137">
        <f t="shared" si="36"/>
        <v>9.6618744490536687E-2</v>
      </c>
      <c r="K95" s="345">
        <v>148637806.47</v>
      </c>
      <c r="L95" s="138">
        <f t="shared" si="37"/>
        <v>4.9861726424018791</v>
      </c>
      <c r="M95" s="345">
        <v>205658070.65000001</v>
      </c>
      <c r="N95" s="137">
        <f t="shared" si="38"/>
        <v>6.6255821730025772</v>
      </c>
      <c r="O95" s="345">
        <v>187652611.97999999</v>
      </c>
      <c r="P95" s="138">
        <f t="shared" si="39"/>
        <v>5.8024926400742114</v>
      </c>
      <c r="Q95" s="991">
        <v>258129375.97</v>
      </c>
      <c r="R95" s="644">
        <f t="shared" si="29"/>
        <v>8.1971856452842182</v>
      </c>
      <c r="S95" s="643">
        <v>205992847.98876619</v>
      </c>
      <c r="T95" s="644">
        <f t="shared" si="30"/>
        <v>5.8570613587934659</v>
      </c>
      <c r="U95" s="785">
        <v>205992847.98876619</v>
      </c>
      <c r="V95" s="782">
        <f t="shared" si="31"/>
        <v>5.8570613587934659</v>
      </c>
      <c r="W95" s="783">
        <f t="shared" si="41"/>
        <v>0</v>
      </c>
      <c r="X95" s="784">
        <f t="shared" si="24"/>
        <v>0</v>
      </c>
      <c r="Y95" s="785">
        <v>199849187.87401962</v>
      </c>
      <c r="Z95" s="782">
        <f t="shared" si="32"/>
        <v>5.3507145347796419</v>
      </c>
      <c r="AA95" s="785">
        <v>365428469.13957024</v>
      </c>
      <c r="AB95" s="782">
        <f t="shared" si="33"/>
        <v>9.1770082656848366</v>
      </c>
      <c r="AC95" s="785">
        <v>356000000</v>
      </c>
      <c r="AD95" s="782">
        <f t="shared" si="28"/>
        <v>8.3470105509964831</v>
      </c>
      <c r="AE95" s="110"/>
      <c r="AF95" s="110"/>
      <c r="AG95" s="110"/>
      <c r="AH95" s="110"/>
      <c r="AM95" s="96"/>
      <c r="AN95" s="37"/>
      <c r="AO95" s="98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</row>
    <row r="96" spans="1:54" ht="15" customHeight="1">
      <c r="A96" s="110"/>
      <c r="B96" s="110"/>
      <c r="C96" s="110"/>
      <c r="D96" s="130" t="str">
        <f>IF(MasterSheet!$A$1=1,MasterSheet!C148,MasterSheet!B148)</f>
        <v>Donacije</v>
      </c>
      <c r="E96" s="345">
        <v>189875.77</v>
      </c>
      <c r="F96" s="137">
        <f t="shared" si="34"/>
        <v>8.8359518823584154E-3</v>
      </c>
      <c r="G96" s="345">
        <v>86112.85</v>
      </c>
      <c r="H96" s="138">
        <f t="shared" si="35"/>
        <v>3.2125666853199033E-3</v>
      </c>
      <c r="I96" s="345">
        <v>2235692.06</v>
      </c>
      <c r="J96" s="137">
        <f t="shared" si="36"/>
        <v>7.2455666969147001E-2</v>
      </c>
      <c r="K96" s="345">
        <v>6019555.9299999997</v>
      </c>
      <c r="L96" s="138">
        <f t="shared" si="37"/>
        <v>0.20193075914122777</v>
      </c>
      <c r="M96" s="345">
        <v>5128633.8</v>
      </c>
      <c r="N96" s="137">
        <f t="shared" si="38"/>
        <v>0.16522660438144329</v>
      </c>
      <c r="O96" s="345">
        <v>4014349.98</v>
      </c>
      <c r="P96" s="138">
        <f t="shared" si="39"/>
        <v>0.12412956029684601</v>
      </c>
      <c r="Q96" s="991">
        <v>5037276.03</v>
      </c>
      <c r="R96" s="644">
        <f t="shared" si="29"/>
        <v>0.15996430708161322</v>
      </c>
      <c r="S96" s="643">
        <v>0</v>
      </c>
      <c r="T96" s="644">
        <f t="shared" si="30"/>
        <v>0</v>
      </c>
      <c r="U96" s="785">
        <v>0</v>
      </c>
      <c r="V96" s="782">
        <f t="shared" si="31"/>
        <v>0</v>
      </c>
      <c r="W96" s="783">
        <f t="shared" si="41"/>
        <v>0</v>
      </c>
      <c r="X96" s="784">
        <f t="shared" si="24"/>
        <v>0</v>
      </c>
      <c r="Y96" s="785">
        <v>0</v>
      </c>
      <c r="Z96" s="782">
        <f t="shared" si="32"/>
        <v>0</v>
      </c>
      <c r="AA96" s="785">
        <v>0</v>
      </c>
      <c r="AB96" s="782">
        <f t="shared" si="33"/>
        <v>0</v>
      </c>
      <c r="AC96" s="785">
        <v>0</v>
      </c>
      <c r="AD96" s="782">
        <f t="shared" si="28"/>
        <v>0</v>
      </c>
      <c r="AE96" s="110"/>
      <c r="AF96" s="110"/>
      <c r="AG96" s="110"/>
      <c r="AH96" s="110"/>
      <c r="AM96" s="96"/>
      <c r="AN96" s="106"/>
      <c r="AO96" s="98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</row>
    <row r="97" spans="1:54" s="95" customFormat="1">
      <c r="D97" s="957" t="str">
        <f>IF(MasterSheet!$A$1=1,MasterSheet!C149,MasterSheet!B149)</f>
        <v>Prihodi od privatizacije</v>
      </c>
      <c r="E97" s="958">
        <v>20434516.259999998</v>
      </c>
      <c r="F97" s="959">
        <f t="shared" si="34"/>
        <v>0.95092913862906592</v>
      </c>
      <c r="G97" s="958">
        <v>27533307.520000003</v>
      </c>
      <c r="H97" s="960">
        <f t="shared" si="35"/>
        <v>1.0271705845924268</v>
      </c>
      <c r="I97" s="958">
        <v>24817482.77</v>
      </c>
      <c r="J97" s="959">
        <f t="shared" si="36"/>
        <v>0.80430006384495722</v>
      </c>
      <c r="K97" s="958">
        <v>107021361.98999999</v>
      </c>
      <c r="L97" s="960">
        <f t="shared" si="37"/>
        <v>3.5901161351895334</v>
      </c>
      <c r="M97" s="958">
        <v>2781826.52</v>
      </c>
      <c r="N97" s="959">
        <f t="shared" si="38"/>
        <v>8.9620699742268051E-2</v>
      </c>
      <c r="O97" s="958">
        <v>3351251.94</v>
      </c>
      <c r="P97" s="960">
        <f t="shared" si="39"/>
        <v>0.10362560111317255</v>
      </c>
      <c r="Q97" s="991">
        <v>3484625.4</v>
      </c>
      <c r="R97" s="961">
        <f t="shared" si="29"/>
        <v>0.11065815814544298</v>
      </c>
      <c r="S97" s="956">
        <v>8000000</v>
      </c>
      <c r="T97" s="961">
        <f t="shared" si="30"/>
        <v>0.22746659084446971</v>
      </c>
      <c r="U97" s="786">
        <v>8000000</v>
      </c>
      <c r="V97" s="787">
        <f t="shared" si="31"/>
        <v>0.22746659084446971</v>
      </c>
      <c r="W97" s="786">
        <f t="shared" si="41"/>
        <v>0</v>
      </c>
      <c r="X97" s="962">
        <f t="shared" si="24"/>
        <v>0</v>
      </c>
      <c r="Y97" s="786">
        <v>10000000</v>
      </c>
      <c r="Z97" s="787">
        <f t="shared" si="32"/>
        <v>0.2677376171352075</v>
      </c>
      <c r="AA97" s="786">
        <v>10000000</v>
      </c>
      <c r="AB97" s="787">
        <f t="shared" si="33"/>
        <v>0.25113008538422904</v>
      </c>
      <c r="AC97" s="786">
        <v>0</v>
      </c>
      <c r="AD97" s="787">
        <f t="shared" si="28"/>
        <v>0</v>
      </c>
      <c r="AM97" s="94"/>
      <c r="AN97" s="963"/>
      <c r="AO97" s="94"/>
      <c r="AP97" s="94"/>
      <c r="AQ97" s="94"/>
      <c r="AR97" s="94"/>
      <c r="AS97" s="94"/>
      <c r="AT97" s="94"/>
      <c r="AU97" s="94"/>
      <c r="AV97" s="94"/>
      <c r="AW97" s="94"/>
      <c r="AX97" s="94"/>
      <c r="AY97" s="94"/>
      <c r="AZ97" s="94"/>
      <c r="BA97" s="94"/>
      <c r="BB97" s="94"/>
    </row>
    <row r="98" spans="1:54" ht="13.5" thickBot="1">
      <c r="A98" s="110"/>
      <c r="B98" s="110"/>
      <c r="C98" s="110"/>
      <c r="D98" s="134" t="str">
        <f>IF(MasterSheet!$A$1=1,MasterSheet!C150,MasterSheet!B150)</f>
        <v>Povećanje/smanjenje depozita</v>
      </c>
      <c r="E98" s="346">
        <f>-E92-SUM(E94:E97)</f>
        <v>-13608071.219999671</v>
      </c>
      <c r="F98" s="139">
        <f t="shared" si="34"/>
        <v>-0.63325753734467272</v>
      </c>
      <c r="G98" s="346">
        <f>-G92-SUM(G94:G97)</f>
        <v>-53930959.78999979</v>
      </c>
      <c r="H98" s="140">
        <f t="shared" si="35"/>
        <v>-2.011973877634762</v>
      </c>
      <c r="I98" s="346">
        <f>-I92-SUM(I94:I97)</f>
        <v>70051050.240000278</v>
      </c>
      <c r="J98" s="139">
        <f t="shared" si="36"/>
        <v>2.2702570080373441</v>
      </c>
      <c r="K98" s="346">
        <f>-K92-SUM(K94:K97)</f>
        <v>-86492703.755500257</v>
      </c>
      <c r="L98" s="140">
        <f t="shared" si="37"/>
        <v>-2.9014660770043696</v>
      </c>
      <c r="M98" s="346">
        <f>-M92-SUM(M94:M97)</f>
        <v>64620179.219999611</v>
      </c>
      <c r="N98" s="139">
        <f t="shared" si="38"/>
        <v>2.0818356707474104</v>
      </c>
      <c r="O98" s="346">
        <f>-O92-SUM(O94:O97)</f>
        <v>80423127.710000098</v>
      </c>
      <c r="P98" s="140">
        <f t="shared" si="39"/>
        <v>2.4868004857761314</v>
      </c>
      <c r="Q98" s="996">
        <f>-Q92-SUM(Q94:Q97)</f>
        <v>890073.66000056267</v>
      </c>
      <c r="R98" s="657">
        <f t="shared" si="29"/>
        <v>2.8265279771373854E-2</v>
      </c>
      <c r="S98" s="346">
        <f>-S92-SUM(S94:S97)</f>
        <v>0</v>
      </c>
      <c r="T98" s="657">
        <f t="shared" si="30"/>
        <v>0</v>
      </c>
      <c r="U98" s="803">
        <f>-U92-SUM(U94:U97)</f>
        <v>-15447445.093266726</v>
      </c>
      <c r="V98" s="796">
        <f t="shared" si="31"/>
        <v>-0.43922220907781423</v>
      </c>
      <c r="W98" s="804">
        <f t="shared" si="41"/>
        <v>-15447445.093266726</v>
      </c>
      <c r="X98" s="805">
        <f t="shared" si="24"/>
        <v>-0.43922220907781423</v>
      </c>
      <c r="Y98" s="803">
        <f>-Y92-SUM(Y94:Y97)</f>
        <v>-23277239.243124723</v>
      </c>
      <c r="Z98" s="796">
        <f t="shared" si="32"/>
        <v>-0.62321925684403534</v>
      </c>
      <c r="AA98" s="803">
        <f>-AA92-SUM(AA94:AA97)</f>
        <v>4044574.9982917309</v>
      </c>
      <c r="AB98" s="796">
        <f t="shared" si="33"/>
        <v>0.10157144646639205</v>
      </c>
      <c r="AC98" s="803">
        <f>-AC92-SUM(AC94:AC97)</f>
        <v>-14466897.350895166</v>
      </c>
      <c r="AD98" s="796">
        <f t="shared" si="28"/>
        <v>-0.33920040682051972</v>
      </c>
      <c r="AE98" s="110"/>
      <c r="AF98" s="110"/>
      <c r="AG98" s="110"/>
      <c r="AH98" s="110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</row>
    <row r="99" spans="1:54" ht="13.5" thickTop="1">
      <c r="A99" s="110"/>
      <c r="B99" s="110"/>
      <c r="C99" s="110"/>
      <c r="D99" s="123" t="str">
        <f>IF(MasterSheet!$A$1=1,MasterSheet!C151,MasterSheet!B151)</f>
        <v>Izvor: Ministarstvo finansija Crne Gore</v>
      </c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R99" s="111"/>
      <c r="S99" s="111"/>
      <c r="T99" s="111"/>
      <c r="U99" s="111"/>
      <c r="V99" s="111"/>
      <c r="W99" s="110"/>
      <c r="X99" s="110"/>
      <c r="Y99" s="110"/>
      <c r="Z99" s="110"/>
      <c r="AA99" s="110"/>
      <c r="AB99" s="110"/>
      <c r="AC99" s="110"/>
      <c r="AD99" s="110"/>
      <c r="AE99" s="110"/>
      <c r="AF99" s="110"/>
      <c r="AG99" s="110"/>
      <c r="AH99" s="110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</row>
    <row r="100" spans="1:54">
      <c r="A100" s="110"/>
      <c r="B100" s="110"/>
      <c r="C100" s="110"/>
      <c r="D100" s="92"/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  <c r="O100" s="125"/>
      <c r="P100" s="125"/>
      <c r="R100" s="111"/>
      <c r="S100" s="111"/>
      <c r="T100" s="111"/>
      <c r="U100" s="111"/>
      <c r="V100" s="111"/>
      <c r="W100" s="110"/>
      <c r="X100" s="110"/>
      <c r="Y100" s="110"/>
      <c r="Z100" s="110"/>
      <c r="AA100" s="110"/>
      <c r="AB100" s="110"/>
      <c r="AC100" s="110"/>
      <c r="AD100" s="110"/>
      <c r="AE100" s="110"/>
      <c r="AF100" s="110"/>
      <c r="AG100" s="110"/>
      <c r="AH100" s="110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</row>
    <row r="101" spans="1:54">
      <c r="A101" s="110"/>
      <c r="B101" s="110"/>
      <c r="C101" s="110"/>
      <c r="D101" s="126"/>
      <c r="E101" s="126"/>
      <c r="F101" s="126"/>
      <c r="G101" s="126"/>
      <c r="H101" s="126"/>
      <c r="I101" s="126"/>
      <c r="J101" s="126"/>
      <c r="K101" s="126"/>
      <c r="L101" s="126"/>
      <c r="M101" s="126"/>
      <c r="N101" s="126"/>
      <c r="O101" s="126"/>
      <c r="P101" s="125"/>
      <c r="Q101" s="986"/>
      <c r="R101" s="110"/>
      <c r="S101" s="110"/>
      <c r="T101" s="110"/>
      <c r="U101" s="110"/>
      <c r="V101" s="110"/>
      <c r="W101" s="110"/>
      <c r="X101" s="110"/>
      <c r="Y101" s="110"/>
      <c r="Z101" s="110"/>
      <c r="AA101" s="110"/>
      <c r="AB101" s="110"/>
      <c r="AC101" s="110"/>
      <c r="AD101" s="110"/>
      <c r="AE101" s="110"/>
      <c r="AF101" s="110"/>
      <c r="AG101" s="110"/>
      <c r="AH101" s="110"/>
    </row>
    <row r="102" spans="1:54">
      <c r="A102" s="110"/>
      <c r="B102" s="110"/>
      <c r="C102" s="110"/>
      <c r="D102" s="126"/>
      <c r="E102" s="126"/>
      <c r="F102" s="126"/>
      <c r="G102" s="126"/>
      <c r="H102" s="126"/>
      <c r="I102" s="126"/>
      <c r="J102" s="126"/>
      <c r="K102" s="126"/>
      <c r="L102" s="126"/>
      <c r="M102" s="126"/>
      <c r="N102" s="126"/>
      <c r="O102" s="126"/>
      <c r="P102" s="125"/>
      <c r="Q102" s="986"/>
      <c r="R102" s="110"/>
      <c r="S102" s="110"/>
      <c r="T102" s="110"/>
      <c r="U102" s="110"/>
      <c r="V102" s="110"/>
      <c r="W102" s="110"/>
      <c r="X102" s="110"/>
      <c r="Y102" s="110"/>
      <c r="Z102" s="110"/>
      <c r="AA102" s="110"/>
      <c r="AB102" s="110"/>
      <c r="AC102" s="110"/>
      <c r="AD102" s="110"/>
      <c r="AE102" s="110"/>
      <c r="AF102" s="110"/>
      <c r="AG102" s="110"/>
      <c r="AH102" s="110"/>
    </row>
    <row r="103" spans="1:54" ht="14.25">
      <c r="A103" s="110"/>
      <c r="B103" s="110"/>
      <c r="C103" s="110"/>
      <c r="D103" s="127"/>
      <c r="E103" s="126"/>
      <c r="F103" s="126"/>
      <c r="G103" s="126"/>
      <c r="H103" s="126"/>
      <c r="I103" s="126"/>
      <c r="J103" s="126"/>
      <c r="K103" s="126"/>
      <c r="L103" s="126"/>
      <c r="M103" s="126"/>
      <c r="N103" s="126"/>
      <c r="O103" s="126"/>
      <c r="P103" s="125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110"/>
      <c r="AH103" s="110"/>
    </row>
    <row r="104" spans="1:54">
      <c r="A104" s="110"/>
      <c r="B104" s="110"/>
      <c r="C104" s="110"/>
      <c r="D104" s="126"/>
      <c r="E104" s="126"/>
      <c r="F104" s="126"/>
      <c r="G104" s="126"/>
      <c r="H104" s="126"/>
      <c r="I104" s="126"/>
      <c r="J104" s="126"/>
      <c r="K104" s="126"/>
      <c r="L104" s="126"/>
      <c r="M104" s="126"/>
      <c r="N104" s="126"/>
      <c r="O104" s="126"/>
      <c r="P104" s="125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0"/>
      <c r="AH104" s="110"/>
    </row>
    <row r="105" spans="1:54">
      <c r="A105" s="110"/>
      <c r="B105" s="110"/>
      <c r="C105" s="110"/>
      <c r="D105" s="126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1"/>
      <c r="R105" s="110"/>
      <c r="S105" s="110"/>
      <c r="T105" s="110"/>
      <c r="U105" s="110"/>
      <c r="V105" s="110"/>
      <c r="W105" s="110"/>
      <c r="X105" s="110"/>
      <c r="Y105" s="110"/>
      <c r="Z105" s="110"/>
      <c r="AA105" s="110"/>
      <c r="AB105" s="110"/>
      <c r="AC105" s="110"/>
      <c r="AD105" s="110"/>
      <c r="AE105" s="110"/>
      <c r="AF105" s="110"/>
      <c r="AG105" s="110"/>
      <c r="AH105" s="110"/>
    </row>
    <row r="106" spans="1:54">
      <c r="A106" s="110"/>
      <c r="B106" s="110"/>
      <c r="C106" s="110"/>
      <c r="D106" s="126"/>
      <c r="E106" s="126"/>
      <c r="F106" s="126"/>
      <c r="G106" s="126"/>
      <c r="H106" s="126"/>
      <c r="I106" s="126"/>
      <c r="J106" s="126"/>
      <c r="K106" s="126"/>
      <c r="L106" s="126"/>
      <c r="M106" s="126"/>
      <c r="N106" s="126"/>
      <c r="O106" s="126"/>
      <c r="P106" s="125"/>
      <c r="R106" s="110"/>
      <c r="S106" s="110"/>
      <c r="T106" s="110"/>
      <c r="U106" s="110"/>
      <c r="V106" s="110"/>
      <c r="W106" s="110"/>
      <c r="X106" s="110"/>
      <c r="Y106" s="110"/>
      <c r="Z106" s="110"/>
      <c r="AA106" s="110"/>
      <c r="AB106" s="110"/>
      <c r="AC106" s="110"/>
      <c r="AD106" s="110"/>
      <c r="AE106" s="110"/>
      <c r="AF106" s="110"/>
      <c r="AG106" s="110"/>
      <c r="AH106" s="110"/>
    </row>
    <row r="107" spans="1:54">
      <c r="A107" s="110"/>
      <c r="B107" s="110"/>
      <c r="C107" s="110"/>
      <c r="D107" s="126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1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10"/>
      <c r="AE107" s="110"/>
      <c r="AF107" s="110"/>
      <c r="AG107" s="110"/>
      <c r="AH107" s="110"/>
    </row>
    <row r="108" spans="1:54" ht="13.5" customHeight="1">
      <c r="A108" s="110"/>
      <c r="B108" s="110"/>
      <c r="C108" s="110"/>
      <c r="D108" s="126"/>
      <c r="E108" s="126"/>
      <c r="F108" s="126"/>
      <c r="G108" s="126"/>
      <c r="H108" s="126"/>
      <c r="I108" s="126"/>
      <c r="J108" s="126"/>
      <c r="K108" s="126"/>
      <c r="L108" s="126"/>
      <c r="M108" s="126"/>
      <c r="N108" s="126"/>
      <c r="O108" s="126"/>
      <c r="P108" s="125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110"/>
    </row>
    <row r="109" spans="1:54" ht="13.5" customHeight="1">
      <c r="A109" s="110"/>
      <c r="B109" s="110"/>
      <c r="C109" s="110"/>
      <c r="D109" s="126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1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0"/>
      <c r="AB109" s="110"/>
      <c r="AC109" s="110"/>
      <c r="AD109" s="110"/>
      <c r="AE109" s="110"/>
      <c r="AF109" s="110"/>
      <c r="AG109" s="110"/>
      <c r="AH109" s="110"/>
    </row>
    <row r="110" spans="1:54">
      <c r="A110" s="110"/>
      <c r="B110" s="110"/>
      <c r="C110" s="110"/>
      <c r="D110" s="126"/>
      <c r="E110" s="128"/>
      <c r="F110" s="126"/>
      <c r="G110" s="126"/>
      <c r="H110" s="126"/>
      <c r="I110" s="126"/>
      <c r="J110" s="126"/>
      <c r="K110" s="126"/>
      <c r="L110" s="126"/>
      <c r="M110" s="126"/>
      <c r="N110" s="126"/>
      <c r="O110" s="126"/>
      <c r="P110" s="125"/>
      <c r="R110" s="110"/>
      <c r="S110" s="110"/>
      <c r="T110" s="110"/>
      <c r="U110" s="110"/>
      <c r="V110" s="110"/>
      <c r="W110" s="110"/>
      <c r="X110" s="110"/>
      <c r="Y110" s="110"/>
      <c r="Z110" s="110"/>
      <c r="AA110" s="110"/>
      <c r="AB110" s="110"/>
      <c r="AC110" s="110"/>
      <c r="AD110" s="110"/>
      <c r="AE110" s="110"/>
      <c r="AF110" s="110"/>
      <c r="AG110" s="110"/>
      <c r="AH110" s="110"/>
    </row>
    <row r="111" spans="1:54">
      <c r="A111" s="110"/>
      <c r="B111" s="110"/>
      <c r="C111" s="110"/>
      <c r="D111" s="126"/>
      <c r="E111" s="128"/>
      <c r="F111" s="126"/>
      <c r="G111" s="126"/>
      <c r="H111" s="126"/>
      <c r="I111" s="126"/>
      <c r="J111" s="126"/>
      <c r="K111" s="126"/>
      <c r="L111" s="126"/>
      <c r="M111" s="126"/>
      <c r="N111" s="126"/>
      <c r="O111" s="126"/>
      <c r="P111" s="125"/>
      <c r="R111" s="110"/>
      <c r="S111" s="110"/>
      <c r="T111" s="110"/>
      <c r="U111" s="110"/>
      <c r="V111" s="110"/>
      <c r="W111" s="110"/>
      <c r="X111" s="110"/>
      <c r="Y111" s="110"/>
      <c r="Z111" s="110"/>
      <c r="AA111" s="110"/>
      <c r="AB111" s="110"/>
      <c r="AC111" s="110"/>
      <c r="AD111" s="110"/>
      <c r="AE111" s="110"/>
      <c r="AF111" s="110"/>
      <c r="AG111" s="110"/>
      <c r="AH111" s="110"/>
    </row>
    <row r="112" spans="1:54">
      <c r="A112" s="110"/>
      <c r="B112" s="110"/>
      <c r="C112" s="110"/>
      <c r="D112" s="126"/>
      <c r="E112" s="128"/>
      <c r="F112" s="126"/>
      <c r="G112" s="126"/>
      <c r="H112" s="126"/>
      <c r="I112" s="126"/>
      <c r="J112" s="126"/>
      <c r="K112" s="126"/>
      <c r="L112" s="126"/>
      <c r="M112" s="126"/>
      <c r="N112" s="126"/>
      <c r="O112" s="126"/>
      <c r="P112" s="125"/>
      <c r="R112" s="110"/>
      <c r="S112" s="110"/>
      <c r="T112" s="110"/>
      <c r="U112" s="110"/>
      <c r="V112" s="110"/>
      <c r="W112" s="110"/>
      <c r="X112" s="110"/>
      <c r="Y112" s="110"/>
      <c r="Z112" s="110"/>
      <c r="AA112" s="110"/>
      <c r="AB112" s="110"/>
      <c r="AC112" s="110"/>
      <c r="AD112" s="110"/>
      <c r="AE112" s="110"/>
      <c r="AF112" s="110"/>
      <c r="AG112" s="110"/>
      <c r="AH112" s="110"/>
    </row>
    <row r="113" spans="1:34">
      <c r="A113" s="110"/>
      <c r="B113" s="110"/>
      <c r="C113" s="110"/>
      <c r="D113" s="126"/>
      <c r="E113" s="128"/>
      <c r="F113" s="126"/>
      <c r="G113" s="126"/>
      <c r="H113" s="126"/>
      <c r="I113" s="126"/>
      <c r="J113" s="126"/>
      <c r="K113" s="126"/>
      <c r="L113" s="126"/>
      <c r="M113" s="126"/>
      <c r="N113" s="126"/>
      <c r="O113" s="126"/>
      <c r="P113" s="125"/>
      <c r="R113" s="110"/>
      <c r="S113" s="110"/>
      <c r="T113" s="110"/>
      <c r="U113" s="110"/>
      <c r="V113" s="110"/>
      <c r="W113" s="110"/>
      <c r="X113" s="110"/>
      <c r="Y113" s="110"/>
      <c r="Z113" s="110"/>
      <c r="AA113" s="110"/>
      <c r="AB113" s="110"/>
      <c r="AC113" s="110"/>
      <c r="AD113" s="110"/>
      <c r="AE113" s="110"/>
      <c r="AF113" s="110"/>
      <c r="AG113" s="110"/>
      <c r="AH113" s="110"/>
    </row>
    <row r="114" spans="1:34">
      <c r="A114" s="110"/>
      <c r="B114" s="110"/>
      <c r="C114" s="110"/>
      <c r="D114" s="126"/>
      <c r="E114" s="128"/>
      <c r="F114" s="126"/>
      <c r="G114" s="126"/>
      <c r="H114" s="126"/>
      <c r="I114" s="126"/>
      <c r="J114" s="126"/>
      <c r="K114" s="126"/>
      <c r="L114" s="126"/>
      <c r="M114" s="126"/>
      <c r="N114" s="126"/>
      <c r="O114" s="126"/>
      <c r="P114" s="125"/>
      <c r="R114" s="110"/>
      <c r="S114" s="110"/>
      <c r="T114" s="110"/>
      <c r="U114" s="110"/>
      <c r="V114" s="110"/>
      <c r="W114" s="110"/>
      <c r="X114" s="110"/>
      <c r="Y114" s="110"/>
      <c r="Z114" s="110"/>
      <c r="AA114" s="110"/>
      <c r="AB114" s="110"/>
      <c r="AC114" s="110"/>
      <c r="AD114" s="110"/>
      <c r="AE114" s="110"/>
      <c r="AF114" s="110"/>
      <c r="AG114" s="110"/>
      <c r="AH114" s="110"/>
    </row>
    <row r="115" spans="1:34">
      <c r="A115" s="110"/>
      <c r="B115" s="110"/>
      <c r="C115" s="110"/>
      <c r="D115" s="126"/>
      <c r="E115" s="128"/>
      <c r="F115" s="126"/>
      <c r="G115" s="126"/>
      <c r="H115" s="126"/>
      <c r="I115" s="126"/>
      <c r="J115" s="126"/>
      <c r="K115" s="126"/>
      <c r="L115" s="126"/>
      <c r="M115" s="126"/>
      <c r="N115" s="126"/>
      <c r="O115" s="126"/>
      <c r="P115" s="125"/>
      <c r="R115" s="110"/>
      <c r="S115" s="110"/>
      <c r="T115" s="110"/>
      <c r="U115" s="110"/>
      <c r="V115" s="110"/>
      <c r="W115" s="110"/>
      <c r="X115" s="110"/>
      <c r="Y115" s="110"/>
      <c r="Z115" s="110"/>
      <c r="AA115" s="110"/>
      <c r="AB115" s="110"/>
      <c r="AC115" s="110"/>
      <c r="AD115" s="110"/>
      <c r="AE115" s="110"/>
      <c r="AF115" s="110"/>
      <c r="AG115" s="110"/>
      <c r="AH115" s="110"/>
    </row>
    <row r="116" spans="1:34">
      <c r="A116" s="110"/>
      <c r="B116" s="110"/>
      <c r="C116" s="110"/>
      <c r="D116" s="126"/>
      <c r="E116" s="128"/>
      <c r="F116" s="126"/>
      <c r="G116" s="126"/>
      <c r="H116" s="126"/>
      <c r="I116" s="126"/>
      <c r="J116" s="126"/>
      <c r="K116" s="126"/>
      <c r="L116" s="126"/>
      <c r="M116" s="126"/>
      <c r="N116" s="126"/>
      <c r="O116" s="126"/>
      <c r="P116" s="125"/>
      <c r="R116" s="110"/>
      <c r="S116" s="110"/>
      <c r="T116" s="110"/>
      <c r="U116" s="110"/>
      <c r="V116" s="110"/>
      <c r="W116" s="110"/>
      <c r="X116" s="110"/>
      <c r="Y116" s="110"/>
      <c r="Z116" s="110"/>
      <c r="AA116" s="110"/>
      <c r="AB116" s="110"/>
      <c r="AC116" s="110"/>
      <c r="AD116" s="110"/>
      <c r="AE116" s="110"/>
      <c r="AF116" s="110"/>
      <c r="AG116" s="110"/>
      <c r="AH116" s="110"/>
    </row>
    <row r="117" spans="1:34">
      <c r="A117" s="110"/>
      <c r="B117" s="110"/>
      <c r="C117" s="110"/>
      <c r="D117" s="126"/>
      <c r="E117" s="128"/>
      <c r="F117" s="126"/>
      <c r="G117" s="126"/>
      <c r="H117" s="126"/>
      <c r="I117" s="126"/>
      <c r="J117" s="126"/>
      <c r="K117" s="126"/>
      <c r="L117" s="126"/>
      <c r="M117" s="126"/>
      <c r="N117" s="126"/>
      <c r="O117" s="126"/>
      <c r="P117" s="125"/>
      <c r="R117" s="110"/>
      <c r="S117" s="110"/>
      <c r="T117" s="110"/>
      <c r="U117" s="110"/>
      <c r="V117" s="110"/>
      <c r="W117" s="110"/>
      <c r="X117" s="110"/>
      <c r="Y117" s="110"/>
      <c r="Z117" s="110"/>
      <c r="AA117" s="110"/>
      <c r="AB117" s="110"/>
      <c r="AC117" s="110"/>
      <c r="AD117" s="110"/>
      <c r="AE117" s="110"/>
      <c r="AF117" s="110"/>
      <c r="AG117" s="110"/>
      <c r="AH117" s="110"/>
    </row>
    <row r="118" spans="1:34">
      <c r="A118" s="110"/>
      <c r="B118" s="110"/>
      <c r="C118" s="110"/>
      <c r="D118" s="126"/>
      <c r="E118" s="128"/>
      <c r="F118" s="126"/>
      <c r="G118" s="126"/>
      <c r="H118" s="126"/>
      <c r="I118" s="126"/>
      <c r="J118" s="126"/>
      <c r="K118" s="126"/>
      <c r="L118" s="126"/>
      <c r="M118" s="126"/>
      <c r="N118" s="126"/>
      <c r="O118" s="126"/>
      <c r="P118" s="125"/>
      <c r="R118" s="110"/>
      <c r="S118" s="110"/>
      <c r="T118" s="110"/>
      <c r="U118" s="110"/>
      <c r="V118" s="110"/>
      <c r="W118" s="110"/>
      <c r="X118" s="110"/>
      <c r="Y118" s="110"/>
      <c r="Z118" s="110"/>
      <c r="AA118" s="110"/>
      <c r="AB118" s="110"/>
      <c r="AC118" s="110"/>
      <c r="AD118" s="110"/>
      <c r="AE118" s="110"/>
      <c r="AF118" s="110"/>
      <c r="AG118" s="110"/>
      <c r="AH118" s="110"/>
    </row>
    <row r="119" spans="1:34">
      <c r="A119" s="110"/>
      <c r="B119" s="110"/>
      <c r="C119" s="110"/>
      <c r="D119" s="126"/>
      <c r="E119" s="128"/>
      <c r="F119" s="126"/>
      <c r="G119" s="126"/>
      <c r="H119" s="126"/>
      <c r="I119" s="126"/>
      <c r="J119" s="126"/>
      <c r="K119" s="126"/>
      <c r="L119" s="126"/>
      <c r="M119" s="126"/>
      <c r="N119" s="126"/>
      <c r="O119" s="126"/>
      <c r="P119" s="125"/>
      <c r="R119" s="110"/>
      <c r="S119" s="110"/>
      <c r="T119" s="110"/>
      <c r="U119" s="110"/>
      <c r="V119" s="110"/>
      <c r="W119" s="110"/>
      <c r="X119" s="110"/>
      <c r="Y119" s="110"/>
      <c r="Z119" s="110"/>
      <c r="AA119" s="110"/>
      <c r="AB119" s="110"/>
      <c r="AC119" s="110"/>
      <c r="AD119" s="110"/>
      <c r="AE119" s="110"/>
      <c r="AF119" s="110"/>
      <c r="AG119" s="110"/>
      <c r="AH119" s="110"/>
    </row>
    <row r="120" spans="1:34">
      <c r="A120" s="110"/>
      <c r="B120" s="110"/>
      <c r="C120" s="110"/>
      <c r="D120" s="126"/>
      <c r="E120" s="128"/>
      <c r="F120" s="126"/>
      <c r="G120" s="126"/>
      <c r="H120" s="126"/>
      <c r="I120" s="126"/>
      <c r="J120" s="126"/>
      <c r="K120" s="126"/>
      <c r="L120" s="126"/>
      <c r="M120" s="126"/>
      <c r="N120" s="126"/>
      <c r="O120" s="126"/>
      <c r="P120" s="125"/>
      <c r="R120" s="110"/>
      <c r="S120" s="110"/>
      <c r="T120" s="110"/>
      <c r="U120" s="110"/>
      <c r="V120" s="110"/>
      <c r="W120" s="110"/>
      <c r="X120" s="110"/>
      <c r="Y120" s="110"/>
      <c r="Z120" s="110"/>
      <c r="AA120" s="110"/>
      <c r="AB120" s="110"/>
      <c r="AC120" s="110"/>
      <c r="AD120" s="110"/>
      <c r="AE120" s="110"/>
      <c r="AF120" s="110"/>
      <c r="AG120" s="110"/>
      <c r="AH120" s="110"/>
    </row>
    <row r="121" spans="1:34">
      <c r="A121" s="110"/>
      <c r="B121" s="110"/>
      <c r="C121" s="110"/>
      <c r="D121" s="126"/>
      <c r="E121" s="128"/>
      <c r="F121" s="126"/>
      <c r="G121" s="126"/>
      <c r="H121" s="126"/>
      <c r="I121" s="126"/>
      <c r="J121" s="126"/>
      <c r="K121" s="126"/>
      <c r="L121" s="126"/>
      <c r="M121" s="126"/>
      <c r="N121" s="126"/>
      <c r="O121" s="126"/>
      <c r="P121" s="125"/>
      <c r="R121" s="110"/>
      <c r="S121" s="110"/>
      <c r="T121" s="110"/>
      <c r="U121" s="110"/>
      <c r="V121" s="110"/>
      <c r="W121" s="110"/>
      <c r="X121" s="110"/>
      <c r="Y121" s="110"/>
      <c r="Z121" s="110"/>
      <c r="AA121" s="110"/>
      <c r="AB121" s="110"/>
      <c r="AC121" s="110"/>
      <c r="AD121" s="110"/>
      <c r="AE121" s="110"/>
      <c r="AF121" s="110"/>
      <c r="AG121" s="110"/>
      <c r="AH121" s="110"/>
    </row>
    <row r="122" spans="1:34">
      <c r="A122" s="110"/>
      <c r="B122" s="110"/>
      <c r="C122" s="110"/>
      <c r="D122" s="126"/>
      <c r="E122" s="128"/>
      <c r="F122" s="126"/>
      <c r="G122" s="126"/>
      <c r="H122" s="126"/>
      <c r="I122" s="126"/>
      <c r="J122" s="126"/>
      <c r="K122" s="126"/>
      <c r="L122" s="126"/>
      <c r="M122" s="126"/>
      <c r="N122" s="126"/>
      <c r="O122" s="126"/>
      <c r="P122" s="125"/>
      <c r="R122" s="110"/>
      <c r="S122" s="110"/>
      <c r="T122" s="110"/>
      <c r="U122" s="110"/>
      <c r="V122" s="110"/>
      <c r="W122" s="110"/>
      <c r="X122" s="110"/>
      <c r="Y122" s="110"/>
      <c r="Z122" s="110"/>
      <c r="AA122" s="110"/>
      <c r="AB122" s="110"/>
      <c r="AC122" s="110"/>
      <c r="AD122" s="110"/>
      <c r="AE122" s="110"/>
      <c r="AF122" s="110"/>
      <c r="AG122" s="110"/>
      <c r="AH122" s="110"/>
    </row>
    <row r="123" spans="1:34">
      <c r="A123" s="110"/>
      <c r="B123" s="110"/>
      <c r="C123" s="110"/>
      <c r="D123" s="126"/>
      <c r="E123" s="128"/>
      <c r="F123" s="126"/>
      <c r="G123" s="126"/>
      <c r="H123" s="126"/>
      <c r="I123" s="126"/>
      <c r="J123" s="126"/>
      <c r="K123" s="126"/>
      <c r="L123" s="126"/>
      <c r="M123" s="126"/>
      <c r="N123" s="126"/>
      <c r="O123" s="126"/>
      <c r="P123" s="125"/>
      <c r="R123" s="110"/>
      <c r="S123" s="110"/>
      <c r="T123" s="110"/>
      <c r="U123" s="110"/>
      <c r="V123" s="110"/>
      <c r="W123" s="110"/>
      <c r="X123" s="110"/>
      <c r="Y123" s="110"/>
      <c r="Z123" s="110"/>
      <c r="AA123" s="110"/>
      <c r="AB123" s="110"/>
      <c r="AC123" s="110"/>
      <c r="AD123" s="110"/>
      <c r="AE123" s="110"/>
      <c r="AF123" s="110"/>
      <c r="AG123" s="110"/>
      <c r="AH123" s="110"/>
    </row>
    <row r="124" spans="1:34">
      <c r="A124" s="110"/>
      <c r="B124" s="110"/>
      <c r="C124" s="110"/>
      <c r="D124" s="126"/>
      <c r="E124" s="128"/>
      <c r="F124" s="126"/>
      <c r="G124" s="126"/>
      <c r="H124" s="126"/>
      <c r="I124" s="126"/>
      <c r="J124" s="126"/>
      <c r="K124" s="126"/>
      <c r="L124" s="126"/>
      <c r="M124" s="126"/>
      <c r="N124" s="126"/>
      <c r="O124" s="126"/>
      <c r="P124" s="125"/>
      <c r="R124" s="110"/>
      <c r="S124" s="110"/>
      <c r="T124" s="110"/>
      <c r="U124" s="110"/>
      <c r="V124" s="110"/>
      <c r="W124" s="110"/>
      <c r="X124" s="110"/>
      <c r="Y124" s="110"/>
      <c r="Z124" s="110"/>
      <c r="AA124" s="110"/>
      <c r="AB124" s="110"/>
      <c r="AC124" s="110"/>
      <c r="AD124" s="110"/>
      <c r="AE124" s="110"/>
      <c r="AF124" s="110"/>
      <c r="AG124" s="110"/>
      <c r="AH124" s="110"/>
    </row>
    <row r="125" spans="1:34">
      <c r="A125" s="110"/>
      <c r="B125" s="110"/>
      <c r="C125" s="110"/>
      <c r="D125" s="126"/>
      <c r="E125" s="128"/>
      <c r="F125" s="126"/>
      <c r="G125" s="126"/>
      <c r="H125" s="126"/>
      <c r="I125" s="126"/>
      <c r="J125" s="126"/>
      <c r="K125" s="126"/>
      <c r="L125" s="126"/>
      <c r="M125" s="126"/>
      <c r="N125" s="126"/>
      <c r="O125" s="126"/>
      <c r="P125" s="125"/>
      <c r="R125" s="110"/>
      <c r="S125" s="110"/>
      <c r="T125" s="110"/>
      <c r="U125" s="110"/>
      <c r="V125" s="110"/>
      <c r="W125" s="110"/>
      <c r="X125" s="110"/>
      <c r="Y125" s="110"/>
      <c r="Z125" s="110"/>
      <c r="AA125" s="110"/>
      <c r="AB125" s="110"/>
      <c r="AC125" s="110"/>
      <c r="AD125" s="110"/>
      <c r="AE125" s="110"/>
      <c r="AF125" s="110"/>
      <c r="AG125" s="110"/>
      <c r="AH125" s="110"/>
    </row>
    <row r="126" spans="1:34">
      <c r="A126" s="110"/>
      <c r="B126" s="110"/>
      <c r="C126" s="110"/>
      <c r="D126" s="110"/>
      <c r="E126" s="128"/>
      <c r="F126" s="126"/>
      <c r="G126" s="126"/>
      <c r="H126" s="126"/>
      <c r="I126" s="126"/>
      <c r="J126" s="126"/>
      <c r="K126" s="126"/>
      <c r="L126" s="126"/>
      <c r="M126" s="126"/>
      <c r="N126" s="126"/>
      <c r="O126" s="126"/>
      <c r="P126" s="125"/>
      <c r="R126" s="110"/>
      <c r="S126" s="110"/>
      <c r="T126" s="110"/>
      <c r="U126" s="110"/>
      <c r="V126" s="110"/>
      <c r="W126" s="110"/>
      <c r="X126" s="110"/>
      <c r="Y126" s="110"/>
      <c r="Z126" s="110"/>
      <c r="AA126" s="110"/>
      <c r="AB126" s="110"/>
      <c r="AC126" s="110"/>
      <c r="AD126" s="110"/>
      <c r="AE126" s="110"/>
      <c r="AF126" s="110"/>
      <c r="AG126" s="110"/>
      <c r="AH126" s="110"/>
    </row>
    <row r="127" spans="1:34">
      <c r="A127" s="110"/>
      <c r="B127" s="110"/>
      <c r="C127" s="110"/>
      <c r="D127" s="110"/>
      <c r="E127" s="128"/>
      <c r="F127" s="126"/>
      <c r="G127" s="126"/>
      <c r="H127" s="126"/>
      <c r="I127" s="126"/>
      <c r="J127" s="126"/>
      <c r="K127" s="126"/>
      <c r="L127" s="126"/>
      <c r="M127" s="126"/>
      <c r="N127" s="126"/>
      <c r="O127" s="126"/>
      <c r="P127" s="125"/>
      <c r="R127" s="110"/>
      <c r="S127" s="110"/>
      <c r="T127" s="110"/>
      <c r="U127" s="110"/>
      <c r="V127" s="110"/>
      <c r="W127" s="110"/>
      <c r="X127" s="110"/>
      <c r="Y127" s="110"/>
      <c r="Z127" s="110"/>
      <c r="AA127" s="110"/>
      <c r="AB127" s="110"/>
      <c r="AC127" s="110"/>
      <c r="AD127" s="110"/>
      <c r="AE127" s="110"/>
      <c r="AF127" s="110"/>
      <c r="AG127" s="110"/>
      <c r="AH127" s="110"/>
    </row>
    <row r="128" spans="1:34">
      <c r="A128" s="110"/>
      <c r="B128" s="110"/>
      <c r="C128" s="110"/>
      <c r="D128" s="110"/>
      <c r="E128" s="128"/>
      <c r="F128" s="126"/>
      <c r="G128" s="126"/>
      <c r="H128" s="126"/>
      <c r="I128" s="126"/>
      <c r="J128" s="126"/>
      <c r="K128" s="126"/>
      <c r="L128" s="126"/>
      <c r="M128" s="126"/>
      <c r="N128" s="126"/>
      <c r="O128" s="126"/>
      <c r="P128" s="125"/>
      <c r="R128" s="110"/>
      <c r="S128" s="110"/>
      <c r="T128" s="110"/>
      <c r="U128" s="110"/>
      <c r="V128" s="110"/>
      <c r="W128" s="110"/>
      <c r="X128" s="110"/>
      <c r="Y128" s="110"/>
      <c r="Z128" s="110"/>
      <c r="AA128" s="110"/>
      <c r="AB128" s="110"/>
      <c r="AC128" s="110"/>
      <c r="AD128" s="110"/>
      <c r="AE128" s="110"/>
      <c r="AF128" s="110"/>
      <c r="AG128" s="110"/>
      <c r="AH128" s="110"/>
    </row>
    <row r="129" spans="1:34">
      <c r="A129" s="110"/>
      <c r="B129" s="110"/>
      <c r="C129" s="110"/>
      <c r="D129" s="110"/>
      <c r="E129" s="128"/>
      <c r="F129" s="126"/>
      <c r="G129" s="126"/>
      <c r="H129" s="126"/>
      <c r="I129" s="126"/>
      <c r="J129" s="126"/>
      <c r="K129" s="126"/>
      <c r="L129" s="126"/>
      <c r="M129" s="126"/>
      <c r="N129" s="126"/>
      <c r="O129" s="126"/>
      <c r="P129" s="125"/>
      <c r="R129" s="110"/>
      <c r="S129" s="110"/>
      <c r="T129" s="110"/>
      <c r="U129" s="110"/>
      <c r="V129" s="110"/>
      <c r="W129" s="110"/>
      <c r="X129" s="110"/>
      <c r="Y129" s="110"/>
      <c r="Z129" s="110"/>
      <c r="AA129" s="110"/>
      <c r="AB129" s="110"/>
      <c r="AC129" s="110"/>
      <c r="AD129" s="110"/>
      <c r="AE129" s="110"/>
      <c r="AF129" s="110"/>
      <c r="AG129" s="110"/>
      <c r="AH129" s="110"/>
    </row>
    <row r="130" spans="1:34">
      <c r="A130" s="110"/>
      <c r="B130" s="110"/>
      <c r="C130" s="110"/>
      <c r="D130" s="110"/>
      <c r="E130" s="128"/>
      <c r="F130" s="126"/>
      <c r="G130" s="126"/>
      <c r="H130" s="126"/>
      <c r="I130" s="126"/>
      <c r="J130" s="126"/>
      <c r="K130" s="126"/>
      <c r="L130" s="126"/>
      <c r="M130" s="126"/>
      <c r="N130" s="126"/>
      <c r="O130" s="126"/>
      <c r="P130" s="125"/>
      <c r="R130" s="110"/>
      <c r="S130" s="110"/>
      <c r="T130" s="110"/>
      <c r="U130" s="110"/>
      <c r="V130" s="110"/>
      <c r="W130" s="110"/>
      <c r="X130" s="110"/>
      <c r="Y130" s="110"/>
      <c r="Z130" s="110"/>
      <c r="AA130" s="110"/>
      <c r="AB130" s="110"/>
      <c r="AC130" s="110"/>
      <c r="AD130" s="110"/>
      <c r="AE130" s="110"/>
      <c r="AF130" s="110"/>
      <c r="AG130" s="110"/>
      <c r="AH130" s="110"/>
    </row>
    <row r="131" spans="1:34">
      <c r="A131" s="110"/>
      <c r="B131" s="110"/>
      <c r="C131" s="110"/>
      <c r="D131" s="110"/>
      <c r="E131" s="128"/>
      <c r="F131" s="126"/>
      <c r="G131" s="126"/>
      <c r="H131" s="126"/>
      <c r="I131" s="126"/>
      <c r="J131" s="126"/>
      <c r="K131" s="126"/>
      <c r="L131" s="126"/>
      <c r="M131" s="126"/>
      <c r="N131" s="126"/>
      <c r="O131" s="126"/>
      <c r="P131" s="125"/>
      <c r="R131" s="110"/>
      <c r="S131" s="110"/>
      <c r="T131" s="110"/>
      <c r="U131" s="110"/>
      <c r="V131" s="110"/>
      <c r="W131" s="110"/>
      <c r="X131" s="110"/>
      <c r="Y131" s="110"/>
      <c r="Z131" s="110"/>
      <c r="AA131" s="110"/>
      <c r="AB131" s="110"/>
      <c r="AC131" s="110"/>
      <c r="AD131" s="110"/>
      <c r="AE131" s="110"/>
      <c r="AF131" s="110"/>
      <c r="AG131" s="110"/>
      <c r="AH131" s="110"/>
    </row>
    <row r="132" spans="1:34">
      <c r="A132" s="110"/>
      <c r="B132" s="110"/>
      <c r="C132" s="110"/>
      <c r="D132" s="110"/>
      <c r="E132" s="128"/>
      <c r="F132" s="126"/>
      <c r="G132" s="126"/>
      <c r="H132" s="126"/>
      <c r="I132" s="126"/>
      <c r="J132" s="126"/>
      <c r="K132" s="126"/>
      <c r="L132" s="126"/>
      <c r="M132" s="126"/>
      <c r="N132" s="126"/>
      <c r="O132" s="126"/>
      <c r="P132" s="125"/>
      <c r="R132" s="110"/>
      <c r="S132" s="110"/>
      <c r="T132" s="110"/>
      <c r="U132" s="110"/>
      <c r="V132" s="110"/>
      <c r="W132" s="110"/>
      <c r="X132" s="110"/>
      <c r="Y132" s="110"/>
      <c r="Z132" s="110"/>
      <c r="AA132" s="110"/>
      <c r="AB132" s="110"/>
      <c r="AC132" s="110"/>
      <c r="AD132" s="110"/>
      <c r="AE132" s="110"/>
      <c r="AF132" s="110"/>
      <c r="AG132" s="110"/>
      <c r="AH132" s="110"/>
    </row>
    <row r="133" spans="1:34">
      <c r="A133" s="110"/>
      <c r="B133" s="110"/>
      <c r="C133" s="110"/>
      <c r="D133" s="110"/>
      <c r="E133" s="128"/>
      <c r="F133" s="126"/>
      <c r="G133" s="126"/>
      <c r="H133" s="126"/>
      <c r="I133" s="126"/>
      <c r="J133" s="126"/>
      <c r="K133" s="126"/>
      <c r="L133" s="126"/>
      <c r="M133" s="126"/>
      <c r="N133" s="126"/>
      <c r="O133" s="126"/>
      <c r="P133" s="125"/>
      <c r="R133" s="110"/>
      <c r="S133" s="110"/>
      <c r="T133" s="110"/>
      <c r="U133" s="110"/>
      <c r="V133" s="110"/>
      <c r="W133" s="110"/>
      <c r="X133" s="110"/>
      <c r="Y133" s="110"/>
      <c r="Z133" s="110"/>
      <c r="AA133" s="110"/>
      <c r="AB133" s="110"/>
      <c r="AC133" s="110"/>
      <c r="AD133" s="110"/>
      <c r="AE133" s="110"/>
      <c r="AF133" s="110"/>
      <c r="AG133" s="110"/>
      <c r="AH133" s="110"/>
    </row>
    <row r="134" spans="1:34">
      <c r="A134" s="110"/>
      <c r="B134" s="110"/>
      <c r="C134" s="110"/>
      <c r="D134" s="110"/>
      <c r="E134" s="128"/>
      <c r="F134" s="126"/>
      <c r="G134" s="126"/>
      <c r="H134" s="126"/>
      <c r="I134" s="126"/>
      <c r="J134" s="126"/>
      <c r="K134" s="126"/>
      <c r="L134" s="126"/>
      <c r="M134" s="126"/>
      <c r="N134" s="126"/>
      <c r="O134" s="126"/>
      <c r="P134" s="125"/>
      <c r="R134" s="110"/>
      <c r="S134" s="110"/>
      <c r="T134" s="110"/>
      <c r="U134" s="110"/>
      <c r="V134" s="110"/>
      <c r="W134" s="110"/>
      <c r="X134" s="110"/>
      <c r="Y134" s="110"/>
      <c r="Z134" s="110"/>
      <c r="AA134" s="110"/>
      <c r="AB134" s="110"/>
      <c r="AC134" s="110"/>
      <c r="AD134" s="110"/>
      <c r="AE134" s="110"/>
      <c r="AF134" s="110"/>
      <c r="AG134" s="110"/>
      <c r="AH134" s="110"/>
    </row>
    <row r="135" spans="1:34">
      <c r="A135" s="110"/>
      <c r="B135" s="110"/>
      <c r="C135" s="110"/>
      <c r="D135" s="110"/>
      <c r="E135" s="128"/>
      <c r="F135" s="126"/>
      <c r="G135" s="126"/>
      <c r="H135" s="126"/>
      <c r="I135" s="126"/>
      <c r="J135" s="126"/>
      <c r="K135" s="126"/>
      <c r="L135" s="126"/>
      <c r="M135" s="126"/>
      <c r="N135" s="126"/>
      <c r="O135" s="126"/>
      <c r="P135" s="125"/>
      <c r="R135" s="110"/>
      <c r="S135" s="110"/>
      <c r="T135" s="110"/>
      <c r="U135" s="110"/>
      <c r="V135" s="110"/>
      <c r="W135" s="110"/>
      <c r="X135" s="110"/>
      <c r="Y135" s="110"/>
      <c r="Z135" s="110"/>
      <c r="AA135" s="110"/>
      <c r="AB135" s="110"/>
      <c r="AC135" s="110"/>
      <c r="AD135" s="110"/>
      <c r="AE135" s="110"/>
      <c r="AF135" s="110"/>
      <c r="AG135" s="110"/>
      <c r="AH135" s="110"/>
    </row>
    <row r="136" spans="1:34">
      <c r="A136" s="110"/>
      <c r="B136" s="110"/>
      <c r="C136" s="110"/>
      <c r="D136" s="110"/>
      <c r="E136" s="128"/>
      <c r="F136" s="126"/>
      <c r="G136" s="126"/>
      <c r="H136" s="126"/>
      <c r="I136" s="126"/>
      <c r="J136" s="126"/>
      <c r="K136" s="126"/>
      <c r="L136" s="126"/>
      <c r="M136" s="126"/>
      <c r="N136" s="126"/>
      <c r="O136" s="126"/>
      <c r="P136" s="125"/>
      <c r="R136" s="110"/>
      <c r="S136" s="110"/>
      <c r="T136" s="110"/>
      <c r="U136" s="110"/>
      <c r="V136" s="110"/>
      <c r="W136" s="110"/>
      <c r="X136" s="110"/>
      <c r="Y136" s="110"/>
      <c r="Z136" s="110"/>
      <c r="AA136" s="110"/>
      <c r="AB136" s="110"/>
      <c r="AC136" s="110"/>
      <c r="AD136" s="110"/>
      <c r="AE136" s="110"/>
      <c r="AF136" s="110"/>
      <c r="AG136" s="110"/>
      <c r="AH136" s="110"/>
    </row>
    <row r="137" spans="1:34">
      <c r="A137" s="110"/>
      <c r="B137" s="110"/>
      <c r="C137" s="110"/>
      <c r="D137" s="110"/>
      <c r="E137" s="128"/>
      <c r="F137" s="126"/>
      <c r="G137" s="126"/>
      <c r="H137" s="126"/>
      <c r="I137" s="126"/>
      <c r="J137" s="126"/>
      <c r="K137" s="126"/>
      <c r="L137" s="126"/>
      <c r="M137" s="126"/>
      <c r="N137" s="126"/>
      <c r="O137" s="126"/>
      <c r="P137" s="125"/>
      <c r="R137" s="110"/>
      <c r="S137" s="110"/>
      <c r="T137" s="110"/>
      <c r="U137" s="110"/>
      <c r="V137" s="110"/>
      <c r="W137" s="110"/>
      <c r="X137" s="110"/>
      <c r="Y137" s="110"/>
      <c r="Z137" s="110"/>
      <c r="AA137" s="110"/>
      <c r="AB137" s="110"/>
      <c r="AC137" s="110"/>
      <c r="AD137" s="110"/>
      <c r="AE137" s="110"/>
      <c r="AF137" s="110"/>
      <c r="AG137" s="110"/>
      <c r="AH137" s="110"/>
    </row>
    <row r="138" spans="1:34">
      <c r="A138" s="110"/>
      <c r="B138" s="110"/>
      <c r="C138" s="110"/>
      <c r="D138" s="110"/>
      <c r="E138" s="128"/>
      <c r="F138" s="126"/>
      <c r="G138" s="126"/>
      <c r="H138" s="126"/>
      <c r="I138" s="126"/>
      <c r="J138" s="126"/>
      <c r="K138" s="126"/>
      <c r="L138" s="126"/>
      <c r="M138" s="126"/>
      <c r="N138" s="126"/>
      <c r="O138" s="126"/>
      <c r="P138" s="125"/>
      <c r="R138" s="110"/>
      <c r="S138" s="110"/>
      <c r="T138" s="110"/>
      <c r="U138" s="110"/>
      <c r="V138" s="110"/>
      <c r="W138" s="110"/>
      <c r="X138" s="110"/>
      <c r="Y138" s="110"/>
      <c r="Z138" s="110"/>
      <c r="AA138" s="110"/>
      <c r="AB138" s="110"/>
      <c r="AC138" s="110"/>
      <c r="AD138" s="110"/>
      <c r="AE138" s="110"/>
      <c r="AF138" s="110"/>
      <c r="AG138" s="110"/>
      <c r="AH138" s="110"/>
    </row>
    <row r="139" spans="1:34">
      <c r="A139" s="110"/>
      <c r="B139" s="110"/>
      <c r="C139" s="110"/>
      <c r="D139" s="110"/>
      <c r="E139" s="128"/>
      <c r="F139" s="126"/>
      <c r="G139" s="126"/>
      <c r="H139" s="126"/>
      <c r="I139" s="126"/>
      <c r="J139" s="126"/>
      <c r="K139" s="126"/>
      <c r="L139" s="126"/>
      <c r="M139" s="126"/>
      <c r="N139" s="126"/>
      <c r="O139" s="126"/>
      <c r="P139" s="125"/>
      <c r="R139" s="110"/>
      <c r="S139" s="110"/>
      <c r="T139" s="110"/>
      <c r="U139" s="110"/>
      <c r="V139" s="110"/>
      <c r="W139" s="110"/>
      <c r="X139" s="110"/>
      <c r="Y139" s="110"/>
      <c r="Z139" s="110"/>
      <c r="AA139" s="110"/>
      <c r="AB139" s="110"/>
      <c r="AC139" s="110"/>
      <c r="AD139" s="110"/>
      <c r="AE139" s="110"/>
      <c r="AF139" s="110"/>
      <c r="AG139" s="110"/>
      <c r="AH139" s="110"/>
    </row>
    <row r="140" spans="1:34">
      <c r="A140" s="110"/>
      <c r="B140" s="110"/>
      <c r="C140" s="110"/>
      <c r="D140" s="110"/>
      <c r="E140" s="128"/>
      <c r="F140" s="126"/>
      <c r="G140" s="126"/>
      <c r="H140" s="126"/>
      <c r="I140" s="126"/>
      <c r="J140" s="126"/>
      <c r="K140" s="126"/>
      <c r="L140" s="126"/>
      <c r="M140" s="126"/>
      <c r="N140" s="126"/>
      <c r="O140" s="126"/>
      <c r="P140" s="125"/>
      <c r="R140" s="110"/>
      <c r="S140" s="110"/>
      <c r="T140" s="110"/>
      <c r="U140" s="110"/>
      <c r="V140" s="110"/>
      <c r="W140" s="110"/>
      <c r="X140" s="110"/>
      <c r="Y140" s="110"/>
      <c r="Z140" s="110"/>
      <c r="AA140" s="110"/>
      <c r="AB140" s="110"/>
      <c r="AC140" s="110"/>
      <c r="AD140" s="110"/>
      <c r="AE140" s="110"/>
      <c r="AF140" s="110"/>
      <c r="AG140" s="110"/>
      <c r="AH140" s="110"/>
    </row>
    <row r="141" spans="1:34">
      <c r="A141" s="110"/>
      <c r="B141" s="110"/>
      <c r="C141" s="110"/>
      <c r="D141" s="110"/>
      <c r="E141" s="128"/>
      <c r="F141" s="126"/>
      <c r="G141" s="126"/>
      <c r="H141" s="126"/>
      <c r="I141" s="126"/>
      <c r="J141" s="126"/>
      <c r="K141" s="126"/>
      <c r="L141" s="126"/>
      <c r="M141" s="126"/>
      <c r="N141" s="126"/>
      <c r="O141" s="126"/>
      <c r="P141" s="125"/>
      <c r="R141" s="110"/>
      <c r="S141" s="110"/>
      <c r="T141" s="110"/>
      <c r="U141" s="110"/>
      <c r="V141" s="110"/>
      <c r="W141" s="110"/>
      <c r="X141" s="110"/>
      <c r="Y141" s="110"/>
      <c r="Z141" s="110"/>
      <c r="AA141" s="110"/>
      <c r="AB141" s="110"/>
      <c r="AC141" s="110"/>
      <c r="AD141" s="110"/>
      <c r="AE141" s="110"/>
      <c r="AF141" s="110"/>
      <c r="AG141" s="110"/>
      <c r="AH141" s="110"/>
    </row>
    <row r="142" spans="1:34">
      <c r="A142" s="110"/>
      <c r="B142" s="110"/>
      <c r="C142" s="110"/>
      <c r="D142" s="110"/>
      <c r="E142" s="128"/>
      <c r="F142" s="126"/>
      <c r="G142" s="126"/>
      <c r="H142" s="126"/>
      <c r="I142" s="126"/>
      <c r="J142" s="126"/>
      <c r="K142" s="126"/>
      <c r="L142" s="126"/>
      <c r="M142" s="126"/>
      <c r="N142" s="126"/>
      <c r="O142" s="126"/>
      <c r="P142" s="125"/>
      <c r="R142" s="110"/>
      <c r="S142" s="110"/>
      <c r="T142" s="110"/>
      <c r="U142" s="110"/>
      <c r="V142" s="110"/>
      <c r="W142" s="110"/>
      <c r="X142" s="110"/>
      <c r="Y142" s="110"/>
      <c r="Z142" s="110"/>
      <c r="AA142" s="110"/>
      <c r="AB142" s="110"/>
      <c r="AC142" s="110"/>
      <c r="AD142" s="110"/>
      <c r="AE142" s="110"/>
      <c r="AF142" s="110"/>
      <c r="AG142" s="110"/>
      <c r="AH142" s="110"/>
    </row>
    <row r="143" spans="1:34">
      <c r="A143" s="110"/>
      <c r="B143" s="110"/>
      <c r="C143" s="110"/>
      <c r="D143" s="110"/>
      <c r="E143" s="128"/>
      <c r="F143" s="126"/>
      <c r="G143" s="126"/>
      <c r="H143" s="126"/>
      <c r="I143" s="126"/>
      <c r="J143" s="126"/>
      <c r="K143" s="126"/>
      <c r="L143" s="126"/>
      <c r="M143" s="126"/>
      <c r="N143" s="126"/>
      <c r="O143" s="126"/>
      <c r="P143" s="125"/>
      <c r="R143" s="110"/>
      <c r="S143" s="110"/>
      <c r="T143" s="110"/>
      <c r="U143" s="110"/>
      <c r="V143" s="110"/>
      <c r="W143" s="110"/>
      <c r="X143" s="110"/>
      <c r="Y143" s="110"/>
      <c r="Z143" s="110"/>
      <c r="AA143" s="110"/>
      <c r="AB143" s="110"/>
      <c r="AC143" s="110"/>
      <c r="AD143" s="110"/>
      <c r="AE143" s="110"/>
      <c r="AF143" s="110"/>
      <c r="AG143" s="110"/>
      <c r="AH143" s="110"/>
    </row>
    <row r="144" spans="1:34">
      <c r="A144" s="110"/>
      <c r="B144" s="110"/>
      <c r="C144" s="110"/>
      <c r="D144" s="110"/>
      <c r="E144" s="128"/>
      <c r="F144" s="126"/>
      <c r="G144" s="126"/>
      <c r="H144" s="126"/>
      <c r="I144" s="126"/>
      <c r="J144" s="126"/>
      <c r="K144" s="126"/>
      <c r="L144" s="126"/>
      <c r="M144" s="126"/>
      <c r="N144" s="126"/>
      <c r="O144" s="126"/>
      <c r="P144" s="125"/>
      <c r="R144" s="110"/>
      <c r="S144" s="110"/>
      <c r="T144" s="110"/>
      <c r="U144" s="110"/>
      <c r="V144" s="110"/>
      <c r="W144" s="110"/>
      <c r="X144" s="110"/>
      <c r="Y144" s="110"/>
      <c r="Z144" s="110"/>
      <c r="AA144" s="110"/>
      <c r="AB144" s="110"/>
      <c r="AC144" s="110"/>
      <c r="AD144" s="110"/>
      <c r="AE144" s="110"/>
      <c r="AF144" s="110"/>
      <c r="AG144" s="110"/>
      <c r="AH144" s="110"/>
    </row>
    <row r="145" spans="1:34">
      <c r="A145" s="110"/>
      <c r="B145" s="110"/>
      <c r="C145" s="110"/>
      <c r="D145" s="110"/>
      <c r="E145" s="128"/>
      <c r="F145" s="126"/>
      <c r="G145" s="126"/>
      <c r="H145" s="126"/>
      <c r="I145" s="126"/>
      <c r="J145" s="126"/>
      <c r="K145" s="126"/>
      <c r="L145" s="126"/>
      <c r="M145" s="126"/>
      <c r="N145" s="126"/>
      <c r="O145" s="126"/>
      <c r="P145" s="125"/>
      <c r="R145" s="110"/>
      <c r="S145" s="110"/>
      <c r="T145" s="110"/>
      <c r="U145" s="110"/>
      <c r="V145" s="110"/>
      <c r="W145" s="110"/>
      <c r="X145" s="110"/>
      <c r="Y145" s="110"/>
      <c r="Z145" s="110"/>
      <c r="AA145" s="110"/>
      <c r="AB145" s="110"/>
      <c r="AC145" s="110"/>
      <c r="AD145" s="110"/>
      <c r="AE145" s="110"/>
      <c r="AF145" s="110"/>
      <c r="AG145" s="110"/>
      <c r="AH145" s="110"/>
    </row>
    <row r="146" spans="1:34">
      <c r="A146" s="110"/>
      <c r="B146" s="110"/>
      <c r="C146" s="110"/>
      <c r="D146" s="110"/>
      <c r="E146" s="128"/>
      <c r="F146" s="126"/>
      <c r="G146" s="126"/>
      <c r="H146" s="126"/>
      <c r="I146" s="126"/>
      <c r="J146" s="126"/>
      <c r="K146" s="126"/>
      <c r="L146" s="126"/>
      <c r="M146" s="126"/>
      <c r="N146" s="126"/>
      <c r="O146" s="126"/>
      <c r="P146" s="125"/>
      <c r="R146" s="110"/>
      <c r="S146" s="110"/>
      <c r="T146" s="110"/>
      <c r="U146" s="110"/>
      <c r="V146" s="110"/>
      <c r="W146" s="110"/>
      <c r="X146" s="110"/>
      <c r="Y146" s="110"/>
      <c r="Z146" s="110"/>
      <c r="AA146" s="110"/>
      <c r="AB146" s="110"/>
      <c r="AC146" s="110"/>
      <c r="AD146" s="110"/>
      <c r="AE146" s="110"/>
      <c r="AF146" s="110"/>
      <c r="AG146" s="110"/>
      <c r="AH146" s="110"/>
    </row>
    <row r="147" spans="1:34">
      <c r="A147" s="110"/>
      <c r="B147" s="110"/>
      <c r="C147" s="110"/>
      <c r="D147" s="110"/>
      <c r="E147" s="128"/>
      <c r="F147" s="126"/>
      <c r="G147" s="126"/>
      <c r="H147" s="126"/>
      <c r="I147" s="126"/>
      <c r="J147" s="126"/>
      <c r="K147" s="126"/>
      <c r="L147" s="126"/>
      <c r="M147" s="126"/>
      <c r="N147" s="126"/>
      <c r="O147" s="126"/>
      <c r="P147" s="125"/>
      <c r="R147" s="110"/>
      <c r="S147" s="110"/>
      <c r="T147" s="110"/>
      <c r="U147" s="110"/>
      <c r="V147" s="110"/>
      <c r="W147" s="110"/>
      <c r="X147" s="110"/>
      <c r="Y147" s="110"/>
      <c r="Z147" s="110"/>
      <c r="AA147" s="110"/>
      <c r="AB147" s="110"/>
      <c r="AC147" s="110"/>
      <c r="AD147" s="110"/>
      <c r="AE147" s="110"/>
      <c r="AF147" s="110"/>
      <c r="AG147" s="110"/>
      <c r="AH147" s="110"/>
    </row>
    <row r="148" spans="1:34">
      <c r="A148" s="110"/>
      <c r="B148" s="110"/>
      <c r="C148" s="110"/>
      <c r="D148" s="110"/>
      <c r="E148" s="128"/>
      <c r="F148" s="126"/>
      <c r="G148" s="126"/>
      <c r="H148" s="126"/>
      <c r="I148" s="126"/>
      <c r="J148" s="126"/>
      <c r="K148" s="126"/>
      <c r="L148" s="126"/>
      <c r="M148" s="126"/>
      <c r="N148" s="126"/>
      <c r="O148" s="126"/>
      <c r="P148" s="125"/>
      <c r="R148" s="110"/>
      <c r="S148" s="110"/>
      <c r="T148" s="110"/>
      <c r="U148" s="110"/>
      <c r="V148" s="110"/>
      <c r="W148" s="110"/>
      <c r="X148" s="110"/>
      <c r="Y148" s="110"/>
      <c r="Z148" s="110"/>
      <c r="AA148" s="110"/>
      <c r="AB148" s="110"/>
      <c r="AC148" s="110"/>
      <c r="AD148" s="110"/>
      <c r="AE148" s="110"/>
      <c r="AF148" s="110"/>
      <c r="AG148" s="110"/>
      <c r="AH148" s="110"/>
    </row>
    <row r="149" spans="1:34">
      <c r="A149" s="110"/>
      <c r="B149" s="110"/>
      <c r="C149" s="110"/>
      <c r="D149" s="110"/>
      <c r="E149" s="128"/>
      <c r="F149" s="126"/>
      <c r="G149" s="126"/>
      <c r="H149" s="126"/>
      <c r="I149" s="126"/>
      <c r="J149" s="126"/>
      <c r="K149" s="126"/>
      <c r="L149" s="126"/>
      <c r="M149" s="126"/>
      <c r="N149" s="126"/>
      <c r="O149" s="126"/>
      <c r="P149" s="125"/>
      <c r="R149" s="110"/>
      <c r="S149" s="110"/>
      <c r="T149" s="110"/>
      <c r="U149" s="110"/>
      <c r="V149" s="110"/>
      <c r="W149" s="110"/>
      <c r="X149" s="110"/>
      <c r="Y149" s="110"/>
      <c r="Z149" s="110"/>
      <c r="AA149" s="110"/>
      <c r="AB149" s="110"/>
      <c r="AC149" s="110"/>
      <c r="AD149" s="110"/>
      <c r="AE149" s="110"/>
      <c r="AF149" s="110"/>
      <c r="AG149" s="110"/>
      <c r="AH149" s="110"/>
    </row>
    <row r="150" spans="1:34">
      <c r="A150" s="110"/>
      <c r="B150" s="110"/>
      <c r="C150" s="110"/>
      <c r="D150" s="110"/>
      <c r="E150" s="128"/>
      <c r="F150" s="126"/>
      <c r="G150" s="126"/>
      <c r="H150" s="126"/>
      <c r="I150" s="126"/>
      <c r="J150" s="126"/>
      <c r="K150" s="126"/>
      <c r="L150" s="126"/>
      <c r="M150" s="126"/>
      <c r="N150" s="126"/>
      <c r="O150" s="126"/>
      <c r="P150" s="125"/>
      <c r="R150" s="110"/>
      <c r="S150" s="110"/>
      <c r="T150" s="110"/>
      <c r="U150" s="110"/>
      <c r="V150" s="110"/>
      <c r="W150" s="110"/>
      <c r="X150" s="110"/>
      <c r="Y150" s="110"/>
      <c r="Z150" s="110"/>
      <c r="AA150" s="110"/>
      <c r="AB150" s="110"/>
      <c r="AC150" s="110"/>
      <c r="AD150" s="110"/>
      <c r="AE150" s="110"/>
      <c r="AF150" s="110"/>
      <c r="AG150" s="110"/>
      <c r="AH150" s="110"/>
    </row>
    <row r="151" spans="1:34">
      <c r="A151" s="110"/>
      <c r="B151" s="110"/>
      <c r="E151" s="109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108"/>
    </row>
    <row r="152" spans="1:34">
      <c r="E152" s="109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108"/>
    </row>
    <row r="153" spans="1:34">
      <c r="E153" s="109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108"/>
    </row>
    <row r="154" spans="1:34">
      <c r="E154" s="109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108"/>
    </row>
    <row r="155" spans="1:34">
      <c r="E155" s="109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108"/>
    </row>
    <row r="156" spans="1:34">
      <c r="E156" s="109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108"/>
    </row>
    <row r="157" spans="1:34">
      <c r="E157" s="109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108"/>
    </row>
    <row r="158" spans="1:34">
      <c r="E158" s="109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108"/>
    </row>
    <row r="159" spans="1:34">
      <c r="E159" s="109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108"/>
    </row>
    <row r="160" spans="1:34">
      <c r="E160" s="109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108"/>
    </row>
    <row r="161" spans="5:16">
      <c r="E161" s="109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108"/>
    </row>
    <row r="162" spans="5:16">
      <c r="E162" s="109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108"/>
    </row>
    <row r="163" spans="5:16">
      <c r="E163" s="109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108"/>
    </row>
    <row r="164" spans="5:16">
      <c r="E164" s="109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108"/>
    </row>
    <row r="165" spans="5:16">
      <c r="E165" s="109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108"/>
    </row>
    <row r="166" spans="5:16">
      <c r="E166" s="109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108"/>
    </row>
    <row r="167" spans="5:16">
      <c r="E167" s="109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108"/>
    </row>
    <row r="168" spans="5:16">
      <c r="E168" s="109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108"/>
    </row>
    <row r="169" spans="5:16">
      <c r="E169" s="109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108"/>
    </row>
    <row r="170" spans="5:16">
      <c r="E170" s="109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108"/>
    </row>
    <row r="171" spans="5:16">
      <c r="E171" s="109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108"/>
    </row>
    <row r="172" spans="5:16">
      <c r="E172" s="109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108"/>
    </row>
    <row r="173" spans="5:16">
      <c r="E173" s="109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108"/>
    </row>
    <row r="174" spans="5:16">
      <c r="E174" s="109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108"/>
    </row>
    <row r="175" spans="5:16">
      <c r="E175" s="109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108"/>
    </row>
    <row r="176" spans="5:16">
      <c r="E176" s="109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108"/>
    </row>
    <row r="177" spans="4:16">
      <c r="E177" s="109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108"/>
    </row>
    <row r="178" spans="4:16">
      <c r="E178" s="109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108"/>
    </row>
    <row r="179" spans="4:16">
      <c r="E179" s="109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108"/>
    </row>
    <row r="180" spans="4:16">
      <c r="E180" s="109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108"/>
    </row>
    <row r="181" spans="4:16">
      <c r="E181" s="109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108"/>
    </row>
    <row r="182" spans="4:16">
      <c r="E182" s="109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108"/>
    </row>
    <row r="183" spans="4:16">
      <c r="E183" s="109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108"/>
    </row>
    <row r="184" spans="4:16">
      <c r="E184" s="109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108"/>
    </row>
    <row r="185" spans="4:16">
      <c r="E185" s="109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108"/>
    </row>
    <row r="186" spans="4:16">
      <c r="E186" s="109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108"/>
    </row>
    <row r="187" spans="4:16">
      <c r="E187" s="109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108"/>
    </row>
    <row r="188" spans="4:16">
      <c r="E188" s="109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108"/>
    </row>
    <row r="189" spans="4:16">
      <c r="E189" s="109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108"/>
    </row>
    <row r="190" spans="4:16">
      <c r="E190" s="109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108"/>
    </row>
    <row r="191" spans="4:16"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108"/>
    </row>
    <row r="192" spans="4:16"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108"/>
    </row>
    <row r="193" spans="6:16"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108"/>
    </row>
    <row r="194" spans="6:16"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108"/>
    </row>
    <row r="195" spans="6:16"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108"/>
    </row>
    <row r="196" spans="6:16"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108"/>
    </row>
    <row r="197" spans="6:16"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108"/>
    </row>
    <row r="198" spans="6:16"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108"/>
    </row>
    <row r="199" spans="6:16"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108"/>
    </row>
    <row r="200" spans="6:16"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108"/>
    </row>
    <row r="201" spans="6:16"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108"/>
    </row>
    <row r="202" spans="6:16"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108"/>
    </row>
    <row r="203" spans="6:16"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108"/>
    </row>
    <row r="204" spans="6:16"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108"/>
    </row>
    <row r="205" spans="6:16"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108"/>
    </row>
    <row r="206" spans="6:16"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108"/>
    </row>
    <row r="207" spans="6:16"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108"/>
    </row>
    <row r="208" spans="6:16"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108"/>
    </row>
  </sheetData>
  <sheetProtection formatCells="0" formatColumns="0" formatRows="0" sort="0" autoFilter="0"/>
  <mergeCells count="33">
    <mergeCell ref="D18:D19"/>
    <mergeCell ref="Q18:R18"/>
    <mergeCell ref="S18:T18"/>
    <mergeCell ref="S15:T15"/>
    <mergeCell ref="Q15:R15"/>
    <mergeCell ref="O15:P15"/>
    <mergeCell ref="M15:N15"/>
    <mergeCell ref="K15:L15"/>
    <mergeCell ref="I15:J15"/>
    <mergeCell ref="O17:P17"/>
    <mergeCell ref="G15:H15"/>
    <mergeCell ref="E15:F15"/>
    <mergeCell ref="E18:F18"/>
    <mergeCell ref="G18:H18"/>
    <mergeCell ref="I18:J18"/>
    <mergeCell ref="K18:L18"/>
    <mergeCell ref="M18:N18"/>
    <mergeCell ref="AC15:AD15"/>
    <mergeCell ref="Y18:Z18"/>
    <mergeCell ref="AA18:AB18"/>
    <mergeCell ref="AC18:AD18"/>
    <mergeCell ref="U15:V15"/>
    <mergeCell ref="W18:X18"/>
    <mergeCell ref="U18:V18"/>
    <mergeCell ref="V9:Y9"/>
    <mergeCell ref="W8:X8"/>
    <mergeCell ref="O18:P18"/>
    <mergeCell ref="Y15:Z15"/>
    <mergeCell ref="AA15:AB15"/>
    <mergeCell ref="Q17:R17"/>
    <mergeCell ref="S16:T17"/>
    <mergeCell ref="U12:AA12"/>
    <mergeCell ref="U13:Z13"/>
  </mergeCells>
  <printOptions horizontalCentered="1" verticalCentered="1"/>
  <pageMargins left="0" right="0" top="0.19685039370078741" bottom="0.19685039370078741" header="0" footer="0"/>
  <pageSetup paperSize="9" scale="26" orientation="landscape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EJ776"/>
  <sheetViews>
    <sheetView topLeftCell="C4" zoomScaleSheetLayoutView="100" workbookViewId="0">
      <selection activeCell="D4" sqref="D1:O1048576"/>
    </sheetView>
  </sheetViews>
  <sheetFormatPr defaultRowHeight="12.75"/>
  <cols>
    <col min="1" max="2" width="12.7109375" hidden="1" customWidth="1"/>
    <col min="3" max="3" width="57" customWidth="1"/>
    <col min="4" max="15" width="9.7109375" hidden="1" customWidth="1"/>
    <col min="16" max="21" width="9.7109375" customWidth="1"/>
    <col min="22" max="23" width="9.7109375" hidden="1" customWidth="1"/>
    <col min="24" max="24" width="10.7109375" customWidth="1"/>
    <col min="25" max="25" width="6.85546875" bestFit="1" customWidth="1"/>
    <col min="26" max="26" width="11.7109375" customWidth="1"/>
    <col min="27" max="27" width="6.85546875" bestFit="1" customWidth="1"/>
    <col min="28" max="28" width="10.85546875" customWidth="1"/>
    <col min="29" max="29" width="6.85546875" bestFit="1" customWidth="1"/>
    <col min="30" max="37" width="13.85546875" customWidth="1"/>
    <col min="39" max="40" width="48.28515625" customWidth="1"/>
    <col min="116" max="116" width="15.42578125" customWidth="1"/>
    <col min="117" max="117" width="12.7109375" customWidth="1"/>
    <col min="118" max="118" width="11.85546875" customWidth="1"/>
  </cols>
  <sheetData>
    <row r="1" spans="1:140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</row>
    <row r="2" spans="1:140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</row>
    <row r="3" spans="1:140" ht="13.5" customHeight="1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</row>
    <row r="4" spans="1:140" ht="13.5" customHeight="1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</row>
    <row r="5" spans="1:140" ht="13.5" customHeight="1">
      <c r="A5" s="69"/>
      <c r="B5" s="69"/>
      <c r="C5" s="70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</row>
    <row r="6" spans="1:140" ht="13.5" customHeight="1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</row>
    <row r="7" spans="1:140" ht="13.5" customHeight="1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1218"/>
      <c r="T7" s="1218"/>
      <c r="U7" s="1218"/>
      <c r="V7" s="1218"/>
      <c r="W7" s="1218"/>
      <c r="X7" s="1218"/>
      <c r="Y7" s="1218"/>
      <c r="Z7" s="69"/>
      <c r="AA7" s="69"/>
      <c r="AB7" s="69"/>
      <c r="AC7" s="69"/>
      <c r="AD7" s="69"/>
      <c r="AE7" s="69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</row>
    <row r="8" spans="1:140" ht="15">
      <c r="A8" s="69"/>
      <c r="B8" s="69"/>
      <c r="C8" s="79"/>
      <c r="D8" s="69"/>
      <c r="E8" s="69"/>
      <c r="F8" s="69"/>
      <c r="G8" s="69"/>
      <c r="H8" s="69"/>
      <c r="I8" s="1152" t="str">
        <f>IF(MasterSheet!$A$1 = 1, MasterSheet!C5,MasterSheet!B5)</f>
        <v>CRNA GORA</v>
      </c>
      <c r="J8" s="1152"/>
      <c r="K8" s="1152"/>
      <c r="L8" s="69"/>
      <c r="M8" s="69"/>
      <c r="N8" s="69"/>
      <c r="O8" s="69"/>
      <c r="P8" s="69"/>
      <c r="Q8" s="69"/>
      <c r="R8" s="69"/>
      <c r="S8" s="1218"/>
      <c r="T8" s="1218"/>
      <c r="U8" s="1218"/>
      <c r="V8" s="1218"/>
      <c r="W8" s="1218"/>
      <c r="X8" s="1218"/>
      <c r="Y8" s="1218"/>
      <c r="Z8" s="69"/>
      <c r="AA8" s="69"/>
      <c r="AB8" s="69"/>
      <c r="AC8" s="69"/>
      <c r="AD8" s="69"/>
      <c r="AE8" s="69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</row>
    <row r="9" spans="1:140" ht="15" customHeight="1">
      <c r="A9" s="69"/>
      <c r="B9" s="69"/>
      <c r="C9" s="69"/>
      <c r="D9" s="69"/>
      <c r="E9" s="69"/>
      <c r="F9" s="69"/>
      <c r="G9" s="69"/>
      <c r="H9" s="1152" t="str">
        <f>IF(MasterSheet!$A$1 = 1, MasterSheet!C6,MasterSheet!B6)</f>
        <v>MINISTARSTVO FINANSIJA</v>
      </c>
      <c r="I9" s="1152"/>
      <c r="J9" s="1152"/>
      <c r="K9" s="1152"/>
      <c r="L9" s="1152"/>
      <c r="M9" s="76"/>
      <c r="N9" s="76"/>
      <c r="O9" s="69"/>
      <c r="P9" s="69"/>
      <c r="Q9" s="69"/>
      <c r="R9" s="69"/>
      <c r="S9" s="1218"/>
      <c r="T9" s="1218"/>
      <c r="U9" s="1218"/>
      <c r="V9" s="1218"/>
      <c r="W9" s="1218"/>
      <c r="X9" s="1218"/>
      <c r="Y9" s="1218"/>
      <c r="Z9" s="69"/>
      <c r="AA9" s="69"/>
      <c r="AB9" s="69"/>
      <c r="AC9" s="69"/>
      <c r="AD9" s="69"/>
      <c r="AE9" s="69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</row>
    <row r="10" spans="1:140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1218"/>
      <c r="T10" s="1218"/>
      <c r="U10" s="1218"/>
      <c r="V10" s="1218"/>
      <c r="W10" s="1218"/>
      <c r="X10" s="1218"/>
      <c r="Y10" s="1218"/>
      <c r="Z10" s="69"/>
      <c r="AA10" s="69"/>
      <c r="AB10" s="69"/>
      <c r="AC10" s="69"/>
      <c r="AD10" s="69"/>
      <c r="AE10" s="69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</row>
    <row r="11" spans="1:140">
      <c r="A11" s="80"/>
      <c r="B11" s="80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1218"/>
      <c r="T11" s="1218"/>
      <c r="U11" s="1218"/>
      <c r="V11" s="1218"/>
      <c r="W11" s="1218"/>
      <c r="X11" s="1218"/>
      <c r="Y11" s="1218"/>
      <c r="Z11" s="69"/>
      <c r="AA11" s="69"/>
      <c r="AB11" s="69"/>
      <c r="AC11" s="69"/>
      <c r="AD11" s="69"/>
      <c r="AE11" s="69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</row>
    <row r="12" spans="1:140" ht="17.25" customHeight="1">
      <c r="A12" s="80"/>
      <c r="B12" s="80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51"/>
      <c r="AG12" s="51"/>
      <c r="AH12" s="51"/>
      <c r="AI12" s="51"/>
      <c r="AJ12" s="51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</row>
    <row r="13" spans="1:140" s="21" customFormat="1" ht="14.25" customHeight="1">
      <c r="A13" s="81"/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52"/>
      <c r="AG13" s="52"/>
      <c r="AH13" s="52"/>
      <c r="AI13" s="52"/>
      <c r="AJ13" s="52"/>
      <c r="AK13" s="57"/>
      <c r="AL13" s="57"/>
      <c r="AM13" s="147"/>
      <c r="AN13" s="147"/>
      <c r="AO13" s="147"/>
      <c r="AP13" s="147"/>
      <c r="AQ13" s="14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/>
      <c r="DJ13" s="57"/>
      <c r="DK13" s="57"/>
      <c r="DL13" s="57"/>
      <c r="DM13" s="57"/>
      <c r="DN13" s="57"/>
      <c r="DO13" s="57"/>
      <c r="DP13" s="57"/>
      <c r="DQ13" s="57"/>
      <c r="DR13" s="57"/>
      <c r="DS13" s="57"/>
      <c r="DT13" s="57"/>
      <c r="DU13" s="52"/>
      <c r="DV13" s="52"/>
      <c r="DW13" s="52"/>
      <c r="DX13" s="52"/>
      <c r="DY13" s="52"/>
      <c r="DZ13" s="52"/>
      <c r="EA13" s="52"/>
      <c r="EB13" s="52"/>
      <c r="EC13" s="52"/>
      <c r="ED13" s="52"/>
      <c r="EE13" s="52"/>
      <c r="EF13" s="52"/>
      <c r="EG13" s="52"/>
      <c r="EH13" s="52"/>
      <c r="EI13" s="52"/>
      <c r="EJ13" s="52"/>
    </row>
    <row r="14" spans="1:140" s="21" customFormat="1" ht="15" customHeight="1" thickBot="1">
      <c r="A14" s="81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52"/>
      <c r="AG14" s="52"/>
      <c r="AH14" s="52"/>
      <c r="AI14" s="52"/>
      <c r="AJ14" s="52"/>
      <c r="AK14" s="57"/>
      <c r="AL14" s="57"/>
      <c r="AM14" s="53"/>
      <c r="AN14" s="53"/>
      <c r="AO14" s="53"/>
      <c r="AP14" s="53"/>
      <c r="AQ14" s="53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/>
      <c r="BY14" s="57"/>
      <c r="BZ14" s="57"/>
      <c r="CA14" s="57"/>
      <c r="CB14" s="57"/>
      <c r="CC14" s="57"/>
      <c r="CD14" s="57"/>
      <c r="CE14" s="57"/>
      <c r="CF14" s="57"/>
      <c r="CG14" s="57"/>
      <c r="CH14" s="57"/>
      <c r="CI14" s="57"/>
      <c r="CJ14" s="57"/>
      <c r="CK14" s="57"/>
      <c r="CL14" s="57"/>
      <c r="CM14" s="57"/>
      <c r="CN14" s="57"/>
      <c r="CO14" s="57"/>
      <c r="CP14" s="57"/>
      <c r="CQ14" s="57"/>
      <c r="CR14" s="57"/>
      <c r="CS14" s="57"/>
      <c r="CT14" s="57"/>
      <c r="CU14" s="57"/>
      <c r="CV14" s="57"/>
      <c r="CW14" s="57"/>
      <c r="CX14" s="57"/>
      <c r="CY14" s="57"/>
      <c r="CZ14" s="57"/>
      <c r="DA14" s="57"/>
      <c r="DB14" s="57"/>
      <c r="DC14" s="57"/>
      <c r="DD14" s="57"/>
      <c r="DE14" s="57"/>
      <c r="DF14" s="57"/>
      <c r="DG14" s="57"/>
      <c r="DH14" s="57"/>
      <c r="DI14" s="57"/>
      <c r="DJ14" s="57"/>
      <c r="DK14" s="57"/>
      <c r="DL14" s="57"/>
      <c r="DM14" s="57"/>
      <c r="DN14" s="57"/>
      <c r="DO14" s="57"/>
      <c r="DP14" s="57"/>
      <c r="DQ14" s="57"/>
      <c r="DR14" s="57"/>
      <c r="DS14" s="57"/>
      <c r="DT14" s="57"/>
      <c r="DU14" s="52"/>
      <c r="DV14" s="52"/>
      <c r="DW14" s="52"/>
      <c r="DX14" s="52"/>
      <c r="DY14" s="52"/>
      <c r="DZ14" s="52"/>
      <c r="EA14" s="52"/>
      <c r="EB14" s="52"/>
      <c r="EC14" s="52"/>
      <c r="ED14" s="52"/>
      <c r="EE14" s="52"/>
      <c r="EF14" s="52"/>
      <c r="EG14" s="52"/>
      <c r="EH14" s="52"/>
      <c r="EI14" s="52"/>
      <c r="EJ14" s="52"/>
    </row>
    <row r="15" spans="1:140" s="21" customFormat="1" ht="15.75" customHeight="1" thickTop="1" thickBot="1">
      <c r="A15" s="81"/>
      <c r="B15" s="81"/>
      <c r="C15" s="480" t="str">
        <f>'Cental Budget_int'!D15</f>
        <v>BDP (u mil. €)</v>
      </c>
      <c r="D15" s="1221">
        <f>'Cental Budget_int'!E15</f>
        <v>2148900000</v>
      </c>
      <c r="E15" s="1221"/>
      <c r="F15" s="1222">
        <f>'Cental Budget_int'!G15</f>
        <v>2680500000</v>
      </c>
      <c r="G15" s="1222"/>
      <c r="H15" s="1222">
        <f>'Cental Budget_int'!I15</f>
        <v>3085600000</v>
      </c>
      <c r="I15" s="1222"/>
      <c r="J15" s="1222">
        <f>'Cental Budget_int'!K15</f>
        <v>2981000000</v>
      </c>
      <c r="K15" s="1222"/>
      <c r="L15" s="1222">
        <f>'Cental Budget_int'!M15</f>
        <v>3104000000</v>
      </c>
      <c r="M15" s="1222"/>
      <c r="N15" s="1222">
        <f>'Cental Budget_int'!O15</f>
        <v>3234000000</v>
      </c>
      <c r="O15" s="1222"/>
      <c r="P15" s="1223">
        <f>'Cental Budget_int'!Q15</f>
        <v>3149000000</v>
      </c>
      <c r="Q15" s="1223"/>
      <c r="R15" s="1214">
        <f>'Cental Budget_int'!S15</f>
        <v>3517000000</v>
      </c>
      <c r="S15" s="1214"/>
      <c r="T15" s="1214">
        <f>'Cental Budget_int'!U15</f>
        <v>3517000000</v>
      </c>
      <c r="U15" s="1214"/>
      <c r="V15" s="806"/>
      <c r="W15" s="806"/>
      <c r="X15" s="1214">
        <f>'Cental Budget_int'!Y15</f>
        <v>3735000000</v>
      </c>
      <c r="Y15" s="1214"/>
      <c r="Z15" s="1214">
        <f>'Cental Budget_int'!AA15</f>
        <v>3982000000</v>
      </c>
      <c r="AA15" s="1214"/>
      <c r="AB15" s="1214">
        <f>'Cental Budget_int'!AC15</f>
        <v>4265000000</v>
      </c>
      <c r="AC15" s="1214"/>
      <c r="AD15" s="82"/>
      <c r="AE15" s="82"/>
      <c r="AF15" s="54"/>
      <c r="AG15" s="54"/>
      <c r="AH15" s="54"/>
      <c r="AI15" s="54"/>
      <c r="AJ15" s="54"/>
      <c r="AK15" s="54"/>
      <c r="AL15" s="54"/>
      <c r="AM15" s="148"/>
      <c r="AN15" s="57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7"/>
      <c r="BU15" s="57"/>
      <c r="BV15" s="57"/>
      <c r="BW15" s="57"/>
      <c r="BX15" s="57"/>
      <c r="BY15" s="57"/>
      <c r="BZ15" s="57"/>
      <c r="CA15" s="57"/>
      <c r="CB15" s="57"/>
      <c r="CC15" s="57"/>
      <c r="CD15" s="57"/>
      <c r="CE15" s="57"/>
      <c r="CF15" s="57"/>
      <c r="CG15" s="57"/>
      <c r="CH15" s="57"/>
      <c r="CI15" s="57"/>
      <c r="CJ15" s="57"/>
      <c r="CK15" s="57"/>
      <c r="CL15" s="57"/>
      <c r="CM15" s="57"/>
      <c r="CN15" s="57"/>
      <c r="CO15" s="57"/>
      <c r="CP15" s="57"/>
      <c r="CQ15" s="57"/>
      <c r="CR15" s="57"/>
      <c r="CS15" s="57"/>
      <c r="CT15" s="57"/>
      <c r="CU15" s="57"/>
      <c r="CV15" s="57"/>
      <c r="CW15" s="57"/>
      <c r="CX15" s="57"/>
      <c r="CY15" s="57"/>
      <c r="CZ15" s="57"/>
      <c r="DA15" s="57"/>
      <c r="DB15" s="57"/>
      <c r="DC15" s="57"/>
      <c r="DD15" s="57"/>
      <c r="DE15" s="57"/>
      <c r="DF15" s="57"/>
      <c r="DG15" s="57"/>
      <c r="DH15" s="57"/>
      <c r="DI15" s="57"/>
      <c r="DJ15" s="57"/>
      <c r="DK15" s="57"/>
      <c r="DL15" s="57"/>
      <c r="DM15" s="57"/>
      <c r="DN15" s="57"/>
      <c r="DO15" s="57"/>
      <c r="DP15" s="57"/>
      <c r="DQ15" s="57"/>
      <c r="DR15" s="57"/>
      <c r="DS15" s="57"/>
      <c r="DT15" s="57"/>
      <c r="DU15" s="52"/>
      <c r="DV15" s="52"/>
      <c r="DW15" s="52"/>
      <c r="DX15" s="52"/>
      <c r="DY15" s="52"/>
      <c r="DZ15" s="52"/>
      <c r="EA15" s="52"/>
      <c r="EB15" s="52"/>
      <c r="EC15" s="52"/>
      <c r="ED15" s="52"/>
      <c r="EE15" s="52"/>
      <c r="EF15" s="52"/>
      <c r="EG15" s="52"/>
      <c r="EH15" s="52"/>
      <c r="EI15" s="52"/>
      <c r="EJ15" s="52"/>
    </row>
    <row r="16" spans="1:140" s="21" customFormat="1" ht="15" customHeight="1" thickTop="1">
      <c r="A16" s="81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1219" t="str">
        <f>IF(MasterSheet!$A$1=1,MasterSheet!$O$67,MasterSheet!O68)</f>
        <v>Plan prema Zakonu o Budžetu za 2013. godinu</v>
      </c>
      <c r="S16" s="1219"/>
      <c r="T16" s="81"/>
      <c r="U16" s="81"/>
      <c r="V16" s="807"/>
      <c r="W16" s="807"/>
      <c r="X16" s="81"/>
      <c r="Y16" s="81"/>
      <c r="Z16" s="82"/>
      <c r="AA16" s="82"/>
      <c r="AB16" s="82"/>
      <c r="AC16" s="82"/>
      <c r="AD16" s="82"/>
      <c r="AE16" s="82"/>
      <c r="AF16" s="54"/>
      <c r="AG16" s="54"/>
      <c r="AH16" s="54"/>
      <c r="AI16" s="54"/>
      <c r="AJ16" s="54"/>
      <c r="AK16" s="54"/>
      <c r="AL16" s="54"/>
      <c r="AM16" s="63"/>
      <c r="AN16" s="57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  <c r="DE16" s="57"/>
      <c r="DF16" s="57"/>
      <c r="DG16" s="57"/>
      <c r="DH16" s="57"/>
      <c r="DI16" s="57"/>
      <c r="DJ16" s="57"/>
      <c r="DK16" s="57"/>
      <c r="DL16" s="57"/>
      <c r="DM16" s="57"/>
      <c r="DN16" s="57"/>
      <c r="DO16" s="57"/>
      <c r="DP16" s="57"/>
      <c r="DQ16" s="57"/>
      <c r="DR16" s="57"/>
      <c r="DS16" s="57"/>
      <c r="DT16" s="57"/>
      <c r="DU16" s="52"/>
      <c r="DV16" s="52"/>
      <c r="DW16" s="52"/>
      <c r="DX16" s="52"/>
      <c r="DY16" s="52"/>
      <c r="DZ16" s="52"/>
      <c r="EA16" s="52"/>
      <c r="EB16" s="52"/>
      <c r="EC16" s="52"/>
      <c r="ED16" s="52"/>
      <c r="EE16" s="52"/>
      <c r="EF16" s="52"/>
      <c r="EG16" s="52"/>
      <c r="EH16" s="52"/>
      <c r="EI16" s="52"/>
      <c r="EJ16" s="52"/>
    </row>
    <row r="17" spans="1:140" s="21" customFormat="1" ht="14.25" customHeight="1" thickBot="1">
      <c r="A17" s="81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1140"/>
      <c r="O17" s="1140"/>
      <c r="P17" s="1217" t="s">
        <v>407</v>
      </c>
      <c r="Q17" s="1217"/>
      <c r="R17" s="1220"/>
      <c r="S17" s="1220"/>
      <c r="T17" s="808"/>
      <c r="U17" s="808"/>
      <c r="V17" s="809"/>
      <c r="W17" s="809"/>
      <c r="X17" s="808"/>
      <c r="Y17" s="808"/>
      <c r="Z17" s="808"/>
      <c r="AA17" s="808"/>
      <c r="AB17" s="83"/>
      <c r="AC17" s="83"/>
      <c r="AD17" s="83"/>
      <c r="AE17" s="83"/>
      <c r="AF17" s="55"/>
      <c r="AG17" s="55"/>
      <c r="AH17" s="55"/>
      <c r="AI17" s="55"/>
      <c r="AJ17" s="55"/>
      <c r="AK17" s="55"/>
      <c r="AL17" s="55"/>
      <c r="AM17" s="149"/>
      <c r="AN17" s="149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CY17" s="57"/>
      <c r="CZ17" s="57"/>
      <c r="DA17" s="57"/>
      <c r="DB17" s="57"/>
      <c r="DC17" s="57"/>
      <c r="DD17" s="57"/>
      <c r="DE17" s="57"/>
      <c r="DF17" s="57"/>
      <c r="DG17" s="57"/>
      <c r="DH17" s="57"/>
      <c r="DI17" s="57"/>
      <c r="DJ17" s="57"/>
      <c r="DK17" s="57"/>
      <c r="DL17" s="57"/>
      <c r="DM17" s="57"/>
      <c r="DN17" s="57"/>
      <c r="DO17" s="57"/>
      <c r="DP17" s="57"/>
      <c r="DQ17" s="57"/>
      <c r="DR17" s="57"/>
      <c r="DS17" s="57"/>
      <c r="DT17" s="57"/>
      <c r="DU17" s="52"/>
      <c r="DV17" s="52"/>
      <c r="DW17" s="52"/>
      <c r="DX17" s="52"/>
      <c r="DY17" s="52"/>
      <c r="DZ17" s="52"/>
      <c r="EA17" s="52"/>
      <c r="EB17" s="52"/>
      <c r="EC17" s="52"/>
      <c r="ED17" s="52"/>
      <c r="EE17" s="52"/>
      <c r="EF17" s="52"/>
      <c r="EG17" s="52"/>
      <c r="EH17" s="52"/>
      <c r="EI17" s="52"/>
      <c r="EJ17" s="52"/>
    </row>
    <row r="18" spans="1:140" s="21" customFormat="1" ht="15" customHeight="1" thickTop="1">
      <c r="A18" s="81"/>
      <c r="B18" s="81"/>
      <c r="C18" s="1148" t="str">
        <f>IF(MasterSheet!$A$1=1,MasterSheet!B160,MasterSheet!B159)</f>
        <v>Lokalna samouprava</v>
      </c>
      <c r="D18" s="1146">
        <v>2006</v>
      </c>
      <c r="E18" s="1147"/>
      <c r="F18" s="1146">
        <v>2007</v>
      </c>
      <c r="G18" s="1147"/>
      <c r="H18" s="1146">
        <v>2008</v>
      </c>
      <c r="I18" s="1147"/>
      <c r="J18" s="1146">
        <v>2009</v>
      </c>
      <c r="K18" s="1147"/>
      <c r="L18" s="1146">
        <v>2010</v>
      </c>
      <c r="M18" s="1147"/>
      <c r="N18" s="1146">
        <v>2011</v>
      </c>
      <c r="O18" s="1147"/>
      <c r="P18" s="1146">
        <v>2012</v>
      </c>
      <c r="Q18" s="1147"/>
      <c r="R18" s="1146">
        <v>2013</v>
      </c>
      <c r="S18" s="1147"/>
      <c r="T18" s="1146" t="s">
        <v>423</v>
      </c>
      <c r="U18" s="1147"/>
      <c r="V18" s="1215" t="s">
        <v>420</v>
      </c>
      <c r="W18" s="1216"/>
      <c r="X18" s="1146">
        <v>2014</v>
      </c>
      <c r="Y18" s="1147"/>
      <c r="Z18" s="1146">
        <v>2015</v>
      </c>
      <c r="AA18" s="1147"/>
      <c r="AB18" s="1146">
        <v>2016</v>
      </c>
      <c r="AC18" s="1147"/>
      <c r="AD18" s="83"/>
      <c r="AE18" s="83"/>
      <c r="AF18" s="55"/>
      <c r="AG18" s="55"/>
      <c r="AH18" s="55"/>
      <c r="AI18" s="55"/>
      <c r="AJ18" s="55"/>
      <c r="AK18" s="55"/>
      <c r="AL18" s="55"/>
      <c r="AM18" s="149"/>
      <c r="AN18" s="149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7"/>
      <c r="DM18" s="57"/>
      <c r="DN18" s="57"/>
      <c r="DO18" s="57"/>
      <c r="DP18" s="57"/>
      <c r="DQ18" s="57"/>
      <c r="DR18" s="57"/>
      <c r="DS18" s="57"/>
      <c r="DT18" s="57"/>
      <c r="DU18" s="52"/>
      <c r="DV18" s="52"/>
      <c r="DW18" s="52"/>
      <c r="DX18" s="52"/>
      <c r="DY18" s="52"/>
      <c r="DZ18" s="52"/>
      <c r="EA18" s="52"/>
      <c r="EB18" s="52"/>
      <c r="EC18" s="52"/>
      <c r="ED18" s="52"/>
      <c r="EE18" s="52"/>
      <c r="EF18" s="52"/>
      <c r="EG18" s="52"/>
      <c r="EH18" s="52"/>
      <c r="EI18" s="52"/>
      <c r="EJ18" s="52"/>
    </row>
    <row r="19" spans="1:140" s="21" customFormat="1" ht="17.25" customHeight="1" thickBot="1">
      <c r="A19" s="81"/>
      <c r="B19" s="81"/>
      <c r="C19" s="1149"/>
      <c r="D19" s="172" t="str">
        <f>IF(MasterSheet!$A$1=1,MasterSheet!C71,MasterSheet!C70)</f>
        <v>mil. €</v>
      </c>
      <c r="E19" s="173" t="str">
        <f>IF(MasterSheet!$A$1=1,MasterSheet!D71,MasterSheet!D70)</f>
        <v>% BDP</v>
      </c>
      <c r="F19" s="172" t="str">
        <f>IF(MasterSheet!$A$1=1,MasterSheet!E71,MasterSheet!E70)</f>
        <v>mil. €</v>
      </c>
      <c r="G19" s="173" t="str">
        <f>IF(MasterSheet!$A$1=1,MasterSheet!F71,MasterSheet!F70)</f>
        <v>% BDP</v>
      </c>
      <c r="H19" s="172" t="str">
        <f>IF(MasterSheet!$A$1=1,MasterSheet!G71,MasterSheet!G70)</f>
        <v>mil. €</v>
      </c>
      <c r="I19" s="173" t="str">
        <f>IF(MasterSheet!$A$1=1,MasterSheet!H71,MasterSheet!H70)</f>
        <v>% BDP</v>
      </c>
      <c r="J19" s="172" t="str">
        <f>IF(MasterSheet!$A$1=1,MasterSheet!I71,MasterSheet!I70)</f>
        <v>mil. €</v>
      </c>
      <c r="K19" s="173" t="str">
        <f>IF(MasterSheet!$A$1=1,MasterSheet!J71,MasterSheet!J70)</f>
        <v>% BDP</v>
      </c>
      <c r="L19" s="172" t="str">
        <f>IF(MasterSheet!$A$1=1,MasterSheet!K71,MasterSheet!K70)</f>
        <v>mil. €</v>
      </c>
      <c r="M19" s="173" t="str">
        <f>IF(MasterSheet!$A$1=1,MasterSheet!L71,MasterSheet!L70)</f>
        <v>% BDP</v>
      </c>
      <c r="N19" s="172" t="str">
        <f>IF(MasterSheet!$A$1=1,MasterSheet!M71,MasterSheet!M70)</f>
        <v>mil. €</v>
      </c>
      <c r="O19" s="173" t="str">
        <f>IF(MasterSheet!$A$1=1,MasterSheet!N71,MasterSheet!N70)</f>
        <v>% BDP</v>
      </c>
      <c r="P19" s="172" t="str">
        <f>IF(MasterSheet!$A$1=1,MasterSheet!O71,MasterSheet!O70)</f>
        <v>mil. €</v>
      </c>
      <c r="Q19" s="173" t="str">
        <f>IF(MasterSheet!$A$1=1,MasterSheet!P71,MasterSheet!P70)</f>
        <v>% BDP</v>
      </c>
      <c r="R19" s="172" t="str">
        <f>IF(MasterSheet!$A$1=1,MasterSheet!Q71,MasterSheet!Q70)</f>
        <v>mil. €</v>
      </c>
      <c r="S19" s="173" t="str">
        <f>IF(MasterSheet!$A$1=1,MasterSheet!R71,MasterSheet!R70)</f>
        <v>% BDP</v>
      </c>
      <c r="T19" s="172" t="str">
        <f>IF(MasterSheet!$A$1=1,MasterSheet!S71,MasterSheet!S70)</f>
        <v>mil. €</v>
      </c>
      <c r="U19" s="173" t="str">
        <f>IF(MasterSheet!$A$1=1,MasterSheet!T71,MasterSheet!T70)</f>
        <v>% BDP</v>
      </c>
      <c r="V19" s="810" t="str">
        <f>IF(MasterSheet!$A$1=1,MasterSheet!U71,MasterSheet!U70)</f>
        <v>mil. €</v>
      </c>
      <c r="W19" s="811" t="str">
        <f>IF(MasterSheet!$A$1=1,MasterSheet!V71,MasterSheet!V70)</f>
        <v>% BDP</v>
      </c>
      <c r="X19" s="174" t="str">
        <f>IF(MasterSheet!$A$1=1,MasterSheet!S71,MasterSheet!S70)</f>
        <v>mil. €</v>
      </c>
      <c r="Y19" s="175" t="str">
        <f>IF(MasterSheet!$A$1=1,MasterSheet!T71,MasterSheet!T70)</f>
        <v>% BDP</v>
      </c>
      <c r="Z19" s="174" t="str">
        <f>IF(MasterSheet!$A$1=1,MasterSheet!U71,MasterSheet!U70)</f>
        <v>mil. €</v>
      </c>
      <c r="AA19" s="175" t="str">
        <f>IF(MasterSheet!$A$1=1,MasterSheet!V71,MasterSheet!V70)</f>
        <v>% BDP</v>
      </c>
      <c r="AB19" s="174" t="s">
        <v>266</v>
      </c>
      <c r="AC19" s="175" t="s">
        <v>150</v>
      </c>
      <c r="AD19" s="83"/>
      <c r="AE19" s="83"/>
      <c r="AF19" s="55"/>
      <c r="AG19" s="55"/>
      <c r="AH19" s="55"/>
      <c r="AI19" s="55"/>
      <c r="AJ19" s="55"/>
      <c r="AK19" s="55"/>
      <c r="AL19" s="55"/>
      <c r="AM19" s="149"/>
      <c r="AN19" s="149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/>
      <c r="DS19" s="57"/>
      <c r="DT19" s="57"/>
      <c r="DU19" s="52"/>
      <c r="DV19" s="52"/>
      <c r="DW19" s="52"/>
      <c r="DX19" s="52"/>
      <c r="DY19" s="52"/>
      <c r="DZ19" s="52"/>
      <c r="EA19" s="52"/>
      <c r="EB19" s="52"/>
      <c r="EC19" s="52"/>
      <c r="ED19" s="52"/>
      <c r="EE19" s="52"/>
      <c r="EF19" s="52"/>
      <c r="EG19" s="52"/>
      <c r="EH19" s="52"/>
      <c r="EI19" s="52"/>
      <c r="EJ19" s="52"/>
    </row>
    <row r="20" spans="1:140" s="21" customFormat="1" ht="15" customHeight="1" thickTop="1" thickBot="1">
      <c r="A20" s="81"/>
      <c r="B20" s="81"/>
      <c r="C20" s="168" t="str">
        <f>IF(MasterSheet!$A$1=1,MasterSheet!C162,MasterSheet!B162)</f>
        <v>Izvorni prihodi</v>
      </c>
      <c r="D20" s="169">
        <f>+D21+D30+D35+D41+D51</f>
        <v>116233180.60999998</v>
      </c>
      <c r="E20" s="170">
        <f t="shared" ref="E20:E83" si="0">+D20/$D$15*100</f>
        <v>5.4089618227930565</v>
      </c>
      <c r="F20" s="169">
        <f>+F21+F30+F35+F41+F51</f>
        <v>199153291.78</v>
      </c>
      <c r="G20" s="170">
        <f t="shared" ref="G20:G83" si="1">+F20/$F$15*100</f>
        <v>7.4297068375303112</v>
      </c>
      <c r="H20" s="169">
        <f>+H21+H30+H35+H41+H51</f>
        <v>257236341.20895684</v>
      </c>
      <c r="I20" s="170">
        <f>+H20/$H$15*100</f>
        <v>8.3366716751671266</v>
      </c>
      <c r="J20" s="169">
        <f>+J21+J30+J35+J41+J51</f>
        <v>183697794.28999999</v>
      </c>
      <c r="K20" s="170">
        <f>+J20/$J$15*100</f>
        <v>6.1622876313317674</v>
      </c>
      <c r="L20" s="169">
        <f>+L21+L30+L35+L41+L51</f>
        <v>173968216.58846152</v>
      </c>
      <c r="M20" s="170">
        <f>+L20/$L$15*100</f>
        <v>5.6046461529787859</v>
      </c>
      <c r="N20" s="169">
        <f>+N21+N30+N35+N41+N51</f>
        <v>155931969.95999998</v>
      </c>
      <c r="O20" s="170">
        <f>+N20/$N$15*100</f>
        <v>4.8216440927643784</v>
      </c>
      <c r="P20" s="169">
        <f>+P21+P30+P35+P41+P51</f>
        <v>178889279.60333332</v>
      </c>
      <c r="Q20" s="277">
        <f>+P20/$P$15*100</f>
        <v>5.680828186831798</v>
      </c>
      <c r="R20" s="169">
        <f>+R21+R30+R35+R41+R51</f>
        <v>132295632.70702851</v>
      </c>
      <c r="S20" s="277">
        <f>+R20/$R$15*100</f>
        <v>3.7616045694349878</v>
      </c>
      <c r="T20" s="169">
        <f>+T21+T30+T35+T41+T51</f>
        <v>136299945.36116907</v>
      </c>
      <c r="U20" s="277">
        <f>+T20/$R$15*100</f>
        <v>3.8754604879490775</v>
      </c>
      <c r="V20" s="812">
        <f>+T20-R20</f>
        <v>4004312.6541405618</v>
      </c>
      <c r="W20" s="813">
        <f>+U20-S20</f>
        <v>0.11385591851408972</v>
      </c>
      <c r="X20" s="169">
        <f>+X21+X30+X35+X41+X51</f>
        <v>141013248.01502883</v>
      </c>
      <c r="Y20" s="278">
        <f>+X20/$X$15*100</f>
        <v>3.7754551008039852</v>
      </c>
      <c r="Z20" s="169">
        <f>+Z21+Z30+Z35+Z41+Z51</f>
        <v>143551763.47512957</v>
      </c>
      <c r="AA20" s="278">
        <f>+Z20/$Z$15*100</f>
        <v>3.6050166618565944</v>
      </c>
      <c r="AB20" s="169">
        <f>+AB21+AB30+AB35+AB41+AB51</f>
        <v>146519684.71683955</v>
      </c>
      <c r="AC20" s="278">
        <f>+AB20/$AB$15*100</f>
        <v>3.4353970625284771</v>
      </c>
      <c r="AD20" s="84"/>
      <c r="AE20" s="84"/>
      <c r="AF20" s="56"/>
      <c r="AG20" s="56"/>
      <c r="AH20" s="56"/>
      <c r="AI20" s="56"/>
      <c r="AJ20" s="56"/>
      <c r="AK20" s="57"/>
      <c r="AL20" s="57"/>
      <c r="AM20" s="149"/>
      <c r="AN20" s="149"/>
      <c r="AO20" s="57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1"/>
      <c r="BC20" s="151"/>
      <c r="BD20" s="151"/>
      <c r="BE20" s="151"/>
      <c r="BF20" s="151"/>
      <c r="BG20" s="151"/>
      <c r="BH20" s="151"/>
      <c r="BI20" s="151"/>
      <c r="BJ20" s="151"/>
      <c r="BK20" s="151"/>
      <c r="BL20" s="151"/>
      <c r="BM20" s="151"/>
      <c r="BN20" s="151"/>
      <c r="BO20" s="151"/>
      <c r="BP20" s="151"/>
      <c r="BQ20" s="151"/>
      <c r="BR20" s="151"/>
      <c r="BS20" s="151"/>
      <c r="BT20" s="151"/>
      <c r="BU20" s="151"/>
      <c r="BV20" s="151"/>
      <c r="BW20" s="151"/>
      <c r="BX20" s="151"/>
      <c r="BY20" s="151"/>
      <c r="BZ20" s="151"/>
      <c r="CA20" s="151"/>
      <c r="CB20" s="151"/>
      <c r="CC20" s="151"/>
      <c r="CD20" s="151"/>
      <c r="CE20" s="151"/>
      <c r="CF20" s="151"/>
      <c r="CG20" s="151"/>
      <c r="CH20" s="151"/>
      <c r="CI20" s="151"/>
      <c r="CJ20" s="151"/>
      <c r="CK20" s="151"/>
      <c r="CL20" s="151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M20" s="57"/>
      <c r="DN20" s="57"/>
      <c r="DO20" s="57"/>
      <c r="DP20" s="57"/>
      <c r="DQ20" s="57"/>
      <c r="DR20" s="57"/>
      <c r="DS20" s="57"/>
      <c r="DT20" s="57"/>
      <c r="DU20" s="52"/>
      <c r="DV20" s="52"/>
      <c r="DW20" s="52"/>
      <c r="DX20" s="52"/>
      <c r="DY20" s="52"/>
      <c r="DZ20" s="52"/>
      <c r="EA20" s="52"/>
      <c r="EB20" s="52"/>
      <c r="EC20" s="52"/>
      <c r="ED20" s="52"/>
      <c r="EE20" s="52"/>
      <c r="EF20" s="52"/>
      <c r="EG20" s="52"/>
      <c r="EH20" s="52"/>
      <c r="EI20" s="52"/>
      <c r="EJ20" s="52"/>
    </row>
    <row r="21" spans="1:140" s="21" customFormat="1" ht="15" customHeight="1" thickTop="1">
      <c r="A21" s="81"/>
      <c r="B21" s="81"/>
      <c r="C21" s="182" t="str">
        <f>IF(MasterSheet!$A$1=1,MasterSheet!C163,MasterSheet!B163)</f>
        <v>Porezi</v>
      </c>
      <c r="D21" s="183">
        <f>SUM(D22:D29)</f>
        <v>55149934.989999995</v>
      </c>
      <c r="E21" s="184">
        <f t="shared" si="0"/>
        <v>2.5664263106705754</v>
      </c>
      <c r="F21" s="183">
        <f>SUM(F22:F29)</f>
        <v>74919266.229999989</v>
      </c>
      <c r="G21" s="184">
        <f t="shared" si="1"/>
        <v>2.7949735582913631</v>
      </c>
      <c r="H21" s="183">
        <f>SUM(H22:H29)</f>
        <v>98420824.343925104</v>
      </c>
      <c r="I21" s="184">
        <f t="shared" ref="I21:I84" si="2">+H21/$H$15*100</f>
        <v>3.1896818882526934</v>
      </c>
      <c r="J21" s="183">
        <f>SUM(J22:J29)</f>
        <v>83217161.069999993</v>
      </c>
      <c r="K21" s="184">
        <f t="shared" ref="K21:K84" si="3">+J21/$J$15*100</f>
        <v>2.7915854099295538</v>
      </c>
      <c r="L21" s="183">
        <f>SUM(L22:L29)</f>
        <v>81428216.588461533</v>
      </c>
      <c r="M21" s="184">
        <f t="shared" ref="M21:M84" si="4">+L21/$L$15*100</f>
        <v>2.6233317199890958</v>
      </c>
      <c r="N21" s="183">
        <f>SUM(N22:N29)</f>
        <v>90454134.650000006</v>
      </c>
      <c r="O21" s="184">
        <f t="shared" ref="O21:O84" si="5">+N21/$N$15*100</f>
        <v>2.796973860544218</v>
      </c>
      <c r="P21" s="279">
        <f>SUM(P22:P29)</f>
        <v>98546975.843333334</v>
      </c>
      <c r="Q21" s="280">
        <f t="shared" ref="Q21:Q84" si="6">+P21/$P$15*100</f>
        <v>3.1294689057901981</v>
      </c>
      <c r="R21" s="279">
        <f>SUM(R22:R29)</f>
        <v>72794829.691248506</v>
      </c>
      <c r="S21" s="280">
        <f t="shared" ref="S21:S84" si="7">+R21/$R$15*100</f>
        <v>2.0697989676215101</v>
      </c>
      <c r="T21" s="279">
        <f>SUM(T22:T29)</f>
        <v>74250726.285073459</v>
      </c>
      <c r="U21" s="280">
        <f t="shared" ref="U21:U57" si="8">+T21/$R$15*100</f>
        <v>2.1111949469739399</v>
      </c>
      <c r="V21" s="814">
        <f>+T21-R21</f>
        <v>1455896.5938249528</v>
      </c>
      <c r="W21" s="815">
        <f>+U21-S21</f>
        <v>4.139597935242989E-2</v>
      </c>
      <c r="X21" s="279">
        <f>SUM(X22:X29)</f>
        <v>75364487.179349571</v>
      </c>
      <c r="Y21" s="281">
        <f t="shared" ref="Y21:Y84" si="9">+X21/$X$15*100</f>
        <v>2.0177908214015949</v>
      </c>
      <c r="Z21" s="279">
        <f>SUM(Z22:Z29)</f>
        <v>76654818.467902079</v>
      </c>
      <c r="AA21" s="280">
        <f t="shared" ref="AA21:AA84" si="10">+Z21/$Z$15*100</f>
        <v>1.9250331106956824</v>
      </c>
      <c r="AB21" s="279">
        <f>SUM(AB22:AB29)</f>
        <v>77392739.709612057</v>
      </c>
      <c r="AC21" s="280">
        <f t="shared" ref="AC21:AC84" si="11">+AB21/$AB$15*100</f>
        <v>1.8146011655243155</v>
      </c>
      <c r="AD21" s="84"/>
      <c r="AE21" s="84"/>
      <c r="AF21" s="56"/>
      <c r="AG21" s="56"/>
      <c r="AH21" s="56"/>
      <c r="AI21" s="56"/>
      <c r="AJ21" s="56"/>
      <c r="AK21" s="57"/>
      <c r="AL21" s="57"/>
      <c r="AM21" s="149"/>
      <c r="AN21" s="149"/>
      <c r="AO21" s="57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2"/>
      <c r="BA21" s="152"/>
      <c r="BB21" s="153"/>
      <c r="BC21" s="153"/>
      <c r="BD21" s="153"/>
      <c r="BE21" s="153"/>
      <c r="BF21" s="153"/>
      <c r="BG21" s="153"/>
      <c r="BH21" s="153"/>
      <c r="BI21" s="153"/>
      <c r="BJ21" s="153"/>
      <c r="BK21" s="153"/>
      <c r="BL21" s="153"/>
      <c r="BM21" s="153"/>
      <c r="BN21" s="151"/>
      <c r="BO21" s="153"/>
      <c r="BP21" s="153"/>
      <c r="BQ21" s="153"/>
      <c r="BR21" s="153"/>
      <c r="BS21" s="153"/>
      <c r="BT21" s="153"/>
      <c r="BU21" s="153"/>
      <c r="BV21" s="153"/>
      <c r="BW21" s="153"/>
      <c r="BX21" s="153"/>
      <c r="BY21" s="153"/>
      <c r="BZ21" s="153"/>
      <c r="CA21" s="153"/>
      <c r="CB21" s="153"/>
      <c r="CC21" s="153"/>
      <c r="CD21" s="153"/>
      <c r="CE21" s="153"/>
      <c r="CF21" s="153"/>
      <c r="CG21" s="153"/>
      <c r="CH21" s="153"/>
      <c r="CI21" s="153"/>
      <c r="CJ21" s="153"/>
      <c r="CK21" s="153"/>
      <c r="CL21" s="153"/>
      <c r="CM21" s="151"/>
      <c r="CN21" s="151"/>
      <c r="CO21" s="151"/>
      <c r="CP21" s="151"/>
      <c r="CQ21" s="151"/>
      <c r="CR21" s="151"/>
      <c r="CS21" s="151"/>
      <c r="CT21" s="151"/>
      <c r="CU21" s="151"/>
      <c r="CV21" s="151"/>
      <c r="CW21" s="151"/>
      <c r="CX21" s="151"/>
      <c r="CY21" s="153"/>
      <c r="CZ21" s="153"/>
      <c r="DA21" s="153"/>
      <c r="DB21" s="153"/>
      <c r="DC21" s="153"/>
      <c r="DD21" s="153"/>
      <c r="DE21" s="153"/>
      <c r="DF21" s="153"/>
      <c r="DG21" s="153"/>
      <c r="DH21" s="153"/>
      <c r="DI21" s="153"/>
      <c r="DJ21" s="153"/>
      <c r="DK21" s="57"/>
      <c r="DL21" s="57"/>
      <c r="DM21" s="57"/>
      <c r="DN21" s="57"/>
      <c r="DO21" s="57"/>
      <c r="DP21" s="57"/>
      <c r="DQ21" s="57"/>
      <c r="DR21" s="57"/>
      <c r="DS21" s="57"/>
      <c r="DT21" s="57"/>
      <c r="DU21" s="52"/>
      <c r="DV21" s="52"/>
      <c r="DW21" s="52"/>
      <c r="DX21" s="52"/>
      <c r="DY21" s="52"/>
      <c r="DZ21" s="52"/>
      <c r="EA21" s="52"/>
      <c r="EB21" s="52"/>
      <c r="EC21" s="52"/>
      <c r="ED21" s="52"/>
      <c r="EE21" s="52"/>
      <c r="EF21" s="52"/>
      <c r="EG21" s="52"/>
      <c r="EH21" s="52"/>
      <c r="EI21" s="52"/>
      <c r="EJ21" s="52"/>
    </row>
    <row r="22" spans="1:140" s="21" customFormat="1" ht="15" customHeight="1">
      <c r="A22" s="81"/>
      <c r="B22" s="81"/>
      <c r="C22" s="185" t="str">
        <f>IF(MasterSheet!$A$1=1,MasterSheet!C164,MasterSheet!B164)</f>
        <v>Porez na dohodak fizičkih lica</v>
      </c>
      <c r="D22" s="186">
        <v>20525829.359999999</v>
      </c>
      <c r="E22" s="187">
        <f t="shared" si="0"/>
        <v>0.95517843361719956</v>
      </c>
      <c r="F22" s="186">
        <v>22695091.699999999</v>
      </c>
      <c r="G22" s="187">
        <f t="shared" si="1"/>
        <v>0.84667381831747801</v>
      </c>
      <c r="H22" s="186">
        <v>29750514.98468354</v>
      </c>
      <c r="I22" s="187">
        <f t="shared" si="2"/>
        <v>0.96417276979140332</v>
      </c>
      <c r="J22" s="186">
        <v>26380038.800000001</v>
      </c>
      <c r="K22" s="187">
        <f t="shared" si="3"/>
        <v>0.88493924186514605</v>
      </c>
      <c r="L22" s="186">
        <v>25315210.735128202</v>
      </c>
      <c r="M22" s="187">
        <f t="shared" si="4"/>
        <v>0.81556735615748077</v>
      </c>
      <c r="N22" s="186">
        <v>31587816.781999998</v>
      </c>
      <c r="O22" s="187">
        <f t="shared" si="5"/>
        <v>0.9767413970933827</v>
      </c>
      <c r="P22" s="282">
        <v>27420611.093333334</v>
      </c>
      <c r="Q22" s="283">
        <f t="shared" si="6"/>
        <v>0.87077202582830537</v>
      </c>
      <c r="R22" s="282">
        <v>24158573.938640088</v>
      </c>
      <c r="S22" s="283">
        <f t="shared" si="7"/>
        <v>0.6869085566858143</v>
      </c>
      <c r="T22" s="282">
        <f>+R22*1.02</f>
        <v>24641745.417412888</v>
      </c>
      <c r="U22" s="283">
        <f t="shared" si="8"/>
        <v>0.70064672781953052</v>
      </c>
      <c r="V22" s="816">
        <f t="shared" ref="V22:W55" si="12">+T22-R22</f>
        <v>483171.47877280042</v>
      </c>
      <c r="W22" s="817">
        <f t="shared" si="12"/>
        <v>1.3738171133716226E-2</v>
      </c>
      <c r="X22" s="282">
        <f>+T22*1.015</f>
        <v>25011371.598674078</v>
      </c>
      <c r="Y22" s="284">
        <f t="shared" si="9"/>
        <v>0.66964850331122028</v>
      </c>
      <c r="Z22" s="282">
        <v>25312131.646577898</v>
      </c>
      <c r="AA22" s="283">
        <f t="shared" si="10"/>
        <v>0.63566377816619535</v>
      </c>
      <c r="AB22" s="282">
        <v>25312131.646577898</v>
      </c>
      <c r="AC22" s="283">
        <f t="shared" si="11"/>
        <v>0.59348491551179128</v>
      </c>
      <c r="AD22" s="84"/>
      <c r="AE22" s="84"/>
      <c r="AF22" s="56"/>
      <c r="AG22" s="56"/>
      <c r="AH22" s="56"/>
      <c r="AI22" s="56"/>
      <c r="AJ22" s="56"/>
      <c r="AK22" s="57"/>
      <c r="AL22" s="57"/>
      <c r="AM22" s="149"/>
      <c r="AN22" s="149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57"/>
      <c r="DJ22" s="57"/>
      <c r="DK22" s="57"/>
      <c r="DL22" s="57"/>
      <c r="DM22" s="57"/>
      <c r="DN22" s="57"/>
      <c r="DO22" s="57"/>
      <c r="DP22" s="57"/>
      <c r="DQ22" s="57"/>
      <c r="DR22" s="57"/>
      <c r="DS22" s="57"/>
      <c r="DT22" s="57"/>
      <c r="DU22" s="52"/>
      <c r="DV22" s="52"/>
      <c r="DW22" s="52"/>
      <c r="DX22" s="52"/>
      <c r="DY22" s="52"/>
      <c r="DZ22" s="52"/>
      <c r="EA22" s="52"/>
      <c r="EB22" s="52"/>
      <c r="EC22" s="52"/>
      <c r="ED22" s="52"/>
      <c r="EE22" s="52"/>
      <c r="EF22" s="52"/>
      <c r="EG22" s="52"/>
      <c r="EH22" s="52"/>
      <c r="EI22" s="52"/>
      <c r="EJ22" s="52"/>
    </row>
    <row r="23" spans="1:140" s="21" customFormat="1" ht="15" hidden="1" customHeight="1">
      <c r="A23" s="81"/>
      <c r="B23" s="81"/>
      <c r="C23" s="185" t="str">
        <f>IF(MasterSheet!$A$1=1,MasterSheet!C165,MasterSheet!B165)</f>
        <v>Porez na dobit pravnih lica</v>
      </c>
      <c r="D23" s="186"/>
      <c r="E23" s="187">
        <f t="shared" si="0"/>
        <v>0</v>
      </c>
      <c r="F23" s="186"/>
      <c r="G23" s="187">
        <f t="shared" si="1"/>
        <v>0</v>
      </c>
      <c r="H23" s="186"/>
      <c r="I23" s="187">
        <f t="shared" si="2"/>
        <v>0</v>
      </c>
      <c r="J23" s="186"/>
      <c r="K23" s="187">
        <f t="shared" si="3"/>
        <v>0</v>
      </c>
      <c r="L23" s="186"/>
      <c r="M23" s="187">
        <f t="shared" si="4"/>
        <v>0</v>
      </c>
      <c r="N23" s="186"/>
      <c r="O23" s="187">
        <f t="shared" si="5"/>
        <v>0</v>
      </c>
      <c r="P23" s="282"/>
      <c r="Q23" s="283">
        <f t="shared" si="6"/>
        <v>0</v>
      </c>
      <c r="R23" s="282">
        <v>0</v>
      </c>
      <c r="S23" s="283">
        <f t="shared" si="7"/>
        <v>0</v>
      </c>
      <c r="T23" s="282">
        <f t="shared" ref="T23:T26" si="13">+R23*1.02</f>
        <v>0</v>
      </c>
      <c r="U23" s="283">
        <f t="shared" si="8"/>
        <v>0</v>
      </c>
      <c r="V23" s="816">
        <f t="shared" si="12"/>
        <v>0</v>
      </c>
      <c r="W23" s="817">
        <f t="shared" si="12"/>
        <v>0</v>
      </c>
      <c r="X23" s="282">
        <f t="shared" ref="X23:X26" si="14">+T23*1.015</f>
        <v>0</v>
      </c>
      <c r="Y23" s="284">
        <f t="shared" si="9"/>
        <v>0</v>
      </c>
      <c r="Z23" s="282">
        <v>0</v>
      </c>
      <c r="AA23" s="283">
        <f t="shared" si="10"/>
        <v>0</v>
      </c>
      <c r="AB23" s="282">
        <v>0</v>
      </c>
      <c r="AC23" s="283">
        <f t="shared" si="11"/>
        <v>0</v>
      </c>
      <c r="AD23" s="84"/>
      <c r="AE23" s="84"/>
      <c r="AF23" s="56"/>
      <c r="AG23" s="56"/>
      <c r="AH23" s="56"/>
      <c r="AI23" s="56"/>
      <c r="AJ23" s="56"/>
      <c r="AK23" s="57"/>
      <c r="AL23" s="57"/>
      <c r="AM23" s="149"/>
      <c r="AN23" s="149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57"/>
      <c r="DJ23" s="57"/>
      <c r="DK23" s="57"/>
      <c r="DL23" s="57"/>
      <c r="DM23" s="57"/>
      <c r="DN23" s="57"/>
      <c r="DO23" s="57"/>
      <c r="DP23" s="57"/>
      <c r="DQ23" s="57"/>
      <c r="DR23" s="57"/>
      <c r="DS23" s="57"/>
      <c r="DT23" s="57"/>
      <c r="DU23" s="52"/>
      <c r="DV23" s="52"/>
      <c r="DW23" s="52"/>
      <c r="DX23" s="52"/>
      <c r="DY23" s="52"/>
      <c r="DZ23" s="52"/>
      <c r="EA23" s="52"/>
      <c r="EB23" s="52"/>
      <c r="EC23" s="52"/>
      <c r="ED23" s="52"/>
      <c r="EE23" s="52"/>
      <c r="EF23" s="52"/>
      <c r="EG23" s="52"/>
      <c r="EH23" s="52"/>
      <c r="EI23" s="52"/>
      <c r="EJ23" s="52"/>
    </row>
    <row r="24" spans="1:140" s="21" customFormat="1" ht="15" customHeight="1">
      <c r="A24" s="81"/>
      <c r="B24" s="81"/>
      <c r="C24" s="185" t="str">
        <f>IF(MasterSheet!$A$1=1,MasterSheet!C166,MasterSheet!B166)</f>
        <v>Porez na promet nepokretnosti</v>
      </c>
      <c r="D24" s="186">
        <v>17498111.469999999</v>
      </c>
      <c r="E24" s="187">
        <f t="shared" si="0"/>
        <v>0.81428225929545339</v>
      </c>
      <c r="F24" s="186">
        <v>19616077.739999998</v>
      </c>
      <c r="G24" s="187">
        <f t="shared" si="1"/>
        <v>0.73180666815892548</v>
      </c>
      <c r="H24" s="186">
        <v>26666106.226666667</v>
      </c>
      <c r="I24" s="187">
        <f t="shared" si="2"/>
        <v>0.86421137628554145</v>
      </c>
      <c r="J24" s="186">
        <v>14591081.619999999</v>
      </c>
      <c r="K24" s="187">
        <f t="shared" si="3"/>
        <v>0.48946935994632668</v>
      </c>
      <c r="L24" s="186">
        <v>11523005.853333334</v>
      </c>
      <c r="M24" s="187">
        <f t="shared" si="4"/>
        <v>0.37123085867697597</v>
      </c>
      <c r="N24" s="186">
        <v>14419589.217999998</v>
      </c>
      <c r="O24" s="187">
        <f t="shared" si="5"/>
        <v>0.44587474390847243</v>
      </c>
      <c r="P24" s="282">
        <v>12973044.599999998</v>
      </c>
      <c r="Q24" s="283">
        <f t="shared" si="6"/>
        <v>0.41197347094315645</v>
      </c>
      <c r="R24" s="282">
        <v>13697001.538618412</v>
      </c>
      <c r="S24" s="283">
        <f t="shared" si="7"/>
        <v>0.38945128059762329</v>
      </c>
      <c r="T24" s="282">
        <f t="shared" si="13"/>
        <v>13970941.569390781</v>
      </c>
      <c r="U24" s="283">
        <f t="shared" si="8"/>
        <v>0.39724030620957584</v>
      </c>
      <c r="V24" s="816">
        <f t="shared" si="12"/>
        <v>273940.03077236935</v>
      </c>
      <c r="W24" s="817">
        <f t="shared" si="12"/>
        <v>7.7890256119525492E-3</v>
      </c>
      <c r="X24" s="282">
        <f t="shared" si="14"/>
        <v>14180505.692931641</v>
      </c>
      <c r="Y24" s="284">
        <f t="shared" si="9"/>
        <v>0.37966548039977621</v>
      </c>
      <c r="Z24" s="282">
        <v>14446624.73582546</v>
      </c>
      <c r="AA24" s="283">
        <f t="shared" si="10"/>
        <v>0.3627982103421763</v>
      </c>
      <c r="AB24" s="282">
        <v>14446624.73582546</v>
      </c>
      <c r="AC24" s="283">
        <f t="shared" si="11"/>
        <v>0.33872508173096039</v>
      </c>
      <c r="AD24" s="84"/>
      <c r="AE24" s="84"/>
      <c r="AF24" s="56"/>
      <c r="AG24" s="56"/>
      <c r="AH24" s="56"/>
      <c r="AI24" s="56"/>
      <c r="AJ24" s="56"/>
      <c r="AK24" s="57"/>
      <c r="AL24" s="57"/>
      <c r="AM24" s="63"/>
      <c r="AN24" s="63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7"/>
      <c r="DH24" s="57"/>
      <c r="DI24" s="57"/>
      <c r="DJ24" s="57"/>
      <c r="DK24" s="57"/>
      <c r="DL24" s="57"/>
      <c r="DM24" s="58"/>
      <c r="DN24" s="58"/>
      <c r="DO24" s="57"/>
      <c r="DP24" s="57"/>
      <c r="DQ24" s="57"/>
      <c r="DR24" s="57"/>
      <c r="DS24" s="57"/>
      <c r="DT24" s="57"/>
      <c r="DU24" s="52"/>
      <c r="DV24" s="52"/>
      <c r="DW24" s="52"/>
      <c r="DX24" s="52"/>
      <c r="DY24" s="52"/>
      <c r="DZ24" s="52"/>
      <c r="EA24" s="52"/>
      <c r="EB24" s="52"/>
      <c r="EC24" s="52"/>
      <c r="ED24" s="52"/>
      <c r="EE24" s="52"/>
      <c r="EF24" s="52"/>
      <c r="EG24" s="52"/>
      <c r="EH24" s="52"/>
      <c r="EI24" s="52"/>
      <c r="EJ24" s="52"/>
    </row>
    <row r="25" spans="1:140" s="21" customFormat="1" ht="15" hidden="1" customHeight="1">
      <c r="A25" s="81"/>
      <c r="B25" s="81"/>
      <c r="C25" s="185" t="str">
        <f>IF(MasterSheet!$A$1=1,MasterSheet!C167,MasterSheet!B167)</f>
        <v>Porez na dodatu vrijednost</v>
      </c>
      <c r="D25" s="186"/>
      <c r="E25" s="187">
        <f t="shared" si="0"/>
        <v>0</v>
      </c>
      <c r="F25" s="186"/>
      <c r="G25" s="187">
        <f t="shared" si="1"/>
        <v>0</v>
      </c>
      <c r="H25" s="186"/>
      <c r="I25" s="187">
        <f t="shared" si="2"/>
        <v>0</v>
      </c>
      <c r="J25" s="186"/>
      <c r="K25" s="187">
        <f t="shared" si="3"/>
        <v>0</v>
      </c>
      <c r="L25" s="186"/>
      <c r="M25" s="187">
        <f t="shared" si="4"/>
        <v>0</v>
      </c>
      <c r="N25" s="186"/>
      <c r="O25" s="187">
        <f t="shared" si="5"/>
        <v>0</v>
      </c>
      <c r="P25" s="282"/>
      <c r="Q25" s="283">
        <f t="shared" si="6"/>
        <v>0</v>
      </c>
      <c r="R25" s="282">
        <v>0</v>
      </c>
      <c r="S25" s="283">
        <f t="shared" si="7"/>
        <v>0</v>
      </c>
      <c r="T25" s="282">
        <f t="shared" si="13"/>
        <v>0</v>
      </c>
      <c r="U25" s="283">
        <f t="shared" si="8"/>
        <v>0</v>
      </c>
      <c r="V25" s="816">
        <f t="shared" si="12"/>
        <v>0</v>
      </c>
      <c r="W25" s="817">
        <f t="shared" si="12"/>
        <v>0</v>
      </c>
      <c r="X25" s="282">
        <f t="shared" si="14"/>
        <v>0</v>
      </c>
      <c r="Y25" s="284">
        <f t="shared" si="9"/>
        <v>0</v>
      </c>
      <c r="Z25" s="282">
        <v>0</v>
      </c>
      <c r="AA25" s="283">
        <f t="shared" si="10"/>
        <v>0</v>
      </c>
      <c r="AB25" s="282">
        <v>0</v>
      </c>
      <c r="AC25" s="283">
        <f t="shared" si="11"/>
        <v>0</v>
      </c>
      <c r="AD25" s="84"/>
      <c r="AE25" s="84"/>
      <c r="AF25" s="56"/>
      <c r="AG25" s="56"/>
      <c r="AH25" s="56"/>
      <c r="AI25" s="56"/>
      <c r="AJ25" s="56"/>
      <c r="AK25" s="57"/>
      <c r="AL25" s="57"/>
      <c r="AM25" s="149"/>
      <c r="AN25" s="149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  <c r="DE25" s="57"/>
      <c r="DF25" s="57"/>
      <c r="DG25" s="57"/>
      <c r="DH25" s="57"/>
      <c r="DI25" s="57"/>
      <c r="DJ25" s="57"/>
      <c r="DK25" s="57"/>
      <c r="DL25" s="57"/>
      <c r="DM25" s="58"/>
      <c r="DN25" s="58"/>
      <c r="DO25" s="57"/>
      <c r="DP25" s="57"/>
      <c r="DQ25" s="57"/>
      <c r="DR25" s="57"/>
      <c r="DS25" s="57"/>
      <c r="DT25" s="57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</row>
    <row r="26" spans="1:140" s="21" customFormat="1" ht="15" customHeight="1">
      <c r="A26" s="81"/>
      <c r="B26" s="81"/>
      <c r="C26" s="185" t="str">
        <f>IF(MasterSheet!$A$1=1,MasterSheet!C168,MasterSheet!B168)</f>
        <v>Lokalni porezi</v>
      </c>
      <c r="D26" s="186">
        <v>17125994.16</v>
      </c>
      <c r="E26" s="187">
        <f t="shared" si="0"/>
        <v>0.79696561775792263</v>
      </c>
      <c r="F26" s="186">
        <v>32608096.789999999</v>
      </c>
      <c r="G26" s="187">
        <f t="shared" si="1"/>
        <v>1.2164930718149598</v>
      </c>
      <c r="H26" s="186">
        <v>42004203.132574901</v>
      </c>
      <c r="I26" s="187">
        <f t="shared" si="2"/>
        <v>1.3612977421757486</v>
      </c>
      <c r="J26" s="186">
        <v>42246040.649999999</v>
      </c>
      <c r="K26" s="187">
        <f t="shared" si="3"/>
        <v>1.4171768081180811</v>
      </c>
      <c r="L26" s="186">
        <v>44590000</v>
      </c>
      <c r="M26" s="187">
        <f t="shared" si="4"/>
        <v>1.4365335051546393</v>
      </c>
      <c r="N26" s="186">
        <v>44446728.650000006</v>
      </c>
      <c r="O26" s="187">
        <f t="shared" si="5"/>
        <v>1.3743577195423624</v>
      </c>
      <c r="P26" s="282">
        <v>50963320.149999999</v>
      </c>
      <c r="Q26" s="283">
        <f t="shared" si="6"/>
        <v>1.6183969561765641</v>
      </c>
      <c r="R26" s="282">
        <v>34939254.213990003</v>
      </c>
      <c r="S26" s="283">
        <f t="shared" si="7"/>
        <v>0.99343913033807218</v>
      </c>
      <c r="T26" s="282">
        <f t="shared" si="13"/>
        <v>35638039.298269801</v>
      </c>
      <c r="U26" s="283">
        <f t="shared" si="8"/>
        <v>1.0133079129448337</v>
      </c>
      <c r="V26" s="816">
        <f t="shared" si="12"/>
        <v>698785.08427979797</v>
      </c>
      <c r="W26" s="817">
        <f t="shared" si="12"/>
        <v>1.9868782606761504E-2</v>
      </c>
      <c r="X26" s="282">
        <f t="shared" si="14"/>
        <v>36172609.887743846</v>
      </c>
      <c r="Y26" s="284">
        <f t="shared" si="9"/>
        <v>0.96847683769059822</v>
      </c>
      <c r="Z26" s="282">
        <f>+X26*1.02</f>
        <v>36896062.08549872</v>
      </c>
      <c r="AA26" s="283">
        <f t="shared" si="10"/>
        <v>0.92657112218731097</v>
      </c>
      <c r="AB26" s="282">
        <f>+Z26*1.02</f>
        <v>37633983.327208698</v>
      </c>
      <c r="AC26" s="283">
        <f t="shared" si="11"/>
        <v>0.88239116828156372</v>
      </c>
      <c r="AD26" s="84"/>
      <c r="AE26" s="84"/>
      <c r="AF26" s="56"/>
      <c r="AG26" s="56"/>
      <c r="AH26" s="56"/>
      <c r="AI26" s="56"/>
      <c r="AJ26" s="56"/>
      <c r="AK26" s="57"/>
      <c r="AL26" s="57"/>
      <c r="AM26" s="149"/>
      <c r="AN26" s="149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8"/>
      <c r="DN26" s="58"/>
      <c r="DO26" s="57"/>
      <c r="DP26" s="57"/>
      <c r="DQ26" s="57"/>
      <c r="DR26" s="57"/>
      <c r="DS26" s="57"/>
      <c r="DT26" s="57"/>
      <c r="DU26" s="52"/>
      <c r="DV26" s="52"/>
      <c r="DW26" s="52"/>
      <c r="DX26" s="52"/>
      <c r="DY26" s="52"/>
      <c r="DZ26" s="52"/>
      <c r="EA26" s="52"/>
      <c r="EB26" s="52"/>
      <c r="EC26" s="52"/>
      <c r="ED26" s="52"/>
      <c r="EE26" s="52"/>
      <c r="EF26" s="52"/>
      <c r="EG26" s="52"/>
      <c r="EH26" s="52"/>
      <c r="EI26" s="52"/>
      <c r="EJ26" s="52"/>
    </row>
    <row r="27" spans="1:140" s="21" customFormat="1" ht="15" hidden="1" customHeight="1">
      <c r="A27" s="81"/>
      <c r="B27" s="81"/>
      <c r="C27" s="185" t="str">
        <f>IF(MasterSheet!$A$1=1,MasterSheet!C169,MasterSheet!B169)</f>
        <v>Akcize</v>
      </c>
      <c r="D27" s="186"/>
      <c r="E27" s="187">
        <f t="shared" si="0"/>
        <v>0</v>
      </c>
      <c r="F27" s="186"/>
      <c r="G27" s="187">
        <f t="shared" si="1"/>
        <v>0</v>
      </c>
      <c r="H27" s="186"/>
      <c r="I27" s="187">
        <f t="shared" si="2"/>
        <v>0</v>
      </c>
      <c r="J27" s="186"/>
      <c r="K27" s="187">
        <f t="shared" si="3"/>
        <v>0</v>
      </c>
      <c r="L27" s="186"/>
      <c r="M27" s="187">
        <f t="shared" si="4"/>
        <v>0</v>
      </c>
      <c r="N27" s="559"/>
      <c r="O27" s="560">
        <f t="shared" si="5"/>
        <v>0</v>
      </c>
      <c r="P27" s="282"/>
      <c r="Q27" s="283">
        <f t="shared" si="6"/>
        <v>0</v>
      </c>
      <c r="R27" s="282"/>
      <c r="S27" s="283">
        <f t="shared" si="7"/>
        <v>0</v>
      </c>
      <c r="T27" s="282"/>
      <c r="U27" s="283">
        <f t="shared" si="8"/>
        <v>0</v>
      </c>
      <c r="V27" s="816">
        <f t="shared" si="12"/>
        <v>0</v>
      </c>
      <c r="W27" s="817">
        <f t="shared" si="12"/>
        <v>0</v>
      </c>
      <c r="X27" s="282"/>
      <c r="Y27" s="284">
        <f t="shared" si="9"/>
        <v>0</v>
      </c>
      <c r="Z27" s="282"/>
      <c r="AA27" s="283">
        <f t="shared" si="10"/>
        <v>0</v>
      </c>
      <c r="AB27" s="282"/>
      <c r="AC27" s="283">
        <f t="shared" si="11"/>
        <v>0</v>
      </c>
      <c r="AD27" s="84"/>
      <c r="AE27" s="84"/>
      <c r="AF27" s="56"/>
      <c r="AG27" s="56"/>
      <c r="AH27" s="56"/>
      <c r="AI27" s="56"/>
      <c r="AJ27" s="56"/>
      <c r="AK27" s="57"/>
      <c r="AL27" s="57"/>
      <c r="AM27" s="149"/>
      <c r="AN27" s="149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8"/>
      <c r="DN27" s="58"/>
      <c r="DO27" s="57"/>
      <c r="DP27" s="57"/>
      <c r="DQ27" s="57"/>
      <c r="DR27" s="57"/>
      <c r="DS27" s="57"/>
      <c r="DT27" s="57"/>
      <c r="DU27" s="52"/>
      <c r="DV27" s="52"/>
      <c r="DW27" s="52"/>
      <c r="DX27" s="52"/>
      <c r="DY27" s="52"/>
      <c r="DZ27" s="52"/>
      <c r="EA27" s="52"/>
      <c r="EB27" s="52"/>
      <c r="EC27" s="52"/>
      <c r="ED27" s="52"/>
      <c r="EE27" s="52"/>
      <c r="EF27" s="52"/>
      <c r="EG27" s="52"/>
      <c r="EH27" s="52"/>
      <c r="EI27" s="52"/>
      <c r="EJ27" s="52"/>
    </row>
    <row r="28" spans="1:140" s="21" customFormat="1" ht="15" hidden="1" customHeight="1">
      <c r="A28" s="81"/>
      <c r="B28" s="81"/>
      <c r="C28" s="185" t="str">
        <f>IF(MasterSheet!$A$1=1,MasterSheet!C170,MasterSheet!B170)</f>
        <v>Porez na međunarodnu trgovinu i transakcije</v>
      </c>
      <c r="D28" s="186"/>
      <c r="E28" s="187">
        <f t="shared" si="0"/>
        <v>0</v>
      </c>
      <c r="F28" s="186"/>
      <c r="G28" s="187">
        <f t="shared" si="1"/>
        <v>0</v>
      </c>
      <c r="H28" s="186"/>
      <c r="I28" s="187">
        <f t="shared" si="2"/>
        <v>0</v>
      </c>
      <c r="J28" s="186"/>
      <c r="K28" s="187">
        <f t="shared" si="3"/>
        <v>0</v>
      </c>
      <c r="L28" s="186"/>
      <c r="M28" s="187">
        <f t="shared" si="4"/>
        <v>0</v>
      </c>
      <c r="N28" s="559"/>
      <c r="O28" s="560">
        <f t="shared" si="5"/>
        <v>0</v>
      </c>
      <c r="P28" s="282"/>
      <c r="Q28" s="283">
        <f t="shared" si="6"/>
        <v>0</v>
      </c>
      <c r="R28" s="282"/>
      <c r="S28" s="283">
        <f t="shared" si="7"/>
        <v>0</v>
      </c>
      <c r="T28" s="282"/>
      <c r="U28" s="283">
        <f t="shared" si="8"/>
        <v>0</v>
      </c>
      <c r="V28" s="816">
        <f t="shared" si="12"/>
        <v>0</v>
      </c>
      <c r="W28" s="817">
        <f t="shared" si="12"/>
        <v>0</v>
      </c>
      <c r="X28" s="282"/>
      <c r="Y28" s="284">
        <f t="shared" si="9"/>
        <v>0</v>
      </c>
      <c r="Z28" s="282"/>
      <c r="AA28" s="283">
        <f t="shared" si="10"/>
        <v>0</v>
      </c>
      <c r="AB28" s="282"/>
      <c r="AC28" s="283">
        <f t="shared" si="11"/>
        <v>0</v>
      </c>
      <c r="AD28" s="84"/>
      <c r="AE28" s="84"/>
      <c r="AF28" s="56"/>
      <c r="AG28" s="56"/>
      <c r="AH28" s="56"/>
      <c r="AI28" s="56"/>
      <c r="AJ28" s="56"/>
      <c r="AK28" s="57"/>
      <c r="AL28" s="57"/>
      <c r="AM28" s="149"/>
      <c r="AN28" s="149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7"/>
      <c r="DH28" s="57"/>
      <c r="DI28" s="57"/>
      <c r="DJ28" s="57"/>
      <c r="DK28" s="57"/>
      <c r="DL28" s="57"/>
      <c r="DM28" s="58"/>
      <c r="DN28" s="58"/>
      <c r="DO28" s="57"/>
      <c r="DP28" s="57"/>
      <c r="DQ28" s="57"/>
      <c r="DR28" s="57"/>
      <c r="DS28" s="57"/>
      <c r="DT28" s="57"/>
      <c r="DU28" s="52"/>
      <c r="DV28" s="52"/>
      <c r="DW28" s="52"/>
      <c r="DX28" s="52"/>
      <c r="DY28" s="52"/>
      <c r="DZ28" s="52"/>
      <c r="EA28" s="52"/>
      <c r="EB28" s="52"/>
      <c r="EC28" s="52"/>
      <c r="ED28" s="52"/>
      <c r="EE28" s="52"/>
      <c r="EF28" s="52"/>
      <c r="EG28" s="52"/>
      <c r="EH28" s="52"/>
      <c r="EI28" s="52"/>
      <c r="EJ28" s="52"/>
    </row>
    <row r="29" spans="1:140" s="21" customFormat="1" ht="15" customHeight="1">
      <c r="A29" s="81"/>
      <c r="B29" s="81"/>
      <c r="C29" s="185" t="str">
        <f>IF(MasterSheet!$A$1=1,MasterSheet!C171,MasterSheet!B171)</f>
        <v>Ostali republički porezi</v>
      </c>
      <c r="D29" s="186"/>
      <c r="E29" s="187">
        <f t="shared" si="0"/>
        <v>0</v>
      </c>
      <c r="F29" s="186"/>
      <c r="G29" s="187">
        <f t="shared" si="1"/>
        <v>0</v>
      </c>
      <c r="H29" s="186"/>
      <c r="I29" s="187">
        <f t="shared" si="2"/>
        <v>0</v>
      </c>
      <c r="J29" s="186"/>
      <c r="K29" s="187">
        <f t="shared" si="3"/>
        <v>0</v>
      </c>
      <c r="L29" s="186"/>
      <c r="M29" s="187">
        <f t="shared" si="4"/>
        <v>0</v>
      </c>
      <c r="N29" s="559"/>
      <c r="O29" s="560">
        <f t="shared" si="5"/>
        <v>0</v>
      </c>
      <c r="P29" s="282">
        <v>7190000</v>
      </c>
      <c r="Q29" s="283">
        <f t="shared" si="6"/>
        <v>0.2283264528421721</v>
      </c>
      <c r="R29" s="282"/>
      <c r="S29" s="283">
        <f t="shared" si="7"/>
        <v>0</v>
      </c>
      <c r="T29" s="282"/>
      <c r="U29" s="283">
        <f t="shared" si="8"/>
        <v>0</v>
      </c>
      <c r="V29" s="816">
        <f t="shared" si="12"/>
        <v>0</v>
      </c>
      <c r="W29" s="817">
        <f t="shared" si="12"/>
        <v>0</v>
      </c>
      <c r="X29" s="282"/>
      <c r="Y29" s="284">
        <f t="shared" si="9"/>
        <v>0</v>
      </c>
      <c r="Z29" s="282"/>
      <c r="AA29" s="283">
        <f t="shared" si="10"/>
        <v>0</v>
      </c>
      <c r="AB29" s="282"/>
      <c r="AC29" s="283">
        <f t="shared" si="11"/>
        <v>0</v>
      </c>
      <c r="AD29" s="84"/>
      <c r="AE29" s="84"/>
      <c r="AF29" s="56"/>
      <c r="AG29" s="56"/>
      <c r="AH29" s="56"/>
      <c r="AI29" s="56"/>
      <c r="AJ29" s="56"/>
      <c r="AK29" s="57"/>
      <c r="AL29" s="57"/>
      <c r="AM29" s="63"/>
      <c r="AN29" s="63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  <c r="DC29" s="57"/>
      <c r="DD29" s="57"/>
      <c r="DE29" s="57"/>
      <c r="DF29" s="57"/>
      <c r="DG29" s="57"/>
      <c r="DH29" s="57"/>
      <c r="DI29" s="57"/>
      <c r="DJ29" s="57"/>
      <c r="DK29" s="57"/>
      <c r="DL29" s="57"/>
      <c r="DM29" s="59"/>
      <c r="DN29" s="59"/>
      <c r="DO29" s="57"/>
      <c r="DP29" s="57"/>
      <c r="DQ29" s="57"/>
      <c r="DR29" s="57"/>
      <c r="DS29" s="57"/>
      <c r="DT29" s="57"/>
      <c r="DU29" s="52"/>
      <c r="DV29" s="52"/>
      <c r="DW29" s="52"/>
      <c r="DX29" s="52"/>
      <c r="DY29" s="52"/>
      <c r="DZ29" s="52"/>
      <c r="EA29" s="52"/>
      <c r="EB29" s="52"/>
      <c r="EC29" s="52"/>
      <c r="ED29" s="52"/>
      <c r="EE29" s="52"/>
      <c r="EF29" s="52"/>
      <c r="EG29" s="52"/>
      <c r="EH29" s="52"/>
      <c r="EI29" s="52"/>
      <c r="EJ29" s="52"/>
    </row>
    <row r="30" spans="1:140" s="21" customFormat="1" ht="15" hidden="1" customHeight="1">
      <c r="A30" s="81"/>
      <c r="B30" s="81"/>
      <c r="C30" s="189" t="str">
        <f>IF(MasterSheet!$A$1=1,MasterSheet!C172,MasterSheet!B172)</f>
        <v>Doprinosi</v>
      </c>
      <c r="D30" s="190">
        <f>SUM(D31:D34)</f>
        <v>0</v>
      </c>
      <c r="E30" s="187">
        <f t="shared" si="0"/>
        <v>0</v>
      </c>
      <c r="F30" s="190">
        <f>SUM(F31:F34)</f>
        <v>0</v>
      </c>
      <c r="G30" s="187">
        <f t="shared" si="1"/>
        <v>0</v>
      </c>
      <c r="H30" s="190">
        <f>SUM(H31:H34)</f>
        <v>0</v>
      </c>
      <c r="I30" s="187">
        <f t="shared" si="2"/>
        <v>0</v>
      </c>
      <c r="J30" s="190">
        <f>SUM(J31:J34)</f>
        <v>0</v>
      </c>
      <c r="K30" s="187">
        <f t="shared" si="3"/>
        <v>0</v>
      </c>
      <c r="L30" s="190">
        <f>SUM(L31:L34)</f>
        <v>0</v>
      </c>
      <c r="M30" s="187">
        <f t="shared" si="4"/>
        <v>0</v>
      </c>
      <c r="N30" s="561">
        <f>SUM(N31:N34)</f>
        <v>0</v>
      </c>
      <c r="O30" s="560">
        <f t="shared" si="5"/>
        <v>0</v>
      </c>
      <c r="P30" s="285">
        <f>SUM(P31:P34)</f>
        <v>0</v>
      </c>
      <c r="Q30" s="283">
        <f t="shared" si="6"/>
        <v>0</v>
      </c>
      <c r="R30" s="285">
        <f>SUM(R31:R34)</f>
        <v>0</v>
      </c>
      <c r="S30" s="283">
        <f t="shared" si="7"/>
        <v>0</v>
      </c>
      <c r="T30" s="285">
        <f>SUM(T31:T34)</f>
        <v>0</v>
      </c>
      <c r="U30" s="283">
        <f t="shared" si="8"/>
        <v>0</v>
      </c>
      <c r="V30" s="818">
        <f t="shared" si="12"/>
        <v>0</v>
      </c>
      <c r="W30" s="817">
        <f t="shared" si="12"/>
        <v>0</v>
      </c>
      <c r="X30" s="285">
        <f>SUM(X31:X34)</f>
        <v>0</v>
      </c>
      <c r="Y30" s="284">
        <f t="shared" si="9"/>
        <v>0</v>
      </c>
      <c r="Z30" s="285">
        <f>SUM(Z31:Z34)</f>
        <v>0</v>
      </c>
      <c r="AA30" s="283">
        <f t="shared" si="10"/>
        <v>0</v>
      </c>
      <c r="AB30" s="285">
        <f>SUM(AB31:AB34)</f>
        <v>0</v>
      </c>
      <c r="AC30" s="283">
        <f t="shared" si="11"/>
        <v>0</v>
      </c>
      <c r="AD30" s="84"/>
      <c r="AE30" s="84"/>
      <c r="AF30" s="56"/>
      <c r="AG30" s="56"/>
      <c r="AH30" s="56"/>
      <c r="AI30" s="56"/>
      <c r="AJ30" s="56"/>
      <c r="AK30" s="57"/>
      <c r="AL30" s="57"/>
      <c r="AM30" s="149"/>
      <c r="AN30" s="149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  <c r="DB30" s="57"/>
      <c r="DC30" s="57"/>
      <c r="DD30" s="57"/>
      <c r="DE30" s="57"/>
      <c r="DF30" s="57"/>
      <c r="DG30" s="57"/>
      <c r="DH30" s="57"/>
      <c r="DI30" s="57"/>
      <c r="DJ30" s="57"/>
      <c r="DK30" s="57"/>
      <c r="DL30" s="57"/>
      <c r="DM30" s="57"/>
      <c r="DN30" s="57"/>
      <c r="DO30" s="57"/>
      <c r="DP30" s="57"/>
      <c r="DQ30" s="57"/>
      <c r="DR30" s="57"/>
      <c r="DS30" s="57"/>
      <c r="DT30" s="57"/>
      <c r="DU30" s="52"/>
      <c r="DV30" s="52"/>
      <c r="DW30" s="52"/>
      <c r="DX30" s="52"/>
      <c r="DY30" s="52"/>
      <c r="DZ30" s="52"/>
      <c r="EA30" s="52"/>
      <c r="EB30" s="52"/>
      <c r="EC30" s="52"/>
      <c r="ED30" s="52"/>
      <c r="EE30" s="52"/>
      <c r="EF30" s="52"/>
      <c r="EG30" s="52"/>
      <c r="EH30" s="52"/>
      <c r="EI30" s="52"/>
      <c r="EJ30" s="52"/>
    </row>
    <row r="31" spans="1:140" s="21" customFormat="1" ht="15" hidden="1" customHeight="1">
      <c r="A31" s="81"/>
      <c r="B31" s="81"/>
      <c r="C31" s="185" t="str">
        <f>IF(MasterSheet!$A$1=1,MasterSheet!C173,MasterSheet!B173)</f>
        <v>Doprinosi za penzijsko i invalidsko osiguranje</v>
      </c>
      <c r="D31" s="186"/>
      <c r="E31" s="187">
        <f t="shared" si="0"/>
        <v>0</v>
      </c>
      <c r="F31" s="186"/>
      <c r="G31" s="187">
        <f t="shared" si="1"/>
        <v>0</v>
      </c>
      <c r="H31" s="186"/>
      <c r="I31" s="187">
        <f t="shared" si="2"/>
        <v>0</v>
      </c>
      <c r="J31" s="186"/>
      <c r="K31" s="187">
        <f t="shared" si="3"/>
        <v>0</v>
      </c>
      <c r="L31" s="186"/>
      <c r="M31" s="187">
        <f t="shared" si="4"/>
        <v>0</v>
      </c>
      <c r="N31" s="559"/>
      <c r="O31" s="560">
        <f t="shared" si="5"/>
        <v>0</v>
      </c>
      <c r="P31" s="282"/>
      <c r="Q31" s="283">
        <f t="shared" si="6"/>
        <v>0</v>
      </c>
      <c r="R31" s="282"/>
      <c r="S31" s="283">
        <f t="shared" si="7"/>
        <v>0</v>
      </c>
      <c r="T31" s="282"/>
      <c r="U31" s="283">
        <f t="shared" si="8"/>
        <v>0</v>
      </c>
      <c r="V31" s="816">
        <f t="shared" si="12"/>
        <v>0</v>
      </c>
      <c r="W31" s="817">
        <f t="shared" si="12"/>
        <v>0</v>
      </c>
      <c r="X31" s="282"/>
      <c r="Y31" s="284">
        <f t="shared" si="9"/>
        <v>0</v>
      </c>
      <c r="Z31" s="282"/>
      <c r="AA31" s="283">
        <f t="shared" si="10"/>
        <v>0</v>
      </c>
      <c r="AB31" s="282"/>
      <c r="AC31" s="283">
        <f t="shared" si="11"/>
        <v>0</v>
      </c>
      <c r="AD31" s="84"/>
      <c r="AE31" s="84"/>
      <c r="AF31" s="56"/>
      <c r="AG31" s="56"/>
      <c r="AH31" s="56"/>
      <c r="AI31" s="56"/>
      <c r="AJ31" s="56"/>
      <c r="AK31" s="57"/>
      <c r="AL31" s="57"/>
      <c r="AM31" s="149"/>
      <c r="AN31" s="149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7"/>
      <c r="DJ31" s="57"/>
      <c r="DK31" s="57"/>
      <c r="DL31" s="57"/>
      <c r="DM31" s="57"/>
      <c r="DN31" s="57"/>
      <c r="DO31" s="57"/>
      <c r="DP31" s="57"/>
      <c r="DQ31" s="57"/>
      <c r="DR31" s="57"/>
      <c r="DS31" s="57"/>
      <c r="DT31" s="57"/>
      <c r="DU31" s="52"/>
      <c r="DV31" s="52"/>
      <c r="DW31" s="52"/>
      <c r="DX31" s="52"/>
      <c r="DY31" s="52"/>
      <c r="DZ31" s="52"/>
      <c r="EA31" s="52"/>
      <c r="EB31" s="52"/>
      <c r="EC31" s="52"/>
      <c r="ED31" s="52"/>
      <c r="EE31" s="52"/>
      <c r="EF31" s="52"/>
      <c r="EG31" s="52"/>
      <c r="EH31" s="52"/>
      <c r="EI31" s="52"/>
      <c r="EJ31" s="52"/>
    </row>
    <row r="32" spans="1:140" s="21" customFormat="1" ht="15" hidden="1" customHeight="1">
      <c r="A32" s="81"/>
      <c r="B32" s="81"/>
      <c r="C32" s="185" t="str">
        <f>IF(MasterSheet!$A$1=1,MasterSheet!C174,MasterSheet!B174)</f>
        <v>Doprinosi za zdravstveno osiguranje</v>
      </c>
      <c r="D32" s="186"/>
      <c r="E32" s="187">
        <f t="shared" si="0"/>
        <v>0</v>
      </c>
      <c r="F32" s="186"/>
      <c r="G32" s="187">
        <f t="shared" si="1"/>
        <v>0</v>
      </c>
      <c r="H32" s="186"/>
      <c r="I32" s="187">
        <f t="shared" si="2"/>
        <v>0</v>
      </c>
      <c r="J32" s="186"/>
      <c r="K32" s="187">
        <f t="shared" si="3"/>
        <v>0</v>
      </c>
      <c r="L32" s="186"/>
      <c r="M32" s="187">
        <f t="shared" si="4"/>
        <v>0</v>
      </c>
      <c r="N32" s="559"/>
      <c r="O32" s="560">
        <f t="shared" si="5"/>
        <v>0</v>
      </c>
      <c r="P32" s="282"/>
      <c r="Q32" s="283">
        <f t="shared" si="6"/>
        <v>0</v>
      </c>
      <c r="R32" s="282"/>
      <c r="S32" s="283">
        <f t="shared" si="7"/>
        <v>0</v>
      </c>
      <c r="T32" s="282"/>
      <c r="U32" s="283">
        <f t="shared" si="8"/>
        <v>0</v>
      </c>
      <c r="V32" s="816">
        <f t="shared" si="12"/>
        <v>0</v>
      </c>
      <c r="W32" s="817">
        <f t="shared" si="12"/>
        <v>0</v>
      </c>
      <c r="X32" s="282"/>
      <c r="Y32" s="284">
        <f t="shared" si="9"/>
        <v>0</v>
      </c>
      <c r="Z32" s="282"/>
      <c r="AA32" s="283">
        <f t="shared" si="10"/>
        <v>0</v>
      </c>
      <c r="AB32" s="282"/>
      <c r="AC32" s="283">
        <f t="shared" si="11"/>
        <v>0</v>
      </c>
      <c r="AD32" s="84"/>
      <c r="AE32" s="84"/>
      <c r="AF32" s="56"/>
      <c r="AG32" s="56"/>
      <c r="AH32" s="56"/>
      <c r="AI32" s="56"/>
      <c r="AJ32" s="56"/>
      <c r="AK32" s="57"/>
      <c r="AL32" s="57"/>
      <c r="AM32" s="149"/>
      <c r="AN32" s="149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2"/>
      <c r="DV32" s="52"/>
      <c r="DW32" s="52"/>
      <c r="DX32" s="52"/>
      <c r="DY32" s="52"/>
      <c r="DZ32" s="52"/>
      <c r="EA32" s="52"/>
      <c r="EB32" s="52"/>
      <c r="EC32" s="52"/>
      <c r="ED32" s="52"/>
      <c r="EE32" s="52"/>
      <c r="EF32" s="52"/>
      <c r="EG32" s="52"/>
      <c r="EH32" s="52"/>
      <c r="EI32" s="52"/>
      <c r="EJ32" s="52"/>
    </row>
    <row r="33" spans="1:140" s="21" customFormat="1" ht="15" hidden="1" customHeight="1">
      <c r="A33" s="81"/>
      <c r="B33" s="81"/>
      <c r="C33" s="185" t="str">
        <f>IF(MasterSheet!$A$1=1,MasterSheet!C175,MasterSheet!B175)</f>
        <v>Doprinosi za osiguranje od nezaposlenosti</v>
      </c>
      <c r="D33" s="186"/>
      <c r="E33" s="187">
        <f t="shared" si="0"/>
        <v>0</v>
      </c>
      <c r="F33" s="186"/>
      <c r="G33" s="187">
        <f t="shared" si="1"/>
        <v>0</v>
      </c>
      <c r="H33" s="186"/>
      <c r="I33" s="187">
        <f t="shared" si="2"/>
        <v>0</v>
      </c>
      <c r="J33" s="186"/>
      <c r="K33" s="187">
        <f t="shared" si="3"/>
        <v>0</v>
      </c>
      <c r="L33" s="186"/>
      <c r="M33" s="187">
        <f t="shared" si="4"/>
        <v>0</v>
      </c>
      <c r="N33" s="559"/>
      <c r="O33" s="560">
        <f t="shared" si="5"/>
        <v>0</v>
      </c>
      <c r="P33" s="282"/>
      <c r="Q33" s="283">
        <f t="shared" si="6"/>
        <v>0</v>
      </c>
      <c r="R33" s="282"/>
      <c r="S33" s="283">
        <f t="shared" si="7"/>
        <v>0</v>
      </c>
      <c r="T33" s="282"/>
      <c r="U33" s="283">
        <f t="shared" si="8"/>
        <v>0</v>
      </c>
      <c r="V33" s="816">
        <f t="shared" si="12"/>
        <v>0</v>
      </c>
      <c r="W33" s="817">
        <f t="shared" si="12"/>
        <v>0</v>
      </c>
      <c r="X33" s="282"/>
      <c r="Y33" s="284">
        <f t="shared" si="9"/>
        <v>0</v>
      </c>
      <c r="Z33" s="282"/>
      <c r="AA33" s="283">
        <f t="shared" si="10"/>
        <v>0</v>
      </c>
      <c r="AB33" s="282"/>
      <c r="AC33" s="283">
        <f t="shared" si="11"/>
        <v>0</v>
      </c>
      <c r="AD33" s="84"/>
      <c r="AE33" s="84"/>
      <c r="AF33" s="56"/>
      <c r="AG33" s="56"/>
      <c r="AH33" s="56"/>
      <c r="AI33" s="56"/>
      <c r="AJ33" s="56"/>
      <c r="AK33" s="57"/>
      <c r="AL33" s="57"/>
      <c r="AM33" s="149"/>
      <c r="AN33" s="149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  <c r="DU33" s="52"/>
      <c r="DV33" s="52"/>
      <c r="DW33" s="52"/>
      <c r="DX33" s="52"/>
      <c r="DY33" s="52"/>
      <c r="DZ33" s="52"/>
      <c r="EA33" s="52"/>
      <c r="EB33" s="52"/>
      <c r="EC33" s="52"/>
      <c r="ED33" s="52"/>
      <c r="EE33" s="52"/>
      <c r="EF33" s="52"/>
      <c r="EG33" s="52"/>
      <c r="EH33" s="52"/>
      <c r="EI33" s="52"/>
      <c r="EJ33" s="52"/>
    </row>
    <row r="34" spans="1:140" s="21" customFormat="1" ht="15" hidden="1" customHeight="1">
      <c r="A34" s="81"/>
      <c r="B34" s="81"/>
      <c r="C34" s="185" t="str">
        <f>IF(MasterSheet!$A$1=1,MasterSheet!C176,MasterSheet!B176)</f>
        <v>Ostali doprinosi</v>
      </c>
      <c r="D34" s="186"/>
      <c r="E34" s="187">
        <f t="shared" si="0"/>
        <v>0</v>
      </c>
      <c r="F34" s="186"/>
      <c r="G34" s="187">
        <f t="shared" si="1"/>
        <v>0</v>
      </c>
      <c r="H34" s="186"/>
      <c r="I34" s="187">
        <f t="shared" si="2"/>
        <v>0</v>
      </c>
      <c r="J34" s="186"/>
      <c r="K34" s="187">
        <f t="shared" si="3"/>
        <v>0</v>
      </c>
      <c r="L34" s="186"/>
      <c r="M34" s="187">
        <f t="shared" si="4"/>
        <v>0</v>
      </c>
      <c r="N34" s="559"/>
      <c r="O34" s="560">
        <f t="shared" si="5"/>
        <v>0</v>
      </c>
      <c r="P34" s="282"/>
      <c r="Q34" s="283">
        <f t="shared" si="6"/>
        <v>0</v>
      </c>
      <c r="R34" s="282"/>
      <c r="S34" s="283">
        <f t="shared" si="7"/>
        <v>0</v>
      </c>
      <c r="T34" s="282"/>
      <c r="U34" s="283">
        <f t="shared" si="8"/>
        <v>0</v>
      </c>
      <c r="V34" s="816">
        <f t="shared" si="12"/>
        <v>0</v>
      </c>
      <c r="W34" s="817">
        <f t="shared" si="12"/>
        <v>0</v>
      </c>
      <c r="X34" s="282"/>
      <c r="Y34" s="284">
        <f t="shared" si="9"/>
        <v>0</v>
      </c>
      <c r="Z34" s="282"/>
      <c r="AA34" s="283">
        <f t="shared" si="10"/>
        <v>0</v>
      </c>
      <c r="AB34" s="282"/>
      <c r="AC34" s="283">
        <f t="shared" si="11"/>
        <v>0</v>
      </c>
      <c r="AD34" s="84"/>
      <c r="AE34" s="84"/>
      <c r="AF34" s="56"/>
      <c r="AG34" s="56"/>
      <c r="AH34" s="56"/>
      <c r="AI34" s="56"/>
      <c r="AJ34" s="56"/>
      <c r="AK34" s="57"/>
      <c r="AL34" s="57"/>
      <c r="AM34" s="149"/>
      <c r="AN34" s="149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7"/>
      <c r="DG34" s="57"/>
      <c r="DH34" s="57"/>
      <c r="DI34" s="57"/>
      <c r="DJ34" s="57"/>
      <c r="DK34" s="57"/>
      <c r="DL34" s="57"/>
      <c r="DM34" s="58"/>
      <c r="DN34" s="58"/>
      <c r="DO34" s="58"/>
      <c r="DP34" s="57"/>
      <c r="DQ34" s="57"/>
      <c r="DR34" s="57"/>
      <c r="DS34" s="57"/>
      <c r="DT34" s="57"/>
      <c r="DU34" s="52"/>
      <c r="DV34" s="52"/>
      <c r="DW34" s="52"/>
      <c r="DX34" s="52"/>
      <c r="DY34" s="52"/>
      <c r="DZ34" s="52"/>
      <c r="EA34" s="52"/>
      <c r="EB34" s="52"/>
      <c r="EC34" s="52"/>
      <c r="ED34" s="52"/>
      <c r="EE34" s="52"/>
      <c r="EF34" s="52"/>
      <c r="EG34" s="52"/>
      <c r="EH34" s="52"/>
      <c r="EI34" s="52"/>
      <c r="EJ34" s="52"/>
    </row>
    <row r="35" spans="1:140" s="21" customFormat="1" ht="15" customHeight="1">
      <c r="A35" s="81"/>
      <c r="B35" s="81"/>
      <c r="C35" s="189" t="str">
        <f>IF(MasterSheet!$A$1=1,MasterSheet!C177,MasterSheet!B177)</f>
        <v>Takse</v>
      </c>
      <c r="D35" s="190">
        <f>SUM(D36:D40)</f>
        <v>13516659.34</v>
      </c>
      <c r="E35" s="191">
        <f t="shared" si="0"/>
        <v>0.62900364558611388</v>
      </c>
      <c r="F35" s="190">
        <f>SUM(F36:F40)</f>
        <v>11921897.530000001</v>
      </c>
      <c r="G35" s="191">
        <f t="shared" si="1"/>
        <v>0.44476394441335576</v>
      </c>
      <c r="H35" s="190">
        <f>SUM(H36:H40)</f>
        <v>9494851.7763648573</v>
      </c>
      <c r="I35" s="191">
        <f t="shared" si="2"/>
        <v>0.30771492663873662</v>
      </c>
      <c r="J35" s="190">
        <f>SUM(J36:J40)</f>
        <v>6511851.5600000005</v>
      </c>
      <c r="K35" s="191">
        <f t="shared" si="3"/>
        <v>0.21844520496477693</v>
      </c>
      <c r="L35" s="190">
        <v>5740000</v>
      </c>
      <c r="M35" s="191">
        <f t="shared" si="4"/>
        <v>0.18492268041237112</v>
      </c>
      <c r="N35" s="190">
        <f>SUM(N36:N40)</f>
        <v>5969432.7699999996</v>
      </c>
      <c r="O35" s="191">
        <f t="shared" si="5"/>
        <v>0.18458357359307356</v>
      </c>
      <c r="P35" s="285">
        <f>SUM(P36:P40)</f>
        <v>5497737.2399999993</v>
      </c>
      <c r="Q35" s="286">
        <f t="shared" si="6"/>
        <v>0.17458676532232451</v>
      </c>
      <c r="R35" s="285">
        <f>SUM(R36:R40)</f>
        <v>6555364.4814599985</v>
      </c>
      <c r="S35" s="286">
        <f t="shared" si="7"/>
        <v>0.18639080129257884</v>
      </c>
      <c r="T35" s="285">
        <f>SUM(T36:T40)</f>
        <v>6686471.771089199</v>
      </c>
      <c r="U35" s="286">
        <f t="shared" si="8"/>
        <v>0.19011861731843047</v>
      </c>
      <c r="V35" s="818">
        <f t="shared" si="12"/>
        <v>131107.28962920047</v>
      </c>
      <c r="W35" s="819">
        <f t="shared" si="12"/>
        <v>3.7278160258516213E-3</v>
      </c>
      <c r="X35" s="285">
        <f>SUM(X36:X40)</f>
        <v>6786768.8476555357</v>
      </c>
      <c r="Y35" s="287">
        <f t="shared" si="9"/>
        <v>0.1817073319318751</v>
      </c>
      <c r="Z35" s="285">
        <f>SUM(Z36:Z40)</f>
        <v>6948458.0137543194</v>
      </c>
      <c r="AA35" s="286">
        <f t="shared" si="10"/>
        <v>0.17449668542828528</v>
      </c>
      <c r="AB35" s="285">
        <f>SUM(AB36:AB40)</f>
        <v>7058458.0137543194</v>
      </c>
      <c r="AC35" s="286">
        <f t="shared" si="11"/>
        <v>0.16549725706340726</v>
      </c>
      <c r="AD35" s="84"/>
      <c r="AE35" s="84"/>
      <c r="AF35" s="56"/>
      <c r="AG35" s="56"/>
      <c r="AH35" s="56"/>
      <c r="AI35" s="56"/>
      <c r="AJ35" s="56"/>
      <c r="AK35" s="57"/>
      <c r="AL35" s="57"/>
      <c r="AM35" s="63"/>
      <c r="AN35" s="63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8"/>
      <c r="DN35" s="58"/>
      <c r="DO35" s="58"/>
      <c r="DP35" s="57"/>
      <c r="DQ35" s="57"/>
      <c r="DR35" s="57"/>
      <c r="DS35" s="57"/>
      <c r="DT35" s="57"/>
      <c r="DU35" s="52"/>
      <c r="DV35" s="52"/>
      <c r="DW35" s="52"/>
      <c r="DX35" s="52"/>
      <c r="DY35" s="52"/>
      <c r="DZ35" s="52"/>
      <c r="EA35" s="52"/>
      <c r="EB35" s="52"/>
      <c r="EC35" s="52"/>
      <c r="ED35" s="52"/>
      <c r="EE35" s="52"/>
      <c r="EF35" s="52"/>
      <c r="EG35" s="52"/>
      <c r="EH35" s="52"/>
      <c r="EI35" s="52"/>
      <c r="EJ35" s="52"/>
    </row>
    <row r="36" spans="1:140" s="21" customFormat="1" ht="15" customHeight="1">
      <c r="A36" s="81"/>
      <c r="B36" s="81"/>
      <c r="C36" s="185" t="str">
        <f>IF(MasterSheet!$A$1=1,MasterSheet!C178,MasterSheet!B178)</f>
        <v>Administrativne takse</v>
      </c>
      <c r="D36" s="186">
        <v>1798181.75</v>
      </c>
      <c r="E36" s="187">
        <f t="shared" si="0"/>
        <v>8.3679173065289214E-2</v>
      </c>
      <c r="F36" s="186">
        <v>2404445.06</v>
      </c>
      <c r="G36" s="187">
        <f t="shared" si="1"/>
        <v>8.9701363924640926E-2</v>
      </c>
      <c r="H36" s="186">
        <v>2903476.43878</v>
      </c>
      <c r="I36" s="187">
        <f t="shared" si="2"/>
        <v>9.4097628946720246E-2</v>
      </c>
      <c r="J36" s="186">
        <v>2581401.35</v>
      </c>
      <c r="K36" s="187">
        <f t="shared" si="3"/>
        <v>8.6595147601476019E-2</v>
      </c>
      <c r="L36" s="186"/>
      <c r="M36" s="187">
        <f t="shared" si="4"/>
        <v>0</v>
      </c>
      <c r="N36" s="186">
        <v>2101784.4299999997</v>
      </c>
      <c r="O36" s="187">
        <f t="shared" si="5"/>
        <v>6.4990242115027824E-2</v>
      </c>
      <c r="P36" s="282">
        <v>1596441.0999999996</v>
      </c>
      <c r="Q36" s="283">
        <f t="shared" si="6"/>
        <v>5.0696764052080012E-2</v>
      </c>
      <c r="R36" s="282">
        <v>2038072.2509999997</v>
      </c>
      <c r="S36" s="283">
        <f t="shared" si="7"/>
        <v>5.7949168353710542E-2</v>
      </c>
      <c r="T36" s="282">
        <f>+R36*1.02</f>
        <v>2078833.6960199997</v>
      </c>
      <c r="U36" s="283">
        <f t="shared" si="8"/>
        <v>5.9108151720784756E-2</v>
      </c>
      <c r="V36" s="816">
        <f t="shared" si="12"/>
        <v>40761.445019999985</v>
      </c>
      <c r="W36" s="817">
        <f t="shared" si="12"/>
        <v>1.1589833670742136E-3</v>
      </c>
      <c r="X36" s="282">
        <f>+T36*1.015</f>
        <v>2110016.2014602995</v>
      </c>
      <c r="Y36" s="284">
        <f t="shared" si="9"/>
        <v>5.6493070989566248E-2</v>
      </c>
      <c r="Z36" s="282">
        <v>2215574.8980919998</v>
      </c>
      <c r="AA36" s="283">
        <f t="shared" si="10"/>
        <v>5.563975133329984E-2</v>
      </c>
      <c r="AB36" s="282">
        <v>2225574.8980919998</v>
      </c>
      <c r="AC36" s="283">
        <f t="shared" si="11"/>
        <v>5.2182295383165288E-2</v>
      </c>
      <c r="AD36" s="84"/>
      <c r="AE36" s="84"/>
      <c r="AF36" s="56"/>
      <c r="AG36" s="56"/>
      <c r="AH36" s="56"/>
      <c r="AI36" s="56"/>
      <c r="AJ36" s="56"/>
      <c r="AK36" s="57"/>
      <c r="AL36" s="57"/>
      <c r="AM36" s="149"/>
      <c r="AN36" s="149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  <c r="DC36" s="57"/>
      <c r="DD36" s="57"/>
      <c r="DE36" s="57"/>
      <c r="DF36" s="57"/>
      <c r="DG36" s="57"/>
      <c r="DH36" s="57"/>
      <c r="DI36" s="57"/>
      <c r="DJ36" s="57"/>
      <c r="DK36" s="57"/>
      <c r="DL36" s="57"/>
      <c r="DM36" s="58"/>
      <c r="DN36" s="58"/>
      <c r="DO36" s="58"/>
      <c r="DP36" s="57"/>
      <c r="DQ36" s="57"/>
      <c r="DR36" s="57"/>
      <c r="DS36" s="57"/>
      <c r="DT36" s="57"/>
      <c r="DU36" s="52"/>
      <c r="DV36" s="52"/>
      <c r="DW36" s="52"/>
      <c r="DX36" s="52"/>
      <c r="DY36" s="52"/>
      <c r="DZ36" s="52"/>
      <c r="EA36" s="52"/>
      <c r="EB36" s="52"/>
      <c r="EC36" s="52"/>
      <c r="ED36" s="52"/>
      <c r="EE36" s="52"/>
      <c r="EF36" s="52"/>
      <c r="EG36" s="52"/>
      <c r="EH36" s="52"/>
      <c r="EI36" s="52"/>
      <c r="EJ36" s="52"/>
    </row>
    <row r="37" spans="1:140" s="21" customFormat="1" ht="15" hidden="1" customHeight="1">
      <c r="A37" s="81"/>
      <c r="B37" s="81"/>
      <c r="C37" s="185" t="str">
        <f>IF(MasterSheet!$A$1=1,MasterSheet!C179,MasterSheet!B179)</f>
        <v>Sudske takse</v>
      </c>
      <c r="D37" s="186"/>
      <c r="E37" s="187">
        <f t="shared" si="0"/>
        <v>0</v>
      </c>
      <c r="F37" s="186"/>
      <c r="G37" s="187">
        <f t="shared" si="1"/>
        <v>0</v>
      </c>
      <c r="H37" s="186"/>
      <c r="I37" s="187">
        <f t="shared" si="2"/>
        <v>0</v>
      </c>
      <c r="J37" s="186"/>
      <c r="K37" s="187">
        <f t="shared" si="3"/>
        <v>0</v>
      </c>
      <c r="L37" s="186"/>
      <c r="M37" s="187">
        <f t="shared" si="4"/>
        <v>0</v>
      </c>
      <c r="N37" s="186"/>
      <c r="O37" s="187">
        <f t="shared" si="5"/>
        <v>0</v>
      </c>
      <c r="P37" s="282"/>
      <c r="Q37" s="283">
        <f t="shared" si="6"/>
        <v>0</v>
      </c>
      <c r="R37" s="282">
        <v>0</v>
      </c>
      <c r="S37" s="283">
        <f t="shared" si="7"/>
        <v>0</v>
      </c>
      <c r="T37" s="282">
        <f t="shared" ref="T37:T40" si="15">+R37*1.02</f>
        <v>0</v>
      </c>
      <c r="U37" s="283">
        <f t="shared" si="8"/>
        <v>0</v>
      </c>
      <c r="V37" s="816">
        <f t="shared" si="12"/>
        <v>0</v>
      </c>
      <c r="W37" s="817">
        <f t="shared" si="12"/>
        <v>0</v>
      </c>
      <c r="X37" s="282">
        <f t="shared" ref="X37:X40" si="16">+T37*1.015</f>
        <v>0</v>
      </c>
      <c r="Y37" s="284">
        <f t="shared" si="9"/>
        <v>0</v>
      </c>
      <c r="Z37" s="282">
        <v>0</v>
      </c>
      <c r="AA37" s="283">
        <f t="shared" si="10"/>
        <v>0</v>
      </c>
      <c r="AB37" s="282">
        <v>0</v>
      </c>
      <c r="AC37" s="283">
        <f t="shared" si="11"/>
        <v>0</v>
      </c>
      <c r="AD37" s="84"/>
      <c r="AE37" s="84"/>
      <c r="AF37" s="56"/>
      <c r="AG37" s="56"/>
      <c r="AH37" s="56"/>
      <c r="AI37" s="56"/>
      <c r="AJ37" s="56"/>
      <c r="AK37" s="57"/>
      <c r="AL37" s="57"/>
      <c r="AM37" s="149"/>
      <c r="AN37" s="149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  <c r="DC37" s="57"/>
      <c r="DD37" s="57"/>
      <c r="DE37" s="57"/>
      <c r="DF37" s="57"/>
      <c r="DG37" s="57"/>
      <c r="DH37" s="57"/>
      <c r="DI37" s="57"/>
      <c r="DJ37" s="57"/>
      <c r="DK37" s="57"/>
      <c r="DL37" s="57"/>
      <c r="DM37" s="58"/>
      <c r="DN37" s="58"/>
      <c r="DO37" s="58"/>
      <c r="DP37" s="57"/>
      <c r="DQ37" s="57"/>
      <c r="DR37" s="57"/>
      <c r="DS37" s="57"/>
      <c r="DT37" s="57"/>
      <c r="DU37" s="52"/>
      <c r="DV37" s="52"/>
      <c r="DW37" s="52"/>
      <c r="DX37" s="52"/>
      <c r="DY37" s="52"/>
      <c r="DZ37" s="52"/>
      <c r="EA37" s="52"/>
      <c r="EB37" s="52"/>
      <c r="EC37" s="52"/>
      <c r="ED37" s="52"/>
      <c r="EE37" s="52"/>
      <c r="EF37" s="52"/>
      <c r="EG37" s="52"/>
      <c r="EH37" s="52"/>
      <c r="EI37" s="52"/>
      <c r="EJ37" s="52"/>
    </row>
    <row r="38" spans="1:140" s="21" customFormat="1" ht="15" hidden="1" customHeight="1">
      <c r="A38" s="81"/>
      <c r="B38" s="81"/>
      <c r="C38" s="185" t="str">
        <f>IF(MasterSheet!$A$1=1,MasterSheet!C180,MasterSheet!B180)</f>
        <v>Boravišne takse</v>
      </c>
      <c r="D38" s="186">
        <v>1146766.42</v>
      </c>
      <c r="E38" s="187">
        <f t="shared" si="0"/>
        <v>5.3365276187817015E-2</v>
      </c>
      <c r="F38" s="186">
        <v>207672.39</v>
      </c>
      <c r="G38" s="187">
        <f t="shared" si="1"/>
        <v>7.7475243424734198E-3</v>
      </c>
      <c r="H38" s="186">
        <v>466559.11714285717</v>
      </c>
      <c r="I38" s="187">
        <f t="shared" si="2"/>
        <v>1.5120531408570689E-2</v>
      </c>
      <c r="J38" s="186"/>
      <c r="K38" s="187">
        <f t="shared" si="3"/>
        <v>0</v>
      </c>
      <c r="L38" s="186"/>
      <c r="M38" s="187">
        <f t="shared" si="4"/>
        <v>0</v>
      </c>
      <c r="N38" s="186"/>
      <c r="O38" s="187">
        <f t="shared" si="5"/>
        <v>0</v>
      </c>
      <c r="P38" s="282"/>
      <c r="Q38" s="283">
        <f t="shared" si="6"/>
        <v>0</v>
      </c>
      <c r="R38" s="282">
        <v>0</v>
      </c>
      <c r="S38" s="283">
        <f t="shared" si="7"/>
        <v>0</v>
      </c>
      <c r="T38" s="282">
        <f t="shared" si="15"/>
        <v>0</v>
      </c>
      <c r="U38" s="283">
        <f t="shared" si="8"/>
        <v>0</v>
      </c>
      <c r="V38" s="816">
        <f t="shared" si="12"/>
        <v>0</v>
      </c>
      <c r="W38" s="817">
        <f t="shared" si="12"/>
        <v>0</v>
      </c>
      <c r="X38" s="282">
        <f t="shared" si="16"/>
        <v>0</v>
      </c>
      <c r="Y38" s="284">
        <f t="shared" si="9"/>
        <v>0</v>
      </c>
      <c r="Z38" s="282">
        <v>0</v>
      </c>
      <c r="AA38" s="283">
        <f t="shared" si="10"/>
        <v>0</v>
      </c>
      <c r="AB38" s="282">
        <v>0</v>
      </c>
      <c r="AC38" s="283">
        <f t="shared" si="11"/>
        <v>0</v>
      </c>
      <c r="AD38" s="84"/>
      <c r="AE38" s="84"/>
      <c r="AF38" s="56"/>
      <c r="AG38" s="56"/>
      <c r="AH38" s="56"/>
      <c r="AI38" s="56"/>
      <c r="AJ38" s="56"/>
      <c r="AK38" s="57"/>
      <c r="AL38" s="57"/>
      <c r="AM38" s="149"/>
      <c r="AN38" s="149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8"/>
      <c r="DN38" s="58"/>
      <c r="DO38" s="58"/>
      <c r="DP38" s="57"/>
      <c r="DQ38" s="57"/>
      <c r="DR38" s="57"/>
      <c r="DS38" s="57"/>
      <c r="DT38" s="57"/>
      <c r="DU38" s="52"/>
      <c r="DV38" s="52"/>
      <c r="DW38" s="52"/>
      <c r="DX38" s="52"/>
      <c r="DY38" s="52"/>
      <c r="DZ38" s="52"/>
      <c r="EA38" s="52"/>
      <c r="EB38" s="52"/>
      <c r="EC38" s="52"/>
      <c r="ED38" s="52"/>
      <c r="EE38" s="52"/>
      <c r="EF38" s="52"/>
      <c r="EG38" s="52"/>
      <c r="EH38" s="52"/>
      <c r="EI38" s="52"/>
      <c r="EJ38" s="52"/>
    </row>
    <row r="39" spans="1:140" s="21" customFormat="1" ht="15" customHeight="1">
      <c r="A39" s="81"/>
      <c r="B39" s="81"/>
      <c r="C39" s="185" t="str">
        <f>IF(MasterSheet!$A$1=1,MasterSheet!C181,MasterSheet!B181)</f>
        <v>Lokalne komunalne takse</v>
      </c>
      <c r="D39" s="186">
        <v>10571711.17</v>
      </c>
      <c r="E39" s="187">
        <f t="shared" si="0"/>
        <v>0.49195919633300755</v>
      </c>
      <c r="F39" s="186">
        <v>9309780.0800000001</v>
      </c>
      <c r="G39" s="187">
        <f t="shared" si="1"/>
        <v>0.34731505614624136</v>
      </c>
      <c r="H39" s="186">
        <v>6124816.2204419998</v>
      </c>
      <c r="I39" s="187">
        <f t="shared" si="2"/>
        <v>0.19849676628344567</v>
      </c>
      <c r="J39" s="186">
        <v>3633774.93</v>
      </c>
      <c r="K39" s="187">
        <f t="shared" si="3"/>
        <v>0.12189785072123449</v>
      </c>
      <c r="L39" s="186"/>
      <c r="M39" s="187">
        <f t="shared" si="4"/>
        <v>0</v>
      </c>
      <c r="N39" s="186">
        <v>3619912.75</v>
      </c>
      <c r="O39" s="187">
        <f t="shared" si="5"/>
        <v>0.11193298546691405</v>
      </c>
      <c r="P39" s="282">
        <v>3653549.09</v>
      </c>
      <c r="Q39" s="283">
        <f t="shared" si="6"/>
        <v>0.11602251794220386</v>
      </c>
      <c r="R39" s="282">
        <v>4397690.6871599993</v>
      </c>
      <c r="S39" s="283">
        <f t="shared" si="7"/>
        <v>0.12504096352459482</v>
      </c>
      <c r="T39" s="282">
        <f t="shared" si="15"/>
        <v>4485644.5009031994</v>
      </c>
      <c r="U39" s="283">
        <f t="shared" si="8"/>
        <v>0.12754178279508671</v>
      </c>
      <c r="V39" s="816">
        <f t="shared" si="12"/>
        <v>87953.813743200153</v>
      </c>
      <c r="W39" s="817">
        <f t="shared" si="12"/>
        <v>2.5008192704918941E-3</v>
      </c>
      <c r="X39" s="282">
        <f t="shared" si="16"/>
        <v>4552929.1684167469</v>
      </c>
      <c r="Y39" s="284">
        <f t="shared" si="9"/>
        <v>0.12189904065372816</v>
      </c>
      <c r="Z39" s="282">
        <v>4602278.23037872</v>
      </c>
      <c r="AA39" s="283">
        <f t="shared" si="10"/>
        <v>0.11557705249569865</v>
      </c>
      <c r="AB39" s="282">
        <v>4702278.23037872</v>
      </c>
      <c r="AC39" s="283">
        <f t="shared" si="11"/>
        <v>0.11025271349070856</v>
      </c>
      <c r="AD39" s="84"/>
      <c r="AE39" s="84"/>
      <c r="AF39" s="56"/>
      <c r="AG39" s="56"/>
      <c r="AH39" s="56"/>
      <c r="AI39" s="56"/>
      <c r="AJ39" s="56"/>
      <c r="AK39" s="57"/>
      <c r="AL39" s="57"/>
      <c r="AM39" s="149"/>
      <c r="AN39" s="149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7"/>
      <c r="CO39" s="57"/>
      <c r="CP39" s="57"/>
      <c r="CQ39" s="57"/>
      <c r="CR39" s="57"/>
      <c r="CS39" s="57"/>
      <c r="CT39" s="57"/>
      <c r="CU39" s="57"/>
      <c r="CV39" s="57"/>
      <c r="CW39" s="57"/>
      <c r="CX39" s="57"/>
      <c r="CY39" s="57"/>
      <c r="CZ39" s="57"/>
      <c r="DA39" s="57"/>
      <c r="DB39" s="57"/>
      <c r="DC39" s="57"/>
      <c r="DD39" s="57"/>
      <c r="DE39" s="57"/>
      <c r="DF39" s="57"/>
      <c r="DG39" s="57"/>
      <c r="DH39" s="57"/>
      <c r="DI39" s="57"/>
      <c r="DJ39" s="57"/>
      <c r="DK39" s="57"/>
      <c r="DL39" s="57"/>
      <c r="DM39" s="58"/>
      <c r="DN39" s="58"/>
      <c r="DO39" s="58"/>
      <c r="DP39" s="57"/>
      <c r="DQ39" s="57"/>
      <c r="DR39" s="57"/>
      <c r="DS39" s="57"/>
      <c r="DT39" s="57"/>
      <c r="DU39" s="52"/>
      <c r="DV39" s="52"/>
      <c r="DW39" s="52"/>
      <c r="DX39" s="52"/>
      <c r="DY39" s="52"/>
      <c r="DZ39" s="52"/>
      <c r="EA39" s="52"/>
      <c r="EB39" s="52"/>
      <c r="EC39" s="52"/>
      <c r="ED39" s="52"/>
      <c r="EE39" s="52"/>
      <c r="EF39" s="52"/>
      <c r="EG39" s="52"/>
      <c r="EH39" s="52"/>
      <c r="EI39" s="52"/>
      <c r="EJ39" s="52"/>
    </row>
    <row r="40" spans="1:140" s="21" customFormat="1" ht="15" customHeight="1">
      <c r="A40" s="81"/>
      <c r="B40" s="81"/>
      <c r="C40" s="185" t="str">
        <f>IF(MasterSheet!$A$1=1,MasterSheet!C182,MasterSheet!B182)</f>
        <v>Ostale takse</v>
      </c>
      <c r="D40" s="186"/>
      <c r="E40" s="187">
        <f t="shared" si="0"/>
        <v>0</v>
      </c>
      <c r="F40" s="186"/>
      <c r="G40" s="187">
        <f t="shared" si="1"/>
        <v>0</v>
      </c>
      <c r="H40" s="186"/>
      <c r="I40" s="187">
        <f t="shared" si="2"/>
        <v>0</v>
      </c>
      <c r="J40" s="186">
        <v>296675.28000000003</v>
      </c>
      <c r="K40" s="187">
        <f t="shared" si="3"/>
        <v>9.9522066420664225E-3</v>
      </c>
      <c r="L40" s="186"/>
      <c r="M40" s="187">
        <f t="shared" si="4"/>
        <v>0</v>
      </c>
      <c r="N40" s="186">
        <v>247735.59</v>
      </c>
      <c r="O40" s="187">
        <f t="shared" si="5"/>
        <v>7.6603460111317251E-3</v>
      </c>
      <c r="P40" s="282">
        <v>247747.05000000002</v>
      </c>
      <c r="Q40" s="283">
        <f t="shared" si="6"/>
        <v>7.8674833280406482E-3</v>
      </c>
      <c r="R40" s="282">
        <v>119601.54329999999</v>
      </c>
      <c r="S40" s="283">
        <f t="shared" si="7"/>
        <v>3.4006694142735281E-3</v>
      </c>
      <c r="T40" s="282">
        <f t="shared" si="15"/>
        <v>121993.57416599999</v>
      </c>
      <c r="U40" s="283">
        <f t="shared" si="8"/>
        <v>3.4686828025589987E-3</v>
      </c>
      <c r="V40" s="816">
        <f t="shared" si="12"/>
        <v>2392.030866000001</v>
      </c>
      <c r="W40" s="817">
        <f t="shared" si="12"/>
        <v>6.8013388285470631E-5</v>
      </c>
      <c r="X40" s="282">
        <f t="shared" si="16"/>
        <v>123823.47777848998</v>
      </c>
      <c r="Y40" s="284">
        <f t="shared" si="9"/>
        <v>3.3152202885807225E-3</v>
      </c>
      <c r="Z40" s="282">
        <v>130604.8852836</v>
      </c>
      <c r="AA40" s="283">
        <f t="shared" si="10"/>
        <v>3.2798815992867909E-3</v>
      </c>
      <c r="AB40" s="282">
        <v>130604.8852836</v>
      </c>
      <c r="AC40" s="283">
        <f t="shared" si="11"/>
        <v>3.0622481895334116E-3</v>
      </c>
      <c r="AD40" s="84"/>
      <c r="AE40" s="84"/>
      <c r="AF40" s="56"/>
      <c r="AG40" s="56"/>
      <c r="AH40" s="56"/>
      <c r="AI40" s="56"/>
      <c r="AJ40" s="56"/>
      <c r="AK40" s="57"/>
      <c r="AL40" s="57"/>
      <c r="AM40" s="149"/>
      <c r="AN40" s="149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8"/>
      <c r="DN40" s="58"/>
      <c r="DO40" s="58"/>
      <c r="DP40" s="57"/>
      <c r="DQ40" s="57"/>
      <c r="DR40" s="57"/>
      <c r="DS40" s="57"/>
      <c r="DT40" s="57"/>
      <c r="DU40" s="52"/>
      <c r="DV40" s="52"/>
      <c r="DW40" s="52"/>
      <c r="DX40" s="52"/>
      <c r="DY40" s="52"/>
      <c r="DZ40" s="52"/>
      <c r="EA40" s="52"/>
      <c r="EB40" s="52"/>
      <c r="EC40" s="52"/>
      <c r="ED40" s="52"/>
      <c r="EE40" s="52"/>
      <c r="EF40" s="52"/>
      <c r="EG40" s="52"/>
      <c r="EH40" s="52"/>
      <c r="EI40" s="52"/>
      <c r="EJ40" s="52"/>
    </row>
    <row r="41" spans="1:140" s="21" customFormat="1" ht="15" customHeight="1">
      <c r="A41" s="81"/>
      <c r="B41" s="81"/>
      <c r="C41" s="189" t="str">
        <f>IF(MasterSheet!$A$1=1,MasterSheet!C183,MasterSheet!B183)</f>
        <v>Naknade</v>
      </c>
      <c r="D41" s="190">
        <f>SUM(D42:D50)</f>
        <v>40119518.649999999</v>
      </c>
      <c r="E41" s="191">
        <f t="shared" si="0"/>
        <v>1.8669793219786865</v>
      </c>
      <c r="F41" s="190">
        <f>SUM(F42:F50)</f>
        <v>99847783.489999995</v>
      </c>
      <c r="G41" s="191">
        <f t="shared" si="1"/>
        <v>3.7249686062301808</v>
      </c>
      <c r="H41" s="190">
        <f>SUM(H42:H50)</f>
        <v>127519578.22866684</v>
      </c>
      <c r="I41" s="191">
        <f t="shared" si="2"/>
        <v>4.1327319882248785</v>
      </c>
      <c r="J41" s="190">
        <f>SUM(J42:J50)</f>
        <v>77248621.400000006</v>
      </c>
      <c r="K41" s="191">
        <f t="shared" si="3"/>
        <v>2.5913660315330427</v>
      </c>
      <c r="L41" s="190">
        <v>74570000</v>
      </c>
      <c r="M41" s="191">
        <f t="shared" si="4"/>
        <v>2.4023840206185567</v>
      </c>
      <c r="N41" s="190">
        <f>SUM(N42:N50)</f>
        <v>46874546.219999984</v>
      </c>
      <c r="O41" s="191">
        <f t="shared" si="5"/>
        <v>1.4494293821892388</v>
      </c>
      <c r="P41" s="285">
        <f>SUM(P42:P50)</f>
        <v>61040850.5</v>
      </c>
      <c r="Q41" s="286">
        <f t="shared" si="6"/>
        <v>1.9384201492537314</v>
      </c>
      <c r="R41" s="285">
        <f>SUM(R42:R50)</f>
        <v>40298045.890259996</v>
      </c>
      <c r="S41" s="286">
        <f t="shared" si="7"/>
        <v>1.1458073895439294</v>
      </c>
      <c r="T41" s="285">
        <f>SUM(T42:T50)</f>
        <v>42462406.808065206</v>
      </c>
      <c r="U41" s="286">
        <f t="shared" si="8"/>
        <v>1.2073473644601993</v>
      </c>
      <c r="V41" s="818">
        <f t="shared" si="12"/>
        <v>2164360.9178052098</v>
      </c>
      <c r="W41" s="819">
        <f t="shared" si="12"/>
        <v>6.1539974916269946E-2</v>
      </c>
      <c r="X41" s="285">
        <f>SUM(X42:X50)</f>
        <v>45708703.638201319</v>
      </c>
      <c r="Y41" s="287">
        <f t="shared" si="9"/>
        <v>1.2237939394431412</v>
      </c>
      <c r="Z41" s="285">
        <f>SUM(Z42:Z50)</f>
        <v>46586366.434905216</v>
      </c>
      <c r="AA41" s="286">
        <f t="shared" si="10"/>
        <v>1.1699238180538729</v>
      </c>
      <c r="AB41" s="285">
        <f>SUM(AB42:AB50)</f>
        <v>48586366.434905216</v>
      </c>
      <c r="AC41" s="286">
        <f t="shared" si="11"/>
        <v>1.1391879586144249</v>
      </c>
      <c r="AD41" s="84"/>
      <c r="AE41" s="84"/>
      <c r="AF41" s="56"/>
      <c r="AG41" s="56"/>
      <c r="AH41" s="56"/>
      <c r="AI41" s="56"/>
      <c r="AJ41" s="56"/>
      <c r="AK41" s="57"/>
      <c r="AL41" s="57"/>
      <c r="AM41" s="149"/>
      <c r="AN41" s="149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  <c r="DC41" s="57"/>
      <c r="DD41" s="57"/>
      <c r="DE41" s="57"/>
      <c r="DF41" s="57"/>
      <c r="DG41" s="57"/>
      <c r="DH41" s="57"/>
      <c r="DI41" s="57"/>
      <c r="DJ41" s="57"/>
      <c r="DK41" s="57"/>
      <c r="DL41" s="57"/>
      <c r="DM41" s="58"/>
      <c r="DN41" s="58"/>
      <c r="DO41" s="58"/>
      <c r="DP41" s="57"/>
      <c r="DQ41" s="57"/>
      <c r="DR41" s="57"/>
      <c r="DS41" s="57"/>
      <c r="DT41" s="57"/>
      <c r="DU41" s="52"/>
      <c r="DV41" s="52"/>
      <c r="DW41" s="52"/>
      <c r="DX41" s="52"/>
      <c r="DY41" s="52"/>
      <c r="DZ41" s="52"/>
      <c r="EA41" s="52"/>
      <c r="EB41" s="52"/>
      <c r="EC41" s="52"/>
      <c r="ED41" s="52"/>
      <c r="EE41" s="52"/>
      <c r="EF41" s="52"/>
      <c r="EG41" s="52"/>
      <c r="EH41" s="52"/>
      <c r="EI41" s="52"/>
      <c r="EJ41" s="52"/>
    </row>
    <row r="42" spans="1:140" s="21" customFormat="1" ht="15" hidden="1" customHeight="1">
      <c r="A42" s="81"/>
      <c r="B42" s="81"/>
      <c r="C42" s="185" t="str">
        <f>IF(MasterSheet!$A$1=1,MasterSheet!C184,MasterSheet!B184)</f>
        <v>Naknade za korišćenje dobara od opšteg interesa</v>
      </c>
      <c r="D42" s="186">
        <v>2499957.5699999998</v>
      </c>
      <c r="E42" s="187">
        <f t="shared" si="0"/>
        <v>0.11633661733910373</v>
      </c>
      <c r="F42" s="186">
        <v>3939579.5</v>
      </c>
      <c r="G42" s="187">
        <f t="shared" si="1"/>
        <v>0.14697181495989556</v>
      </c>
      <c r="H42" s="192">
        <v>3794186.827142857</v>
      </c>
      <c r="I42" s="187">
        <f t="shared" si="2"/>
        <v>0.12296431252083409</v>
      </c>
      <c r="J42" s="186"/>
      <c r="K42" s="187">
        <f t="shared" si="3"/>
        <v>0</v>
      </c>
      <c r="L42" s="186"/>
      <c r="M42" s="187">
        <f t="shared" si="4"/>
        <v>0</v>
      </c>
      <c r="N42" s="186">
        <v>0</v>
      </c>
      <c r="O42" s="187">
        <f t="shared" si="5"/>
        <v>0</v>
      </c>
      <c r="P42" s="282"/>
      <c r="Q42" s="283">
        <f t="shared" si="6"/>
        <v>0</v>
      </c>
      <c r="R42" s="282"/>
      <c r="S42" s="283">
        <f t="shared" si="7"/>
        <v>0</v>
      </c>
      <c r="T42" s="282"/>
      <c r="U42" s="283">
        <f t="shared" si="8"/>
        <v>0</v>
      </c>
      <c r="V42" s="816">
        <f t="shared" si="12"/>
        <v>0</v>
      </c>
      <c r="W42" s="817">
        <f t="shared" si="12"/>
        <v>0</v>
      </c>
      <c r="X42" s="282"/>
      <c r="Y42" s="284">
        <f t="shared" si="9"/>
        <v>0</v>
      </c>
      <c r="Z42" s="282"/>
      <c r="AA42" s="283">
        <f t="shared" si="10"/>
        <v>0</v>
      </c>
      <c r="AB42" s="282"/>
      <c r="AC42" s="283">
        <f t="shared" si="11"/>
        <v>0</v>
      </c>
      <c r="AD42" s="84"/>
      <c r="AE42" s="84"/>
      <c r="AF42" s="56"/>
      <c r="AG42" s="56"/>
      <c r="AH42" s="56"/>
      <c r="AI42" s="56"/>
      <c r="AJ42" s="56"/>
      <c r="AK42" s="57"/>
      <c r="AL42" s="57"/>
      <c r="AM42" s="149"/>
      <c r="AN42" s="149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8"/>
      <c r="DN42" s="58"/>
      <c r="DO42" s="58"/>
      <c r="DP42" s="57"/>
      <c r="DQ42" s="57"/>
      <c r="DR42" s="57"/>
      <c r="DS42" s="57"/>
      <c r="DT42" s="57"/>
      <c r="DU42" s="52"/>
      <c r="DV42" s="52"/>
      <c r="DW42" s="52"/>
      <c r="DX42" s="52"/>
      <c r="DY42" s="52"/>
      <c r="DZ42" s="52"/>
      <c r="EA42" s="52"/>
      <c r="EB42" s="52"/>
      <c r="EC42" s="52"/>
      <c r="ED42" s="52"/>
      <c r="EE42" s="52"/>
      <c r="EF42" s="52"/>
      <c r="EG42" s="52"/>
      <c r="EH42" s="52"/>
      <c r="EI42" s="52"/>
      <c r="EJ42" s="52"/>
    </row>
    <row r="43" spans="1:140" s="21" customFormat="1" ht="15" customHeight="1">
      <c r="A43" s="81"/>
      <c r="B43" s="81"/>
      <c r="C43" s="185" t="str">
        <f>IF(MasterSheet!$A$1=1,MasterSheet!C185,MasterSheet!B185)</f>
        <v>Naknade za korišćenje prirodnih dobara</v>
      </c>
      <c r="D43" s="186"/>
      <c r="E43" s="187">
        <f t="shared" si="0"/>
        <v>0</v>
      </c>
      <c r="F43" s="186"/>
      <c r="G43" s="187">
        <f t="shared" si="1"/>
        <v>0</v>
      </c>
      <c r="H43" s="186"/>
      <c r="I43" s="187">
        <f t="shared" si="2"/>
        <v>0</v>
      </c>
      <c r="J43" s="186">
        <v>2033139.12</v>
      </c>
      <c r="K43" s="187">
        <f t="shared" si="3"/>
        <v>6.8203257967125133E-2</v>
      </c>
      <c r="L43" s="186"/>
      <c r="M43" s="187">
        <f t="shared" si="4"/>
        <v>0</v>
      </c>
      <c r="N43" s="186">
        <v>3376410.9499999997</v>
      </c>
      <c r="O43" s="187">
        <f t="shared" si="5"/>
        <v>0.1044035544217687</v>
      </c>
      <c r="P43" s="282">
        <v>4492097.82</v>
      </c>
      <c r="Q43" s="283">
        <f t="shared" si="6"/>
        <v>0.14265156621149572</v>
      </c>
      <c r="R43" s="282">
        <v>4839780.8272799999</v>
      </c>
      <c r="S43" s="283">
        <f t="shared" si="7"/>
        <v>0.13761105565197612</v>
      </c>
      <c r="T43" s="282">
        <f>+R43*1.02</f>
        <v>4936576.4438255997</v>
      </c>
      <c r="U43" s="283">
        <f t="shared" si="8"/>
        <v>0.14036327676501562</v>
      </c>
      <c r="V43" s="816">
        <f t="shared" si="12"/>
        <v>96795.616545599885</v>
      </c>
      <c r="W43" s="817">
        <f t="shared" si="12"/>
        <v>2.7522211130394936E-3</v>
      </c>
      <c r="X43" s="282">
        <f>+T43*1.02</f>
        <v>5035307.972702112</v>
      </c>
      <c r="Y43" s="284">
        <f t="shared" si="9"/>
        <v>0.13481413581531759</v>
      </c>
      <c r="Z43" s="282">
        <v>5234706.9427860482</v>
      </c>
      <c r="AA43" s="283">
        <f t="shared" si="10"/>
        <v>0.1314592401503277</v>
      </c>
      <c r="AB43" s="282">
        <v>5234706.9427860482</v>
      </c>
      <c r="AC43" s="283">
        <f t="shared" si="11"/>
        <v>0.1227363878730609</v>
      </c>
      <c r="AD43" s="84"/>
      <c r="AE43" s="84"/>
      <c r="AF43" s="56"/>
      <c r="AG43" s="56"/>
      <c r="AH43" s="56"/>
      <c r="AI43" s="56"/>
      <c r="AJ43" s="56"/>
      <c r="AK43" s="57"/>
      <c r="AL43" s="57"/>
      <c r="AM43" s="149"/>
      <c r="AN43" s="149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8"/>
      <c r="DN43" s="58"/>
      <c r="DO43" s="58"/>
      <c r="DP43" s="57"/>
      <c r="DQ43" s="57"/>
      <c r="DR43" s="57"/>
      <c r="DS43" s="57"/>
      <c r="DT43" s="57"/>
      <c r="DU43" s="52"/>
      <c r="DV43" s="52"/>
      <c r="DW43" s="52"/>
      <c r="DX43" s="52"/>
      <c r="DY43" s="52"/>
      <c r="DZ43" s="52"/>
      <c r="EA43" s="52"/>
      <c r="EB43" s="52"/>
      <c r="EC43" s="52"/>
      <c r="ED43" s="52"/>
      <c r="EE43" s="52"/>
      <c r="EF43" s="52"/>
      <c r="EG43" s="52"/>
      <c r="EH43" s="52"/>
      <c r="EI43" s="52"/>
      <c r="EJ43" s="52"/>
    </row>
    <row r="44" spans="1:140" s="21" customFormat="1" ht="15" customHeight="1">
      <c r="A44" s="81"/>
      <c r="B44" s="81"/>
      <c r="C44" s="185" t="str">
        <f>IF(MasterSheet!$A$1=1,MasterSheet!C186,MasterSheet!B186)</f>
        <v>Naknade za komunalno opremanje građevinskog zemljišta</v>
      </c>
      <c r="D44" s="186"/>
      <c r="E44" s="187">
        <f t="shared" si="0"/>
        <v>0</v>
      </c>
      <c r="F44" s="186"/>
      <c r="G44" s="187">
        <f t="shared" si="1"/>
        <v>0</v>
      </c>
      <c r="H44" s="186"/>
      <c r="I44" s="187">
        <f t="shared" si="2"/>
        <v>0</v>
      </c>
      <c r="J44" s="186"/>
      <c r="K44" s="187">
        <f t="shared" si="3"/>
        <v>0</v>
      </c>
      <c r="L44" s="186"/>
      <c r="M44" s="187">
        <f t="shared" si="4"/>
        <v>0</v>
      </c>
      <c r="N44" s="186">
        <v>34650886.039999984</v>
      </c>
      <c r="O44" s="187">
        <f t="shared" si="5"/>
        <v>1.0714559690785399</v>
      </c>
      <c r="P44" s="282">
        <v>49545886.130000003</v>
      </c>
      <c r="Q44" s="283">
        <f t="shared" si="6"/>
        <v>1.5733847611940299</v>
      </c>
      <c r="R44" s="282">
        <v>28080000</v>
      </c>
      <c r="S44" s="283">
        <f t="shared" si="7"/>
        <v>0.7984077338640887</v>
      </c>
      <c r="T44" s="282">
        <v>30000000</v>
      </c>
      <c r="U44" s="283">
        <f t="shared" si="8"/>
        <v>0.85299971566676136</v>
      </c>
      <c r="V44" s="816">
        <f t="shared" si="12"/>
        <v>1920000</v>
      </c>
      <c r="W44" s="817">
        <f t="shared" si="12"/>
        <v>5.4591981802672662E-2</v>
      </c>
      <c r="X44" s="282">
        <v>33000000</v>
      </c>
      <c r="Y44" s="284">
        <f t="shared" si="9"/>
        <v>0.88353413654618462</v>
      </c>
      <c r="Z44" s="282">
        <v>33371328</v>
      </c>
      <c r="AA44" s="283">
        <f t="shared" si="10"/>
        <v>0.83805444500251125</v>
      </c>
      <c r="AB44" s="282">
        <v>35371328</v>
      </c>
      <c r="AC44" s="283">
        <f t="shared" si="11"/>
        <v>0.82933946072684639</v>
      </c>
      <c r="AD44" s="84"/>
      <c r="AE44" s="84"/>
      <c r="AF44" s="56"/>
      <c r="AG44" s="56"/>
      <c r="AH44" s="56"/>
      <c r="AI44" s="56"/>
      <c r="AJ44" s="56"/>
      <c r="AK44" s="57"/>
      <c r="AL44" s="57"/>
      <c r="AM44" s="149"/>
      <c r="AN44" s="149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8"/>
      <c r="DN44" s="58"/>
      <c r="DO44" s="58"/>
      <c r="DP44" s="57"/>
      <c r="DQ44" s="57"/>
      <c r="DR44" s="57"/>
      <c r="DS44" s="57"/>
      <c r="DT44" s="57"/>
      <c r="DU44" s="52"/>
      <c r="DV44" s="52"/>
      <c r="DW44" s="52"/>
      <c r="DX44" s="52"/>
      <c r="DY44" s="52"/>
      <c r="DZ44" s="52"/>
      <c r="EA44" s="52"/>
      <c r="EB44" s="52"/>
      <c r="EC44" s="52"/>
      <c r="ED44" s="52"/>
      <c r="EE44" s="52"/>
      <c r="EF44" s="52"/>
      <c r="EG44" s="52"/>
      <c r="EH44" s="52"/>
      <c r="EI44" s="52"/>
      <c r="EJ44" s="52"/>
    </row>
    <row r="45" spans="1:140" s="21" customFormat="1" ht="15" hidden="1" customHeight="1">
      <c r="A45" s="81"/>
      <c r="B45" s="81"/>
      <c r="C45" s="185" t="str">
        <f>IF(MasterSheet!$A$1=1,MasterSheet!C187,MasterSheet!B187)</f>
        <v>Naknade za korišćenje građevinskog zemljišta</v>
      </c>
      <c r="D45" s="186">
        <v>7951809.7999999989</v>
      </c>
      <c r="E45" s="187">
        <f t="shared" si="0"/>
        <v>0.37004094187723946</v>
      </c>
      <c r="F45" s="186">
        <v>15654354.48</v>
      </c>
      <c r="G45" s="187">
        <f t="shared" si="1"/>
        <v>0.5840087476217124</v>
      </c>
      <c r="H45" s="186">
        <v>29004800</v>
      </c>
      <c r="I45" s="187">
        <f t="shared" si="2"/>
        <v>0.9400051853772361</v>
      </c>
      <c r="J45" s="186">
        <v>66702761.950000003</v>
      </c>
      <c r="K45" s="187">
        <f t="shared" si="3"/>
        <v>2.2375968450184502</v>
      </c>
      <c r="L45" s="186"/>
      <c r="M45" s="187">
        <f t="shared" si="4"/>
        <v>0</v>
      </c>
      <c r="N45" s="186"/>
      <c r="O45" s="187">
        <f t="shared" si="5"/>
        <v>0</v>
      </c>
      <c r="P45" s="282"/>
      <c r="Q45" s="283">
        <f t="shared" si="6"/>
        <v>0</v>
      </c>
      <c r="R45" s="282">
        <v>0</v>
      </c>
      <c r="S45" s="283">
        <f t="shared" si="7"/>
        <v>0</v>
      </c>
      <c r="T45" s="282">
        <v>0</v>
      </c>
      <c r="U45" s="283">
        <f t="shared" si="8"/>
        <v>0</v>
      </c>
      <c r="V45" s="816">
        <f t="shared" si="12"/>
        <v>0</v>
      </c>
      <c r="W45" s="817">
        <f t="shared" si="12"/>
        <v>0</v>
      </c>
      <c r="X45" s="282">
        <v>0</v>
      </c>
      <c r="Y45" s="284">
        <f t="shared" si="9"/>
        <v>0</v>
      </c>
      <c r="Z45" s="282">
        <v>0</v>
      </c>
      <c r="AA45" s="283">
        <f t="shared" si="10"/>
        <v>0</v>
      </c>
      <c r="AB45" s="282">
        <v>0</v>
      </c>
      <c r="AC45" s="283">
        <f t="shared" si="11"/>
        <v>0</v>
      </c>
      <c r="AD45" s="84"/>
      <c r="AE45" s="84"/>
      <c r="AF45" s="56"/>
      <c r="AG45" s="56"/>
      <c r="AH45" s="56"/>
      <c r="AI45" s="56"/>
      <c r="AJ45" s="56"/>
      <c r="AK45" s="57"/>
      <c r="AL45" s="57"/>
      <c r="AM45" s="63"/>
      <c r="AN45" s="63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E45" s="57"/>
      <c r="DF45" s="57"/>
      <c r="DG45" s="57"/>
      <c r="DH45" s="57"/>
      <c r="DI45" s="57"/>
      <c r="DJ45" s="57"/>
      <c r="DK45" s="57"/>
      <c r="DL45" s="57"/>
      <c r="DM45" s="59"/>
      <c r="DN45" s="59"/>
      <c r="DO45" s="58"/>
      <c r="DP45" s="57"/>
      <c r="DQ45" s="57"/>
      <c r="DR45" s="57"/>
      <c r="DS45" s="57"/>
      <c r="DT45" s="57"/>
      <c r="DU45" s="52"/>
      <c r="DV45" s="52"/>
      <c r="DW45" s="52"/>
      <c r="DX45" s="52"/>
      <c r="DY45" s="52"/>
      <c r="DZ45" s="52"/>
      <c r="EA45" s="52"/>
      <c r="EB45" s="52"/>
      <c r="EC45" s="52"/>
      <c r="ED45" s="52"/>
      <c r="EE45" s="52"/>
      <c r="EF45" s="52"/>
      <c r="EG45" s="52"/>
      <c r="EH45" s="52"/>
      <c r="EI45" s="52"/>
      <c r="EJ45" s="52"/>
    </row>
    <row r="46" spans="1:140" s="21" customFormat="1" ht="15" hidden="1" customHeight="1">
      <c r="A46" s="81"/>
      <c r="B46" s="81"/>
      <c r="C46" s="185" t="str">
        <f>IF(MasterSheet!$A$1=1,MasterSheet!C188,MasterSheet!B188)</f>
        <v>Ekološke naknade</v>
      </c>
      <c r="D46" s="186"/>
      <c r="E46" s="187">
        <f t="shared" si="0"/>
        <v>0</v>
      </c>
      <c r="F46" s="186"/>
      <c r="G46" s="187">
        <f t="shared" si="1"/>
        <v>0</v>
      </c>
      <c r="H46" s="186"/>
      <c r="I46" s="187">
        <f t="shared" si="2"/>
        <v>0</v>
      </c>
      <c r="J46" s="186"/>
      <c r="K46" s="187">
        <f t="shared" si="3"/>
        <v>0</v>
      </c>
      <c r="L46" s="186"/>
      <c r="M46" s="187">
        <f t="shared" si="4"/>
        <v>0</v>
      </c>
      <c r="N46" s="186"/>
      <c r="O46" s="187">
        <f t="shared" si="5"/>
        <v>0</v>
      </c>
      <c r="P46" s="282"/>
      <c r="Q46" s="283">
        <f t="shared" si="6"/>
        <v>0</v>
      </c>
      <c r="R46" s="282">
        <v>0</v>
      </c>
      <c r="S46" s="283">
        <f t="shared" si="7"/>
        <v>0</v>
      </c>
      <c r="T46" s="282">
        <v>0</v>
      </c>
      <c r="U46" s="283">
        <f t="shared" si="8"/>
        <v>0</v>
      </c>
      <c r="V46" s="816">
        <f t="shared" si="12"/>
        <v>0</v>
      </c>
      <c r="W46" s="817">
        <f t="shared" si="12"/>
        <v>0</v>
      </c>
      <c r="X46" s="282">
        <v>0</v>
      </c>
      <c r="Y46" s="284">
        <f t="shared" si="9"/>
        <v>0</v>
      </c>
      <c r="Z46" s="282">
        <v>0</v>
      </c>
      <c r="AA46" s="283">
        <f t="shared" si="10"/>
        <v>0</v>
      </c>
      <c r="AB46" s="282">
        <v>0</v>
      </c>
      <c r="AC46" s="283">
        <f t="shared" si="11"/>
        <v>0</v>
      </c>
      <c r="AD46" s="84"/>
      <c r="AE46" s="84"/>
      <c r="AF46" s="56"/>
      <c r="AG46" s="56"/>
      <c r="AH46" s="56"/>
      <c r="AI46" s="56"/>
      <c r="AJ46" s="56"/>
      <c r="AK46" s="57"/>
      <c r="AL46" s="57"/>
      <c r="AM46" s="149"/>
      <c r="AN46" s="149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  <c r="DA46" s="57"/>
      <c r="DB46" s="57"/>
      <c r="DC46" s="57"/>
      <c r="DD46" s="57"/>
      <c r="DE46" s="57"/>
      <c r="DF46" s="57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57"/>
      <c r="DU46" s="52"/>
      <c r="DV46" s="52"/>
      <c r="DW46" s="52"/>
      <c r="DX46" s="52"/>
      <c r="DY46" s="52"/>
      <c r="DZ46" s="52"/>
      <c r="EA46" s="52"/>
      <c r="EB46" s="52"/>
      <c r="EC46" s="52"/>
      <c r="ED46" s="52"/>
      <c r="EE46" s="52"/>
      <c r="EF46" s="52"/>
      <c r="EG46" s="52"/>
      <c r="EH46" s="52"/>
      <c r="EI46" s="52"/>
      <c r="EJ46" s="52"/>
    </row>
    <row r="47" spans="1:140" s="21" customFormat="1" ht="15" hidden="1" customHeight="1">
      <c r="A47" s="81"/>
      <c r="B47" s="81"/>
      <c r="C47" s="185" t="str">
        <f>IF(MasterSheet!$A$1=1,MasterSheet!C189,MasterSheet!B189)</f>
        <v>Naknade za priređivanje igara na sreću</v>
      </c>
      <c r="D47" s="186"/>
      <c r="E47" s="187">
        <f t="shared" si="0"/>
        <v>0</v>
      </c>
      <c r="F47" s="186"/>
      <c r="G47" s="187">
        <f t="shared" si="1"/>
        <v>0</v>
      </c>
      <c r="H47" s="186"/>
      <c r="I47" s="187">
        <f t="shared" si="2"/>
        <v>0</v>
      </c>
      <c r="J47" s="186"/>
      <c r="K47" s="187">
        <f t="shared" si="3"/>
        <v>0</v>
      </c>
      <c r="L47" s="186"/>
      <c r="M47" s="187">
        <f t="shared" si="4"/>
        <v>0</v>
      </c>
      <c r="N47" s="186"/>
      <c r="O47" s="187">
        <f t="shared" si="5"/>
        <v>0</v>
      </c>
      <c r="P47" s="282"/>
      <c r="Q47" s="283">
        <f t="shared" si="6"/>
        <v>0</v>
      </c>
      <c r="R47" s="282">
        <v>0</v>
      </c>
      <c r="S47" s="283">
        <f t="shared" si="7"/>
        <v>0</v>
      </c>
      <c r="T47" s="282">
        <v>0</v>
      </c>
      <c r="U47" s="283">
        <f t="shared" si="8"/>
        <v>0</v>
      </c>
      <c r="V47" s="816">
        <f t="shared" si="12"/>
        <v>0</v>
      </c>
      <c r="W47" s="817">
        <f t="shared" si="12"/>
        <v>0</v>
      </c>
      <c r="X47" s="282">
        <v>0</v>
      </c>
      <c r="Y47" s="284">
        <f t="shared" si="9"/>
        <v>0</v>
      </c>
      <c r="Z47" s="282">
        <v>0</v>
      </c>
      <c r="AA47" s="283">
        <f t="shared" si="10"/>
        <v>0</v>
      </c>
      <c r="AB47" s="282">
        <v>0</v>
      </c>
      <c r="AC47" s="283">
        <f t="shared" si="11"/>
        <v>0</v>
      </c>
      <c r="AD47" s="84"/>
      <c r="AE47" s="84"/>
      <c r="AF47" s="56"/>
      <c r="AG47" s="56"/>
      <c r="AH47" s="56"/>
      <c r="AI47" s="56"/>
      <c r="AJ47" s="56"/>
      <c r="AK47" s="57"/>
      <c r="AL47" s="57"/>
      <c r="AM47" s="149"/>
      <c r="AN47" s="149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57"/>
      <c r="DA47" s="57"/>
      <c r="DB47" s="57"/>
      <c r="DC47" s="57"/>
      <c r="DD47" s="57"/>
      <c r="DE47" s="57"/>
      <c r="DF47" s="57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57"/>
      <c r="DU47" s="52"/>
      <c r="DV47" s="52"/>
      <c r="DW47" s="52"/>
      <c r="DX47" s="52"/>
      <c r="DY47" s="52"/>
      <c r="DZ47" s="52"/>
      <c r="EA47" s="52"/>
      <c r="EB47" s="52"/>
      <c r="EC47" s="52"/>
      <c r="ED47" s="52"/>
      <c r="EE47" s="52"/>
      <c r="EF47" s="52"/>
      <c r="EG47" s="52"/>
      <c r="EH47" s="52"/>
      <c r="EI47" s="52"/>
      <c r="EJ47" s="52"/>
    </row>
    <row r="48" spans="1:140" s="21" customFormat="1" ht="15" customHeight="1">
      <c r="A48" s="81"/>
      <c r="B48" s="81"/>
      <c r="C48" s="185" t="str">
        <f>IF(MasterSheet!$A$1=1,MasterSheet!C190,MasterSheet!B190)</f>
        <v>Naknade za lokalne puteve</v>
      </c>
      <c r="D48" s="186">
        <v>3161456.88</v>
      </c>
      <c r="E48" s="187">
        <f t="shared" si="0"/>
        <v>0.14711977662990366</v>
      </c>
      <c r="F48" s="186">
        <v>4842365.18</v>
      </c>
      <c r="G48" s="187">
        <f t="shared" si="1"/>
        <v>0.18065156426039916</v>
      </c>
      <c r="H48" s="186">
        <v>6135762.9146752004</v>
      </c>
      <c r="I48" s="187">
        <f t="shared" si="2"/>
        <v>0.19885153340274825</v>
      </c>
      <c r="J48" s="192">
        <v>6749085.1299999999</v>
      </c>
      <c r="K48" s="187">
        <f t="shared" si="3"/>
        <v>0.22640339248574301</v>
      </c>
      <c r="L48" s="186"/>
      <c r="M48" s="187">
        <f t="shared" si="4"/>
        <v>0</v>
      </c>
      <c r="N48" s="186">
        <v>2924398.53</v>
      </c>
      <c r="O48" s="187">
        <f t="shared" si="5"/>
        <v>9.0426670686456392E-2</v>
      </c>
      <c r="P48" s="282">
        <v>2629995.87</v>
      </c>
      <c r="Q48" s="283">
        <f t="shared" si="6"/>
        <v>8.3518446173388369E-2</v>
      </c>
      <c r="R48" s="282">
        <v>3833332.3035000004</v>
      </c>
      <c r="S48" s="283">
        <f t="shared" si="7"/>
        <v>0.1089943788313904</v>
      </c>
      <c r="T48" s="282">
        <f>+R48*1.02</f>
        <v>3909998.9495700006</v>
      </c>
      <c r="U48" s="283">
        <f t="shared" si="8"/>
        <v>0.11117426640801821</v>
      </c>
      <c r="V48" s="816">
        <f t="shared" si="12"/>
        <v>76666.64607000025</v>
      </c>
      <c r="W48" s="817">
        <f t="shared" si="12"/>
        <v>2.1798875766278064E-3</v>
      </c>
      <c r="X48" s="282">
        <v>3986665.5956400004</v>
      </c>
      <c r="Y48" s="284">
        <f t="shared" si="9"/>
        <v>0.10673803468915664</v>
      </c>
      <c r="Z48" s="282">
        <v>4146132.2194656008</v>
      </c>
      <c r="AA48" s="283">
        <f t="shared" si="10"/>
        <v>0.10412185382886995</v>
      </c>
      <c r="AB48" s="282">
        <v>4146132.2194656008</v>
      </c>
      <c r="AC48" s="283">
        <f t="shared" si="11"/>
        <v>9.7212947701420888E-2</v>
      </c>
      <c r="AD48" s="84"/>
      <c r="AE48" s="84"/>
      <c r="AF48" s="56"/>
      <c r="AG48" s="56"/>
      <c r="AH48" s="56"/>
      <c r="AI48" s="56"/>
      <c r="AJ48" s="56"/>
      <c r="AK48" s="57"/>
      <c r="AL48" s="57"/>
      <c r="AM48" s="149"/>
      <c r="AN48" s="149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E48" s="57"/>
      <c r="DF48" s="57"/>
      <c r="DG48" s="57"/>
      <c r="DH48" s="57"/>
      <c r="DI48" s="57"/>
      <c r="DJ48" s="57"/>
      <c r="DK48" s="57"/>
      <c r="DL48" s="57"/>
      <c r="DM48" s="60"/>
      <c r="DN48" s="60"/>
      <c r="DO48" s="60"/>
      <c r="DP48" s="60"/>
      <c r="DQ48" s="60"/>
      <c r="DR48" s="154"/>
      <c r="DS48" s="57"/>
      <c r="DT48" s="57"/>
      <c r="DU48" s="52"/>
      <c r="DV48" s="52"/>
      <c r="DW48" s="52"/>
      <c r="DX48" s="52"/>
      <c r="DY48" s="52"/>
      <c r="DZ48" s="52"/>
      <c r="EA48" s="52"/>
      <c r="EB48" s="52"/>
      <c r="EC48" s="52"/>
      <c r="ED48" s="52"/>
      <c r="EE48" s="52"/>
      <c r="EF48" s="52"/>
      <c r="EG48" s="52"/>
      <c r="EH48" s="52"/>
      <c r="EI48" s="52"/>
      <c r="EJ48" s="52"/>
    </row>
    <row r="49" spans="1:140" s="21" customFormat="1" ht="15" hidden="1" customHeight="1">
      <c r="A49" s="81"/>
      <c r="B49" s="81"/>
      <c r="C49" s="185" t="str">
        <f>IF(MasterSheet!$A$1=1,MasterSheet!C191,MasterSheet!B191)</f>
        <v>Naknada za puteve</v>
      </c>
      <c r="D49" s="186"/>
      <c r="E49" s="187">
        <f t="shared" si="0"/>
        <v>0</v>
      </c>
      <c r="F49" s="186"/>
      <c r="G49" s="187">
        <f t="shared" si="1"/>
        <v>0</v>
      </c>
      <c r="H49" s="186"/>
      <c r="I49" s="187">
        <f t="shared" si="2"/>
        <v>0</v>
      </c>
      <c r="J49" s="186"/>
      <c r="K49" s="187">
        <f t="shared" si="3"/>
        <v>0</v>
      </c>
      <c r="L49" s="186"/>
      <c r="M49" s="187">
        <f t="shared" si="4"/>
        <v>0</v>
      </c>
      <c r="N49" s="186"/>
      <c r="O49" s="187">
        <f t="shared" si="5"/>
        <v>0</v>
      </c>
      <c r="P49" s="282"/>
      <c r="Q49" s="283">
        <f t="shared" si="6"/>
        <v>0</v>
      </c>
      <c r="R49" s="282">
        <v>0</v>
      </c>
      <c r="S49" s="283">
        <f t="shared" si="7"/>
        <v>0</v>
      </c>
      <c r="T49" s="282">
        <v>0</v>
      </c>
      <c r="U49" s="283">
        <f t="shared" si="8"/>
        <v>0</v>
      </c>
      <c r="V49" s="816">
        <f t="shared" si="12"/>
        <v>0</v>
      </c>
      <c r="W49" s="817">
        <f t="shared" si="12"/>
        <v>0</v>
      </c>
      <c r="X49" s="282">
        <v>0</v>
      </c>
      <c r="Y49" s="284">
        <f t="shared" si="9"/>
        <v>0</v>
      </c>
      <c r="Z49" s="282">
        <v>0</v>
      </c>
      <c r="AA49" s="283">
        <f t="shared" si="10"/>
        <v>0</v>
      </c>
      <c r="AB49" s="282">
        <v>0</v>
      </c>
      <c r="AC49" s="283">
        <f t="shared" si="11"/>
        <v>0</v>
      </c>
      <c r="AD49" s="84"/>
      <c r="AE49" s="84"/>
      <c r="AF49" s="56"/>
      <c r="AG49" s="56"/>
      <c r="AH49" s="56"/>
      <c r="AI49" s="56"/>
      <c r="AJ49" s="56"/>
      <c r="AK49" s="57"/>
      <c r="AL49" s="57"/>
      <c r="AM49" s="149"/>
      <c r="AN49" s="149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57"/>
      <c r="CB49" s="57"/>
      <c r="CC49" s="57"/>
      <c r="CD49" s="57"/>
      <c r="CE49" s="57"/>
      <c r="CF49" s="57"/>
      <c r="CG49" s="57"/>
      <c r="CH49" s="57"/>
      <c r="CI49" s="57"/>
      <c r="CJ49" s="57"/>
      <c r="CK49" s="57"/>
      <c r="CL49" s="57"/>
      <c r="CM49" s="57"/>
      <c r="CN49" s="57"/>
      <c r="CO49" s="57"/>
      <c r="CP49" s="57"/>
      <c r="CQ49" s="57"/>
      <c r="CR49" s="57"/>
      <c r="CS49" s="57"/>
      <c r="CT49" s="57"/>
      <c r="CU49" s="57"/>
      <c r="CV49" s="57"/>
      <c r="CW49" s="57"/>
      <c r="CX49" s="57"/>
      <c r="CY49" s="57"/>
      <c r="CZ49" s="57"/>
      <c r="DA49" s="57"/>
      <c r="DB49" s="57"/>
      <c r="DC49" s="57"/>
      <c r="DD49" s="57"/>
      <c r="DE49" s="57"/>
      <c r="DF49" s="57"/>
      <c r="DG49" s="57"/>
      <c r="DH49" s="57"/>
      <c r="DI49" s="57"/>
      <c r="DJ49" s="57"/>
      <c r="DK49" s="57"/>
      <c r="DL49" s="57"/>
      <c r="DM49" s="60"/>
      <c r="DN49" s="60"/>
      <c r="DO49" s="61"/>
      <c r="DP49" s="61"/>
      <c r="DQ49" s="62"/>
      <c r="DR49" s="154"/>
      <c r="DS49" s="57"/>
      <c r="DT49" s="57"/>
      <c r="DU49" s="52"/>
      <c r="DV49" s="52"/>
      <c r="DW49" s="52"/>
      <c r="DX49" s="52"/>
      <c r="DY49" s="52"/>
      <c r="DZ49" s="52"/>
      <c r="EA49" s="52"/>
      <c r="EB49" s="52"/>
      <c r="EC49" s="52"/>
      <c r="ED49" s="52"/>
      <c r="EE49" s="52"/>
      <c r="EF49" s="52"/>
      <c r="EG49" s="52"/>
      <c r="EH49" s="52"/>
      <c r="EI49" s="52"/>
      <c r="EJ49" s="52"/>
    </row>
    <row r="50" spans="1:140" s="21" customFormat="1" ht="15" customHeight="1">
      <c r="A50" s="81"/>
      <c r="B50" s="81"/>
      <c r="C50" s="185" t="str">
        <f>IF(MasterSheet!$A$1=1,MasterSheet!C192,MasterSheet!B192)</f>
        <v>Ostale naknade</v>
      </c>
      <c r="D50" s="186">
        <v>26506294.399999999</v>
      </c>
      <c r="E50" s="187">
        <f t="shared" si="0"/>
        <v>1.2334819861324398</v>
      </c>
      <c r="F50" s="186">
        <v>75411484.329999998</v>
      </c>
      <c r="G50" s="187">
        <f t="shared" si="1"/>
        <v>2.8133364793881741</v>
      </c>
      <c r="H50" s="186">
        <v>88584828.486848786</v>
      </c>
      <c r="I50" s="187">
        <f t="shared" si="2"/>
        <v>2.8709109569240594</v>
      </c>
      <c r="J50" s="186">
        <v>1763635.2</v>
      </c>
      <c r="K50" s="187">
        <f t="shared" si="3"/>
        <v>5.9162536061724245E-2</v>
      </c>
      <c r="L50" s="186"/>
      <c r="M50" s="187">
        <f t="shared" si="4"/>
        <v>0</v>
      </c>
      <c r="N50" s="186">
        <v>5922850.6999999993</v>
      </c>
      <c r="O50" s="187">
        <f t="shared" si="5"/>
        <v>0.1831431880024737</v>
      </c>
      <c r="P50" s="282">
        <v>4372870.68</v>
      </c>
      <c r="Q50" s="283">
        <f t="shared" si="6"/>
        <v>0.13886537567481741</v>
      </c>
      <c r="R50" s="282">
        <v>3544932.7594800009</v>
      </c>
      <c r="S50" s="283">
        <f t="shared" si="7"/>
        <v>0.1007942211964743</v>
      </c>
      <c r="T50" s="282">
        <f>+R50*1.02</f>
        <v>3615831.4146696012</v>
      </c>
      <c r="U50" s="283">
        <f t="shared" si="8"/>
        <v>0.1028101056204038</v>
      </c>
      <c r="V50" s="816">
        <f t="shared" si="12"/>
        <v>70898.655189600307</v>
      </c>
      <c r="W50" s="817">
        <f t="shared" si="12"/>
        <v>2.0158844239294982E-3</v>
      </c>
      <c r="X50" s="282">
        <v>3686730.0698592011</v>
      </c>
      <c r="Y50" s="284">
        <f t="shared" si="9"/>
        <v>9.8707632392481967E-2</v>
      </c>
      <c r="Z50" s="282">
        <v>3834199.2726535695</v>
      </c>
      <c r="AA50" s="283">
        <f t="shared" si="10"/>
        <v>9.6288279072163974E-2</v>
      </c>
      <c r="AB50" s="282">
        <v>3834199.2726535695</v>
      </c>
      <c r="AC50" s="283">
        <f t="shared" si="11"/>
        <v>8.9899162313096595E-2</v>
      </c>
      <c r="AD50" s="84"/>
      <c r="AE50" s="84"/>
      <c r="AF50" s="56"/>
      <c r="AG50" s="56"/>
      <c r="AH50" s="56"/>
      <c r="AI50" s="56"/>
      <c r="AJ50" s="56"/>
      <c r="AK50" s="57"/>
      <c r="AL50" s="57"/>
      <c r="AM50" s="63"/>
      <c r="AN50" s="63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57"/>
      <c r="CM50" s="57"/>
      <c r="CN50" s="57"/>
      <c r="CO50" s="57"/>
      <c r="CP50" s="57"/>
      <c r="CQ50" s="57"/>
      <c r="CR50" s="57"/>
      <c r="CS50" s="57"/>
      <c r="CT50" s="57"/>
      <c r="CU50" s="57"/>
      <c r="CV50" s="57"/>
      <c r="CW50" s="57"/>
      <c r="CX50" s="57"/>
      <c r="CY50" s="57"/>
      <c r="CZ50" s="57"/>
      <c r="DA50" s="57"/>
      <c r="DB50" s="57"/>
      <c r="DC50" s="57"/>
      <c r="DD50" s="57"/>
      <c r="DE50" s="57"/>
      <c r="DF50" s="57"/>
      <c r="DG50" s="57"/>
      <c r="DH50" s="57"/>
      <c r="DI50" s="57"/>
      <c r="DJ50" s="57"/>
      <c r="DK50" s="57"/>
      <c r="DL50" s="57"/>
      <c r="DM50" s="57"/>
      <c r="DN50" s="57"/>
      <c r="DO50" s="22"/>
      <c r="DP50" s="22"/>
      <c r="DQ50" s="22"/>
      <c r="DR50" s="154"/>
      <c r="DS50" s="57"/>
      <c r="DT50" s="57"/>
      <c r="DU50" s="52"/>
      <c r="DV50" s="52"/>
      <c r="DW50" s="52"/>
      <c r="DX50" s="52"/>
      <c r="DY50" s="52"/>
      <c r="DZ50" s="52"/>
      <c r="EA50" s="52"/>
      <c r="EB50" s="52"/>
      <c r="EC50" s="52"/>
      <c r="ED50" s="52"/>
      <c r="EE50" s="52"/>
      <c r="EF50" s="52"/>
      <c r="EG50" s="52"/>
      <c r="EH50" s="52"/>
      <c r="EI50" s="52"/>
      <c r="EJ50" s="52"/>
    </row>
    <row r="51" spans="1:140" s="21" customFormat="1" ht="15" customHeight="1">
      <c r="A51" s="81"/>
      <c r="B51" s="81"/>
      <c r="C51" s="189" t="str">
        <f>IF(MasterSheet!$A$1=1,MasterSheet!C193,MasterSheet!B193)</f>
        <v>Ostali prihodi</v>
      </c>
      <c r="D51" s="190">
        <f>SUM(D52:D55)</f>
        <v>7447067.6299999999</v>
      </c>
      <c r="E51" s="191">
        <f t="shared" si="0"/>
        <v>0.34655254455768064</v>
      </c>
      <c r="F51" s="190">
        <f>SUM(F52:F55)</f>
        <v>12464344.530000001</v>
      </c>
      <c r="G51" s="191">
        <f t="shared" si="1"/>
        <v>0.46500072859541131</v>
      </c>
      <c r="H51" s="190">
        <f>SUM(H52:H55)</f>
        <v>21801086.859999999</v>
      </c>
      <c r="I51" s="191">
        <f t="shared" si="2"/>
        <v>0.70654287205081667</v>
      </c>
      <c r="J51" s="190">
        <f>SUM(J52:J55)</f>
        <v>16720160.26</v>
      </c>
      <c r="K51" s="191">
        <f t="shared" si="3"/>
        <v>0.56089098490439449</v>
      </c>
      <c r="L51" s="190">
        <v>12230000</v>
      </c>
      <c r="M51" s="191">
        <f t="shared" si="4"/>
        <v>0.39400773195876293</v>
      </c>
      <c r="N51" s="190">
        <f>SUM(N52:N55)</f>
        <v>12633856.32</v>
      </c>
      <c r="O51" s="191">
        <f t="shared" si="5"/>
        <v>0.39065727643784787</v>
      </c>
      <c r="P51" s="285">
        <f>SUM(P52:P55)</f>
        <v>13803716.02</v>
      </c>
      <c r="Q51" s="286">
        <f t="shared" si="6"/>
        <v>0.43835236646554465</v>
      </c>
      <c r="R51" s="285">
        <f>SUM(R52:R55)</f>
        <v>12647392.644059999</v>
      </c>
      <c r="S51" s="286">
        <f t="shared" si="7"/>
        <v>0.35960741097696897</v>
      </c>
      <c r="T51" s="285">
        <f>SUM(T52:T55)</f>
        <v>12900340.4969412</v>
      </c>
      <c r="U51" s="286">
        <f t="shared" si="8"/>
        <v>0.36679955919650836</v>
      </c>
      <c r="V51" s="818">
        <f t="shared" si="12"/>
        <v>252947.85288120061</v>
      </c>
      <c r="W51" s="819">
        <f t="shared" si="12"/>
        <v>7.192148219539396E-3</v>
      </c>
      <c r="X51" s="285">
        <f>SUM(X52:X55)</f>
        <v>13153288.349822398</v>
      </c>
      <c r="Y51" s="287">
        <f t="shared" si="9"/>
        <v>0.35216300802737349</v>
      </c>
      <c r="Z51" s="285">
        <f>SUM(Z52:Z55)</f>
        <v>13362120.55856796</v>
      </c>
      <c r="AA51" s="286">
        <f t="shared" si="10"/>
        <v>0.33556304767875339</v>
      </c>
      <c r="AB51" s="285">
        <f>SUM(AB52:AB55)</f>
        <v>13482120.558567956</v>
      </c>
      <c r="AC51" s="286">
        <f t="shared" si="11"/>
        <v>0.31611068132632958</v>
      </c>
      <c r="AD51" s="84"/>
      <c r="AE51" s="84"/>
      <c r="AF51" s="56"/>
      <c r="AG51" s="56"/>
      <c r="AH51" s="56"/>
      <c r="AI51" s="56"/>
      <c r="AJ51" s="56"/>
      <c r="AK51" s="57"/>
      <c r="AL51" s="57"/>
      <c r="AM51" s="63"/>
      <c r="AN51" s="63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7"/>
      <c r="CN51" s="57"/>
      <c r="CO51" s="57"/>
      <c r="CP51" s="57"/>
      <c r="CQ51" s="57"/>
      <c r="CR51" s="57"/>
      <c r="CS51" s="57"/>
      <c r="CT51" s="57"/>
      <c r="CU51" s="57"/>
      <c r="CV51" s="57"/>
      <c r="CW51" s="57"/>
      <c r="CX51" s="57"/>
      <c r="CY51" s="57"/>
      <c r="CZ51" s="57"/>
      <c r="DA51" s="57"/>
      <c r="DB51" s="57"/>
      <c r="DC51" s="57"/>
      <c r="DD51" s="57"/>
      <c r="DE51" s="57"/>
      <c r="DF51" s="57"/>
      <c r="DG51" s="57"/>
      <c r="DH51" s="57"/>
      <c r="DI51" s="57"/>
      <c r="DJ51" s="57"/>
      <c r="DK51" s="57"/>
      <c r="DL51" s="57"/>
      <c r="DM51" s="57"/>
      <c r="DN51" s="57"/>
      <c r="DO51" s="22"/>
      <c r="DP51" s="22"/>
      <c r="DQ51" s="22"/>
      <c r="DR51" s="154"/>
      <c r="DS51" s="57"/>
      <c r="DT51" s="57"/>
      <c r="DU51" s="52"/>
      <c r="DV51" s="52"/>
      <c r="DW51" s="52"/>
      <c r="DX51" s="52"/>
      <c r="DY51" s="52"/>
      <c r="DZ51" s="52"/>
      <c r="EA51" s="52"/>
      <c r="EB51" s="52"/>
      <c r="EC51" s="52"/>
      <c r="ED51" s="52"/>
      <c r="EE51" s="52"/>
      <c r="EF51" s="52"/>
      <c r="EG51" s="52"/>
      <c r="EH51" s="52"/>
      <c r="EI51" s="52"/>
      <c r="EJ51" s="52"/>
    </row>
    <row r="52" spans="1:140" s="21" customFormat="1" ht="15" customHeight="1">
      <c r="A52" s="81"/>
      <c r="B52" s="81"/>
      <c r="C52" s="185" t="str">
        <f>IF(MasterSheet!$A$1=1,MasterSheet!C194,MasterSheet!B194)</f>
        <v>Prihodi od kapitala</v>
      </c>
      <c r="D52" s="186"/>
      <c r="E52" s="187">
        <f t="shared" si="0"/>
        <v>0</v>
      </c>
      <c r="F52" s="186"/>
      <c r="G52" s="187">
        <f t="shared" si="1"/>
        <v>0</v>
      </c>
      <c r="H52" s="186"/>
      <c r="I52" s="187">
        <f t="shared" si="2"/>
        <v>0</v>
      </c>
      <c r="J52" s="186"/>
      <c r="K52" s="187">
        <f t="shared" si="3"/>
        <v>0</v>
      </c>
      <c r="L52" s="186"/>
      <c r="M52" s="187">
        <f t="shared" si="4"/>
        <v>0</v>
      </c>
      <c r="N52" s="186">
        <v>227956.88</v>
      </c>
      <c r="O52" s="187">
        <f t="shared" si="5"/>
        <v>7.0487594310451457E-3</v>
      </c>
      <c r="P52" s="282">
        <v>284541.62999999995</v>
      </c>
      <c r="Q52" s="283">
        <f t="shared" si="6"/>
        <v>9.0359361702127654E-3</v>
      </c>
      <c r="R52" s="282">
        <v>206630.40150000001</v>
      </c>
      <c r="S52" s="283">
        <f t="shared" si="7"/>
        <v>5.875189124253625E-3</v>
      </c>
      <c r="T52" s="282">
        <f>+R52*1.02</f>
        <v>210763.00953000001</v>
      </c>
      <c r="U52" s="283">
        <f t="shared" si="8"/>
        <v>5.992692906738698E-3</v>
      </c>
      <c r="V52" s="816">
        <f t="shared" si="12"/>
        <v>4132.6080300000031</v>
      </c>
      <c r="W52" s="817">
        <f t="shared" si="12"/>
        <v>1.1750378248507297E-4</v>
      </c>
      <c r="X52" s="282">
        <v>214895.61756000001</v>
      </c>
      <c r="Y52" s="284">
        <f t="shared" si="9"/>
        <v>5.7535640578313257E-3</v>
      </c>
      <c r="Z52" s="282">
        <v>210268.00799899999</v>
      </c>
      <c r="AA52" s="283">
        <f t="shared" si="10"/>
        <v>5.2804622802360614E-3</v>
      </c>
      <c r="AB52" s="282">
        <v>220268.00799899999</v>
      </c>
      <c r="AC52" s="283">
        <f t="shared" si="11"/>
        <v>5.1645488393669402E-3</v>
      </c>
      <c r="AD52" s="84"/>
      <c r="AE52" s="84"/>
      <c r="AF52" s="56"/>
      <c r="AG52" s="56"/>
      <c r="AH52" s="56"/>
      <c r="AI52" s="56"/>
      <c r="AJ52" s="56"/>
      <c r="AK52" s="57"/>
      <c r="AL52" s="57"/>
      <c r="AM52" s="6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/>
      <c r="CK52" s="57"/>
      <c r="CL52" s="57"/>
      <c r="CM52" s="57"/>
      <c r="CN52" s="57"/>
      <c r="CO52" s="57"/>
      <c r="CP52" s="57"/>
      <c r="CQ52" s="57"/>
      <c r="CR52" s="57"/>
      <c r="CS52" s="57"/>
      <c r="CT52" s="57"/>
      <c r="CU52" s="57"/>
      <c r="CV52" s="57"/>
      <c r="CW52" s="57"/>
      <c r="CX52" s="57"/>
      <c r="CY52" s="57"/>
      <c r="CZ52" s="57"/>
      <c r="DA52" s="57"/>
      <c r="DB52" s="57"/>
      <c r="DC52" s="57"/>
      <c r="DD52" s="57"/>
      <c r="DE52" s="57"/>
      <c r="DF52" s="57"/>
      <c r="DG52" s="57"/>
      <c r="DH52" s="57"/>
      <c r="DI52" s="57"/>
      <c r="DJ52" s="57"/>
      <c r="DK52" s="57"/>
      <c r="DL52" s="55"/>
      <c r="DM52" s="55"/>
      <c r="DN52" s="55"/>
      <c r="DO52" s="22"/>
      <c r="DP52" s="22"/>
      <c r="DQ52" s="22"/>
      <c r="DR52" s="154"/>
      <c r="DS52" s="57"/>
      <c r="DT52" s="57"/>
      <c r="DU52" s="52"/>
      <c r="DV52" s="52"/>
      <c r="DW52" s="52"/>
      <c r="DX52" s="52"/>
      <c r="DY52" s="52"/>
      <c r="DZ52" s="52"/>
      <c r="EA52" s="52"/>
      <c r="EB52" s="52"/>
      <c r="EC52" s="52"/>
      <c r="ED52" s="52"/>
      <c r="EE52" s="52"/>
      <c r="EF52" s="52"/>
      <c r="EG52" s="52"/>
      <c r="EH52" s="52"/>
      <c r="EI52" s="52"/>
      <c r="EJ52" s="52"/>
    </row>
    <row r="53" spans="1:140" s="21" customFormat="1" ht="15" customHeight="1">
      <c r="A53" s="81"/>
      <c r="B53" s="81"/>
      <c r="C53" s="185" t="str">
        <f>IF(MasterSheet!$A$1=1,MasterSheet!C195,MasterSheet!B195)</f>
        <v>Novčane kazne i oduzete imovinske koristi</v>
      </c>
      <c r="D53" s="186">
        <v>281254.96999999997</v>
      </c>
      <c r="E53" s="187">
        <f t="shared" si="0"/>
        <v>1.3088322862860066E-2</v>
      </c>
      <c r="F53" s="186">
        <v>1554080.11</v>
      </c>
      <c r="G53" s="187">
        <f t="shared" si="1"/>
        <v>5.7977247155381467E-2</v>
      </c>
      <c r="H53" s="186">
        <v>695871.25</v>
      </c>
      <c r="I53" s="187">
        <f t="shared" si="2"/>
        <v>2.2552218369198858E-2</v>
      </c>
      <c r="J53" s="186">
        <v>392915.63</v>
      </c>
      <c r="K53" s="187">
        <f t="shared" si="3"/>
        <v>1.3180665213015768E-2</v>
      </c>
      <c r="L53" s="186"/>
      <c r="M53" s="187">
        <f t="shared" si="4"/>
        <v>0</v>
      </c>
      <c r="N53" s="186">
        <v>404453.77</v>
      </c>
      <c r="O53" s="187">
        <f t="shared" si="5"/>
        <v>1.2506300865800865E-2</v>
      </c>
      <c r="P53" s="282">
        <v>346643.42</v>
      </c>
      <c r="Q53" s="283">
        <f t="shared" si="6"/>
        <v>1.1008047634169578E-2</v>
      </c>
      <c r="R53" s="282">
        <v>341090.47656000004</v>
      </c>
      <c r="S53" s="283">
        <f t="shared" si="7"/>
        <v>9.6983359840773394E-3</v>
      </c>
      <c r="T53" s="282">
        <f t="shared" ref="T53:T55" si="17">+R53*1.02</f>
        <v>347912.28609120002</v>
      </c>
      <c r="U53" s="283">
        <f t="shared" si="8"/>
        <v>9.8923027037588866E-3</v>
      </c>
      <c r="V53" s="816">
        <f t="shared" si="12"/>
        <v>6821.8095311999787</v>
      </c>
      <c r="W53" s="817">
        <f t="shared" si="12"/>
        <v>1.9396671968154727E-4</v>
      </c>
      <c r="X53" s="282">
        <v>354734.09562240005</v>
      </c>
      <c r="Y53" s="284">
        <f t="shared" si="9"/>
        <v>9.497566147855423E-3</v>
      </c>
      <c r="Z53" s="282">
        <v>363602.44801296003</v>
      </c>
      <c r="AA53" s="283">
        <f t="shared" si="10"/>
        <v>9.1311513815409348E-3</v>
      </c>
      <c r="AB53" s="282">
        <v>363602.44801296003</v>
      </c>
      <c r="AC53" s="283">
        <f t="shared" si="11"/>
        <v>8.5252625559896836E-3</v>
      </c>
      <c r="AD53" s="84"/>
      <c r="AE53" s="84"/>
      <c r="AF53" s="56"/>
      <c r="AG53" s="56"/>
      <c r="AH53" s="56"/>
      <c r="AI53" s="56"/>
      <c r="AJ53" s="56"/>
      <c r="AK53" s="57"/>
      <c r="AL53" s="57"/>
      <c r="AM53" s="6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57"/>
      <c r="CM53" s="57"/>
      <c r="CN53" s="57"/>
      <c r="CO53" s="57"/>
      <c r="CP53" s="57"/>
      <c r="CQ53" s="57"/>
      <c r="CR53" s="57"/>
      <c r="CS53" s="57"/>
      <c r="CT53" s="57"/>
      <c r="CU53" s="57"/>
      <c r="CV53" s="57"/>
      <c r="CW53" s="57"/>
      <c r="CX53" s="57"/>
      <c r="CY53" s="57"/>
      <c r="CZ53" s="57"/>
      <c r="DA53" s="57"/>
      <c r="DB53" s="57"/>
      <c r="DC53" s="57"/>
      <c r="DD53" s="57"/>
      <c r="DE53" s="57"/>
      <c r="DF53" s="57"/>
      <c r="DG53" s="57"/>
      <c r="DH53" s="57"/>
      <c r="DI53" s="57"/>
      <c r="DJ53" s="57"/>
      <c r="DK53" s="57"/>
      <c r="DL53" s="55"/>
      <c r="DM53" s="55"/>
      <c r="DN53" s="55"/>
      <c r="DO53" s="22"/>
      <c r="DP53" s="22"/>
      <c r="DQ53" s="22"/>
      <c r="DR53" s="154"/>
      <c r="DS53" s="57"/>
      <c r="DT53" s="57"/>
      <c r="DU53" s="52"/>
      <c r="DV53" s="52"/>
      <c r="DW53" s="52"/>
      <c r="DX53" s="52"/>
      <c r="DY53" s="52"/>
      <c r="DZ53" s="52"/>
      <c r="EA53" s="52"/>
      <c r="EB53" s="52"/>
      <c r="EC53" s="52"/>
      <c r="ED53" s="52"/>
      <c r="EE53" s="52"/>
      <c r="EF53" s="52"/>
      <c r="EG53" s="52"/>
      <c r="EH53" s="52"/>
      <c r="EI53" s="52"/>
      <c r="EJ53" s="52"/>
    </row>
    <row r="54" spans="1:140" s="21" customFormat="1" ht="15" customHeight="1">
      <c r="A54" s="81"/>
      <c r="B54" s="81"/>
      <c r="C54" s="185" t="str">
        <f>IF(MasterSheet!$A$1=1,MasterSheet!C196,MasterSheet!B196)</f>
        <v>Prihodi koje organi ostvaruju vršenjem svoje djelatnosti</v>
      </c>
      <c r="D54" s="186">
        <v>3468097.74</v>
      </c>
      <c r="E54" s="187">
        <f t="shared" si="0"/>
        <v>0.16138944297082228</v>
      </c>
      <c r="F54" s="186">
        <v>4793050.37</v>
      </c>
      <c r="G54" s="187">
        <f t="shared" si="1"/>
        <v>0.17881180264875957</v>
      </c>
      <c r="H54" s="186">
        <v>11158000.25</v>
      </c>
      <c r="I54" s="187">
        <f t="shared" si="2"/>
        <v>0.36161525311122639</v>
      </c>
      <c r="J54" s="186">
        <v>4234645.05</v>
      </c>
      <c r="K54" s="187">
        <f t="shared" si="3"/>
        <v>0.14205451358604496</v>
      </c>
      <c r="L54" s="186"/>
      <c r="M54" s="187">
        <f t="shared" si="4"/>
        <v>0</v>
      </c>
      <c r="N54" s="186">
        <v>4757313.25</v>
      </c>
      <c r="O54" s="187">
        <f t="shared" si="5"/>
        <v>0.14710306895485467</v>
      </c>
      <c r="P54" s="282">
        <v>4971901.540000001</v>
      </c>
      <c r="Q54" s="283">
        <f t="shared" si="6"/>
        <v>0.15788826738647191</v>
      </c>
      <c r="R54" s="282">
        <v>3776144.4806400002</v>
      </c>
      <c r="S54" s="283">
        <f t="shared" si="7"/>
        <v>0.1073683389434177</v>
      </c>
      <c r="T54" s="282">
        <f t="shared" si="17"/>
        <v>3851667.3702528002</v>
      </c>
      <c r="U54" s="283">
        <f t="shared" si="8"/>
        <v>0.10951570572228604</v>
      </c>
      <c r="V54" s="816">
        <f t="shared" si="12"/>
        <v>75522.889612799976</v>
      </c>
      <c r="W54" s="817">
        <f t="shared" si="12"/>
        <v>2.1473667788683426E-3</v>
      </c>
      <c r="X54" s="282">
        <v>3927190.2598656002</v>
      </c>
      <c r="Y54" s="284">
        <f t="shared" si="9"/>
        <v>0.10514565622130122</v>
      </c>
      <c r="Z54" s="282">
        <v>4015370.0163622401</v>
      </c>
      <c r="AA54" s="283">
        <f t="shared" si="10"/>
        <v>0.10083802150583224</v>
      </c>
      <c r="AB54" s="282">
        <v>4025370.0163622396</v>
      </c>
      <c r="AC54" s="283">
        <f t="shared" si="11"/>
        <v>9.4381477523147461E-2</v>
      </c>
      <c r="AD54" s="81"/>
      <c r="AE54" s="81"/>
      <c r="AF54" s="52"/>
      <c r="AG54" s="52"/>
      <c r="AH54" s="52"/>
      <c r="AI54" s="52"/>
      <c r="AJ54" s="52"/>
      <c r="AK54" s="55"/>
      <c r="AL54" s="57"/>
      <c r="AM54" s="63"/>
      <c r="AN54" s="63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  <c r="CP54" s="57"/>
      <c r="CQ54" s="57"/>
      <c r="CR54" s="57"/>
      <c r="CS54" s="57"/>
      <c r="CT54" s="57"/>
      <c r="CU54" s="57"/>
      <c r="CV54" s="57"/>
      <c r="CW54" s="57"/>
      <c r="CX54" s="57"/>
      <c r="CY54" s="57"/>
      <c r="CZ54" s="57"/>
      <c r="DA54" s="57"/>
      <c r="DB54" s="57"/>
      <c r="DC54" s="57"/>
      <c r="DD54" s="57"/>
      <c r="DE54" s="57"/>
      <c r="DF54" s="57"/>
      <c r="DG54" s="57"/>
      <c r="DH54" s="57"/>
      <c r="DI54" s="57"/>
      <c r="DJ54" s="57"/>
      <c r="DK54" s="57"/>
      <c r="DL54" s="57"/>
      <c r="DM54" s="57"/>
      <c r="DN54" s="57"/>
      <c r="DO54" s="22"/>
      <c r="DP54" s="22"/>
      <c r="DQ54" s="22"/>
      <c r="DR54" s="154"/>
      <c r="DS54" s="57"/>
      <c r="DT54" s="57"/>
      <c r="DU54" s="52"/>
      <c r="DV54" s="52"/>
      <c r="DW54" s="52"/>
      <c r="DX54" s="52"/>
      <c r="DY54" s="52"/>
      <c r="DZ54" s="52"/>
      <c r="EA54" s="52"/>
      <c r="EB54" s="52"/>
      <c r="EC54" s="52"/>
      <c r="ED54" s="52"/>
      <c r="EE54" s="52"/>
      <c r="EF54" s="52"/>
      <c r="EG54" s="52"/>
      <c r="EH54" s="52"/>
      <c r="EI54" s="52"/>
      <c r="EJ54" s="52"/>
    </row>
    <row r="55" spans="1:140" s="21" customFormat="1" ht="15" customHeight="1" thickBot="1">
      <c r="A55" s="81"/>
      <c r="B55" s="81"/>
      <c r="C55" s="185" t="str">
        <f>IF(MasterSheet!$A$1=1,MasterSheet!C197,MasterSheet!B197)</f>
        <v>Ostali prihodi</v>
      </c>
      <c r="D55" s="186">
        <v>3697714.92</v>
      </c>
      <c r="E55" s="187">
        <f t="shared" si="0"/>
        <v>0.17207477872399832</v>
      </c>
      <c r="F55" s="186">
        <v>6117214.0500000007</v>
      </c>
      <c r="G55" s="187">
        <f t="shared" si="1"/>
        <v>0.22821167879127033</v>
      </c>
      <c r="H55" s="186">
        <v>9947215.3599999994</v>
      </c>
      <c r="I55" s="187">
        <f t="shared" si="2"/>
        <v>0.32237540057039149</v>
      </c>
      <c r="J55" s="186">
        <v>12092599.58</v>
      </c>
      <c r="K55" s="187">
        <f t="shared" si="3"/>
        <v>0.4056558061053338</v>
      </c>
      <c r="L55" s="186"/>
      <c r="M55" s="187">
        <f t="shared" si="4"/>
        <v>0</v>
      </c>
      <c r="N55" s="186">
        <v>7244132.419999999</v>
      </c>
      <c r="O55" s="187">
        <f t="shared" si="5"/>
        <v>0.22399914718614716</v>
      </c>
      <c r="P55" s="282">
        <v>8200629.4299999997</v>
      </c>
      <c r="Q55" s="283">
        <f t="shared" si="6"/>
        <v>0.26042011527469039</v>
      </c>
      <c r="R55" s="282">
        <v>8323527.2853599992</v>
      </c>
      <c r="S55" s="283">
        <f t="shared" si="7"/>
        <v>0.23666554692522035</v>
      </c>
      <c r="T55" s="282">
        <f t="shared" si="17"/>
        <v>8489997.8310671989</v>
      </c>
      <c r="U55" s="283">
        <f t="shared" si="8"/>
        <v>0.24139885786372473</v>
      </c>
      <c r="V55" s="816">
        <f t="shared" si="12"/>
        <v>166470.54570719972</v>
      </c>
      <c r="W55" s="817">
        <f t="shared" si="12"/>
        <v>4.7333109385043759E-3</v>
      </c>
      <c r="X55" s="282">
        <v>8656468.3767743986</v>
      </c>
      <c r="Y55" s="284">
        <f t="shared" si="9"/>
        <v>0.23176622160038549</v>
      </c>
      <c r="Z55" s="282">
        <v>8772880.0861937609</v>
      </c>
      <c r="AA55" s="283">
        <f t="shared" si="10"/>
        <v>0.2203134125111442</v>
      </c>
      <c r="AB55" s="282">
        <v>8872880.0861937571</v>
      </c>
      <c r="AC55" s="283">
        <f t="shared" si="11"/>
        <v>0.20803939240782549</v>
      </c>
      <c r="AD55" s="84"/>
      <c r="AE55" s="84"/>
      <c r="AF55" s="56"/>
      <c r="AG55" s="56"/>
      <c r="AH55" s="56"/>
      <c r="AI55" s="56"/>
      <c r="AJ55" s="56"/>
      <c r="AK55" s="55"/>
      <c r="AL55" s="57"/>
      <c r="AM55" s="155"/>
      <c r="AN55" s="155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7"/>
      <c r="CK55" s="57"/>
      <c r="CL55" s="57"/>
      <c r="CM55" s="57"/>
      <c r="CN55" s="57"/>
      <c r="CO55" s="57"/>
      <c r="CP55" s="57"/>
      <c r="CQ55" s="57"/>
      <c r="CR55" s="57"/>
      <c r="CS55" s="57"/>
      <c r="CT55" s="57"/>
      <c r="CU55" s="57"/>
      <c r="CV55" s="57"/>
      <c r="CW55" s="57"/>
      <c r="CX55" s="57"/>
      <c r="CY55" s="57"/>
      <c r="CZ55" s="57"/>
      <c r="DA55" s="57"/>
      <c r="DB55" s="57"/>
      <c r="DC55" s="57"/>
      <c r="DD55" s="57"/>
      <c r="DE55" s="57"/>
      <c r="DF55" s="57"/>
      <c r="DG55" s="57"/>
      <c r="DH55" s="57"/>
      <c r="DI55" s="57"/>
      <c r="DJ55" s="57"/>
      <c r="DK55" s="57"/>
      <c r="DL55" s="57"/>
      <c r="DM55" s="64"/>
      <c r="DN55" s="64"/>
      <c r="DO55" s="65"/>
      <c r="DP55" s="65"/>
      <c r="DQ55" s="65"/>
      <c r="DR55" s="154"/>
      <c r="DS55" s="57"/>
      <c r="DT55" s="57"/>
      <c r="DU55" s="52"/>
      <c r="DV55" s="52"/>
      <c r="DW55" s="52"/>
      <c r="DX55" s="52"/>
      <c r="DY55" s="52"/>
      <c r="DZ55" s="52"/>
      <c r="EA55" s="52"/>
      <c r="EB55" s="52"/>
      <c r="EC55" s="52"/>
      <c r="ED55" s="52"/>
      <c r="EE55" s="52"/>
      <c r="EF55" s="52"/>
      <c r="EG55" s="52"/>
      <c r="EH55" s="52"/>
      <c r="EI55" s="52"/>
      <c r="EJ55" s="52"/>
    </row>
    <row r="56" spans="1:140" s="21" customFormat="1" ht="15" hidden="1" customHeight="1" thickBot="1">
      <c r="A56" s="81"/>
      <c r="B56" s="81"/>
      <c r="C56" s="189" t="str">
        <f>IF(MasterSheet!$A$1=1,MasterSheet!C198,MasterSheet!B198)</f>
        <v>Primici od otplate kredita i sredstva prenijeta iz prethodne godine</v>
      </c>
      <c r="D56" s="190">
        <v>2780504.02</v>
      </c>
      <c r="E56" s="191">
        <f t="shared" si="0"/>
        <v>0.12939196891432825</v>
      </c>
      <c r="F56" s="190">
        <v>12570110.34</v>
      </c>
      <c r="G56" s="191">
        <f t="shared" si="1"/>
        <v>0.46894647789591498</v>
      </c>
      <c r="H56" s="190"/>
      <c r="I56" s="191">
        <f t="shared" si="2"/>
        <v>0</v>
      </c>
      <c r="J56" s="190"/>
      <c r="K56" s="191">
        <f t="shared" si="3"/>
        <v>0</v>
      </c>
      <c r="L56" s="190"/>
      <c r="M56" s="191">
        <f t="shared" si="4"/>
        <v>0</v>
      </c>
      <c r="N56" s="190"/>
      <c r="O56" s="191">
        <f t="shared" si="5"/>
        <v>0</v>
      </c>
      <c r="P56" s="285"/>
      <c r="Q56" s="286">
        <f t="shared" si="6"/>
        <v>0</v>
      </c>
      <c r="R56" s="285">
        <v>0</v>
      </c>
      <c r="S56" s="286">
        <f t="shared" si="7"/>
        <v>0</v>
      </c>
      <c r="T56" s="285">
        <v>0</v>
      </c>
      <c r="U56" s="286">
        <f t="shared" si="8"/>
        <v>0</v>
      </c>
      <c r="V56" s="818">
        <f t="shared" ref="V56:W105" si="18">+T56-R56</f>
        <v>0</v>
      </c>
      <c r="W56" s="819">
        <f t="shared" si="18"/>
        <v>0</v>
      </c>
      <c r="X56" s="285">
        <v>0</v>
      </c>
      <c r="Y56" s="287">
        <f t="shared" si="9"/>
        <v>0</v>
      </c>
      <c r="Z56" s="285"/>
      <c r="AA56" s="286">
        <f t="shared" si="10"/>
        <v>0</v>
      </c>
      <c r="AB56" s="285"/>
      <c r="AC56" s="286">
        <f t="shared" si="11"/>
        <v>0</v>
      </c>
      <c r="AD56" s="84"/>
      <c r="AE56" s="84"/>
      <c r="AF56" s="56"/>
      <c r="AG56" s="56"/>
      <c r="AH56" s="56"/>
      <c r="AI56" s="56"/>
      <c r="AJ56" s="56"/>
      <c r="AK56" s="55"/>
      <c r="AL56" s="57"/>
      <c r="AM56" s="156"/>
      <c r="AN56" s="156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/>
      <c r="CK56" s="57"/>
      <c r="CL56" s="57"/>
      <c r="CM56" s="57"/>
      <c r="CN56" s="57"/>
      <c r="CO56" s="57"/>
      <c r="CP56" s="57"/>
      <c r="CQ56" s="57"/>
      <c r="CR56" s="57"/>
      <c r="CS56" s="57"/>
      <c r="CT56" s="57"/>
      <c r="CU56" s="57"/>
      <c r="CV56" s="57"/>
      <c r="CW56" s="57"/>
      <c r="CX56" s="57"/>
      <c r="CY56" s="57"/>
      <c r="CZ56" s="57"/>
      <c r="DA56" s="57"/>
      <c r="DB56" s="57"/>
      <c r="DC56" s="57"/>
      <c r="DD56" s="57"/>
      <c r="DE56" s="57"/>
      <c r="DF56" s="57"/>
      <c r="DG56" s="57"/>
      <c r="DH56" s="57"/>
      <c r="DI56" s="57"/>
      <c r="DJ56" s="57"/>
      <c r="DK56" s="57"/>
      <c r="DL56" s="57"/>
      <c r="DM56" s="57"/>
      <c r="DN56" s="57"/>
      <c r="DO56" s="57"/>
      <c r="DP56" s="57"/>
      <c r="DQ56" s="57"/>
      <c r="DR56" s="57"/>
      <c r="DS56" s="57"/>
      <c r="DT56" s="57"/>
      <c r="DU56" s="52"/>
      <c r="DV56" s="52"/>
      <c r="DW56" s="52"/>
      <c r="DX56" s="52"/>
      <c r="DY56" s="52"/>
      <c r="DZ56" s="52"/>
      <c r="EA56" s="52"/>
      <c r="EB56" s="52"/>
      <c r="EC56" s="52"/>
      <c r="ED56" s="52"/>
      <c r="EE56" s="52"/>
      <c r="EF56" s="52"/>
      <c r="EG56" s="52"/>
      <c r="EH56" s="52"/>
      <c r="EI56" s="52"/>
      <c r="EJ56" s="52"/>
    </row>
    <row r="57" spans="1:140" s="21" customFormat="1" ht="15" hidden="1" customHeight="1" thickTop="1" thickBot="1">
      <c r="A57" s="81"/>
      <c r="B57" s="81"/>
      <c r="C57" s="143" t="str">
        <f>IF(MasterSheet!$A$1=1,MasterSheet!C199,MasterSheet!B199)</f>
        <v>Donacije</v>
      </c>
      <c r="D57" s="141">
        <v>0</v>
      </c>
      <c r="E57" s="142">
        <f t="shared" si="0"/>
        <v>0</v>
      </c>
      <c r="F57" s="141">
        <v>0</v>
      </c>
      <c r="G57" s="142">
        <f t="shared" si="1"/>
        <v>0</v>
      </c>
      <c r="H57" s="141">
        <v>0</v>
      </c>
      <c r="I57" s="142">
        <f t="shared" si="2"/>
        <v>0</v>
      </c>
      <c r="J57" s="141">
        <v>0</v>
      </c>
      <c r="K57" s="142">
        <f t="shared" si="3"/>
        <v>0</v>
      </c>
      <c r="L57" s="141">
        <v>0</v>
      </c>
      <c r="M57" s="142">
        <f t="shared" si="4"/>
        <v>0</v>
      </c>
      <c r="N57" s="563">
        <v>0</v>
      </c>
      <c r="O57" s="564">
        <f t="shared" si="5"/>
        <v>0</v>
      </c>
      <c r="P57" s="288"/>
      <c r="Q57" s="289">
        <f t="shared" si="6"/>
        <v>0</v>
      </c>
      <c r="R57" s="288"/>
      <c r="S57" s="289">
        <f t="shared" si="7"/>
        <v>0</v>
      </c>
      <c r="T57" s="288"/>
      <c r="U57" s="289">
        <f t="shared" si="8"/>
        <v>0</v>
      </c>
      <c r="V57" s="820">
        <f t="shared" si="18"/>
        <v>0</v>
      </c>
      <c r="W57" s="813">
        <f t="shared" si="18"/>
        <v>0</v>
      </c>
      <c r="X57" s="288"/>
      <c r="Y57" s="290">
        <f t="shared" si="9"/>
        <v>0</v>
      </c>
      <c r="Z57" s="288"/>
      <c r="AA57" s="289">
        <f t="shared" si="10"/>
        <v>0</v>
      </c>
      <c r="AB57" s="288"/>
      <c r="AC57" s="289">
        <f t="shared" si="11"/>
        <v>0</v>
      </c>
      <c r="AD57" s="84"/>
      <c r="AE57" s="84"/>
      <c r="AF57" s="56"/>
      <c r="AG57" s="56"/>
      <c r="AH57" s="56"/>
      <c r="AI57" s="56"/>
      <c r="AJ57" s="56"/>
      <c r="AK57" s="55"/>
      <c r="AL57" s="57"/>
      <c r="AM57" s="156"/>
      <c r="AN57" s="156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57"/>
      <c r="BY57" s="57"/>
      <c r="BZ57" s="57"/>
      <c r="CA57" s="57"/>
      <c r="CB57" s="57"/>
      <c r="CC57" s="57"/>
      <c r="CD57" s="57"/>
      <c r="CE57" s="57"/>
      <c r="CF57" s="57"/>
      <c r="CG57" s="57"/>
      <c r="CH57" s="57"/>
      <c r="CI57" s="57"/>
      <c r="CJ57" s="57"/>
      <c r="CK57" s="57"/>
      <c r="CL57" s="57"/>
      <c r="CM57" s="57"/>
      <c r="CN57" s="57"/>
      <c r="CO57" s="57"/>
      <c r="CP57" s="57"/>
      <c r="CQ57" s="57"/>
      <c r="CR57" s="57"/>
      <c r="CS57" s="57"/>
      <c r="CT57" s="57"/>
      <c r="CU57" s="57"/>
      <c r="CV57" s="57"/>
      <c r="CW57" s="57"/>
      <c r="CX57" s="57"/>
      <c r="CY57" s="57"/>
      <c r="CZ57" s="57"/>
      <c r="DA57" s="57"/>
      <c r="DB57" s="57"/>
      <c r="DC57" s="57"/>
      <c r="DD57" s="57"/>
      <c r="DE57" s="57"/>
      <c r="DF57" s="57"/>
      <c r="DG57" s="57"/>
      <c r="DH57" s="57"/>
      <c r="DI57" s="57"/>
      <c r="DJ57" s="57"/>
      <c r="DK57" s="57"/>
      <c r="DL57" s="57"/>
      <c r="DM57" s="57"/>
      <c r="DN57" s="57"/>
      <c r="DO57" s="57"/>
      <c r="DP57" s="22"/>
      <c r="DQ57" s="57"/>
      <c r="DR57" s="57"/>
      <c r="DS57" s="57"/>
      <c r="DT57" s="57"/>
      <c r="DU57" s="52"/>
      <c r="DV57" s="52"/>
      <c r="DW57" s="52"/>
      <c r="DX57" s="52"/>
      <c r="DY57" s="52"/>
      <c r="DZ57" s="52"/>
      <c r="EA57" s="52"/>
      <c r="EB57" s="52"/>
      <c r="EC57" s="52"/>
      <c r="ED57" s="52"/>
      <c r="EE57" s="52"/>
      <c r="EF57" s="52"/>
      <c r="EG57" s="52"/>
      <c r="EH57" s="52"/>
      <c r="EI57" s="52"/>
      <c r="EJ57" s="52"/>
    </row>
    <row r="58" spans="1:140" s="21" customFormat="1" ht="15" customHeight="1" thickTop="1" thickBot="1">
      <c r="A58" s="81"/>
      <c r="B58" s="81"/>
      <c r="C58" s="176" t="str">
        <f>IF(MasterSheet!$A$1=1,MasterSheet!C200,MasterSheet!B200)</f>
        <v>Izdaci</v>
      </c>
      <c r="D58" s="177">
        <f>+D60+D74+D80+D86+D87+D88+D89++D91+D90</f>
        <v>122152514.3198</v>
      </c>
      <c r="E58" s="170">
        <f t="shared" ref="E58:S58" si="19">+E60+E74+E80+E86+E87+E88+E89++E91+E90</f>
        <v>5.6844206021592445</v>
      </c>
      <c r="F58" s="177">
        <f t="shared" si="19"/>
        <v>210021333.29000002</v>
      </c>
      <c r="G58" s="170">
        <f t="shared" si="19"/>
        <v>7.835155131132252</v>
      </c>
      <c r="H58" s="177">
        <f t="shared" si="19"/>
        <v>286758914.61149997</v>
      </c>
      <c r="I58" s="170">
        <f t="shared" si="19"/>
        <v>9.2934571756384479</v>
      </c>
      <c r="J58" s="177">
        <f t="shared" si="19"/>
        <v>222677512.22999999</v>
      </c>
      <c r="K58" s="170">
        <f t="shared" si="19"/>
        <v>7.4698930637370022</v>
      </c>
      <c r="L58" s="177">
        <f t="shared" si="19"/>
        <v>213712969.94999999</v>
      </c>
      <c r="M58" s="170">
        <f t="shared" si="19"/>
        <v>6.8850827947809279</v>
      </c>
      <c r="N58" s="177">
        <f>+N60+N74+N80+N86+N87+N88+N89+N91+N90</f>
        <v>143503088.81999999</v>
      </c>
      <c r="O58" s="170">
        <f t="shared" si="19"/>
        <v>4.4373249480519474</v>
      </c>
      <c r="P58" s="177">
        <f>+P60+P74+P80+P86+P87+P88+P89+P91+P90</f>
        <v>149031925.75000003</v>
      </c>
      <c r="Q58" s="277">
        <f t="shared" si="19"/>
        <v>4.7326746824388692</v>
      </c>
      <c r="R58" s="177">
        <f>+R60+R74+R80+R86+R87+R88+R89+R91+R90</f>
        <v>118898705.62599</v>
      </c>
      <c r="S58" s="277">
        <f t="shared" si="19"/>
        <v>3.3806854030705149</v>
      </c>
      <c r="T58" s="177">
        <f>+T60+T74+T80+T86+T87+T88+T89+T91+T90</f>
        <v>122676679.73850982</v>
      </c>
      <c r="U58" s="277">
        <f t="shared" ref="U58" si="20">+U60+U74+U80+U86+U87+U88+U89++U91+U90</f>
        <v>3.4881057645297071</v>
      </c>
      <c r="V58" s="821">
        <f t="shared" si="18"/>
        <v>3777974.1125198156</v>
      </c>
      <c r="W58" s="813">
        <f t="shared" si="18"/>
        <v>0.1074203614591922</v>
      </c>
      <c r="X58" s="177">
        <f t="shared" ref="X58:AB58" si="21">+X60+X74+X80+X86+X87+X88+X89++X91+X90</f>
        <v>130303249.901878</v>
      </c>
      <c r="Y58" s="278">
        <f t="shared" si="21"/>
        <v>3.4887081633702279</v>
      </c>
      <c r="Z58" s="177">
        <f t="shared" si="21"/>
        <v>135799728.98840228</v>
      </c>
      <c r="AA58" s="277">
        <f t="shared" si="21"/>
        <v>3.4103397536012627</v>
      </c>
      <c r="AB58" s="177">
        <f t="shared" si="21"/>
        <v>139680595.92517212</v>
      </c>
      <c r="AC58" s="277">
        <f t="shared" si="11"/>
        <v>3.2750432807777758</v>
      </c>
      <c r="AD58" s="84"/>
      <c r="AE58" s="84"/>
      <c r="AF58" s="56"/>
      <c r="AG58" s="56"/>
      <c r="AH58" s="56"/>
      <c r="AI58" s="56"/>
      <c r="AJ58" s="56"/>
      <c r="AK58" s="55"/>
      <c r="AL58" s="57"/>
      <c r="AM58" s="156"/>
      <c r="AN58" s="156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57"/>
      <c r="BY58" s="57"/>
      <c r="BZ58" s="57"/>
      <c r="CA58" s="57"/>
      <c r="CB58" s="57"/>
      <c r="CC58" s="57"/>
      <c r="CD58" s="57"/>
      <c r="CE58" s="57"/>
      <c r="CF58" s="57"/>
      <c r="CG58" s="57"/>
      <c r="CH58" s="57"/>
      <c r="CI58" s="57"/>
      <c r="CJ58" s="57"/>
      <c r="CK58" s="57"/>
      <c r="CL58" s="57"/>
      <c r="CM58" s="57"/>
      <c r="CN58" s="57"/>
      <c r="CO58" s="57"/>
      <c r="CP58" s="57"/>
      <c r="CQ58" s="57"/>
      <c r="CR58" s="57"/>
      <c r="CS58" s="57"/>
      <c r="CT58" s="57"/>
      <c r="CU58" s="57"/>
      <c r="CV58" s="57"/>
      <c r="CW58" s="57"/>
      <c r="CX58" s="57"/>
      <c r="CY58" s="57"/>
      <c r="CZ58" s="57"/>
      <c r="DA58" s="57"/>
      <c r="DB58" s="57"/>
      <c r="DC58" s="57"/>
      <c r="DD58" s="57"/>
      <c r="DE58" s="57"/>
      <c r="DF58" s="57"/>
      <c r="DG58" s="57"/>
      <c r="DH58" s="57"/>
      <c r="DI58" s="57"/>
      <c r="DJ58" s="57"/>
      <c r="DK58" s="57"/>
      <c r="DL58" s="57"/>
      <c r="DM58" s="57"/>
      <c r="DN58" s="57"/>
      <c r="DO58" s="57"/>
      <c r="DP58" s="57"/>
      <c r="DQ58" s="57"/>
      <c r="DR58" s="57"/>
      <c r="DS58" s="57"/>
      <c r="DT58" s="57"/>
      <c r="DU58" s="52"/>
      <c r="DV58" s="52"/>
      <c r="DW58" s="52"/>
      <c r="DX58" s="52"/>
      <c r="DY58" s="52"/>
      <c r="DZ58" s="52"/>
      <c r="EA58" s="52"/>
      <c r="EB58" s="52"/>
      <c r="EC58" s="52"/>
      <c r="ED58" s="52"/>
      <c r="EE58" s="52"/>
      <c r="EF58" s="52"/>
      <c r="EG58" s="52"/>
      <c r="EH58" s="52"/>
      <c r="EI58" s="52"/>
      <c r="EJ58" s="52"/>
    </row>
    <row r="59" spans="1:140" s="21" customFormat="1" ht="15" customHeight="1" thickTop="1" thickBot="1">
      <c r="A59" s="81"/>
      <c r="B59" s="81"/>
      <c r="C59" s="178" t="str">
        <f>IF(MasterSheet!$A$1=1,MasterSheet!C201,MasterSheet!B201)</f>
        <v>Tekuća potrošnja lokalne samouprave</v>
      </c>
      <c r="D59" s="179">
        <f>+D58-D86</f>
        <v>65241030.659800008</v>
      </c>
      <c r="E59" s="170">
        <f t="shared" si="0"/>
        <v>3.0360198548001307</v>
      </c>
      <c r="F59" s="179">
        <f>+F58-F86</f>
        <v>105218682.56000002</v>
      </c>
      <c r="G59" s="170">
        <f t="shared" si="1"/>
        <v>3.9253379056146245</v>
      </c>
      <c r="H59" s="179">
        <f>+H58-H86</f>
        <v>124407867.63150001</v>
      </c>
      <c r="I59" s="170">
        <f t="shared" si="2"/>
        <v>4.0318857801238011</v>
      </c>
      <c r="J59" s="179">
        <f>+J58-J86</f>
        <v>110342352.22999999</v>
      </c>
      <c r="K59" s="170">
        <f t="shared" si="3"/>
        <v>3.7015213763837638</v>
      </c>
      <c r="L59" s="179">
        <f>+L58-L86</f>
        <v>130562969.94999999</v>
      </c>
      <c r="M59" s="170">
        <f t="shared" si="4"/>
        <v>4.2062812483891747</v>
      </c>
      <c r="N59" s="169">
        <f>+N58-N86</f>
        <v>92033414.329999983</v>
      </c>
      <c r="O59" s="171">
        <f t="shared" si="5"/>
        <v>2.8458074931972783</v>
      </c>
      <c r="P59" s="169">
        <f>+P58-P86</f>
        <v>100715220.68000004</v>
      </c>
      <c r="Q59" s="278">
        <f t="shared" si="6"/>
        <v>3.1983239339472864</v>
      </c>
      <c r="R59" s="169">
        <f>+R58-R86</f>
        <v>88898705.625990003</v>
      </c>
      <c r="S59" s="278">
        <f t="shared" si="7"/>
        <v>2.5276856874037534</v>
      </c>
      <c r="T59" s="169">
        <f>+T58-T86</f>
        <v>90676679.738509819</v>
      </c>
      <c r="U59" s="278">
        <f t="shared" ref="U59:U105" si="22">+T59/$R$15*100</f>
        <v>2.5782394011518286</v>
      </c>
      <c r="V59" s="812">
        <f t="shared" si="18"/>
        <v>1777974.1125198156</v>
      </c>
      <c r="W59" s="822">
        <f t="shared" si="18"/>
        <v>5.0553713748075157E-2</v>
      </c>
      <c r="X59" s="169">
        <f>+X58-X86</f>
        <v>96303249.901877999</v>
      </c>
      <c r="Y59" s="278">
        <f t="shared" si="9"/>
        <v>2.5784002651105222</v>
      </c>
      <c r="Z59" s="169">
        <f>+Z58-Z86</f>
        <v>99799728.988402277</v>
      </c>
      <c r="AA59" s="278">
        <f t="shared" si="10"/>
        <v>2.506271446218038</v>
      </c>
      <c r="AB59" s="169">
        <f>+AB58-AB86</f>
        <v>102680595.92517212</v>
      </c>
      <c r="AC59" s="278">
        <f t="shared" si="11"/>
        <v>2.407516903286568</v>
      </c>
      <c r="AD59" s="84"/>
      <c r="AE59" s="84"/>
      <c r="AF59" s="56"/>
      <c r="AG59" s="56"/>
      <c r="AH59" s="56"/>
      <c r="AI59" s="56"/>
      <c r="AJ59" s="56"/>
      <c r="AK59" s="55"/>
      <c r="AL59" s="57"/>
      <c r="AM59" s="156"/>
      <c r="AN59" s="156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7"/>
      <c r="CA59" s="57"/>
      <c r="CB59" s="57"/>
      <c r="CC59" s="57"/>
      <c r="CD59" s="57"/>
      <c r="CE59" s="57"/>
      <c r="CF59" s="57"/>
      <c r="CG59" s="57"/>
      <c r="CH59" s="57"/>
      <c r="CI59" s="57"/>
      <c r="CJ59" s="57"/>
      <c r="CK59" s="57"/>
      <c r="CL59" s="57"/>
      <c r="CM59" s="57"/>
      <c r="CN59" s="57"/>
      <c r="CO59" s="57"/>
      <c r="CP59" s="57"/>
      <c r="CQ59" s="57"/>
      <c r="CR59" s="57"/>
      <c r="CS59" s="57"/>
      <c r="CT59" s="57"/>
      <c r="CU59" s="57"/>
      <c r="CV59" s="57"/>
      <c r="CW59" s="57"/>
      <c r="CX59" s="57"/>
      <c r="CY59" s="57"/>
      <c r="CZ59" s="57"/>
      <c r="DA59" s="57"/>
      <c r="DB59" s="57"/>
      <c r="DC59" s="57"/>
      <c r="DD59" s="57"/>
      <c r="DE59" s="57"/>
      <c r="DF59" s="57"/>
      <c r="DG59" s="57"/>
      <c r="DH59" s="57"/>
      <c r="DI59" s="57"/>
      <c r="DJ59" s="57"/>
      <c r="DK59" s="57"/>
      <c r="DL59" s="57"/>
      <c r="DM59" s="57"/>
      <c r="DN59" s="57"/>
      <c r="DO59" s="57"/>
      <c r="DP59" s="57"/>
      <c r="DQ59" s="57"/>
      <c r="DR59" s="57"/>
      <c r="DS59" s="57"/>
      <c r="DT59" s="57"/>
      <c r="DU59" s="52"/>
      <c r="DV59" s="52"/>
      <c r="DW59" s="52"/>
      <c r="DX59" s="52"/>
      <c r="DY59" s="52"/>
      <c r="DZ59" s="52"/>
      <c r="EA59" s="52"/>
      <c r="EB59" s="52"/>
      <c r="EC59" s="52"/>
      <c r="ED59" s="52"/>
      <c r="EE59" s="52"/>
      <c r="EF59" s="52"/>
      <c r="EG59" s="52"/>
      <c r="EH59" s="52"/>
      <c r="EI59" s="52"/>
      <c r="EJ59" s="52"/>
    </row>
    <row r="60" spans="1:140" s="21" customFormat="1" ht="15" customHeight="1" thickTop="1">
      <c r="A60" s="81"/>
      <c r="B60" s="81"/>
      <c r="C60" s="194" t="str">
        <f>IF(MasterSheet!$A$1=1,MasterSheet!C202,MasterSheet!B202)</f>
        <v>Tekući izdaci</v>
      </c>
      <c r="D60" s="183">
        <f>+D61+D67+D68+D70+D71+D72+D73+D69</f>
        <v>49256706.21980001</v>
      </c>
      <c r="E60" s="184">
        <f t="shared" si="0"/>
        <v>2.2921823360696174</v>
      </c>
      <c r="F60" s="183">
        <f>+F61+F67+F68+F70+F71+F72+F73+F69</f>
        <v>71093291.460000008</v>
      </c>
      <c r="G60" s="184">
        <f t="shared" si="1"/>
        <v>2.6522399350867381</v>
      </c>
      <c r="H60" s="183">
        <f>+H61+H67+H68+H70+H71+H72+H73+H69</f>
        <v>86689566.571500003</v>
      </c>
      <c r="I60" s="184">
        <f t="shared" si="2"/>
        <v>2.8094881569710917</v>
      </c>
      <c r="J60" s="183">
        <f>+J61+J67+J68+J70+J71+J72+J73+J69</f>
        <v>75125141.88000001</v>
      </c>
      <c r="K60" s="184">
        <f t="shared" si="3"/>
        <v>2.5201322334786989</v>
      </c>
      <c r="L60" s="183">
        <f>+L61+L67+L68+L70+L71+L72+L73+L69</f>
        <v>64610000</v>
      </c>
      <c r="M60" s="184">
        <f t="shared" si="4"/>
        <v>2.0815077319587627</v>
      </c>
      <c r="N60" s="183">
        <f>+N61+N67+N68+N70+N71+N72+N73+N69</f>
        <v>65516340.920000002</v>
      </c>
      <c r="O60" s="184">
        <f t="shared" si="5"/>
        <v>2.0258608818800248</v>
      </c>
      <c r="P60" s="279">
        <f>+P61+P67+P68+P70+P71+P72+P73+P69</f>
        <v>62674225.200000018</v>
      </c>
      <c r="Q60" s="280">
        <f t="shared" si="6"/>
        <v>1.9902897808828206</v>
      </c>
      <c r="R60" s="279">
        <f>+R61+R67+R68+R70+R71+R72+R73+R69</f>
        <v>53623068.265050009</v>
      </c>
      <c r="S60" s="280">
        <f t="shared" si="7"/>
        <v>1.5246820661089</v>
      </c>
      <c r="T60" s="279">
        <f>+T61+T67+T68+T70+T71+T72+T73+T69</f>
        <v>54695529.630351007</v>
      </c>
      <c r="U60" s="280">
        <f t="shared" si="22"/>
        <v>1.5551757074310777</v>
      </c>
      <c r="V60" s="814">
        <f t="shared" si="18"/>
        <v>1072461.3653009981</v>
      </c>
      <c r="W60" s="815">
        <f t="shared" si="18"/>
        <v>3.0493641322177689E-2</v>
      </c>
      <c r="X60" s="279">
        <f>+X61+X67+X68+X70+X71+X72+X73+X69</f>
        <v>57840253.064814001</v>
      </c>
      <c r="Y60" s="281">
        <f t="shared" si="9"/>
        <v>1.5486011530070682</v>
      </c>
      <c r="Z60" s="279">
        <f>+Z61+Z67+Z68+Z70+Z71+Z72+Z73+Z69</f>
        <v>60336800.138021216</v>
      </c>
      <c r="AA60" s="280">
        <f t="shared" si="10"/>
        <v>1.515238577047243</v>
      </c>
      <c r="AB60" s="279">
        <f>+AB61+AB67+AB68+AB70+AB71+AB72+AB73+AB69</f>
        <v>61913317.927340835</v>
      </c>
      <c r="AC60" s="280">
        <f t="shared" si="11"/>
        <v>1.4516604437829035</v>
      </c>
      <c r="AD60" s="84"/>
      <c r="AE60" s="84"/>
      <c r="AF60" s="56"/>
      <c r="AG60" s="56"/>
      <c r="AH60" s="56"/>
      <c r="AI60" s="56"/>
      <c r="AJ60" s="56"/>
      <c r="AK60" s="55"/>
      <c r="AL60" s="57"/>
      <c r="AM60" s="156"/>
      <c r="AN60" s="156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7"/>
      <c r="CA60" s="57"/>
      <c r="CB60" s="57"/>
      <c r="CC60" s="57"/>
      <c r="CD60" s="57"/>
      <c r="CE60" s="57"/>
      <c r="CF60" s="57"/>
      <c r="CG60" s="57"/>
      <c r="CH60" s="57"/>
      <c r="CI60" s="57"/>
      <c r="CJ60" s="57"/>
      <c r="CK60" s="57"/>
      <c r="CL60" s="57"/>
      <c r="CM60" s="57"/>
      <c r="CN60" s="57"/>
      <c r="CO60" s="57"/>
      <c r="CP60" s="57"/>
      <c r="CQ60" s="57"/>
      <c r="CR60" s="57"/>
      <c r="CS60" s="57"/>
      <c r="CT60" s="57"/>
      <c r="CU60" s="57"/>
      <c r="CV60" s="57"/>
      <c r="CW60" s="57"/>
      <c r="CX60" s="57"/>
      <c r="CY60" s="57"/>
      <c r="CZ60" s="57"/>
      <c r="DA60" s="57"/>
      <c r="DB60" s="57"/>
      <c r="DC60" s="57"/>
      <c r="DD60" s="57"/>
      <c r="DE60" s="57"/>
      <c r="DF60" s="57"/>
      <c r="DG60" s="57"/>
      <c r="DH60" s="57"/>
      <c r="DI60" s="57"/>
      <c r="DJ60" s="57"/>
      <c r="DK60" s="57"/>
      <c r="DL60" s="57"/>
      <c r="DM60" s="57"/>
      <c r="DN60" s="57"/>
      <c r="DO60" s="57"/>
      <c r="DP60" s="57"/>
      <c r="DQ60" s="57"/>
      <c r="DR60" s="57"/>
      <c r="DS60" s="57"/>
      <c r="DT60" s="57"/>
      <c r="DU60" s="52"/>
      <c r="DV60" s="52"/>
      <c r="DW60" s="52"/>
      <c r="DX60" s="52"/>
      <c r="DY60" s="52"/>
      <c r="DZ60" s="52"/>
      <c r="EA60" s="52"/>
      <c r="EB60" s="52"/>
      <c r="EC60" s="52"/>
      <c r="ED60" s="52"/>
      <c r="EE60" s="52"/>
      <c r="EF60" s="52"/>
      <c r="EG60" s="52"/>
      <c r="EH60" s="52"/>
      <c r="EI60" s="52"/>
      <c r="EJ60" s="52"/>
    </row>
    <row r="61" spans="1:140" s="21" customFormat="1" ht="15" customHeight="1">
      <c r="A61" s="81"/>
      <c r="B61" s="81"/>
      <c r="C61" s="196" t="str">
        <f>IF(MasterSheet!$A$1=1,MasterSheet!C203,MasterSheet!B203)</f>
        <v>Bruto zarade i doprinosi na teret poslodavca</v>
      </c>
      <c r="D61" s="190">
        <v>22909978.369800005</v>
      </c>
      <c r="E61" s="191">
        <f t="shared" si="0"/>
        <v>1.0661258490297363</v>
      </c>
      <c r="F61" s="190">
        <v>31729442.970000006</v>
      </c>
      <c r="G61" s="191">
        <f t="shared" si="1"/>
        <v>1.1837135970900954</v>
      </c>
      <c r="H61" s="190">
        <v>40399850.68</v>
      </c>
      <c r="I61" s="191">
        <f t="shared" si="2"/>
        <v>1.3093029128856624</v>
      </c>
      <c r="J61" s="190">
        <v>40532718.950000003</v>
      </c>
      <c r="K61" s="191">
        <f t="shared" si="3"/>
        <v>1.3597020781616909</v>
      </c>
      <c r="L61" s="190">
        <v>32760000</v>
      </c>
      <c r="M61" s="191">
        <f t="shared" si="4"/>
        <v>1.0554123711340206</v>
      </c>
      <c r="N61" s="190">
        <f>+SUM(N62:N66)</f>
        <v>32685526.710000005</v>
      </c>
      <c r="O61" s="191">
        <f t="shared" si="5"/>
        <v>1.0106841901669761</v>
      </c>
      <c r="P61" s="285">
        <f>+P62+P63+P64+P65+P66</f>
        <v>33099260.940000013</v>
      </c>
      <c r="Q61" s="286">
        <f t="shared" si="6"/>
        <v>1.0511038723404258</v>
      </c>
      <c r="R61" s="285">
        <f>+R62+R63+R64+R65+R66</f>
        <v>25441990.113750003</v>
      </c>
      <c r="S61" s="286">
        <f t="shared" si="7"/>
        <v>0.72340034443417689</v>
      </c>
      <c r="T61" s="285">
        <f>+T62+T63+T64+T65+T66</f>
        <v>25950829.916025005</v>
      </c>
      <c r="U61" s="286">
        <f t="shared" si="22"/>
        <v>0.73786835132286055</v>
      </c>
      <c r="V61" s="818">
        <f t="shared" si="18"/>
        <v>508839.802275002</v>
      </c>
      <c r="W61" s="819">
        <f t="shared" si="18"/>
        <v>1.446800688868366E-2</v>
      </c>
      <c r="X61" s="285">
        <f>+X62+X63+X64+X65+X66</f>
        <v>27235565.923124999</v>
      </c>
      <c r="Y61" s="287">
        <f t="shared" si="9"/>
        <v>0.72919855215863449</v>
      </c>
      <c r="Z61" s="285">
        <f>+Z62+Z63+Z64+Z65+Z66</f>
        <v>27644099.411971871</v>
      </c>
      <c r="AA61" s="286">
        <f t="shared" si="10"/>
        <v>0.69422650456986112</v>
      </c>
      <c r="AB61" s="285">
        <f>+AB62+AB63+AB64+AB65+AB66</f>
        <v>28196981.400211312</v>
      </c>
      <c r="AC61" s="286">
        <f t="shared" si="11"/>
        <v>0.66112500352195336</v>
      </c>
      <c r="AD61" s="84"/>
      <c r="AE61" s="84"/>
      <c r="AF61" s="56"/>
      <c r="AG61" s="56"/>
      <c r="AH61" s="56"/>
      <c r="AI61" s="56"/>
      <c r="AJ61" s="56"/>
      <c r="AK61" s="55"/>
      <c r="AL61" s="57"/>
      <c r="AM61" s="157"/>
      <c r="AN61" s="1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7"/>
      <c r="CJ61" s="57"/>
      <c r="CK61" s="57"/>
      <c r="CL61" s="57"/>
      <c r="CM61" s="57"/>
      <c r="CN61" s="57"/>
      <c r="CO61" s="57"/>
      <c r="CP61" s="57"/>
      <c r="CQ61" s="57"/>
      <c r="CR61" s="57"/>
      <c r="CS61" s="57"/>
      <c r="CT61" s="57"/>
      <c r="CU61" s="57"/>
      <c r="CV61" s="57"/>
      <c r="CW61" s="57"/>
      <c r="CX61" s="57"/>
      <c r="CY61" s="57"/>
      <c r="CZ61" s="57"/>
      <c r="DA61" s="57"/>
      <c r="DB61" s="57"/>
      <c r="DC61" s="57"/>
      <c r="DD61" s="57"/>
      <c r="DE61" s="57"/>
      <c r="DF61" s="57"/>
      <c r="DG61" s="57"/>
      <c r="DH61" s="57"/>
      <c r="DI61" s="57"/>
      <c r="DJ61" s="57"/>
      <c r="DK61" s="57"/>
      <c r="DL61" s="57"/>
      <c r="DM61" s="57"/>
      <c r="DN61" s="57"/>
      <c r="DO61" s="57"/>
      <c r="DP61" s="57"/>
      <c r="DQ61" s="57"/>
      <c r="DR61" s="57"/>
      <c r="DS61" s="57"/>
      <c r="DT61" s="57"/>
      <c r="DU61" s="52"/>
      <c r="DV61" s="52"/>
      <c r="DW61" s="52"/>
      <c r="DX61" s="52"/>
      <c r="DY61" s="52"/>
      <c r="DZ61" s="52"/>
      <c r="EA61" s="52"/>
      <c r="EB61" s="52"/>
      <c r="EC61" s="52"/>
      <c r="ED61" s="52"/>
      <c r="EE61" s="52"/>
      <c r="EF61" s="52"/>
      <c r="EG61" s="52"/>
      <c r="EH61" s="52"/>
      <c r="EI61" s="52"/>
      <c r="EJ61" s="52"/>
    </row>
    <row r="62" spans="1:140" s="21" customFormat="1" ht="15" hidden="1" customHeight="1">
      <c r="A62" s="81"/>
      <c r="B62" s="81"/>
      <c r="C62" s="195" t="str">
        <f>IF(MasterSheet!$A$1=1,MasterSheet!C204,MasterSheet!B204)</f>
        <v>Neto zarade</v>
      </c>
      <c r="D62" s="186">
        <v>12842648.100000005</v>
      </c>
      <c r="E62" s="187">
        <f t="shared" si="0"/>
        <v>0.59763823816836548</v>
      </c>
      <c r="F62" s="186">
        <v>18387273.760000002</v>
      </c>
      <c r="G62" s="187">
        <f t="shared" si="1"/>
        <v>0.68596432605857127</v>
      </c>
      <c r="H62" s="186">
        <v>24932926.689999998</v>
      </c>
      <c r="I62" s="187">
        <f t="shared" si="2"/>
        <v>0.80804144056261329</v>
      </c>
      <c r="J62" s="186"/>
      <c r="K62" s="187">
        <f t="shared" si="3"/>
        <v>0</v>
      </c>
      <c r="L62" s="186"/>
      <c r="M62" s="187">
        <f t="shared" si="4"/>
        <v>0</v>
      </c>
      <c r="N62" s="186">
        <v>26607131.840000004</v>
      </c>
      <c r="O62" s="187">
        <f t="shared" si="5"/>
        <v>0.82273134941249237</v>
      </c>
      <c r="P62" s="282">
        <v>25572694.79000001</v>
      </c>
      <c r="Q62" s="283">
        <f t="shared" si="6"/>
        <v>0.8120893867894573</v>
      </c>
      <c r="R62" s="282">
        <v>19773293.82</v>
      </c>
      <c r="S62" s="283">
        <f t="shared" si="7"/>
        <v>0.56222046687517779</v>
      </c>
      <c r="T62" s="282">
        <f>+R62*1.02</f>
        <v>20168759.696400002</v>
      </c>
      <c r="U62" s="283">
        <f t="shared" si="22"/>
        <v>0.57346487621268127</v>
      </c>
      <c r="V62" s="816">
        <f t="shared" si="18"/>
        <v>395465.87640000135</v>
      </c>
      <c r="W62" s="817">
        <f t="shared" si="18"/>
        <v>1.124440933750348E-2</v>
      </c>
      <c r="X62" s="282">
        <v>21000000</v>
      </c>
      <c r="Y62" s="284">
        <f t="shared" si="9"/>
        <v>0.56224899598393574</v>
      </c>
      <c r="Z62" s="282">
        <f>+X62*1.015</f>
        <v>21314999.999999996</v>
      </c>
      <c r="AA62" s="283">
        <f t="shared" si="10"/>
        <v>0.53528377699648411</v>
      </c>
      <c r="AB62" s="282">
        <f>+Z62*1.02</f>
        <v>21741299.999999996</v>
      </c>
      <c r="AC62" s="283">
        <f t="shared" si="11"/>
        <v>0.50976084407971856</v>
      </c>
      <c r="AD62" s="84"/>
      <c r="AE62" s="84"/>
      <c r="AF62" s="56"/>
      <c r="AG62" s="56"/>
      <c r="AH62" s="56"/>
      <c r="AI62" s="56"/>
      <c r="AJ62" s="56"/>
      <c r="AK62" s="55"/>
      <c r="AL62" s="57"/>
      <c r="AM62" s="157"/>
      <c r="AN62" s="1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7"/>
      <c r="CJ62" s="57"/>
      <c r="CK62" s="57"/>
      <c r="CL62" s="57"/>
      <c r="CM62" s="57"/>
      <c r="CN62" s="57"/>
      <c r="CO62" s="57"/>
      <c r="CP62" s="57"/>
      <c r="CQ62" s="57"/>
      <c r="CR62" s="57"/>
      <c r="CS62" s="57"/>
      <c r="CT62" s="57"/>
      <c r="CU62" s="57"/>
      <c r="CV62" s="57"/>
      <c r="CW62" s="57"/>
      <c r="CX62" s="57"/>
      <c r="CY62" s="57"/>
      <c r="CZ62" s="57"/>
      <c r="DA62" s="57"/>
      <c r="DB62" s="57"/>
      <c r="DC62" s="57"/>
      <c r="DD62" s="57"/>
      <c r="DE62" s="57"/>
      <c r="DF62" s="57"/>
      <c r="DG62" s="57"/>
      <c r="DH62" s="57"/>
      <c r="DI62" s="57"/>
      <c r="DJ62" s="57"/>
      <c r="DK62" s="57"/>
      <c r="DL62" s="57"/>
      <c r="DM62" s="57"/>
      <c r="DN62" s="57"/>
      <c r="DO62" s="57"/>
      <c r="DP62" s="57"/>
      <c r="DQ62" s="57"/>
      <c r="DR62" s="57"/>
      <c r="DS62" s="57"/>
      <c r="DT62" s="57"/>
      <c r="DU62" s="52"/>
      <c r="DV62" s="52"/>
      <c r="DW62" s="52"/>
      <c r="DX62" s="52"/>
      <c r="DY62" s="52"/>
      <c r="DZ62" s="52"/>
      <c r="EA62" s="52"/>
      <c r="EB62" s="52"/>
      <c r="EC62" s="52"/>
      <c r="ED62" s="52"/>
      <c r="EE62" s="52"/>
      <c r="EF62" s="52"/>
      <c r="EG62" s="52"/>
      <c r="EH62" s="52"/>
      <c r="EI62" s="52"/>
      <c r="EJ62" s="52"/>
    </row>
    <row r="63" spans="1:140" s="21" customFormat="1" ht="15" hidden="1" customHeight="1">
      <c r="A63" s="81"/>
      <c r="B63" s="81"/>
      <c r="C63" s="195" t="str">
        <f>IF(MasterSheet!$A$1=1,MasterSheet!C205,MasterSheet!B205)</f>
        <v>Porez na zarade</v>
      </c>
      <c r="D63" s="186">
        <v>2843884.07</v>
      </c>
      <c r="E63" s="187">
        <f t="shared" si="0"/>
        <v>0.13234138722136907</v>
      </c>
      <c r="F63" s="186">
        <v>3358772.28</v>
      </c>
      <c r="G63" s="187">
        <f t="shared" si="1"/>
        <v>0.12530394627867933</v>
      </c>
      <c r="H63" s="186">
        <v>4100316.02</v>
      </c>
      <c r="I63" s="187">
        <f t="shared" si="2"/>
        <v>0.13288553344568316</v>
      </c>
      <c r="J63" s="186"/>
      <c r="K63" s="187">
        <f t="shared" si="3"/>
        <v>0</v>
      </c>
      <c r="L63" s="186"/>
      <c r="M63" s="187">
        <f t="shared" si="4"/>
        <v>0</v>
      </c>
      <c r="N63" s="186">
        <v>1280341.3400000001</v>
      </c>
      <c r="O63" s="187">
        <f t="shared" si="5"/>
        <v>3.9590022881880023E-2</v>
      </c>
      <c r="P63" s="282">
        <v>1523568.7499999998</v>
      </c>
      <c r="Q63" s="283">
        <f t="shared" si="6"/>
        <v>4.8382621467132417E-2</v>
      </c>
      <c r="R63" s="282">
        <v>1198203.0375000001</v>
      </c>
      <c r="S63" s="283">
        <f t="shared" si="7"/>
        <v>3.4068895009951666E-2</v>
      </c>
      <c r="T63" s="282">
        <f t="shared" ref="T63:T73" si="23">+R63*1.02</f>
        <v>1222167.09825</v>
      </c>
      <c r="U63" s="283">
        <f t="shared" si="22"/>
        <v>3.4750272910150704E-2</v>
      </c>
      <c r="V63" s="816">
        <f t="shared" si="18"/>
        <v>23964.060749999946</v>
      </c>
      <c r="W63" s="817">
        <f t="shared" si="18"/>
        <v>6.8137790019903721E-4</v>
      </c>
      <c r="X63" s="282">
        <v>1318023.3412500003</v>
      </c>
      <c r="Y63" s="284">
        <f t="shared" si="9"/>
        <v>3.5288442871485949E-2</v>
      </c>
      <c r="Z63" s="282">
        <f t="shared" ref="Z63:Z66" si="24">+X63*1.015</f>
        <v>1337793.6913687501</v>
      </c>
      <c r="AA63" s="283">
        <f t="shared" si="10"/>
        <v>3.3596024393991716E-2</v>
      </c>
      <c r="AB63" s="282">
        <f t="shared" ref="AB63:AB66" si="25">+Z63*1.02</f>
        <v>1364549.5651961251</v>
      </c>
      <c r="AC63" s="283">
        <f t="shared" si="11"/>
        <v>3.19941281405891E-2</v>
      </c>
      <c r="AD63" s="84"/>
      <c r="AE63" s="84"/>
      <c r="AF63" s="56"/>
      <c r="AG63" s="56"/>
      <c r="AH63" s="56"/>
      <c r="AI63" s="56"/>
      <c r="AJ63" s="56"/>
      <c r="AK63" s="55"/>
      <c r="AL63" s="57"/>
      <c r="AM63" s="157"/>
      <c r="AN63" s="1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57"/>
      <c r="CM63" s="57"/>
      <c r="CN63" s="57"/>
      <c r="CO63" s="57"/>
      <c r="CP63" s="57"/>
      <c r="CQ63" s="57"/>
      <c r="CR63" s="57"/>
      <c r="CS63" s="57"/>
      <c r="CT63" s="57"/>
      <c r="CU63" s="57"/>
      <c r="CV63" s="57"/>
      <c r="CW63" s="57"/>
      <c r="CX63" s="57"/>
      <c r="CY63" s="57"/>
      <c r="CZ63" s="57"/>
      <c r="DA63" s="57"/>
      <c r="DB63" s="57"/>
      <c r="DC63" s="57"/>
      <c r="DD63" s="57"/>
      <c r="DE63" s="57"/>
      <c r="DF63" s="57"/>
      <c r="DG63" s="57"/>
      <c r="DH63" s="57"/>
      <c r="DI63" s="57"/>
      <c r="DJ63" s="57"/>
      <c r="DK63" s="57"/>
      <c r="DL63" s="57"/>
      <c r="DM63" s="57"/>
      <c r="DN63" s="57"/>
      <c r="DO63" s="57"/>
      <c r="DP63" s="158"/>
      <c r="DQ63" s="57"/>
      <c r="DR63" s="57"/>
      <c r="DS63" s="57"/>
      <c r="DT63" s="57"/>
      <c r="DU63" s="52"/>
      <c r="DV63" s="52"/>
      <c r="DW63" s="52"/>
      <c r="DX63" s="52"/>
      <c r="DY63" s="52"/>
      <c r="DZ63" s="52"/>
      <c r="EA63" s="52"/>
      <c r="EB63" s="52"/>
      <c r="EC63" s="52"/>
      <c r="ED63" s="52"/>
      <c r="EE63" s="52"/>
      <c r="EF63" s="52"/>
      <c r="EG63" s="52"/>
      <c r="EH63" s="52"/>
      <c r="EI63" s="52"/>
      <c r="EJ63" s="52"/>
    </row>
    <row r="64" spans="1:140" s="21" customFormat="1" ht="15" hidden="1" customHeight="1">
      <c r="A64" s="81"/>
      <c r="B64" s="81"/>
      <c r="C64" s="195" t="str">
        <f>IF(MasterSheet!$A$1=1,MasterSheet!C206,MasterSheet!B206)</f>
        <v>Doprinosi na teret zaposlenog</v>
      </c>
      <c r="D64" s="186">
        <v>3661666.71</v>
      </c>
      <c r="E64" s="187">
        <f t="shared" si="0"/>
        <v>0.17039725952813067</v>
      </c>
      <c r="F64" s="186">
        <v>5065861.34</v>
      </c>
      <c r="G64" s="187">
        <f t="shared" si="1"/>
        <v>0.18898941764596155</v>
      </c>
      <c r="H64" s="186">
        <v>5810034.6499999994</v>
      </c>
      <c r="I64" s="187">
        <f t="shared" si="2"/>
        <v>0.18829513384754989</v>
      </c>
      <c r="J64" s="186"/>
      <c r="K64" s="187">
        <f t="shared" si="3"/>
        <v>0</v>
      </c>
      <c r="L64" s="186"/>
      <c r="M64" s="187">
        <f t="shared" si="4"/>
        <v>0</v>
      </c>
      <c r="N64" s="186">
        <v>3067317.62</v>
      </c>
      <c r="O64" s="187">
        <f t="shared" si="5"/>
        <v>9.4845937538651837E-2</v>
      </c>
      <c r="P64" s="282">
        <v>3904382.58</v>
      </c>
      <c r="Q64" s="283">
        <f t="shared" si="6"/>
        <v>0.12398801460781202</v>
      </c>
      <c r="R64" s="282">
        <v>2876325.6637500003</v>
      </c>
      <c r="S64" s="283">
        <f t="shared" si="7"/>
        <v>8.1783499111458643E-2</v>
      </c>
      <c r="T64" s="282">
        <f t="shared" si="23"/>
        <v>2933852.1770250006</v>
      </c>
      <c r="U64" s="283">
        <f t="shared" si="22"/>
        <v>8.3419169093687823E-2</v>
      </c>
      <c r="V64" s="816">
        <f t="shared" si="18"/>
        <v>57526.513275000267</v>
      </c>
      <c r="W64" s="817">
        <f t="shared" si="18"/>
        <v>1.6356699822291793E-3</v>
      </c>
      <c r="X64" s="282">
        <v>3163958.2301250007</v>
      </c>
      <c r="Y64" s="284">
        <f t="shared" si="9"/>
        <v>8.4711063724899616E-2</v>
      </c>
      <c r="Z64" s="282">
        <f t="shared" si="24"/>
        <v>3211417.6035768753</v>
      </c>
      <c r="AA64" s="283">
        <f t="shared" si="10"/>
        <v>8.0648357699067696E-2</v>
      </c>
      <c r="AB64" s="282">
        <f t="shared" si="25"/>
        <v>3275645.9556484129</v>
      </c>
      <c r="AC64" s="283">
        <f t="shared" si="11"/>
        <v>7.6802953239118704E-2</v>
      </c>
      <c r="AD64" s="84"/>
      <c r="AE64" s="84"/>
      <c r="AF64" s="56"/>
      <c r="AG64" s="56"/>
      <c r="AH64" s="56"/>
      <c r="AI64" s="56"/>
      <c r="AJ64" s="56"/>
      <c r="AK64" s="55"/>
      <c r="AL64" s="57"/>
      <c r="AM64" s="157"/>
      <c r="AN64" s="1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57"/>
      <c r="BY64" s="57"/>
      <c r="BZ64" s="57"/>
      <c r="CA64" s="57"/>
      <c r="CB64" s="57"/>
      <c r="CC64" s="57"/>
      <c r="CD64" s="57"/>
      <c r="CE64" s="57"/>
      <c r="CF64" s="57"/>
      <c r="CG64" s="57"/>
      <c r="CH64" s="57"/>
      <c r="CI64" s="57"/>
      <c r="CJ64" s="57"/>
      <c r="CK64" s="57"/>
      <c r="CL64" s="57"/>
      <c r="CM64" s="57"/>
      <c r="CN64" s="57"/>
      <c r="CO64" s="57"/>
      <c r="CP64" s="57"/>
      <c r="CQ64" s="57"/>
      <c r="CR64" s="57"/>
      <c r="CS64" s="57"/>
      <c r="CT64" s="57"/>
      <c r="CU64" s="57"/>
      <c r="CV64" s="57"/>
      <c r="CW64" s="57"/>
      <c r="CX64" s="57"/>
      <c r="CY64" s="57"/>
      <c r="CZ64" s="57"/>
      <c r="DA64" s="57"/>
      <c r="DB64" s="57"/>
      <c r="DC64" s="57"/>
      <c r="DD64" s="57"/>
      <c r="DE64" s="57"/>
      <c r="DF64" s="57"/>
      <c r="DG64" s="57"/>
      <c r="DH64" s="57"/>
      <c r="DI64" s="57"/>
      <c r="DJ64" s="57"/>
      <c r="DK64" s="57"/>
      <c r="DL64" s="57"/>
      <c r="DM64" s="57"/>
      <c r="DN64" s="57"/>
      <c r="DO64" s="57"/>
      <c r="DP64" s="57"/>
      <c r="DQ64" s="57"/>
      <c r="DR64" s="57"/>
      <c r="DS64" s="57"/>
      <c r="DT64" s="57"/>
      <c r="DU64" s="52"/>
      <c r="DV64" s="52"/>
      <c r="DW64" s="52"/>
      <c r="DX64" s="52"/>
      <c r="DY64" s="52"/>
      <c r="DZ64" s="52"/>
      <c r="EA64" s="52"/>
      <c r="EB64" s="52"/>
      <c r="EC64" s="52"/>
      <c r="ED64" s="52"/>
      <c r="EE64" s="52"/>
      <c r="EF64" s="52"/>
      <c r="EG64" s="52"/>
      <c r="EH64" s="52"/>
      <c r="EI64" s="52"/>
      <c r="EJ64" s="52"/>
    </row>
    <row r="65" spans="1:140" s="21" customFormat="1" ht="15" hidden="1" customHeight="1">
      <c r="A65" s="81"/>
      <c r="B65" s="81"/>
      <c r="C65" s="195" t="str">
        <f>IF(MasterSheet!$A$1=1,MasterSheet!C207,MasterSheet!B207)</f>
        <v>Doprinosi na teret poslodavca</v>
      </c>
      <c r="D65" s="186">
        <v>3186770.2497999999</v>
      </c>
      <c r="E65" s="187">
        <f t="shared" si="0"/>
        <v>0.14829774534878309</v>
      </c>
      <c r="F65" s="186">
        <v>4443188.17</v>
      </c>
      <c r="G65" s="187">
        <f t="shared" si="1"/>
        <v>0.16575967804514083</v>
      </c>
      <c r="H65" s="186">
        <v>4975018.1100000003</v>
      </c>
      <c r="I65" s="187">
        <f t="shared" si="2"/>
        <v>0.16123341035779104</v>
      </c>
      <c r="J65" s="186"/>
      <c r="K65" s="187">
        <f t="shared" si="3"/>
        <v>0</v>
      </c>
      <c r="L65" s="186"/>
      <c r="M65" s="187">
        <f t="shared" si="4"/>
        <v>0</v>
      </c>
      <c r="N65" s="186">
        <v>1525124.6500000001</v>
      </c>
      <c r="O65" s="187">
        <f t="shared" si="5"/>
        <v>4.7159080086580089E-2</v>
      </c>
      <c r="P65" s="282">
        <v>1867935.3099999996</v>
      </c>
      <c r="Q65" s="283">
        <f t="shared" si="6"/>
        <v>5.9318364877738949E-2</v>
      </c>
      <c r="R65" s="282">
        <v>1379860.5450000002</v>
      </c>
      <c r="S65" s="283">
        <f t="shared" si="7"/>
        <v>3.9234021751492751E-2</v>
      </c>
      <c r="T65" s="282">
        <f t="shared" si="23"/>
        <v>1407457.7559000002</v>
      </c>
      <c r="U65" s="283">
        <f t="shared" si="22"/>
        <v>4.0018702186522606E-2</v>
      </c>
      <c r="V65" s="816">
        <f t="shared" si="18"/>
        <v>27597.210900000064</v>
      </c>
      <c r="W65" s="817">
        <f t="shared" si="18"/>
        <v>7.8468043502985529E-4</v>
      </c>
      <c r="X65" s="282">
        <v>1517846.5995000002</v>
      </c>
      <c r="Y65" s="284">
        <f t="shared" si="9"/>
        <v>4.0638463172690771E-2</v>
      </c>
      <c r="Z65" s="282">
        <f t="shared" si="24"/>
        <v>1540614.2984925001</v>
      </c>
      <c r="AA65" s="283">
        <f t="shared" si="10"/>
        <v>3.8689460032458566E-2</v>
      </c>
      <c r="AB65" s="282">
        <f t="shared" si="25"/>
        <v>1571426.5844623502</v>
      </c>
      <c r="AC65" s="283">
        <f t="shared" si="11"/>
        <v>3.6844703035459558E-2</v>
      </c>
      <c r="AD65" s="84"/>
      <c r="AE65" s="84"/>
      <c r="AF65" s="56"/>
      <c r="AG65" s="56"/>
      <c r="AH65" s="56"/>
      <c r="AI65" s="56"/>
      <c r="AJ65" s="56"/>
      <c r="AK65" s="55"/>
      <c r="AL65" s="57"/>
      <c r="AM65" s="157"/>
      <c r="AN65" s="1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57"/>
      <c r="CM65" s="57"/>
      <c r="CN65" s="57"/>
      <c r="CO65" s="57"/>
      <c r="CP65" s="57"/>
      <c r="CQ65" s="57"/>
      <c r="CR65" s="57"/>
      <c r="CS65" s="57"/>
      <c r="CT65" s="57"/>
      <c r="CU65" s="57"/>
      <c r="CV65" s="57"/>
      <c r="CW65" s="57"/>
      <c r="CX65" s="57"/>
      <c r="CY65" s="57"/>
      <c r="CZ65" s="57"/>
      <c r="DA65" s="57"/>
      <c r="DB65" s="57"/>
      <c r="DC65" s="57"/>
      <c r="DD65" s="57"/>
      <c r="DE65" s="57"/>
      <c r="DF65" s="57"/>
      <c r="DG65" s="57"/>
      <c r="DH65" s="57"/>
      <c r="DI65" s="57"/>
      <c r="DJ65" s="57"/>
      <c r="DK65" s="57"/>
      <c r="DL65" s="57"/>
      <c r="DM65" s="57"/>
      <c r="DN65" s="57"/>
      <c r="DO65" s="57"/>
      <c r="DP65" s="57"/>
      <c r="DQ65" s="57"/>
      <c r="DR65" s="57"/>
      <c r="DS65" s="57"/>
      <c r="DT65" s="57"/>
      <c r="DU65" s="52"/>
      <c r="DV65" s="52"/>
      <c r="DW65" s="52"/>
      <c r="DX65" s="52"/>
      <c r="DY65" s="52"/>
      <c r="DZ65" s="52"/>
      <c r="EA65" s="52"/>
      <c r="EB65" s="52"/>
      <c r="EC65" s="52"/>
      <c r="ED65" s="52"/>
      <c r="EE65" s="52"/>
      <c r="EF65" s="52"/>
      <c r="EG65" s="52"/>
      <c r="EH65" s="52"/>
      <c r="EI65" s="52"/>
      <c r="EJ65" s="52"/>
    </row>
    <row r="66" spans="1:140" s="21" customFormat="1" ht="15" hidden="1" customHeight="1">
      <c r="A66" s="91"/>
      <c r="B66" s="91"/>
      <c r="C66" s="195" t="str">
        <f>IF(MasterSheet!$A$1=1,MasterSheet!C208,MasterSheet!B208)</f>
        <v>Prirez na porez</v>
      </c>
      <c r="D66" s="186">
        <v>375009.24</v>
      </c>
      <c r="E66" s="187">
        <f t="shared" si="0"/>
        <v>1.7451218763088094E-2</v>
      </c>
      <c r="F66" s="186">
        <v>474347.42</v>
      </c>
      <c r="G66" s="187">
        <f t="shared" si="1"/>
        <v>1.7696229061742213E-2</v>
      </c>
      <c r="H66" s="186">
        <v>581555.21</v>
      </c>
      <c r="I66" s="187">
        <f t="shared" si="2"/>
        <v>1.8847394672024891E-2</v>
      </c>
      <c r="J66" s="186"/>
      <c r="K66" s="187">
        <f t="shared" si="3"/>
        <v>0</v>
      </c>
      <c r="L66" s="186"/>
      <c r="M66" s="187">
        <f t="shared" si="4"/>
        <v>0</v>
      </c>
      <c r="N66" s="186">
        <v>205611.25999999998</v>
      </c>
      <c r="O66" s="187">
        <f t="shared" si="5"/>
        <v>6.3578002473716755E-3</v>
      </c>
      <c r="P66" s="282">
        <v>230679.51</v>
      </c>
      <c r="Q66" s="283">
        <f t="shared" si="6"/>
        <v>7.3254845982851698E-3</v>
      </c>
      <c r="R66" s="282">
        <v>214307.04749999996</v>
      </c>
      <c r="S66" s="283">
        <f t="shared" si="7"/>
        <v>6.0934616860961041E-3</v>
      </c>
      <c r="T66" s="282">
        <f t="shared" si="23"/>
        <v>218593.18844999996</v>
      </c>
      <c r="U66" s="283">
        <f t="shared" si="22"/>
        <v>6.2153309198180254E-3</v>
      </c>
      <c r="V66" s="816">
        <f t="shared" si="18"/>
        <v>4286.1409500000009</v>
      </c>
      <c r="W66" s="817">
        <f t="shared" si="18"/>
        <v>1.218692337219213E-4</v>
      </c>
      <c r="X66" s="282">
        <v>235737.75224999996</v>
      </c>
      <c r="Y66" s="284">
        <f t="shared" si="9"/>
        <v>6.3115864056224897E-3</v>
      </c>
      <c r="Z66" s="282">
        <f t="shared" si="24"/>
        <v>239273.81853374993</v>
      </c>
      <c r="AA66" s="283">
        <f t="shared" si="10"/>
        <v>6.0088854478591146E-3</v>
      </c>
      <c r="AB66" s="282">
        <f t="shared" si="25"/>
        <v>244059.29490442493</v>
      </c>
      <c r="AC66" s="283">
        <f t="shared" si="11"/>
        <v>5.7223750270674074E-3</v>
      </c>
      <c r="AD66" s="84"/>
      <c r="AE66" s="84"/>
      <c r="AF66" s="56"/>
      <c r="AG66" s="56"/>
      <c r="AH66" s="56"/>
      <c r="AI66" s="56"/>
      <c r="AJ66" s="56"/>
      <c r="AK66" s="55"/>
      <c r="AL66" s="57"/>
      <c r="AM66" s="157"/>
      <c r="AN66" s="1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7"/>
      <c r="BY66" s="57"/>
      <c r="BZ66" s="57"/>
      <c r="CA66" s="57"/>
      <c r="CB66" s="57"/>
      <c r="CC66" s="57"/>
      <c r="CD66" s="57"/>
      <c r="CE66" s="57"/>
      <c r="CF66" s="57"/>
      <c r="CG66" s="57"/>
      <c r="CH66" s="57"/>
      <c r="CI66" s="57"/>
      <c r="CJ66" s="57"/>
      <c r="CK66" s="57"/>
      <c r="CL66" s="57"/>
      <c r="CM66" s="57"/>
      <c r="CN66" s="57"/>
      <c r="CO66" s="57"/>
      <c r="CP66" s="57"/>
      <c r="CQ66" s="57"/>
      <c r="CR66" s="57"/>
      <c r="CS66" s="57"/>
      <c r="CT66" s="57"/>
      <c r="CU66" s="57"/>
      <c r="CV66" s="57"/>
      <c r="CW66" s="57"/>
      <c r="CX66" s="57"/>
      <c r="CY66" s="57"/>
      <c r="CZ66" s="57"/>
      <c r="DA66" s="57"/>
      <c r="DB66" s="57"/>
      <c r="DC66" s="57"/>
      <c r="DD66" s="57"/>
      <c r="DE66" s="57"/>
      <c r="DF66" s="57"/>
      <c r="DG66" s="57"/>
      <c r="DH66" s="57"/>
      <c r="DI66" s="57"/>
      <c r="DJ66" s="57"/>
      <c r="DK66" s="57"/>
      <c r="DL66" s="57"/>
      <c r="DM66" s="57"/>
      <c r="DN66" s="57"/>
      <c r="DO66" s="57"/>
      <c r="DP66" s="57"/>
      <c r="DQ66" s="57"/>
      <c r="DR66" s="57"/>
      <c r="DS66" s="57"/>
      <c r="DT66" s="57"/>
      <c r="DU66" s="52"/>
      <c r="DV66" s="52"/>
      <c r="DW66" s="52"/>
      <c r="DX66" s="52"/>
      <c r="DY66" s="52"/>
      <c r="DZ66" s="52"/>
      <c r="EA66" s="52"/>
      <c r="EB66" s="52"/>
      <c r="EC66" s="52"/>
      <c r="ED66" s="52"/>
      <c r="EE66" s="52"/>
      <c r="EF66" s="52"/>
      <c r="EG66" s="52"/>
      <c r="EH66" s="52"/>
      <c r="EI66" s="52"/>
      <c r="EJ66" s="52"/>
    </row>
    <row r="67" spans="1:140" s="21" customFormat="1" ht="15" customHeight="1">
      <c r="A67" s="91"/>
      <c r="B67" s="91"/>
      <c r="C67" s="196" t="str">
        <f>IF(MasterSheet!$A$1=1,MasterSheet!C209,MasterSheet!B209)</f>
        <v>Ostala lična primanja</v>
      </c>
      <c r="D67" s="190">
        <v>4368113.9400000004</v>
      </c>
      <c r="E67" s="191">
        <f t="shared" si="0"/>
        <v>0.20327208990646378</v>
      </c>
      <c r="F67" s="190">
        <v>6156084.9900000002</v>
      </c>
      <c r="G67" s="191">
        <f t="shared" si="1"/>
        <v>0.22966181645215447</v>
      </c>
      <c r="H67" s="190">
        <v>7066165.1400000006</v>
      </c>
      <c r="I67" s="191">
        <f t="shared" si="2"/>
        <v>0.22900457415089451</v>
      </c>
      <c r="J67" s="190">
        <v>6026649.0199999996</v>
      </c>
      <c r="K67" s="191">
        <f t="shared" si="3"/>
        <v>0.20216870244884264</v>
      </c>
      <c r="L67" s="190">
        <v>5720000</v>
      </c>
      <c r="M67" s="191">
        <f t="shared" si="4"/>
        <v>0.18427835051546393</v>
      </c>
      <c r="N67" s="190">
        <v>7347314.0199999996</v>
      </c>
      <c r="O67" s="191">
        <f t="shared" si="5"/>
        <v>0.22718967285095854</v>
      </c>
      <c r="P67" s="285">
        <v>2935022.82</v>
      </c>
      <c r="Q67" s="286">
        <f t="shared" si="6"/>
        <v>9.3204916481422678E-2</v>
      </c>
      <c r="R67" s="285">
        <v>2804993.1524999999</v>
      </c>
      <c r="S67" s="286">
        <f t="shared" si="7"/>
        <v>7.9755278717657085E-2</v>
      </c>
      <c r="T67" s="282">
        <f t="shared" si="23"/>
        <v>2861093.0155500001</v>
      </c>
      <c r="U67" s="286">
        <f t="shared" si="22"/>
        <v>8.1350384292010233E-2</v>
      </c>
      <c r="V67" s="816">
        <f t="shared" si="18"/>
        <v>56099.863050000276</v>
      </c>
      <c r="W67" s="819">
        <f t="shared" si="18"/>
        <v>1.5951055743531478E-3</v>
      </c>
      <c r="X67" s="285">
        <v>2945242.8101249998</v>
      </c>
      <c r="Y67" s="287">
        <f t="shared" si="9"/>
        <v>7.8855229186746978E-2</v>
      </c>
      <c r="Z67" s="282">
        <v>3180862.2349350001</v>
      </c>
      <c r="AA67" s="286">
        <f t="shared" si="10"/>
        <v>7.9881020465469618E-2</v>
      </c>
      <c r="AB67" s="282">
        <v>3280862.2349350001</v>
      </c>
      <c r="AC67" s="286">
        <f t="shared" si="11"/>
        <v>7.6925257560023441E-2</v>
      </c>
      <c r="AD67" s="84"/>
      <c r="AE67" s="84"/>
      <c r="AF67" s="56"/>
      <c r="AG67" s="56"/>
      <c r="AH67" s="56"/>
      <c r="AI67" s="56"/>
      <c r="AJ67" s="56"/>
      <c r="AK67" s="55"/>
      <c r="AL67" s="57"/>
      <c r="AM67" s="157"/>
      <c r="AN67" s="1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7"/>
      <c r="CA67" s="57"/>
      <c r="CB67" s="57"/>
      <c r="CC67" s="57"/>
      <c r="CD67" s="57"/>
      <c r="CE67" s="57"/>
      <c r="CF67" s="57"/>
      <c r="CG67" s="57"/>
      <c r="CH67" s="57"/>
      <c r="CI67" s="57"/>
      <c r="CJ67" s="57"/>
      <c r="CK67" s="57"/>
      <c r="CL67" s="57"/>
      <c r="CM67" s="57"/>
      <c r="CN67" s="57"/>
      <c r="CO67" s="57"/>
      <c r="CP67" s="57"/>
      <c r="CQ67" s="57"/>
      <c r="CR67" s="57"/>
      <c r="CS67" s="57"/>
      <c r="CT67" s="57"/>
      <c r="CU67" s="57"/>
      <c r="CV67" s="57"/>
      <c r="CW67" s="57"/>
      <c r="CX67" s="57"/>
      <c r="CY67" s="57"/>
      <c r="CZ67" s="57"/>
      <c r="DA67" s="57"/>
      <c r="DB67" s="57"/>
      <c r="DC67" s="57"/>
      <c r="DD67" s="57"/>
      <c r="DE67" s="57"/>
      <c r="DF67" s="57"/>
      <c r="DG67" s="57"/>
      <c r="DH67" s="57"/>
      <c r="DI67" s="57"/>
      <c r="DJ67" s="57"/>
      <c r="DK67" s="57"/>
      <c r="DL67" s="57"/>
      <c r="DM67" s="57"/>
      <c r="DN67" s="57"/>
      <c r="DO67" s="57"/>
      <c r="DP67" s="57"/>
      <c r="DQ67" s="57"/>
      <c r="DR67" s="57"/>
      <c r="DS67" s="57"/>
      <c r="DT67" s="57"/>
      <c r="DU67" s="52"/>
      <c r="DV67" s="52"/>
      <c r="DW67" s="52"/>
      <c r="DX67" s="52"/>
      <c r="DY67" s="52"/>
      <c r="DZ67" s="52"/>
      <c r="EA67" s="52"/>
      <c r="EB67" s="52"/>
      <c r="EC67" s="52"/>
      <c r="ED67" s="52"/>
      <c r="EE67" s="52"/>
      <c r="EF67" s="52"/>
      <c r="EG67" s="52"/>
      <c r="EH67" s="52"/>
      <c r="EI67" s="52"/>
      <c r="EJ67" s="52"/>
    </row>
    <row r="68" spans="1:140" s="21" customFormat="1" ht="15" customHeight="1">
      <c r="A68" s="91"/>
      <c r="B68" s="91"/>
      <c r="C68" s="196" t="str">
        <f>IF(MasterSheet!$A$1=1,MasterSheet!C210,MasterSheet!B210)</f>
        <v>Rashodi za materijal i usluge</v>
      </c>
      <c r="D68" s="190">
        <v>14680010.780000001</v>
      </c>
      <c r="E68" s="191">
        <f t="shared" si="0"/>
        <v>0.6831407129228908</v>
      </c>
      <c r="F68" s="190">
        <v>21387573.460000001</v>
      </c>
      <c r="G68" s="191">
        <f t="shared" si="1"/>
        <v>0.7978949248274575</v>
      </c>
      <c r="H68" s="190">
        <v>23284608.100000001</v>
      </c>
      <c r="I68" s="191">
        <f t="shared" si="2"/>
        <v>0.75462172997148047</v>
      </c>
      <c r="J68" s="190">
        <v>19998061.219999999</v>
      </c>
      <c r="K68" s="191">
        <f t="shared" si="3"/>
        <v>0.67085076216034878</v>
      </c>
      <c r="L68" s="190">
        <v>17840000</v>
      </c>
      <c r="M68" s="191">
        <f t="shared" si="4"/>
        <v>0.57474226804123707</v>
      </c>
      <c r="N68" s="190">
        <v>15836529.350000001</v>
      </c>
      <c r="O68" s="191">
        <f t="shared" si="5"/>
        <v>0.48968860080395799</v>
      </c>
      <c r="P68" s="285">
        <v>16836563.879999999</v>
      </c>
      <c r="Q68" s="286">
        <f t="shared" si="6"/>
        <v>0.53466382597650042</v>
      </c>
      <c r="R68" s="285">
        <v>14672436.078300001</v>
      </c>
      <c r="S68" s="286">
        <f t="shared" si="7"/>
        <v>0.41718612676428779</v>
      </c>
      <c r="T68" s="282">
        <f t="shared" si="23"/>
        <v>14965884.799866002</v>
      </c>
      <c r="U68" s="286">
        <f t="shared" si="22"/>
        <v>0.42552984929957355</v>
      </c>
      <c r="V68" s="816">
        <f t="shared" si="18"/>
        <v>293448.72156600095</v>
      </c>
      <c r="W68" s="819">
        <f t="shared" si="18"/>
        <v>8.343722535285758E-3</v>
      </c>
      <c r="X68" s="285">
        <v>15846230.964564003</v>
      </c>
      <c r="Y68" s="287">
        <f t="shared" si="9"/>
        <v>0.42426321190265071</v>
      </c>
      <c r="Z68" s="282">
        <v>16242386.738678101</v>
      </c>
      <c r="AA68" s="286">
        <f t="shared" si="10"/>
        <v>0.40789519685279008</v>
      </c>
      <c r="AB68" s="282">
        <f>+Z68*1.015</f>
        <v>16486022.539758271</v>
      </c>
      <c r="AC68" s="286">
        <f t="shared" si="11"/>
        <v>0.38654214630148348</v>
      </c>
      <c r="AD68" s="84"/>
      <c r="AE68" s="84"/>
      <c r="AF68" s="56"/>
      <c r="AG68" s="56"/>
      <c r="AH68" s="56"/>
      <c r="AI68" s="56"/>
      <c r="AJ68" s="56"/>
      <c r="AK68" s="57"/>
      <c r="AL68" s="57"/>
      <c r="AM68" s="63"/>
      <c r="AN68" s="63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7"/>
      <c r="BY68" s="57"/>
      <c r="BZ68" s="57"/>
      <c r="CA68" s="57"/>
      <c r="CB68" s="57"/>
      <c r="CC68" s="57"/>
      <c r="CD68" s="57"/>
      <c r="CE68" s="57"/>
      <c r="CF68" s="57"/>
      <c r="CG68" s="57"/>
      <c r="CH68" s="57"/>
      <c r="CI68" s="57"/>
      <c r="CJ68" s="57"/>
      <c r="CK68" s="57"/>
      <c r="CL68" s="57"/>
      <c r="CM68" s="57"/>
      <c r="CN68" s="57"/>
      <c r="CO68" s="57"/>
      <c r="CP68" s="57"/>
      <c r="CQ68" s="57"/>
      <c r="CR68" s="57"/>
      <c r="CS68" s="57"/>
      <c r="CT68" s="57"/>
      <c r="CU68" s="57"/>
      <c r="CV68" s="57"/>
      <c r="CW68" s="57"/>
      <c r="CX68" s="57"/>
      <c r="CY68" s="57"/>
      <c r="CZ68" s="57"/>
      <c r="DA68" s="57"/>
      <c r="DB68" s="57"/>
      <c r="DC68" s="57"/>
      <c r="DD68" s="57"/>
      <c r="DE68" s="57"/>
      <c r="DF68" s="57"/>
      <c r="DG68" s="57"/>
      <c r="DH68" s="57"/>
      <c r="DI68" s="57"/>
      <c r="DJ68" s="57"/>
      <c r="DK68" s="57"/>
      <c r="DL68" s="57"/>
      <c r="DM68" s="57"/>
      <c r="DN68" s="57"/>
      <c r="DO68" s="57"/>
      <c r="DP68" s="57"/>
      <c r="DQ68" s="57"/>
      <c r="DR68" s="57"/>
      <c r="DS68" s="57"/>
      <c r="DT68" s="57"/>
      <c r="DU68" s="52"/>
      <c r="DV68" s="52"/>
      <c r="DW68" s="52"/>
      <c r="DX68" s="52"/>
      <c r="DY68" s="52"/>
      <c r="DZ68" s="52"/>
      <c r="EA68" s="52"/>
      <c r="EB68" s="52"/>
      <c r="EC68" s="52"/>
      <c r="ED68" s="52"/>
      <c r="EE68" s="52"/>
      <c r="EF68" s="52"/>
      <c r="EG68" s="52"/>
      <c r="EH68" s="52"/>
      <c r="EI68" s="52"/>
      <c r="EJ68" s="52"/>
    </row>
    <row r="69" spans="1:140" s="21" customFormat="1" ht="15" customHeight="1">
      <c r="A69" s="81"/>
      <c r="B69" s="81"/>
      <c r="C69" s="196" t="str">
        <f>IF(MasterSheet!$A$1=1,MasterSheet!C211,MasterSheet!B211)</f>
        <v>Tekuće održavanje</v>
      </c>
      <c r="D69" s="190">
        <v>4644683.17</v>
      </c>
      <c r="E69" s="191">
        <f t="shared" si="0"/>
        <v>0.21614235981199684</v>
      </c>
      <c r="F69" s="190">
        <v>7490889.2599999998</v>
      </c>
      <c r="G69" s="191">
        <f t="shared" si="1"/>
        <v>0.27945865547472487</v>
      </c>
      <c r="H69" s="190">
        <v>7738618.5800000001</v>
      </c>
      <c r="I69" s="191">
        <f t="shared" si="2"/>
        <v>0.25079785390199638</v>
      </c>
      <c r="J69" s="190">
        <v>4862089.4800000004</v>
      </c>
      <c r="K69" s="191">
        <f t="shared" si="3"/>
        <v>0.16310263267359948</v>
      </c>
      <c r="L69" s="190">
        <v>4840000</v>
      </c>
      <c r="M69" s="191">
        <f t="shared" si="4"/>
        <v>0.15592783505154639</v>
      </c>
      <c r="N69" s="190">
        <v>4621732.5999999996</v>
      </c>
      <c r="O69" s="191">
        <f t="shared" si="5"/>
        <v>0.14291071737786021</v>
      </c>
      <c r="P69" s="285">
        <v>5028758.5099999988</v>
      </c>
      <c r="Q69" s="286">
        <f t="shared" si="6"/>
        <v>0.15969382375357252</v>
      </c>
      <c r="R69" s="285">
        <v>4697878.71</v>
      </c>
      <c r="S69" s="286">
        <f t="shared" si="7"/>
        <v>0.1335763067955644</v>
      </c>
      <c r="T69" s="282">
        <f t="shared" si="23"/>
        <v>4791836.2841999996</v>
      </c>
      <c r="U69" s="286">
        <f t="shared" si="22"/>
        <v>0.13624783293147569</v>
      </c>
      <c r="V69" s="816">
        <f t="shared" si="18"/>
        <v>93957.574199999683</v>
      </c>
      <c r="W69" s="819">
        <f t="shared" si="18"/>
        <v>2.6715261359112896E-3</v>
      </c>
      <c r="X69" s="285">
        <v>5167666.5810000002</v>
      </c>
      <c r="Y69" s="287">
        <f t="shared" si="9"/>
        <v>0.13835787365461849</v>
      </c>
      <c r="Z69" s="282">
        <v>5901199.8971999995</v>
      </c>
      <c r="AA69" s="286">
        <f t="shared" si="10"/>
        <v>0.14819688340532394</v>
      </c>
      <c r="AB69" s="282">
        <v>6001199.8971999995</v>
      </c>
      <c r="AC69" s="286">
        <f t="shared" si="11"/>
        <v>0.14070808668698712</v>
      </c>
      <c r="AD69" s="84"/>
      <c r="AE69" s="84"/>
      <c r="AF69" s="56"/>
      <c r="AG69" s="56"/>
      <c r="AH69" s="56"/>
      <c r="AI69" s="56"/>
      <c r="AJ69" s="56"/>
      <c r="AK69" s="57"/>
      <c r="AL69" s="57"/>
      <c r="AM69" s="157"/>
      <c r="AN69" s="1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7"/>
      <c r="CA69" s="57"/>
      <c r="CB69" s="57"/>
      <c r="CC69" s="57"/>
      <c r="CD69" s="57"/>
      <c r="CE69" s="57"/>
      <c r="CF69" s="57"/>
      <c r="CG69" s="57"/>
      <c r="CH69" s="57"/>
      <c r="CI69" s="57"/>
      <c r="CJ69" s="57"/>
      <c r="CK69" s="57"/>
      <c r="CL69" s="57"/>
      <c r="CM69" s="57"/>
      <c r="CN69" s="57"/>
      <c r="CO69" s="57"/>
      <c r="CP69" s="57"/>
      <c r="CQ69" s="57"/>
      <c r="CR69" s="57"/>
      <c r="CS69" s="57"/>
      <c r="CT69" s="57"/>
      <c r="CU69" s="57"/>
      <c r="CV69" s="57"/>
      <c r="CW69" s="57"/>
      <c r="CX69" s="57"/>
      <c r="CY69" s="57"/>
      <c r="CZ69" s="57"/>
      <c r="DA69" s="57"/>
      <c r="DB69" s="57"/>
      <c r="DC69" s="57"/>
      <c r="DD69" s="57"/>
      <c r="DE69" s="57"/>
      <c r="DF69" s="57"/>
      <c r="DG69" s="57"/>
      <c r="DH69" s="57"/>
      <c r="DI69" s="57"/>
      <c r="DJ69" s="57"/>
      <c r="DK69" s="57"/>
      <c r="DL69" s="57"/>
      <c r="DM69" s="57"/>
      <c r="DN69" s="57"/>
      <c r="DO69" s="57"/>
      <c r="DP69" s="57"/>
      <c r="DQ69" s="57"/>
      <c r="DR69" s="57"/>
      <c r="DS69" s="57"/>
      <c r="DT69" s="57"/>
      <c r="DU69" s="52"/>
      <c r="DV69" s="52"/>
      <c r="DW69" s="52"/>
      <c r="DX69" s="52"/>
      <c r="DY69" s="52"/>
      <c r="DZ69" s="52"/>
      <c r="EA69" s="52"/>
      <c r="EB69" s="52"/>
      <c r="EC69" s="52"/>
      <c r="ED69" s="52"/>
      <c r="EE69" s="52"/>
      <c r="EF69" s="52"/>
      <c r="EG69" s="52"/>
      <c r="EH69" s="52"/>
      <c r="EI69" s="52"/>
      <c r="EJ69" s="52"/>
    </row>
    <row r="70" spans="1:140" s="21" customFormat="1" ht="15" customHeight="1">
      <c r="A70" s="81"/>
      <c r="B70" s="81"/>
      <c r="C70" s="196" t="str">
        <f>IF(MasterSheet!$A$1=1,MasterSheet!C212,MasterSheet!B212)</f>
        <v>Kamate</v>
      </c>
      <c r="D70" s="190">
        <v>455669.44</v>
      </c>
      <c r="E70" s="191">
        <f t="shared" si="0"/>
        <v>2.1204776397226489E-2</v>
      </c>
      <c r="F70" s="190">
        <v>836173.69</v>
      </c>
      <c r="G70" s="191">
        <f t="shared" si="1"/>
        <v>3.1194690915873902E-2</v>
      </c>
      <c r="H70" s="190">
        <v>1273698.22</v>
      </c>
      <c r="I70" s="191">
        <f t="shared" si="2"/>
        <v>4.1278785973554576E-2</v>
      </c>
      <c r="J70" s="190">
        <v>1010709.4</v>
      </c>
      <c r="K70" s="191">
        <f t="shared" si="3"/>
        <v>3.3905045286816503E-2</v>
      </c>
      <c r="L70" s="190">
        <v>1150000</v>
      </c>
      <c r="M70" s="191">
        <f t="shared" si="4"/>
        <v>3.7048969072164949E-2</v>
      </c>
      <c r="N70" s="190">
        <v>2510915.6800000002</v>
      </c>
      <c r="O70" s="191">
        <f t="shared" si="5"/>
        <v>7.7641177489177496E-2</v>
      </c>
      <c r="P70" s="285">
        <v>2860462.2</v>
      </c>
      <c r="Q70" s="286">
        <f t="shared" si="6"/>
        <v>9.0837161003493178E-2</v>
      </c>
      <c r="R70" s="285">
        <v>3919955.4450000003</v>
      </c>
      <c r="S70" s="286">
        <f t="shared" si="7"/>
        <v>0.1114573626670458</v>
      </c>
      <c r="T70" s="282">
        <f t="shared" si="23"/>
        <v>3998354.5539000002</v>
      </c>
      <c r="U70" s="286">
        <f t="shared" si="22"/>
        <v>0.1136865099203867</v>
      </c>
      <c r="V70" s="816">
        <f t="shared" si="18"/>
        <v>78399.108899999876</v>
      </c>
      <c r="W70" s="819">
        <f t="shared" si="18"/>
        <v>2.2291472533409046E-3</v>
      </c>
      <c r="X70" s="285">
        <v>4351150.5439500008</v>
      </c>
      <c r="Y70" s="287">
        <f t="shared" si="9"/>
        <v>0.11649666784337351</v>
      </c>
      <c r="Z70" s="282">
        <v>5016495.7071350003</v>
      </c>
      <c r="AA70" s="286">
        <f t="shared" si="10"/>
        <v>0.12597929952624312</v>
      </c>
      <c r="AB70" s="282">
        <v>5556495.7071350003</v>
      </c>
      <c r="AC70" s="286">
        <f t="shared" si="11"/>
        <v>0.13028125925287223</v>
      </c>
      <c r="AD70" s="84"/>
      <c r="AE70" s="84"/>
      <c r="AF70" s="56"/>
      <c r="AG70" s="56"/>
      <c r="AH70" s="56"/>
      <c r="AI70" s="56"/>
      <c r="AJ70" s="56"/>
      <c r="AK70" s="57"/>
      <c r="AL70" s="57"/>
      <c r="AM70" s="157"/>
      <c r="AN70" s="1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7"/>
      <c r="CA70" s="57"/>
      <c r="CB70" s="57"/>
      <c r="CC70" s="57"/>
      <c r="CD70" s="57"/>
      <c r="CE70" s="57"/>
      <c r="CF70" s="57"/>
      <c r="CG70" s="57"/>
      <c r="CH70" s="57"/>
      <c r="CI70" s="57"/>
      <c r="CJ70" s="57"/>
      <c r="CK70" s="57"/>
      <c r="CL70" s="57"/>
      <c r="CM70" s="57"/>
      <c r="CN70" s="57"/>
      <c r="CO70" s="57"/>
      <c r="CP70" s="57"/>
      <c r="CQ70" s="57"/>
      <c r="CR70" s="57"/>
      <c r="CS70" s="57"/>
      <c r="CT70" s="57"/>
      <c r="CU70" s="57"/>
      <c r="CV70" s="57"/>
      <c r="CW70" s="57"/>
      <c r="CX70" s="57"/>
      <c r="CY70" s="57"/>
      <c r="CZ70" s="57"/>
      <c r="DA70" s="57"/>
      <c r="DB70" s="57"/>
      <c r="DC70" s="57"/>
      <c r="DD70" s="57"/>
      <c r="DE70" s="57"/>
      <c r="DF70" s="57"/>
      <c r="DG70" s="57"/>
      <c r="DH70" s="57"/>
      <c r="DI70" s="57"/>
      <c r="DJ70" s="57"/>
      <c r="DK70" s="57"/>
      <c r="DL70" s="57"/>
      <c r="DM70" s="57"/>
      <c r="DN70" s="57"/>
      <c r="DO70" s="57"/>
      <c r="DP70" s="57"/>
      <c r="DQ70" s="57"/>
      <c r="DR70" s="57"/>
      <c r="DS70" s="57"/>
      <c r="DT70" s="57"/>
      <c r="DU70" s="52"/>
      <c r="DV70" s="52"/>
      <c r="DW70" s="52"/>
      <c r="DX70" s="52"/>
      <c r="DY70" s="52"/>
      <c r="DZ70" s="52"/>
      <c r="EA70" s="52"/>
      <c r="EB70" s="52"/>
      <c r="EC70" s="52"/>
      <c r="ED70" s="52"/>
      <c r="EE70" s="52"/>
      <c r="EF70" s="52"/>
      <c r="EG70" s="52"/>
      <c r="EH70" s="52"/>
      <c r="EI70" s="52"/>
      <c r="EJ70" s="52"/>
    </row>
    <row r="71" spans="1:140" s="21" customFormat="1" ht="15" customHeight="1">
      <c r="A71" s="81"/>
      <c r="B71" s="81"/>
      <c r="C71" s="196" t="str">
        <f>IF(MasterSheet!$A$1=1,MasterSheet!C213,MasterSheet!B213)</f>
        <v>Renta</v>
      </c>
      <c r="D71" s="190">
        <v>422746.26</v>
      </c>
      <c r="E71" s="191">
        <f t="shared" si="0"/>
        <v>1.9672681837219042E-2</v>
      </c>
      <c r="F71" s="190">
        <v>681936.29</v>
      </c>
      <c r="G71" s="191">
        <f t="shared" si="1"/>
        <v>2.5440637567617982E-2</v>
      </c>
      <c r="H71" s="190">
        <v>813077.09</v>
      </c>
      <c r="I71" s="191">
        <f t="shared" si="2"/>
        <v>2.6350696460980035E-2</v>
      </c>
      <c r="J71" s="190">
        <v>729952.59</v>
      </c>
      <c r="K71" s="191">
        <f t="shared" si="3"/>
        <v>2.4486836296544783E-2</v>
      </c>
      <c r="L71" s="190">
        <v>570000</v>
      </c>
      <c r="M71" s="191">
        <f t="shared" si="4"/>
        <v>1.8363402061855671E-2</v>
      </c>
      <c r="N71" s="190">
        <v>330969.98</v>
      </c>
      <c r="O71" s="191">
        <f t="shared" si="5"/>
        <v>1.0234074829931973E-2</v>
      </c>
      <c r="P71" s="285">
        <v>317175.2</v>
      </c>
      <c r="Q71" s="286">
        <f t="shared" si="6"/>
        <v>1.007225150841537E-2</v>
      </c>
      <c r="R71" s="285">
        <v>361752.85499999998</v>
      </c>
      <c r="S71" s="286">
        <f t="shared" si="7"/>
        <v>1.0285836081887972E-2</v>
      </c>
      <c r="T71" s="282">
        <f t="shared" si="23"/>
        <v>368987.91210000002</v>
      </c>
      <c r="U71" s="286">
        <f t="shared" si="22"/>
        <v>1.0491552803525733E-2</v>
      </c>
      <c r="V71" s="816">
        <f t="shared" si="18"/>
        <v>7235.0571000000346</v>
      </c>
      <c r="W71" s="819">
        <f t="shared" si="18"/>
        <v>2.0571672163776158E-4</v>
      </c>
      <c r="X71" s="285">
        <v>397928.14050000004</v>
      </c>
      <c r="Y71" s="287">
        <f t="shared" si="9"/>
        <v>1.0654033212851407E-2</v>
      </c>
      <c r="Z71" s="282">
        <v>407876.34401250002</v>
      </c>
      <c r="AA71" s="286">
        <f t="shared" si="10"/>
        <v>1.024300210980663E-2</v>
      </c>
      <c r="AB71" s="282">
        <v>407876.34401250002</v>
      </c>
      <c r="AC71" s="286">
        <f t="shared" si="11"/>
        <v>9.5633374915005866E-3</v>
      </c>
      <c r="AD71" s="84"/>
      <c r="AE71" s="84"/>
      <c r="AF71" s="56"/>
      <c r="AG71" s="56"/>
      <c r="AH71" s="56"/>
      <c r="AI71" s="56"/>
      <c r="AJ71" s="56"/>
      <c r="AK71" s="57"/>
      <c r="AL71" s="57"/>
      <c r="AM71" s="157"/>
      <c r="AN71" s="1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7"/>
      <c r="CA71" s="57"/>
      <c r="CB71" s="57"/>
      <c r="CC71" s="57"/>
      <c r="CD71" s="57"/>
      <c r="CE71" s="57"/>
      <c r="CF71" s="57"/>
      <c r="CG71" s="57"/>
      <c r="CH71" s="57"/>
      <c r="CI71" s="57"/>
      <c r="CJ71" s="57"/>
      <c r="CK71" s="57"/>
      <c r="CL71" s="57"/>
      <c r="CM71" s="57"/>
      <c r="CN71" s="57"/>
      <c r="CO71" s="57"/>
      <c r="CP71" s="57"/>
      <c r="CQ71" s="57"/>
      <c r="CR71" s="57"/>
      <c r="CS71" s="57"/>
      <c r="CT71" s="57"/>
      <c r="CU71" s="57"/>
      <c r="CV71" s="57"/>
      <c r="CW71" s="57"/>
      <c r="CX71" s="57"/>
      <c r="CY71" s="57"/>
      <c r="CZ71" s="57"/>
      <c r="DA71" s="57"/>
      <c r="DB71" s="57"/>
      <c r="DC71" s="57"/>
      <c r="DD71" s="57"/>
      <c r="DE71" s="57"/>
      <c r="DF71" s="57"/>
      <c r="DG71" s="57"/>
      <c r="DH71" s="57"/>
      <c r="DI71" s="57"/>
      <c r="DJ71" s="57"/>
      <c r="DK71" s="57"/>
      <c r="DL71" s="57"/>
      <c r="DM71" s="57"/>
      <c r="DN71" s="57"/>
      <c r="DO71" s="57"/>
      <c r="DP71" s="57"/>
      <c r="DQ71" s="57"/>
      <c r="DR71" s="57"/>
      <c r="DS71" s="57"/>
      <c r="DT71" s="57"/>
      <c r="DU71" s="52"/>
      <c r="DV71" s="52"/>
      <c r="DW71" s="52"/>
      <c r="DX71" s="52"/>
      <c r="DY71" s="52"/>
      <c r="DZ71" s="52"/>
      <c r="EA71" s="52"/>
      <c r="EB71" s="52"/>
      <c r="EC71" s="52"/>
      <c r="ED71" s="52"/>
      <c r="EE71" s="52"/>
      <c r="EF71" s="52"/>
      <c r="EG71" s="52"/>
      <c r="EH71" s="52"/>
      <c r="EI71" s="52"/>
      <c r="EJ71" s="52"/>
    </row>
    <row r="72" spans="1:140" s="21" customFormat="1" ht="15" customHeight="1">
      <c r="A72" s="81"/>
      <c r="B72" s="81"/>
      <c r="C72" s="196" t="str">
        <f>IF(MasterSheet!$A$1=1,MasterSheet!C214,MasterSheet!B214)</f>
        <v>Subvencije</v>
      </c>
      <c r="D72" s="190">
        <v>535086.44999999995</v>
      </c>
      <c r="E72" s="191">
        <f t="shared" si="0"/>
        <v>2.4900481641770205E-2</v>
      </c>
      <c r="F72" s="190">
        <v>797354.68</v>
      </c>
      <c r="G72" s="191">
        <f t="shared" si="1"/>
        <v>2.974649058011565E-2</v>
      </c>
      <c r="H72" s="190">
        <v>1547180</v>
      </c>
      <c r="I72" s="191">
        <f t="shared" si="2"/>
        <v>5.0141949701840813E-2</v>
      </c>
      <c r="J72" s="190">
        <v>1131782.23</v>
      </c>
      <c r="K72" s="191">
        <f t="shared" si="3"/>
        <v>3.7966529017108348E-2</v>
      </c>
      <c r="L72" s="190">
        <v>750000</v>
      </c>
      <c r="M72" s="191">
        <f t="shared" si="4"/>
        <v>2.4162371134020619E-2</v>
      </c>
      <c r="N72" s="190">
        <v>952860</v>
      </c>
      <c r="O72" s="191">
        <f t="shared" si="5"/>
        <v>2.946382189239332E-2</v>
      </c>
      <c r="P72" s="285">
        <v>754203.5</v>
      </c>
      <c r="Q72" s="286">
        <f t="shared" si="6"/>
        <v>2.3950571610034933E-2</v>
      </c>
      <c r="R72" s="285">
        <v>701490.13350000011</v>
      </c>
      <c r="S72" s="286">
        <f t="shared" si="7"/>
        <v>1.9945696147284621E-2</v>
      </c>
      <c r="T72" s="282">
        <f t="shared" si="23"/>
        <v>715519.93617000012</v>
      </c>
      <c r="U72" s="286">
        <f t="shared" si="22"/>
        <v>2.0344610070230314E-2</v>
      </c>
      <c r="V72" s="816">
        <f t="shared" si="18"/>
        <v>14029.802670000005</v>
      </c>
      <c r="W72" s="819">
        <f t="shared" si="18"/>
        <v>3.9891392294569283E-4</v>
      </c>
      <c r="X72" s="285">
        <v>771639.14685000014</v>
      </c>
      <c r="Y72" s="287">
        <f t="shared" si="9"/>
        <v>2.0659682646586349E-2</v>
      </c>
      <c r="Z72" s="282">
        <v>790930.12552125007</v>
      </c>
      <c r="AA72" s="286">
        <f t="shared" si="10"/>
        <v>1.9862634995511053E-2</v>
      </c>
      <c r="AB72" s="282">
        <v>810930.12552124995</v>
      </c>
      <c r="AC72" s="286">
        <f t="shared" si="11"/>
        <v>1.9013602005187574E-2</v>
      </c>
      <c r="AD72" s="84"/>
      <c r="AE72" s="84"/>
      <c r="AF72" s="56"/>
      <c r="AG72" s="56"/>
      <c r="AH72" s="56"/>
      <c r="AI72" s="56"/>
      <c r="AJ72" s="56"/>
      <c r="AK72" s="57"/>
      <c r="AL72" s="57"/>
      <c r="AM72" s="157"/>
      <c r="AN72" s="1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  <c r="CM72" s="57"/>
      <c r="CN72" s="57"/>
      <c r="CO72" s="57"/>
      <c r="CP72" s="57"/>
      <c r="CQ72" s="57"/>
      <c r="CR72" s="57"/>
      <c r="CS72" s="57"/>
      <c r="CT72" s="57"/>
      <c r="CU72" s="57"/>
      <c r="CV72" s="57"/>
      <c r="CW72" s="57"/>
      <c r="CX72" s="57"/>
      <c r="CY72" s="57"/>
      <c r="CZ72" s="57"/>
      <c r="DA72" s="57"/>
      <c r="DB72" s="57"/>
      <c r="DC72" s="57"/>
      <c r="DD72" s="57"/>
      <c r="DE72" s="57"/>
      <c r="DF72" s="57"/>
      <c r="DG72" s="57"/>
      <c r="DH72" s="57"/>
      <c r="DI72" s="57"/>
      <c r="DJ72" s="57"/>
      <c r="DK72" s="57"/>
      <c r="DL72" s="57"/>
      <c r="DM72" s="57"/>
      <c r="DN72" s="57"/>
      <c r="DO72" s="57"/>
      <c r="DP72" s="57"/>
      <c r="DQ72" s="57"/>
      <c r="DR72" s="57"/>
      <c r="DS72" s="57"/>
      <c r="DT72" s="57"/>
      <c r="DU72" s="52"/>
      <c r="DV72" s="52"/>
      <c r="DW72" s="52"/>
      <c r="DX72" s="52"/>
      <c r="DY72" s="52"/>
      <c r="DZ72" s="52"/>
      <c r="EA72" s="52"/>
      <c r="EB72" s="52"/>
      <c r="EC72" s="52"/>
      <c r="ED72" s="52"/>
      <c r="EE72" s="52"/>
      <c r="EF72" s="52"/>
      <c r="EG72" s="52"/>
      <c r="EH72" s="52"/>
      <c r="EI72" s="52"/>
      <c r="EJ72" s="52"/>
    </row>
    <row r="73" spans="1:140" s="21" customFormat="1" ht="15" customHeight="1">
      <c r="A73" s="81"/>
      <c r="B73" s="81"/>
      <c r="C73" s="196" t="str">
        <f>IF(MasterSheet!$A$1=1,MasterSheet!C215,MasterSheet!B215)</f>
        <v>Ostali izdaci</v>
      </c>
      <c r="D73" s="190">
        <v>1240417.81</v>
      </c>
      <c r="E73" s="191">
        <f t="shared" si="0"/>
        <v>5.772338452231375E-2</v>
      </c>
      <c r="F73" s="190">
        <v>2013836.12</v>
      </c>
      <c r="G73" s="191">
        <f t="shared" si="1"/>
        <v>7.5129122178698007E-2</v>
      </c>
      <c r="H73" s="190">
        <v>4566368.7615</v>
      </c>
      <c r="I73" s="191">
        <f t="shared" si="2"/>
        <v>0.14798965392468239</v>
      </c>
      <c r="J73" s="190">
        <v>833178.99</v>
      </c>
      <c r="K73" s="191">
        <f t="shared" si="3"/>
        <v>2.7949647433747064E-2</v>
      </c>
      <c r="L73" s="190">
        <v>980000</v>
      </c>
      <c r="M73" s="191">
        <f t="shared" si="4"/>
        <v>3.1572164948453607E-2</v>
      </c>
      <c r="N73" s="190">
        <v>1230492.5799999998</v>
      </c>
      <c r="O73" s="191">
        <f t="shared" si="5"/>
        <v>3.8048626468769324E-2</v>
      </c>
      <c r="P73" s="285">
        <v>842778.14999999991</v>
      </c>
      <c r="Q73" s="286">
        <f t="shared" si="6"/>
        <v>2.6763358208955222E-2</v>
      </c>
      <c r="R73" s="285">
        <v>1022571.777</v>
      </c>
      <c r="S73" s="286">
        <f t="shared" si="7"/>
        <v>2.9075114500995165E-2</v>
      </c>
      <c r="T73" s="282">
        <f t="shared" si="23"/>
        <v>1043023.21254</v>
      </c>
      <c r="U73" s="286">
        <f t="shared" si="22"/>
        <v>2.965661679101507E-2</v>
      </c>
      <c r="V73" s="816">
        <f t="shared" si="18"/>
        <v>20451.435539999977</v>
      </c>
      <c r="W73" s="819">
        <f t="shared" si="18"/>
        <v>5.8150229001990503E-4</v>
      </c>
      <c r="X73" s="285">
        <v>1124828.9547000001</v>
      </c>
      <c r="Y73" s="287">
        <f t="shared" si="9"/>
        <v>3.0115902401606425E-2</v>
      </c>
      <c r="Z73" s="282">
        <v>1152949.6785675001</v>
      </c>
      <c r="AA73" s="286">
        <f t="shared" si="10"/>
        <v>2.895403512223757E-2</v>
      </c>
      <c r="AB73" s="282">
        <v>1172949.6785675001</v>
      </c>
      <c r="AC73" s="286">
        <f t="shared" si="11"/>
        <v>2.7501750962895668E-2</v>
      </c>
      <c r="AD73" s="81"/>
      <c r="AE73" s="81"/>
      <c r="AF73" s="52"/>
      <c r="AG73" s="52"/>
      <c r="AH73" s="52"/>
      <c r="AI73" s="52"/>
      <c r="AJ73" s="52"/>
      <c r="AK73" s="57"/>
      <c r="AL73" s="57"/>
      <c r="AM73" s="157"/>
      <c r="AN73" s="1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7"/>
      <c r="CA73" s="57"/>
      <c r="CB73" s="57"/>
      <c r="CC73" s="57"/>
      <c r="CD73" s="57"/>
      <c r="CE73" s="57"/>
      <c r="CF73" s="57"/>
      <c r="CG73" s="57"/>
      <c r="CH73" s="57"/>
      <c r="CI73" s="57"/>
      <c r="CJ73" s="57"/>
      <c r="CK73" s="57"/>
      <c r="CL73" s="57"/>
      <c r="CM73" s="57"/>
      <c r="CN73" s="57"/>
      <c r="CO73" s="57"/>
      <c r="CP73" s="57"/>
      <c r="CQ73" s="57"/>
      <c r="CR73" s="57"/>
      <c r="CS73" s="57"/>
      <c r="CT73" s="57"/>
      <c r="CU73" s="57"/>
      <c r="CV73" s="57"/>
      <c r="CW73" s="57"/>
      <c r="CX73" s="57"/>
      <c r="CY73" s="57"/>
      <c r="CZ73" s="57"/>
      <c r="DA73" s="57"/>
      <c r="DB73" s="57"/>
      <c r="DC73" s="57"/>
      <c r="DD73" s="57"/>
      <c r="DE73" s="57"/>
      <c r="DF73" s="57"/>
      <c r="DG73" s="57"/>
      <c r="DH73" s="57"/>
      <c r="DI73" s="57"/>
      <c r="DJ73" s="57"/>
      <c r="DK73" s="57"/>
      <c r="DL73" s="57"/>
      <c r="DM73" s="57"/>
      <c r="DN73" s="57"/>
      <c r="DO73" s="57"/>
      <c r="DP73" s="57"/>
      <c r="DQ73" s="57"/>
      <c r="DR73" s="57"/>
      <c r="DS73" s="57"/>
      <c r="DT73" s="57"/>
      <c r="DU73" s="52"/>
      <c r="DV73" s="52"/>
      <c r="DW73" s="52"/>
      <c r="DX73" s="52"/>
      <c r="DY73" s="52"/>
      <c r="DZ73" s="52"/>
      <c r="EA73" s="52"/>
      <c r="EB73" s="52"/>
      <c r="EC73" s="52"/>
      <c r="ED73" s="52"/>
      <c r="EE73" s="52"/>
      <c r="EF73" s="52"/>
      <c r="EG73" s="52"/>
      <c r="EH73" s="52"/>
      <c r="EI73" s="52"/>
      <c r="EJ73" s="52"/>
    </row>
    <row r="74" spans="1:140" s="21" customFormat="1" ht="15" customHeight="1">
      <c r="A74" s="81"/>
      <c r="B74" s="81"/>
      <c r="C74" s="196" t="str">
        <f>IF(MasterSheet!$A$1=1,MasterSheet!C216,MasterSheet!B216)</f>
        <v>Transferi za socijalnu zaštitu</v>
      </c>
      <c r="D74" s="190">
        <f>SUM(D75:D79)</f>
        <v>285178.90000000002</v>
      </c>
      <c r="E74" s="191">
        <f t="shared" si="0"/>
        <v>1.3270924659127928E-2</v>
      </c>
      <c r="F74" s="190">
        <f>SUM(F75:F79)</f>
        <v>267122.38</v>
      </c>
      <c r="G74" s="191">
        <f t="shared" si="1"/>
        <v>9.9653937698190639E-3</v>
      </c>
      <c r="H74" s="190">
        <f>SUM(H75:H79)</f>
        <v>3877000.1</v>
      </c>
      <c r="I74" s="191">
        <f t="shared" si="2"/>
        <v>0.125648175395385</v>
      </c>
      <c r="J74" s="190">
        <f>SUM(J75:J79)</f>
        <v>604891.49</v>
      </c>
      <c r="K74" s="191">
        <f t="shared" si="3"/>
        <v>2.0291562898356257E-2</v>
      </c>
      <c r="L74" s="190">
        <f>SUM(L75:L79)</f>
        <v>440000</v>
      </c>
      <c r="M74" s="191">
        <f t="shared" si="4"/>
        <v>1.4175257731958763E-2</v>
      </c>
      <c r="N74" s="190">
        <f>SUM(N75:N79)</f>
        <v>761932.83999999985</v>
      </c>
      <c r="O74" s="191">
        <f t="shared" si="5"/>
        <v>2.3560075448361157E-2</v>
      </c>
      <c r="P74" s="285">
        <f>SUM(P75:P79)</f>
        <v>453275.36</v>
      </c>
      <c r="Q74" s="286">
        <f t="shared" si="6"/>
        <v>1.4394263575738329E-2</v>
      </c>
      <c r="R74" s="285">
        <f>SUM(R75:R79)</f>
        <v>389678.83500000008</v>
      </c>
      <c r="S74" s="286">
        <f t="shared" si="7"/>
        <v>1.1079864515211832E-2</v>
      </c>
      <c r="T74" s="285">
        <f>SUM(T75:T79)</f>
        <v>397472.41170000011</v>
      </c>
      <c r="U74" s="286">
        <f t="shared" si="22"/>
        <v>1.1301461805516068E-2</v>
      </c>
      <c r="V74" s="818">
        <f t="shared" si="18"/>
        <v>7793.5767000000342</v>
      </c>
      <c r="W74" s="819">
        <f t="shared" si="18"/>
        <v>2.2159729030423597E-4</v>
      </c>
      <c r="X74" s="285">
        <f>SUM(X75:X79)</f>
        <v>584518.25250000018</v>
      </c>
      <c r="Y74" s="287">
        <f t="shared" si="9"/>
        <v>1.5649752409638559E-2</v>
      </c>
      <c r="Z74" s="285">
        <f>SUM(Z75:Z79)</f>
        <v>596208.6175500002</v>
      </c>
      <c r="AA74" s="286">
        <f t="shared" si="10"/>
        <v>1.497259210321447E-2</v>
      </c>
      <c r="AB74" s="285">
        <f>SUM(AB75:AB79)</f>
        <v>616208.61754999997</v>
      </c>
      <c r="AC74" s="286">
        <f t="shared" si="11"/>
        <v>1.4448033236811252E-2</v>
      </c>
      <c r="AD74" s="81"/>
      <c r="AE74" s="81"/>
      <c r="AF74" s="52"/>
      <c r="AG74" s="52"/>
      <c r="AH74" s="52"/>
      <c r="AI74" s="52"/>
      <c r="AJ74" s="52"/>
      <c r="AK74" s="57"/>
      <c r="AL74" s="57"/>
      <c r="AM74" s="63"/>
      <c r="AN74" s="63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7"/>
      <c r="CJ74" s="57"/>
      <c r="CK74" s="57"/>
      <c r="CL74" s="57"/>
      <c r="CM74" s="57"/>
      <c r="CN74" s="57"/>
      <c r="CO74" s="57"/>
      <c r="CP74" s="57"/>
      <c r="CQ74" s="57"/>
      <c r="CR74" s="57"/>
      <c r="CS74" s="57"/>
      <c r="CT74" s="57"/>
      <c r="CU74" s="57"/>
      <c r="CV74" s="57"/>
      <c r="CW74" s="57"/>
      <c r="CX74" s="57"/>
      <c r="CY74" s="57"/>
      <c r="CZ74" s="57"/>
      <c r="DA74" s="57"/>
      <c r="DB74" s="57"/>
      <c r="DC74" s="57"/>
      <c r="DD74" s="57"/>
      <c r="DE74" s="57"/>
      <c r="DF74" s="57"/>
      <c r="DG74" s="57"/>
      <c r="DH74" s="57"/>
      <c r="DI74" s="57"/>
      <c r="DJ74" s="57"/>
      <c r="DK74" s="57"/>
      <c r="DL74" s="57"/>
      <c r="DM74" s="57"/>
      <c r="DN74" s="57"/>
      <c r="DO74" s="57"/>
      <c r="DP74" s="57"/>
      <c r="DQ74" s="57"/>
      <c r="DR74" s="57"/>
      <c r="DS74" s="57"/>
      <c r="DT74" s="57"/>
      <c r="DU74" s="52"/>
      <c r="DV74" s="52"/>
      <c r="DW74" s="52"/>
      <c r="DX74" s="52"/>
      <c r="DY74" s="52"/>
      <c r="DZ74" s="52"/>
      <c r="EA74" s="52"/>
      <c r="EB74" s="52"/>
      <c r="EC74" s="52"/>
      <c r="ED74" s="52"/>
      <c r="EE74" s="52"/>
      <c r="EF74" s="52"/>
      <c r="EG74" s="52"/>
      <c r="EH74" s="52"/>
      <c r="EI74" s="52"/>
      <c r="EJ74" s="52"/>
    </row>
    <row r="75" spans="1:140" s="21" customFormat="1" ht="15" customHeight="1">
      <c r="A75" s="81"/>
      <c r="B75" s="81"/>
      <c r="C75" s="195" t="str">
        <f>IF(MasterSheet!$A$1=1,MasterSheet!C217,MasterSheet!B217)</f>
        <v>Prava iz oblasti socijalne zaštite</v>
      </c>
      <c r="D75" s="190">
        <v>254133.9</v>
      </c>
      <c r="E75" s="187">
        <f t="shared" si="0"/>
        <v>1.182623202568756E-2</v>
      </c>
      <c r="F75" s="190">
        <v>195543.38</v>
      </c>
      <c r="G75" s="187">
        <f t="shared" si="1"/>
        <v>7.2950337623577692E-3</v>
      </c>
      <c r="H75" s="186">
        <v>3801208.7</v>
      </c>
      <c r="I75" s="187">
        <f t="shared" si="2"/>
        <v>0.12319188164376459</v>
      </c>
      <c r="J75" s="186">
        <v>549056.49</v>
      </c>
      <c r="K75" s="187">
        <f t="shared" si="3"/>
        <v>1.8418533713518953E-2</v>
      </c>
      <c r="L75" s="190"/>
      <c r="M75" s="187">
        <f t="shared" si="4"/>
        <v>0</v>
      </c>
      <c r="N75" s="186">
        <v>761932.83999999985</v>
      </c>
      <c r="O75" s="187">
        <f t="shared" si="5"/>
        <v>2.3560075448361157E-2</v>
      </c>
      <c r="P75" s="282">
        <v>453275.36</v>
      </c>
      <c r="Q75" s="283">
        <f t="shared" si="6"/>
        <v>1.4394263575738329E-2</v>
      </c>
      <c r="R75" s="282">
        <v>389678.83500000008</v>
      </c>
      <c r="S75" s="283">
        <f t="shared" si="7"/>
        <v>1.1079864515211832E-2</v>
      </c>
      <c r="T75" s="282">
        <f>+R75*1.02</f>
        <v>397472.41170000011</v>
      </c>
      <c r="U75" s="283">
        <f t="shared" si="22"/>
        <v>1.1301461805516068E-2</v>
      </c>
      <c r="V75" s="816">
        <f t="shared" si="18"/>
        <v>7793.5767000000342</v>
      </c>
      <c r="W75" s="817">
        <f t="shared" si="18"/>
        <v>2.2159729030423597E-4</v>
      </c>
      <c r="X75" s="282">
        <v>584518.25250000018</v>
      </c>
      <c r="Y75" s="284">
        <f t="shared" si="9"/>
        <v>1.5649752409638559E-2</v>
      </c>
      <c r="Z75" s="282">
        <v>596208.6175500002</v>
      </c>
      <c r="AA75" s="283">
        <f t="shared" si="10"/>
        <v>1.497259210321447E-2</v>
      </c>
      <c r="AB75" s="282">
        <v>616208.61754999997</v>
      </c>
      <c r="AC75" s="283">
        <f t="shared" si="11"/>
        <v>1.4448033236811252E-2</v>
      </c>
      <c r="AD75" s="84"/>
      <c r="AE75" s="84"/>
      <c r="AF75" s="56"/>
      <c r="AG75" s="56"/>
      <c r="AH75" s="56"/>
      <c r="AI75" s="56"/>
      <c r="AJ75" s="56"/>
      <c r="AK75" s="57"/>
      <c r="AL75" s="57"/>
      <c r="AM75" s="157"/>
      <c r="AN75" s="1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7"/>
      <c r="CK75" s="57"/>
      <c r="CL75" s="57"/>
      <c r="CM75" s="57"/>
      <c r="CN75" s="57"/>
      <c r="CO75" s="57"/>
      <c r="CP75" s="57"/>
      <c r="CQ75" s="57"/>
      <c r="CR75" s="57"/>
      <c r="CS75" s="57"/>
      <c r="CT75" s="57"/>
      <c r="CU75" s="57"/>
      <c r="CV75" s="57"/>
      <c r="CW75" s="57"/>
      <c r="CX75" s="57"/>
      <c r="CY75" s="57"/>
      <c r="CZ75" s="57"/>
      <c r="DA75" s="57"/>
      <c r="DB75" s="57"/>
      <c r="DC75" s="57"/>
      <c r="DD75" s="57"/>
      <c r="DE75" s="57"/>
      <c r="DF75" s="57"/>
      <c r="DG75" s="57"/>
      <c r="DH75" s="57"/>
      <c r="DI75" s="57"/>
      <c r="DJ75" s="57"/>
      <c r="DK75" s="57"/>
      <c r="DL75" s="57"/>
      <c r="DM75" s="57"/>
      <c r="DN75" s="57"/>
      <c r="DO75" s="57"/>
      <c r="DP75" s="57"/>
      <c r="DQ75" s="57"/>
      <c r="DR75" s="57"/>
      <c r="DS75" s="57"/>
      <c r="DT75" s="57"/>
      <c r="DU75" s="52"/>
      <c r="DV75" s="52"/>
      <c r="DW75" s="52"/>
      <c r="DX75" s="52"/>
      <c r="DY75" s="52"/>
      <c r="DZ75" s="52"/>
      <c r="EA75" s="52"/>
      <c r="EB75" s="52"/>
      <c r="EC75" s="52"/>
      <c r="ED75" s="52"/>
      <c r="EE75" s="52"/>
      <c r="EF75" s="52"/>
      <c r="EG75" s="52"/>
      <c r="EH75" s="52"/>
      <c r="EI75" s="52"/>
      <c r="EJ75" s="52"/>
    </row>
    <row r="76" spans="1:140" s="21" customFormat="1" ht="15" hidden="1" customHeight="1">
      <c r="A76" s="81"/>
      <c r="B76" s="81"/>
      <c r="C76" s="195" t="str">
        <f>IF(MasterSheet!$A$1=1,MasterSheet!C218,MasterSheet!B218)</f>
        <v>Sredstva za tehnološke viškove</v>
      </c>
      <c r="D76" s="186">
        <v>31045</v>
      </c>
      <c r="E76" s="187">
        <f t="shared" si="0"/>
        <v>1.4446926334403649E-3</v>
      </c>
      <c r="F76" s="186">
        <v>71579</v>
      </c>
      <c r="G76" s="187">
        <f t="shared" si="1"/>
        <v>2.6703600074612947E-3</v>
      </c>
      <c r="H76" s="186">
        <v>75791.399999999994</v>
      </c>
      <c r="I76" s="187">
        <f t="shared" si="2"/>
        <v>2.4562937516204304E-3</v>
      </c>
      <c r="J76" s="186">
        <v>55835</v>
      </c>
      <c r="K76" s="187">
        <f t="shared" si="3"/>
        <v>1.873029184837303E-3</v>
      </c>
      <c r="L76" s="186">
        <v>440000</v>
      </c>
      <c r="M76" s="187">
        <f t="shared" si="4"/>
        <v>1.4175257731958763E-2</v>
      </c>
      <c r="N76" s="186"/>
      <c r="O76" s="187">
        <f t="shared" si="5"/>
        <v>0</v>
      </c>
      <c r="P76" s="282"/>
      <c r="Q76" s="283">
        <f t="shared" si="6"/>
        <v>0</v>
      </c>
      <c r="R76" s="282"/>
      <c r="S76" s="283">
        <f t="shared" si="7"/>
        <v>0</v>
      </c>
      <c r="T76" s="282"/>
      <c r="U76" s="283">
        <f t="shared" si="22"/>
        <v>0</v>
      </c>
      <c r="V76" s="816">
        <f t="shared" si="18"/>
        <v>0</v>
      </c>
      <c r="W76" s="817">
        <f t="shared" si="18"/>
        <v>0</v>
      </c>
      <c r="X76" s="282"/>
      <c r="Y76" s="284">
        <f t="shared" si="9"/>
        <v>0</v>
      </c>
      <c r="Z76" s="282"/>
      <c r="AA76" s="283">
        <f t="shared" si="10"/>
        <v>0</v>
      </c>
      <c r="AB76" s="282"/>
      <c r="AC76" s="283">
        <f t="shared" si="11"/>
        <v>0</v>
      </c>
      <c r="AD76" s="84"/>
      <c r="AE76" s="84"/>
      <c r="AF76" s="56"/>
      <c r="AG76" s="56"/>
      <c r="AH76" s="56"/>
      <c r="AI76" s="56"/>
      <c r="AJ76" s="56"/>
      <c r="AK76" s="57"/>
      <c r="AL76" s="57"/>
      <c r="AM76" s="157"/>
      <c r="AN76" s="1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7"/>
      <c r="CA76" s="57"/>
      <c r="CB76" s="57"/>
      <c r="CC76" s="57"/>
      <c r="CD76" s="57"/>
      <c r="CE76" s="57"/>
      <c r="CF76" s="57"/>
      <c r="CG76" s="57"/>
      <c r="CH76" s="57"/>
      <c r="CI76" s="57"/>
      <c r="CJ76" s="57"/>
      <c r="CK76" s="57"/>
      <c r="CL76" s="57"/>
      <c r="CM76" s="57"/>
      <c r="CN76" s="57"/>
      <c r="CO76" s="57"/>
      <c r="CP76" s="57"/>
      <c r="CQ76" s="57"/>
      <c r="CR76" s="57"/>
      <c r="CS76" s="57"/>
      <c r="CT76" s="57"/>
      <c r="CU76" s="57"/>
      <c r="CV76" s="57"/>
      <c r="CW76" s="57"/>
      <c r="CX76" s="57"/>
      <c r="CY76" s="57"/>
      <c r="CZ76" s="57"/>
      <c r="DA76" s="57"/>
      <c r="DB76" s="57"/>
      <c r="DC76" s="57"/>
      <c r="DD76" s="57"/>
      <c r="DE76" s="57"/>
      <c r="DF76" s="57"/>
      <c r="DG76" s="57"/>
      <c r="DH76" s="57"/>
      <c r="DI76" s="57"/>
      <c r="DJ76" s="57"/>
      <c r="DK76" s="57"/>
      <c r="DL76" s="57"/>
      <c r="DM76" s="57"/>
      <c r="DN76" s="57"/>
      <c r="DO76" s="57"/>
      <c r="DP76" s="57"/>
      <c r="DQ76" s="57"/>
      <c r="DR76" s="57"/>
      <c r="DS76" s="57"/>
      <c r="DT76" s="57"/>
      <c r="DU76" s="52"/>
      <c r="DV76" s="52"/>
      <c r="DW76" s="52"/>
      <c r="DX76" s="52"/>
      <c r="DY76" s="52"/>
      <c r="DZ76" s="52"/>
      <c r="EA76" s="52"/>
      <c r="EB76" s="52"/>
      <c r="EC76" s="52"/>
      <c r="ED76" s="52"/>
      <c r="EE76" s="52"/>
      <c r="EF76" s="52"/>
      <c r="EG76" s="52"/>
      <c r="EH76" s="52"/>
      <c r="EI76" s="52"/>
      <c r="EJ76" s="52"/>
    </row>
    <row r="77" spans="1:140" s="21" customFormat="1" ht="15" hidden="1" customHeight="1">
      <c r="A77" s="81"/>
      <c r="B77" s="81"/>
      <c r="C77" s="195" t="str">
        <f>IF(MasterSheet!$A$1=1,MasterSheet!C219,MasterSheet!B219)</f>
        <v>Prava iz oblasti penzijskog i invalidskog osiguranja</v>
      </c>
      <c r="D77" s="186"/>
      <c r="E77" s="191">
        <f t="shared" si="0"/>
        <v>0</v>
      </c>
      <c r="F77" s="186"/>
      <c r="G77" s="191">
        <f t="shared" si="1"/>
        <v>0</v>
      </c>
      <c r="H77" s="186"/>
      <c r="I77" s="191">
        <f t="shared" si="2"/>
        <v>0</v>
      </c>
      <c r="J77" s="186"/>
      <c r="K77" s="191">
        <f t="shared" si="3"/>
        <v>0</v>
      </c>
      <c r="L77" s="186"/>
      <c r="M77" s="191">
        <f t="shared" si="4"/>
        <v>0</v>
      </c>
      <c r="N77" s="186"/>
      <c r="O77" s="191">
        <f t="shared" si="5"/>
        <v>0</v>
      </c>
      <c r="P77" s="282"/>
      <c r="Q77" s="286">
        <f t="shared" si="6"/>
        <v>0</v>
      </c>
      <c r="R77" s="282"/>
      <c r="S77" s="286">
        <f t="shared" si="7"/>
        <v>0</v>
      </c>
      <c r="T77" s="282"/>
      <c r="U77" s="286">
        <f t="shared" si="22"/>
        <v>0</v>
      </c>
      <c r="V77" s="816">
        <f t="shared" si="18"/>
        <v>0</v>
      </c>
      <c r="W77" s="819">
        <f t="shared" si="18"/>
        <v>0</v>
      </c>
      <c r="X77" s="282"/>
      <c r="Y77" s="287">
        <f t="shared" si="9"/>
        <v>0</v>
      </c>
      <c r="Z77" s="282"/>
      <c r="AA77" s="286">
        <f t="shared" si="10"/>
        <v>0</v>
      </c>
      <c r="AB77" s="282"/>
      <c r="AC77" s="286">
        <f t="shared" si="11"/>
        <v>0</v>
      </c>
      <c r="AD77" s="84"/>
      <c r="AE77" s="84"/>
      <c r="AF77" s="56"/>
      <c r="AG77" s="56"/>
      <c r="AH77" s="56"/>
      <c r="AI77" s="56"/>
      <c r="AJ77" s="56"/>
      <c r="AK77" s="57"/>
      <c r="AL77" s="57"/>
      <c r="AM77" s="157"/>
      <c r="AN77" s="1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57"/>
      <c r="BY77" s="57"/>
      <c r="BZ77" s="57"/>
      <c r="CA77" s="57"/>
      <c r="CB77" s="57"/>
      <c r="CC77" s="57"/>
      <c r="CD77" s="57"/>
      <c r="CE77" s="57"/>
      <c r="CF77" s="57"/>
      <c r="CG77" s="57"/>
      <c r="CH77" s="57"/>
      <c r="CI77" s="57"/>
      <c r="CJ77" s="57"/>
      <c r="CK77" s="57"/>
      <c r="CL77" s="57"/>
      <c r="CM77" s="57"/>
      <c r="CN77" s="57"/>
      <c r="CO77" s="57"/>
      <c r="CP77" s="57"/>
      <c r="CQ77" s="57"/>
      <c r="CR77" s="57"/>
      <c r="CS77" s="57"/>
      <c r="CT77" s="57"/>
      <c r="CU77" s="57"/>
      <c r="CV77" s="57"/>
      <c r="CW77" s="57"/>
      <c r="CX77" s="57"/>
      <c r="CY77" s="57"/>
      <c r="CZ77" s="57"/>
      <c r="DA77" s="57"/>
      <c r="DB77" s="57"/>
      <c r="DC77" s="57"/>
      <c r="DD77" s="57"/>
      <c r="DE77" s="57"/>
      <c r="DF77" s="57"/>
      <c r="DG77" s="57"/>
      <c r="DH77" s="57"/>
      <c r="DI77" s="57"/>
      <c r="DJ77" s="57"/>
      <c r="DK77" s="57"/>
      <c r="DL77" s="57"/>
      <c r="DM77" s="57"/>
      <c r="DN77" s="57"/>
      <c r="DO77" s="57"/>
      <c r="DP77" s="57"/>
      <c r="DQ77" s="57"/>
      <c r="DR77" s="57"/>
      <c r="DS77" s="57"/>
      <c r="DT77" s="57"/>
      <c r="DU77" s="52"/>
      <c r="DV77" s="52"/>
      <c r="DW77" s="52"/>
      <c r="DX77" s="52"/>
      <c r="DY77" s="52"/>
      <c r="DZ77" s="52"/>
      <c r="EA77" s="52"/>
      <c r="EB77" s="52"/>
      <c r="EC77" s="52"/>
      <c r="ED77" s="52"/>
      <c r="EE77" s="52"/>
      <c r="EF77" s="52"/>
      <c r="EG77" s="52"/>
      <c r="EH77" s="52"/>
      <c r="EI77" s="52"/>
      <c r="EJ77" s="52"/>
    </row>
    <row r="78" spans="1:140" s="21" customFormat="1" ht="13.5" hidden="1" customHeight="1">
      <c r="A78" s="81"/>
      <c r="B78" s="81"/>
      <c r="C78" s="195" t="str">
        <f>IF(MasterSheet!$A$1=1,MasterSheet!C220,MasterSheet!B220)</f>
        <v>Ostala prava iz oblasti zdravstvene zaštite</v>
      </c>
      <c r="D78" s="186"/>
      <c r="E78" s="191">
        <f t="shared" si="0"/>
        <v>0</v>
      </c>
      <c r="F78" s="186"/>
      <c r="G78" s="191">
        <f t="shared" si="1"/>
        <v>0</v>
      </c>
      <c r="H78" s="186"/>
      <c r="I78" s="191">
        <f t="shared" si="2"/>
        <v>0</v>
      </c>
      <c r="J78" s="186"/>
      <c r="K78" s="191">
        <f t="shared" si="3"/>
        <v>0</v>
      </c>
      <c r="L78" s="186"/>
      <c r="M78" s="191">
        <f t="shared" si="4"/>
        <v>0</v>
      </c>
      <c r="N78" s="186"/>
      <c r="O78" s="191">
        <f t="shared" si="5"/>
        <v>0</v>
      </c>
      <c r="P78" s="282"/>
      <c r="Q78" s="286">
        <f t="shared" si="6"/>
        <v>0</v>
      </c>
      <c r="R78" s="282"/>
      <c r="S78" s="286">
        <f t="shared" si="7"/>
        <v>0</v>
      </c>
      <c r="T78" s="282"/>
      <c r="U78" s="286">
        <f t="shared" si="22"/>
        <v>0</v>
      </c>
      <c r="V78" s="816">
        <f t="shared" si="18"/>
        <v>0</v>
      </c>
      <c r="W78" s="819">
        <f t="shared" si="18"/>
        <v>0</v>
      </c>
      <c r="X78" s="282"/>
      <c r="Y78" s="287">
        <f t="shared" si="9"/>
        <v>0</v>
      </c>
      <c r="Z78" s="282"/>
      <c r="AA78" s="286">
        <f t="shared" si="10"/>
        <v>0</v>
      </c>
      <c r="AB78" s="282"/>
      <c r="AC78" s="286">
        <f t="shared" si="11"/>
        <v>0</v>
      </c>
      <c r="AD78" s="84"/>
      <c r="AE78" s="84"/>
      <c r="AF78" s="56"/>
      <c r="AG78" s="56"/>
      <c r="AH78" s="56"/>
      <c r="AI78" s="56"/>
      <c r="AJ78" s="56"/>
      <c r="AK78" s="57"/>
      <c r="AL78" s="57"/>
      <c r="AM78" s="157"/>
      <c r="AN78" s="1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57"/>
      <c r="BW78" s="57"/>
      <c r="BX78" s="57"/>
      <c r="BY78" s="57"/>
      <c r="BZ78" s="57"/>
      <c r="CA78" s="57"/>
      <c r="CB78" s="57"/>
      <c r="CC78" s="57"/>
      <c r="CD78" s="57"/>
      <c r="CE78" s="57"/>
      <c r="CF78" s="57"/>
      <c r="CG78" s="57"/>
      <c r="CH78" s="57"/>
      <c r="CI78" s="57"/>
      <c r="CJ78" s="57"/>
      <c r="CK78" s="57"/>
      <c r="CL78" s="57"/>
      <c r="CM78" s="57"/>
      <c r="CN78" s="57"/>
      <c r="CO78" s="57"/>
      <c r="CP78" s="57"/>
      <c r="CQ78" s="57"/>
      <c r="CR78" s="57"/>
      <c r="CS78" s="57"/>
      <c r="CT78" s="57"/>
      <c r="CU78" s="57"/>
      <c r="CV78" s="57"/>
      <c r="CW78" s="57"/>
      <c r="CX78" s="57"/>
      <c r="CY78" s="57"/>
      <c r="CZ78" s="57"/>
      <c r="DA78" s="57"/>
      <c r="DB78" s="57"/>
      <c r="DC78" s="57"/>
      <c r="DD78" s="57"/>
      <c r="DE78" s="57"/>
      <c r="DF78" s="57"/>
      <c r="DG78" s="57"/>
      <c r="DH78" s="57"/>
      <c r="DI78" s="57"/>
      <c r="DJ78" s="57"/>
      <c r="DK78" s="57"/>
      <c r="DL78" s="57"/>
      <c r="DM78" s="57"/>
      <c r="DN78" s="57"/>
      <c r="DO78" s="57"/>
      <c r="DP78" s="57"/>
      <c r="DQ78" s="57"/>
      <c r="DR78" s="57"/>
      <c r="DS78" s="57"/>
      <c r="DT78" s="57"/>
      <c r="DU78" s="52"/>
      <c r="DV78" s="52"/>
      <c r="DW78" s="52"/>
      <c r="DX78" s="52"/>
      <c r="DY78" s="52"/>
      <c r="DZ78" s="52"/>
      <c r="EA78" s="52"/>
      <c r="EB78" s="52"/>
      <c r="EC78" s="52"/>
      <c r="ED78" s="52"/>
      <c r="EE78" s="52"/>
      <c r="EF78" s="52"/>
      <c r="EG78" s="52"/>
      <c r="EH78" s="52"/>
      <c r="EI78" s="52"/>
      <c r="EJ78" s="52"/>
    </row>
    <row r="79" spans="1:140" s="21" customFormat="1" ht="15" hidden="1" customHeight="1">
      <c r="A79" s="81"/>
      <c r="B79" s="81"/>
      <c r="C79" s="195" t="str">
        <f>IF(MasterSheet!$A$1=1,MasterSheet!C221,MasterSheet!B221)</f>
        <v>Ostala prava iz oblasti zdravstvenog osiguranja</v>
      </c>
      <c r="D79" s="186"/>
      <c r="E79" s="191">
        <f t="shared" si="0"/>
        <v>0</v>
      </c>
      <c r="F79" s="186"/>
      <c r="G79" s="191">
        <f t="shared" si="1"/>
        <v>0</v>
      </c>
      <c r="H79" s="186"/>
      <c r="I79" s="191">
        <f t="shared" si="2"/>
        <v>0</v>
      </c>
      <c r="J79" s="186"/>
      <c r="K79" s="191">
        <f t="shared" si="3"/>
        <v>0</v>
      </c>
      <c r="L79" s="186"/>
      <c r="M79" s="191">
        <f t="shared" si="4"/>
        <v>0</v>
      </c>
      <c r="N79" s="186"/>
      <c r="O79" s="191">
        <f t="shared" si="5"/>
        <v>0</v>
      </c>
      <c r="P79" s="282"/>
      <c r="Q79" s="286">
        <f t="shared" si="6"/>
        <v>0</v>
      </c>
      <c r="R79" s="282"/>
      <c r="S79" s="286">
        <f t="shared" si="7"/>
        <v>0</v>
      </c>
      <c r="T79" s="282"/>
      <c r="U79" s="286">
        <f t="shared" si="22"/>
        <v>0</v>
      </c>
      <c r="V79" s="816">
        <f t="shared" si="18"/>
        <v>0</v>
      </c>
      <c r="W79" s="819">
        <f t="shared" si="18"/>
        <v>0</v>
      </c>
      <c r="X79" s="282"/>
      <c r="Y79" s="287">
        <f t="shared" si="9"/>
        <v>0</v>
      </c>
      <c r="Z79" s="282"/>
      <c r="AA79" s="286">
        <f t="shared" si="10"/>
        <v>0</v>
      </c>
      <c r="AB79" s="282"/>
      <c r="AC79" s="286">
        <f t="shared" si="11"/>
        <v>0</v>
      </c>
      <c r="AD79" s="84"/>
      <c r="AE79" s="84"/>
      <c r="AF79" s="56"/>
      <c r="AG79" s="56"/>
      <c r="AH79" s="56"/>
      <c r="AI79" s="56"/>
      <c r="AJ79" s="56"/>
      <c r="AK79" s="57"/>
      <c r="AL79" s="57"/>
      <c r="AM79" s="157"/>
      <c r="AN79" s="1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7"/>
      <c r="BZ79" s="57"/>
      <c r="CA79" s="57"/>
      <c r="CB79" s="57"/>
      <c r="CC79" s="57"/>
      <c r="CD79" s="57"/>
      <c r="CE79" s="57"/>
      <c r="CF79" s="57"/>
      <c r="CG79" s="57"/>
      <c r="CH79" s="57"/>
      <c r="CI79" s="57"/>
      <c r="CJ79" s="57"/>
      <c r="CK79" s="57"/>
      <c r="CL79" s="57"/>
      <c r="CM79" s="57"/>
      <c r="CN79" s="57"/>
      <c r="CO79" s="57"/>
      <c r="CP79" s="57"/>
      <c r="CQ79" s="57"/>
      <c r="CR79" s="57"/>
      <c r="CS79" s="57"/>
      <c r="CT79" s="57"/>
      <c r="CU79" s="57"/>
      <c r="CV79" s="57"/>
      <c r="CW79" s="57"/>
      <c r="CX79" s="57"/>
      <c r="CY79" s="57"/>
      <c r="CZ79" s="57"/>
      <c r="DA79" s="57"/>
      <c r="DB79" s="57"/>
      <c r="DC79" s="57"/>
      <c r="DD79" s="57"/>
      <c r="DE79" s="57"/>
      <c r="DF79" s="57"/>
      <c r="DG79" s="57"/>
      <c r="DH79" s="57"/>
      <c r="DI79" s="57"/>
      <c r="DJ79" s="57"/>
      <c r="DK79" s="57"/>
      <c r="DL79" s="57"/>
      <c r="DM79" s="57"/>
      <c r="DN79" s="57"/>
      <c r="DO79" s="57"/>
      <c r="DP79" s="57"/>
      <c r="DQ79" s="57"/>
      <c r="DR79" s="57"/>
      <c r="DS79" s="57"/>
      <c r="DT79" s="57"/>
      <c r="DU79" s="52"/>
      <c r="DV79" s="52"/>
      <c r="DW79" s="52"/>
      <c r="DX79" s="52"/>
      <c r="DY79" s="52"/>
      <c r="DZ79" s="52"/>
      <c r="EA79" s="52"/>
      <c r="EB79" s="52"/>
      <c r="EC79" s="52"/>
      <c r="ED79" s="52"/>
      <c r="EE79" s="52"/>
      <c r="EF79" s="52"/>
      <c r="EG79" s="52"/>
      <c r="EH79" s="52"/>
      <c r="EI79" s="52"/>
      <c r="EJ79" s="52"/>
    </row>
    <row r="80" spans="1:140" s="21" customFormat="1" ht="15" customHeight="1">
      <c r="A80" s="81"/>
      <c r="B80" s="81"/>
      <c r="C80" s="196" t="str">
        <f>IF(MasterSheet!$A$1=1,MasterSheet!C222,MasterSheet!B222)</f>
        <v>Transferi inst. pojedinicima NVO i javnom sektoru</v>
      </c>
      <c r="D80" s="190">
        <f>SUM(D81:D85)</f>
        <v>9650993.2699999996</v>
      </c>
      <c r="E80" s="191">
        <f t="shared" si="0"/>
        <v>0.44911318674670764</v>
      </c>
      <c r="F80" s="190">
        <f>SUM(F81:F85)</f>
        <v>25747211.559999999</v>
      </c>
      <c r="G80" s="191">
        <f t="shared" si="1"/>
        <v>0.96053764446931544</v>
      </c>
      <c r="H80" s="190">
        <f>SUM(H81:H85)</f>
        <v>26119681.829999998</v>
      </c>
      <c r="I80" s="191">
        <f t="shared" si="2"/>
        <v>0.84650252236193935</v>
      </c>
      <c r="J80" s="190">
        <f>SUM(J81:J85)</f>
        <v>30389270.27</v>
      </c>
      <c r="K80" s="191">
        <f t="shared" si="3"/>
        <v>1.0194320788326066</v>
      </c>
      <c r="L80" s="190">
        <f>SUM(L81:L85)</f>
        <v>29330000</v>
      </c>
      <c r="M80" s="191">
        <f t="shared" si="4"/>
        <v>0.94490979381443296</v>
      </c>
      <c r="N80" s="190">
        <f>SUM(N81:N85)</f>
        <v>25970721.580000002</v>
      </c>
      <c r="O80" s="191">
        <f t="shared" si="5"/>
        <v>0.80305261533704397</v>
      </c>
      <c r="P80" s="285">
        <f>SUM(P81:P85)</f>
        <v>32940489.75</v>
      </c>
      <c r="Q80" s="286">
        <f t="shared" si="6"/>
        <v>1.0460619164814227</v>
      </c>
      <c r="R80" s="285">
        <f>SUM(R81:R85)</f>
        <v>29376039.572940003</v>
      </c>
      <c r="S80" s="286">
        <f t="shared" si="7"/>
        <v>0.83525844677111183</v>
      </c>
      <c r="T80" s="285">
        <f>SUM(T81:T85)</f>
        <v>29963560.364398804</v>
      </c>
      <c r="U80" s="286">
        <f t="shared" si="22"/>
        <v>0.85196361570653401</v>
      </c>
      <c r="V80" s="818">
        <f t="shared" si="18"/>
        <v>587520.79145880044</v>
      </c>
      <c r="W80" s="819">
        <f t="shared" si="18"/>
        <v>1.6705168935422177E-2</v>
      </c>
      <c r="X80" s="285">
        <f>SUM(X81:X85)</f>
        <v>31817567.736264005</v>
      </c>
      <c r="Y80" s="287">
        <f t="shared" si="9"/>
        <v>0.8518759768745382</v>
      </c>
      <c r="Z80" s="285">
        <f>SUM(Z81:Z85)</f>
        <v>32605151.060977302</v>
      </c>
      <c r="AA80" s="286">
        <f t="shared" si="10"/>
        <v>0.8188134369908916</v>
      </c>
      <c r="AB80" s="285">
        <f>SUM(AB81:AB85)</f>
        <v>33815576.670849718</v>
      </c>
      <c r="AC80" s="286">
        <f t="shared" si="11"/>
        <v>0.79286229005509301</v>
      </c>
      <c r="AD80" s="84"/>
      <c r="AE80" s="84"/>
      <c r="AF80" s="56"/>
      <c r="AG80" s="56"/>
      <c r="AH80" s="56"/>
      <c r="AI80" s="56"/>
      <c r="AJ80" s="56"/>
      <c r="AK80" s="57"/>
      <c r="AL80" s="57"/>
      <c r="AM80" s="63"/>
      <c r="AN80" s="63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7"/>
      <c r="BZ80" s="57"/>
      <c r="CA80" s="57"/>
      <c r="CB80" s="57"/>
      <c r="CC80" s="57"/>
      <c r="CD80" s="57"/>
      <c r="CE80" s="57"/>
      <c r="CF80" s="57"/>
      <c r="CG80" s="57"/>
      <c r="CH80" s="57"/>
      <c r="CI80" s="57"/>
      <c r="CJ80" s="57"/>
      <c r="CK80" s="57"/>
      <c r="CL80" s="57"/>
      <c r="CM80" s="57"/>
      <c r="CN80" s="57"/>
      <c r="CO80" s="57"/>
      <c r="CP80" s="57"/>
      <c r="CQ80" s="57"/>
      <c r="CR80" s="57"/>
      <c r="CS80" s="57"/>
      <c r="CT80" s="57"/>
      <c r="CU80" s="57"/>
      <c r="CV80" s="57"/>
      <c r="CW80" s="57"/>
      <c r="CX80" s="57"/>
      <c r="CY80" s="57"/>
      <c r="CZ80" s="57"/>
      <c r="DA80" s="57"/>
      <c r="DB80" s="57"/>
      <c r="DC80" s="57"/>
      <c r="DD80" s="57"/>
      <c r="DE80" s="57"/>
      <c r="DF80" s="57"/>
      <c r="DG80" s="57"/>
      <c r="DH80" s="57"/>
      <c r="DI80" s="57"/>
      <c r="DJ80" s="57"/>
      <c r="DK80" s="57"/>
      <c r="DL80" s="57"/>
      <c r="DM80" s="57"/>
      <c r="DN80" s="57"/>
      <c r="DO80" s="57"/>
      <c r="DP80" s="57"/>
      <c r="DQ80" s="57"/>
      <c r="DR80" s="57"/>
      <c r="DS80" s="57"/>
      <c r="DT80" s="57"/>
      <c r="DU80" s="52"/>
      <c r="DV80" s="52"/>
      <c r="DW80" s="52"/>
      <c r="DX80" s="52"/>
      <c r="DY80" s="52"/>
      <c r="DZ80" s="52"/>
      <c r="EA80" s="52"/>
      <c r="EB80" s="52"/>
      <c r="EC80" s="52"/>
      <c r="ED80" s="52"/>
      <c r="EE80" s="52"/>
      <c r="EF80" s="52"/>
      <c r="EG80" s="52"/>
      <c r="EH80" s="52"/>
      <c r="EI80" s="52"/>
      <c r="EJ80" s="52"/>
    </row>
    <row r="81" spans="1:140" s="21" customFormat="1" ht="15" customHeight="1">
      <c r="A81" s="81"/>
      <c r="B81" s="81"/>
      <c r="C81" s="195" t="str">
        <f>IF(MasterSheet!$A$1=1,MasterSheet!C223,MasterSheet!B223)</f>
        <v>Transferi javnim institucijama</v>
      </c>
      <c r="D81" s="186">
        <v>4594921.79</v>
      </c>
      <c r="E81" s="187">
        <f t="shared" si="0"/>
        <v>0.21382669226115686</v>
      </c>
      <c r="F81" s="186">
        <v>7631561.1200000001</v>
      </c>
      <c r="G81" s="187">
        <f t="shared" si="1"/>
        <v>0.28470662637567618</v>
      </c>
      <c r="H81" s="186">
        <v>8699880.1600000001</v>
      </c>
      <c r="I81" s="187">
        <f t="shared" si="2"/>
        <v>0.28195100337049517</v>
      </c>
      <c r="J81" s="186">
        <v>30389270.27</v>
      </c>
      <c r="K81" s="187">
        <f t="shared" si="3"/>
        <v>1.0194320788326066</v>
      </c>
      <c r="L81" s="186">
        <v>29330000</v>
      </c>
      <c r="M81" s="187">
        <f t="shared" si="4"/>
        <v>0.94490979381443296</v>
      </c>
      <c r="N81" s="186">
        <v>7736126.5500000017</v>
      </c>
      <c r="O81" s="187">
        <f t="shared" si="5"/>
        <v>0.23921232374768095</v>
      </c>
      <c r="P81" s="282">
        <v>10302219.9</v>
      </c>
      <c r="Q81" s="283">
        <f t="shared" si="6"/>
        <v>0.32715845982851705</v>
      </c>
      <c r="R81" s="282">
        <v>10392420.603</v>
      </c>
      <c r="S81" s="283">
        <f t="shared" si="7"/>
        <v>0.29549106064827979</v>
      </c>
      <c r="T81" s="282">
        <f>+R81*1.02</f>
        <v>10600269.01506</v>
      </c>
      <c r="U81" s="283">
        <f t="shared" si="22"/>
        <v>0.30140088186124536</v>
      </c>
      <c r="V81" s="816">
        <f t="shared" si="18"/>
        <v>207848.41206</v>
      </c>
      <c r="W81" s="817">
        <f t="shared" si="18"/>
        <v>5.9098212129655714E-3</v>
      </c>
      <c r="X81" s="282">
        <v>11035586.86933</v>
      </c>
      <c r="Y81" s="284">
        <f t="shared" si="9"/>
        <v>0.29546417320829987</v>
      </c>
      <c r="Z81" s="282">
        <f>+X81*1.015</f>
        <v>11201120.67236995</v>
      </c>
      <c r="AA81" s="283">
        <f t="shared" si="10"/>
        <v>0.28129383908513184</v>
      </c>
      <c r="AB81" s="282">
        <v>11993976.541063299</v>
      </c>
      <c r="AC81" s="283">
        <f t="shared" si="11"/>
        <v>0.2812186762265721</v>
      </c>
      <c r="AD81" s="84"/>
      <c r="AE81" s="84"/>
      <c r="AF81" s="56"/>
      <c r="AG81" s="56"/>
      <c r="AH81" s="56"/>
      <c r="AI81" s="56"/>
      <c r="AJ81" s="56"/>
      <c r="AK81" s="57"/>
      <c r="AL81" s="57"/>
      <c r="AM81" s="63"/>
      <c r="AN81" s="63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57"/>
      <c r="BY81" s="57"/>
      <c r="BZ81" s="57"/>
      <c r="CA81" s="57"/>
      <c r="CB81" s="57"/>
      <c r="CC81" s="57"/>
      <c r="CD81" s="57"/>
      <c r="CE81" s="57"/>
      <c r="CF81" s="57"/>
      <c r="CG81" s="57"/>
      <c r="CH81" s="57"/>
      <c r="CI81" s="57"/>
      <c r="CJ81" s="57"/>
      <c r="CK81" s="57"/>
      <c r="CL81" s="57"/>
      <c r="CM81" s="57"/>
      <c r="CN81" s="57"/>
      <c r="CO81" s="57"/>
      <c r="CP81" s="57"/>
      <c r="CQ81" s="57"/>
      <c r="CR81" s="57"/>
      <c r="CS81" s="57"/>
      <c r="CT81" s="57"/>
      <c r="CU81" s="57"/>
      <c r="CV81" s="57"/>
      <c r="CW81" s="57"/>
      <c r="CX81" s="57"/>
      <c r="CY81" s="57"/>
      <c r="CZ81" s="57"/>
      <c r="DA81" s="57"/>
      <c r="DB81" s="57"/>
      <c r="DC81" s="57"/>
      <c r="DD81" s="57"/>
      <c r="DE81" s="57"/>
      <c r="DF81" s="57"/>
      <c r="DG81" s="57"/>
      <c r="DH81" s="57"/>
      <c r="DI81" s="57"/>
      <c r="DJ81" s="57"/>
      <c r="DK81" s="57"/>
      <c r="DL81" s="57"/>
      <c r="DM81" s="57"/>
      <c r="DN81" s="57"/>
      <c r="DO81" s="57"/>
      <c r="DP81" s="57"/>
      <c r="DQ81" s="57"/>
      <c r="DR81" s="57"/>
      <c r="DS81" s="57"/>
      <c r="DT81" s="57"/>
      <c r="DU81" s="52"/>
      <c r="DV81" s="52"/>
      <c r="DW81" s="52"/>
      <c r="DX81" s="52"/>
      <c r="DY81" s="52"/>
      <c r="DZ81" s="52"/>
      <c r="EA81" s="52"/>
      <c r="EB81" s="52"/>
      <c r="EC81" s="52"/>
      <c r="ED81" s="52"/>
      <c r="EE81" s="52"/>
      <c r="EF81" s="52"/>
      <c r="EG81" s="52"/>
      <c r="EH81" s="52"/>
      <c r="EI81" s="52"/>
      <c r="EJ81" s="52"/>
    </row>
    <row r="82" spans="1:140" s="21" customFormat="1" ht="15" customHeight="1">
      <c r="A82" s="81"/>
      <c r="B82" s="81"/>
      <c r="C82" s="195" t="str">
        <f>IF(MasterSheet!$A$1=1,MasterSheet!C224,MasterSheet!B224)</f>
        <v>Transferi nevladinim organizacijama</v>
      </c>
      <c r="D82" s="186">
        <v>3246552.13</v>
      </c>
      <c r="E82" s="187">
        <f t="shared" si="0"/>
        <v>0.15107972125273397</v>
      </c>
      <c r="F82" s="186">
        <v>3439884.9</v>
      </c>
      <c r="G82" s="187">
        <f t="shared" si="1"/>
        <v>0.12832997202014551</v>
      </c>
      <c r="H82" s="186">
        <v>3630299.76</v>
      </c>
      <c r="I82" s="187">
        <f t="shared" si="2"/>
        <v>0.11765296085040186</v>
      </c>
      <c r="J82" s="186"/>
      <c r="K82" s="187">
        <f t="shared" si="3"/>
        <v>0</v>
      </c>
      <c r="L82" s="186"/>
      <c r="M82" s="187">
        <f t="shared" si="4"/>
        <v>0</v>
      </c>
      <c r="N82" s="186">
        <v>1704066.0099999998</v>
      </c>
      <c r="O82" s="187">
        <f t="shared" si="5"/>
        <v>5.2692208101422382E-2</v>
      </c>
      <c r="P82" s="282">
        <v>2007979.5599999998</v>
      </c>
      <c r="Q82" s="283">
        <f t="shared" si="6"/>
        <v>6.3765625912988247E-2</v>
      </c>
      <c r="R82" s="282">
        <v>1864455.2714999996</v>
      </c>
      <c r="S82" s="283">
        <f t="shared" si="7"/>
        <v>5.3012660548763142E-2</v>
      </c>
      <c r="T82" s="282">
        <f t="shared" ref="T82:T85" si="26">+R82*1.02</f>
        <v>1901744.3769299996</v>
      </c>
      <c r="U82" s="283">
        <f t="shared" si="22"/>
        <v>5.4072913759738397E-2</v>
      </c>
      <c r="V82" s="816">
        <f t="shared" si="18"/>
        <v>37289.105429999996</v>
      </c>
      <c r="W82" s="817">
        <f t="shared" si="18"/>
        <v>1.0602532109752552E-3</v>
      </c>
      <c r="X82" s="282">
        <v>2050900.7986499998</v>
      </c>
      <c r="Y82" s="284">
        <f t="shared" si="9"/>
        <v>5.4910329281124486E-2</v>
      </c>
      <c r="Z82" s="282">
        <v>2102173.3186162496</v>
      </c>
      <c r="AA82" s="283">
        <f t="shared" si="10"/>
        <v>5.279189649965469E-2</v>
      </c>
      <c r="AB82" s="282">
        <f>+Z82*1.015</f>
        <v>2133705.9183954932</v>
      </c>
      <c r="AC82" s="283">
        <f t="shared" si="11"/>
        <v>5.0028274757221408E-2</v>
      </c>
      <c r="AD82" s="84"/>
      <c r="AE82" s="84"/>
      <c r="AF82" s="56"/>
      <c r="AG82" s="56"/>
      <c r="AH82" s="56"/>
      <c r="AI82" s="56"/>
      <c r="AJ82" s="56"/>
      <c r="AK82" s="57"/>
      <c r="AL82" s="57"/>
      <c r="AM82" s="63"/>
      <c r="AN82" s="63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  <c r="AZ82" s="57"/>
      <c r="BA82" s="57"/>
      <c r="BB82" s="57"/>
      <c r="BC82" s="57"/>
      <c r="BD82" s="57"/>
      <c r="BE82" s="57"/>
      <c r="BF82" s="57"/>
      <c r="BG82" s="57"/>
      <c r="BH82" s="57"/>
      <c r="BI82" s="57"/>
      <c r="BJ82" s="57"/>
      <c r="BK82" s="57"/>
      <c r="BL82" s="57"/>
      <c r="BM82" s="57"/>
      <c r="BN82" s="57"/>
      <c r="BO82" s="57"/>
      <c r="BP82" s="57"/>
      <c r="BQ82" s="57"/>
      <c r="BR82" s="57"/>
      <c r="BS82" s="57"/>
      <c r="BT82" s="57"/>
      <c r="BU82" s="57"/>
      <c r="BV82" s="57"/>
      <c r="BW82" s="57"/>
      <c r="BX82" s="57"/>
      <c r="BY82" s="57"/>
      <c r="BZ82" s="57"/>
      <c r="CA82" s="57"/>
      <c r="CB82" s="57"/>
      <c r="CC82" s="57"/>
      <c r="CD82" s="57"/>
      <c r="CE82" s="57"/>
      <c r="CF82" s="57"/>
      <c r="CG82" s="57"/>
      <c r="CH82" s="57"/>
      <c r="CI82" s="57"/>
      <c r="CJ82" s="57"/>
      <c r="CK82" s="57"/>
      <c r="CL82" s="57"/>
      <c r="CM82" s="57"/>
      <c r="CN82" s="57"/>
      <c r="CO82" s="57"/>
      <c r="CP82" s="57"/>
      <c r="CQ82" s="57"/>
      <c r="CR82" s="57"/>
      <c r="CS82" s="57"/>
      <c r="CT82" s="57"/>
      <c r="CU82" s="57"/>
      <c r="CV82" s="57"/>
      <c r="CW82" s="57"/>
      <c r="CX82" s="57"/>
      <c r="CY82" s="57"/>
      <c r="CZ82" s="57"/>
      <c r="DA82" s="57"/>
      <c r="DB82" s="57"/>
      <c r="DC82" s="57"/>
      <c r="DD82" s="57"/>
      <c r="DE82" s="57"/>
      <c r="DF82" s="57"/>
      <c r="DG82" s="57"/>
      <c r="DH82" s="57"/>
      <c r="DI82" s="57"/>
      <c r="DJ82" s="57"/>
      <c r="DK82" s="57"/>
      <c r="DL82" s="57"/>
      <c r="DM82" s="57"/>
      <c r="DN82" s="57"/>
      <c r="DO82" s="57"/>
      <c r="DP82" s="57"/>
      <c r="DQ82" s="57"/>
      <c r="DR82" s="57"/>
      <c r="DS82" s="57"/>
      <c r="DT82" s="57"/>
      <c r="DU82" s="52"/>
      <c r="DV82" s="52"/>
      <c r="DW82" s="52"/>
      <c r="DX82" s="52"/>
      <c r="DY82" s="52"/>
      <c r="DZ82" s="52"/>
      <c r="EA82" s="52"/>
      <c r="EB82" s="52"/>
      <c r="EC82" s="52"/>
      <c r="ED82" s="52"/>
      <c r="EE82" s="52"/>
      <c r="EF82" s="52"/>
      <c r="EG82" s="52"/>
      <c r="EH82" s="52"/>
      <c r="EI82" s="52"/>
      <c r="EJ82" s="52"/>
    </row>
    <row r="83" spans="1:140" s="21" customFormat="1" ht="15" customHeight="1">
      <c r="A83" s="81"/>
      <c r="B83" s="81"/>
      <c r="C83" s="195" t="str">
        <f>IF(MasterSheet!$A$1=1,MasterSheet!C225,MasterSheet!B225)</f>
        <v>Transferi pojedincima</v>
      </c>
      <c r="D83" s="186">
        <v>1809519.35</v>
      </c>
      <c r="E83" s="187">
        <f t="shared" si="0"/>
        <v>8.4206773232816806E-2</v>
      </c>
      <c r="F83" s="186">
        <v>2954250.77</v>
      </c>
      <c r="G83" s="187">
        <f t="shared" si="1"/>
        <v>0.11021267562022011</v>
      </c>
      <c r="H83" s="186">
        <v>4125355.32</v>
      </c>
      <c r="I83" s="187">
        <f t="shared" si="2"/>
        <v>0.1336970222971221</v>
      </c>
      <c r="J83" s="186"/>
      <c r="K83" s="187">
        <f t="shared" si="3"/>
        <v>0</v>
      </c>
      <c r="L83" s="186"/>
      <c r="M83" s="187">
        <f t="shared" si="4"/>
        <v>0</v>
      </c>
      <c r="N83" s="186">
        <v>2805869.4000000004</v>
      </c>
      <c r="O83" s="187">
        <f t="shared" si="5"/>
        <v>8.6761576994434153E-2</v>
      </c>
      <c r="P83" s="282">
        <v>2876786.48</v>
      </c>
      <c r="Q83" s="283">
        <f t="shared" si="6"/>
        <v>9.135555668466179E-2</v>
      </c>
      <c r="R83" s="282">
        <v>2892753.4559999998</v>
      </c>
      <c r="S83" s="283">
        <f t="shared" si="7"/>
        <v>8.2250595848734703E-2</v>
      </c>
      <c r="T83" s="282">
        <f t="shared" si="26"/>
        <v>2950608.5251199999</v>
      </c>
      <c r="U83" s="283">
        <f t="shared" si="22"/>
        <v>8.389560776570941E-2</v>
      </c>
      <c r="V83" s="816">
        <f t="shared" si="18"/>
        <v>57855.069120000117</v>
      </c>
      <c r="W83" s="817">
        <f t="shared" si="18"/>
        <v>1.6450119169747063E-3</v>
      </c>
      <c r="X83" s="282">
        <v>3082028.8015999999</v>
      </c>
      <c r="Y83" s="284">
        <f t="shared" si="9"/>
        <v>8.2517504728246316E-2</v>
      </c>
      <c r="Z83" s="282">
        <v>3261579.5216399995</v>
      </c>
      <c r="AA83" s="283">
        <f t="shared" si="10"/>
        <v>8.1908074375690587E-2</v>
      </c>
      <c r="AB83" s="282">
        <f>+Z83*1.02</f>
        <v>3326811.1120727994</v>
      </c>
      <c r="AC83" s="283">
        <f t="shared" si="11"/>
        <v>7.8002605206865167E-2</v>
      </c>
      <c r="AD83" s="84"/>
      <c r="AE83" s="84"/>
      <c r="AF83" s="56"/>
      <c r="AG83" s="56"/>
      <c r="AH83" s="56"/>
      <c r="AI83" s="56"/>
      <c r="AJ83" s="56"/>
      <c r="AK83" s="57"/>
      <c r="AL83" s="57"/>
      <c r="AM83" s="63"/>
      <c r="AN83" s="63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  <c r="AZ83" s="57"/>
      <c r="BA83" s="57"/>
      <c r="BB83" s="57"/>
      <c r="BC83" s="57"/>
      <c r="BD83" s="57"/>
      <c r="BE83" s="57"/>
      <c r="BF83" s="57"/>
      <c r="BG83" s="57"/>
      <c r="BH83" s="57"/>
      <c r="BI83" s="57"/>
      <c r="BJ83" s="57"/>
      <c r="BK83" s="57"/>
      <c r="BL83" s="57"/>
      <c r="BM83" s="57"/>
      <c r="BN83" s="57"/>
      <c r="BO83" s="57"/>
      <c r="BP83" s="57"/>
      <c r="BQ83" s="57"/>
      <c r="BR83" s="57"/>
      <c r="BS83" s="57"/>
      <c r="BT83" s="57"/>
      <c r="BU83" s="57"/>
      <c r="BV83" s="57"/>
      <c r="BW83" s="57"/>
      <c r="BX83" s="57"/>
      <c r="BY83" s="57"/>
      <c r="BZ83" s="57"/>
      <c r="CA83" s="57"/>
      <c r="CB83" s="57"/>
      <c r="CC83" s="57"/>
      <c r="CD83" s="57"/>
      <c r="CE83" s="57"/>
      <c r="CF83" s="57"/>
      <c r="CG83" s="57"/>
      <c r="CH83" s="57"/>
      <c r="CI83" s="57"/>
      <c r="CJ83" s="57"/>
      <c r="CK83" s="57"/>
      <c r="CL83" s="57"/>
      <c r="CM83" s="57"/>
      <c r="CN83" s="57"/>
      <c r="CO83" s="57"/>
      <c r="CP83" s="57"/>
      <c r="CQ83" s="57"/>
      <c r="CR83" s="57"/>
      <c r="CS83" s="57"/>
      <c r="CT83" s="57"/>
      <c r="CU83" s="57"/>
      <c r="CV83" s="57"/>
      <c r="CW83" s="57"/>
      <c r="CX83" s="57"/>
      <c r="CY83" s="57"/>
      <c r="CZ83" s="57"/>
      <c r="DA83" s="57"/>
      <c r="DB83" s="57"/>
      <c r="DC83" s="57"/>
      <c r="DD83" s="57"/>
      <c r="DE83" s="57"/>
      <c r="DF83" s="57"/>
      <c r="DG83" s="57"/>
      <c r="DH83" s="57"/>
      <c r="DI83" s="57"/>
      <c r="DJ83" s="57"/>
      <c r="DK83" s="57"/>
      <c r="DL83" s="57"/>
      <c r="DM83" s="57"/>
      <c r="DN83" s="57"/>
      <c r="DO83" s="57"/>
      <c r="DP83" s="57"/>
      <c r="DQ83" s="57"/>
      <c r="DR83" s="57"/>
      <c r="DS83" s="57"/>
      <c r="DT83" s="57"/>
      <c r="DU83" s="52"/>
      <c r="DV83" s="52"/>
      <c r="DW83" s="52"/>
      <c r="DX83" s="52"/>
      <c r="DY83" s="52"/>
      <c r="DZ83" s="52"/>
      <c r="EA83" s="52"/>
      <c r="EB83" s="52"/>
      <c r="EC83" s="52"/>
      <c r="ED83" s="52"/>
      <c r="EE83" s="52"/>
      <c r="EF83" s="52"/>
      <c r="EG83" s="52"/>
      <c r="EH83" s="52"/>
      <c r="EI83" s="52"/>
      <c r="EJ83" s="52"/>
    </row>
    <row r="84" spans="1:140" s="21" customFormat="1" ht="15" customHeight="1">
      <c r="A84" s="81"/>
      <c r="B84" s="81"/>
      <c r="C84" s="195" t="str">
        <f>IF(MasterSheet!$A$1=1,MasterSheet!C226,MasterSheet!B226)</f>
        <v>Transferi opštinama</v>
      </c>
      <c r="D84" s="186"/>
      <c r="E84" s="187">
        <f t="shared" ref="E84:E105" si="27">+D84/$D$15*100</f>
        <v>0</v>
      </c>
      <c r="F84" s="186"/>
      <c r="G84" s="187">
        <f t="shared" ref="G84:G105" si="28">+F84/$F$15*100</f>
        <v>0</v>
      </c>
      <c r="H84" s="186"/>
      <c r="I84" s="187">
        <f t="shared" si="2"/>
        <v>0</v>
      </c>
      <c r="J84" s="186"/>
      <c r="K84" s="187">
        <f t="shared" si="3"/>
        <v>0</v>
      </c>
      <c r="L84" s="186"/>
      <c r="M84" s="187">
        <f t="shared" si="4"/>
        <v>0</v>
      </c>
      <c r="N84" s="186"/>
      <c r="O84" s="187">
        <f t="shared" si="5"/>
        <v>0</v>
      </c>
      <c r="P84" s="282"/>
      <c r="Q84" s="283">
        <f t="shared" si="6"/>
        <v>0</v>
      </c>
      <c r="R84" s="282"/>
      <c r="S84" s="283">
        <f t="shared" si="7"/>
        <v>0</v>
      </c>
      <c r="T84" s="282">
        <f t="shared" si="26"/>
        <v>0</v>
      </c>
      <c r="U84" s="283">
        <f t="shared" si="22"/>
        <v>0</v>
      </c>
      <c r="V84" s="816">
        <f t="shared" si="18"/>
        <v>0</v>
      </c>
      <c r="W84" s="817">
        <f t="shared" si="18"/>
        <v>0</v>
      </c>
      <c r="X84" s="282"/>
      <c r="Y84" s="284">
        <f t="shared" si="9"/>
        <v>0</v>
      </c>
      <c r="Z84" s="282"/>
      <c r="AA84" s="283">
        <f t="shared" si="10"/>
        <v>0</v>
      </c>
      <c r="AB84" s="282"/>
      <c r="AC84" s="283">
        <f t="shared" si="11"/>
        <v>0</v>
      </c>
      <c r="AD84" s="84"/>
      <c r="AE84" s="84"/>
      <c r="AF84" s="56"/>
      <c r="AG84" s="56"/>
      <c r="AH84" s="56"/>
      <c r="AI84" s="56"/>
      <c r="AJ84" s="56"/>
      <c r="AK84" s="57"/>
      <c r="AL84" s="57"/>
      <c r="AM84" s="63"/>
      <c r="AN84" s="63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  <c r="AZ84" s="57"/>
      <c r="BA84" s="57"/>
      <c r="BB84" s="57"/>
      <c r="BC84" s="57"/>
      <c r="BD84" s="57"/>
      <c r="BE84" s="57"/>
      <c r="BF84" s="57"/>
      <c r="BG84" s="57"/>
      <c r="BH84" s="57"/>
      <c r="BI84" s="57"/>
      <c r="BJ84" s="57"/>
      <c r="BK84" s="57"/>
      <c r="BL84" s="57"/>
      <c r="BM84" s="57"/>
      <c r="BN84" s="57"/>
      <c r="BO84" s="57"/>
      <c r="BP84" s="57"/>
      <c r="BQ84" s="57"/>
      <c r="BR84" s="57"/>
      <c r="BS84" s="57"/>
      <c r="BT84" s="57"/>
      <c r="BU84" s="57"/>
      <c r="BV84" s="57"/>
      <c r="BW84" s="57"/>
      <c r="BX84" s="57"/>
      <c r="BY84" s="57"/>
      <c r="BZ84" s="57"/>
      <c r="CA84" s="57"/>
      <c r="CB84" s="57"/>
      <c r="CC84" s="57"/>
      <c r="CD84" s="57"/>
      <c r="CE84" s="57"/>
      <c r="CF84" s="57"/>
      <c r="CG84" s="57"/>
      <c r="CH84" s="57"/>
      <c r="CI84" s="57"/>
      <c r="CJ84" s="57"/>
      <c r="CK84" s="57"/>
      <c r="CL84" s="57"/>
      <c r="CM84" s="57"/>
      <c r="CN84" s="57"/>
      <c r="CO84" s="57"/>
      <c r="CP84" s="57"/>
      <c r="CQ84" s="57"/>
      <c r="CR84" s="57"/>
      <c r="CS84" s="57"/>
      <c r="CT84" s="57"/>
      <c r="CU84" s="57"/>
      <c r="CV84" s="57"/>
      <c r="CW84" s="57"/>
      <c r="CX84" s="57"/>
      <c r="CY84" s="57"/>
      <c r="CZ84" s="57"/>
      <c r="DA84" s="57"/>
      <c r="DB84" s="57"/>
      <c r="DC84" s="57"/>
      <c r="DD84" s="57"/>
      <c r="DE84" s="57"/>
      <c r="DF84" s="57"/>
      <c r="DG84" s="57"/>
      <c r="DH84" s="57"/>
      <c r="DI84" s="57"/>
      <c r="DJ84" s="57"/>
      <c r="DK84" s="57"/>
      <c r="DL84" s="57"/>
      <c r="DM84" s="57"/>
      <c r="DN84" s="57"/>
      <c r="DO84" s="57"/>
      <c r="DP84" s="57"/>
      <c r="DQ84" s="57"/>
      <c r="DR84" s="57"/>
      <c r="DS84" s="57"/>
      <c r="DT84" s="57"/>
      <c r="DU84" s="52"/>
      <c r="DV84" s="52"/>
      <c r="DW84" s="52"/>
      <c r="DX84" s="52"/>
      <c r="DY84" s="52"/>
      <c r="DZ84" s="52"/>
      <c r="EA84" s="52"/>
      <c r="EB84" s="52"/>
      <c r="EC84" s="52"/>
      <c r="ED84" s="52"/>
      <c r="EE84" s="52"/>
      <c r="EF84" s="52"/>
      <c r="EG84" s="52"/>
      <c r="EH84" s="52"/>
      <c r="EI84" s="52"/>
      <c r="EJ84" s="52"/>
    </row>
    <row r="85" spans="1:140" s="21" customFormat="1" ht="15" customHeight="1">
      <c r="A85" s="85"/>
      <c r="B85" s="85"/>
      <c r="C85" s="195" t="str">
        <f>IF(MasterSheet!$A$1=1,MasterSheet!C227,MasterSheet!B227)</f>
        <v>Transferi javnim preduzećima</v>
      </c>
      <c r="D85" s="186"/>
      <c r="E85" s="187">
        <f t="shared" si="27"/>
        <v>0</v>
      </c>
      <c r="F85" s="186">
        <v>11721514.77</v>
      </c>
      <c r="G85" s="187">
        <f t="shared" si="28"/>
        <v>0.43728837045327362</v>
      </c>
      <c r="H85" s="186">
        <v>9664146.5899999999</v>
      </c>
      <c r="I85" s="187">
        <f t="shared" ref="I85:I105" si="29">+H85/$H$15*100</f>
        <v>0.31320153584392013</v>
      </c>
      <c r="J85" s="186"/>
      <c r="K85" s="187">
        <f t="shared" ref="K85:K105" si="30">+J85/$J$15*100</f>
        <v>0</v>
      </c>
      <c r="L85" s="186"/>
      <c r="M85" s="187">
        <f t="shared" ref="M85:M105" si="31">+L85/$L$15*100</f>
        <v>0</v>
      </c>
      <c r="N85" s="186">
        <v>13724659.619999999</v>
      </c>
      <c r="O85" s="187">
        <f t="shared" ref="O85:O105" si="32">+N85/$N$15*100</f>
        <v>0.42438650649350645</v>
      </c>
      <c r="P85" s="282">
        <v>17753503.809999999</v>
      </c>
      <c r="Q85" s="283">
        <f t="shared" ref="Q85:Q105" si="33">+P85/$P$15*100</f>
        <v>0.56378227405525561</v>
      </c>
      <c r="R85" s="282">
        <v>14226410.242440004</v>
      </c>
      <c r="S85" s="283">
        <f t="shared" ref="S85:S105" si="34">+R85/$R$15*100</f>
        <v>0.40450412972533417</v>
      </c>
      <c r="T85" s="282">
        <f t="shared" si="26"/>
        <v>14510938.447288804</v>
      </c>
      <c r="U85" s="283">
        <f t="shared" si="22"/>
        <v>0.41259421231984084</v>
      </c>
      <c r="V85" s="816">
        <f t="shared" si="18"/>
        <v>284528.20484879985</v>
      </c>
      <c r="W85" s="817">
        <f t="shared" si="18"/>
        <v>8.0900825945066646E-3</v>
      </c>
      <c r="X85" s="282">
        <v>15649051.266684005</v>
      </c>
      <c r="Y85" s="284">
        <f t="shared" ref="Y85:Y105" si="35">+X85/$X$15*100</f>
        <v>0.41898396965686757</v>
      </c>
      <c r="Z85" s="282">
        <v>16040277.548351103</v>
      </c>
      <c r="AA85" s="283">
        <f t="shared" ref="AA85:AA105" si="36">+Z85/$Z$15*100</f>
        <v>0.40281962703041452</v>
      </c>
      <c r="AB85" s="282">
        <f>+Z85*1.02</f>
        <v>16361083.099318126</v>
      </c>
      <c r="AC85" s="283">
        <f t="shared" ref="AC85:AC105" si="37">+AB85/$AB$15*100</f>
        <v>0.3836127338644344</v>
      </c>
      <c r="AD85" s="84"/>
      <c r="AE85" s="84"/>
      <c r="AF85" s="56"/>
      <c r="AG85" s="56"/>
      <c r="AH85" s="56"/>
      <c r="AI85" s="56"/>
      <c r="AJ85" s="56"/>
      <c r="AK85" s="57"/>
      <c r="AL85" s="57"/>
      <c r="AM85" s="63"/>
      <c r="AN85" s="63"/>
      <c r="AO85" s="57"/>
      <c r="AP85" s="57"/>
      <c r="AQ85" s="57"/>
      <c r="AR85" s="57"/>
      <c r="AS85" s="57"/>
      <c r="AT85" s="57"/>
      <c r="AU85" s="57"/>
      <c r="AV85" s="57"/>
      <c r="AW85" s="57"/>
      <c r="AX85" s="57"/>
      <c r="AY85" s="57"/>
      <c r="AZ85" s="57"/>
      <c r="BA85" s="57"/>
      <c r="BB85" s="57"/>
      <c r="BC85" s="57"/>
      <c r="BD85" s="57"/>
      <c r="BE85" s="57"/>
      <c r="BF85" s="57"/>
      <c r="BG85" s="57"/>
      <c r="BH85" s="57"/>
      <c r="BI85" s="57"/>
      <c r="BJ85" s="57"/>
      <c r="BK85" s="57"/>
      <c r="BL85" s="57"/>
      <c r="BM85" s="57"/>
      <c r="BN85" s="57"/>
      <c r="BO85" s="57"/>
      <c r="BP85" s="57"/>
      <c r="BQ85" s="57"/>
      <c r="BR85" s="57"/>
      <c r="BS85" s="57"/>
      <c r="BT85" s="57"/>
      <c r="BU85" s="57"/>
      <c r="BV85" s="57"/>
      <c r="BW85" s="57"/>
      <c r="BX85" s="57"/>
      <c r="BY85" s="57"/>
      <c r="BZ85" s="57"/>
      <c r="CA85" s="57"/>
      <c r="CB85" s="57"/>
      <c r="CC85" s="57"/>
      <c r="CD85" s="57"/>
      <c r="CE85" s="57"/>
      <c r="CF85" s="57"/>
      <c r="CG85" s="57"/>
      <c r="CH85" s="57"/>
      <c r="CI85" s="57"/>
      <c r="CJ85" s="57"/>
      <c r="CK85" s="57"/>
      <c r="CL85" s="57"/>
      <c r="CM85" s="57"/>
      <c r="CN85" s="57"/>
      <c r="CO85" s="57"/>
      <c r="CP85" s="57"/>
      <c r="CQ85" s="57"/>
      <c r="CR85" s="57"/>
      <c r="CS85" s="57"/>
      <c r="CT85" s="57"/>
      <c r="CU85" s="57"/>
      <c r="CV85" s="57"/>
      <c r="CW85" s="57"/>
      <c r="CX85" s="57"/>
      <c r="CY85" s="57"/>
      <c r="CZ85" s="57"/>
      <c r="DA85" s="57"/>
      <c r="DB85" s="57"/>
      <c r="DC85" s="57"/>
      <c r="DD85" s="57"/>
      <c r="DE85" s="57"/>
      <c r="DF85" s="57"/>
      <c r="DG85" s="57"/>
      <c r="DH85" s="57"/>
      <c r="DI85" s="57"/>
      <c r="DJ85" s="57"/>
      <c r="DK85" s="57"/>
      <c r="DL85" s="57"/>
      <c r="DM85" s="57"/>
      <c r="DN85" s="57"/>
      <c r="DO85" s="57"/>
      <c r="DP85" s="57"/>
      <c r="DQ85" s="57"/>
      <c r="DR85" s="57"/>
      <c r="DS85" s="57"/>
      <c r="DT85" s="57"/>
      <c r="DU85" s="52"/>
      <c r="DV85" s="52"/>
      <c r="DW85" s="52"/>
      <c r="DX85" s="52"/>
      <c r="DY85" s="52"/>
      <c r="DZ85" s="52"/>
      <c r="EA85" s="52"/>
      <c r="EB85" s="52"/>
      <c r="EC85" s="52"/>
      <c r="ED85" s="52"/>
      <c r="EE85" s="52"/>
      <c r="EF85" s="52"/>
      <c r="EG85" s="52"/>
      <c r="EH85" s="52"/>
      <c r="EI85" s="52"/>
      <c r="EJ85" s="52"/>
    </row>
    <row r="86" spans="1:140" s="21" customFormat="1" ht="15" customHeight="1">
      <c r="A86" s="85"/>
      <c r="B86" s="407"/>
      <c r="C86" s="196" t="str">
        <f>IF(MasterSheet!$A$1=1,MasterSheet!C228,MasterSheet!B228)</f>
        <v>Kapitalni budzet lokalne samouprave</v>
      </c>
      <c r="D86" s="190">
        <v>56911483.659999996</v>
      </c>
      <c r="E86" s="191">
        <f t="shared" si="27"/>
        <v>2.6484007473591138</v>
      </c>
      <c r="F86" s="190">
        <v>104802650.73</v>
      </c>
      <c r="G86" s="191">
        <f t="shared" si="28"/>
        <v>3.9098172255176276</v>
      </c>
      <c r="H86" s="190">
        <v>162351046.97999996</v>
      </c>
      <c r="I86" s="191">
        <f t="shared" si="29"/>
        <v>5.2615713955146468</v>
      </c>
      <c r="J86" s="190">
        <v>112335160</v>
      </c>
      <c r="K86" s="191">
        <f t="shared" si="30"/>
        <v>3.7683716873532371</v>
      </c>
      <c r="L86" s="190">
        <v>83150000</v>
      </c>
      <c r="M86" s="191">
        <f t="shared" si="31"/>
        <v>2.6788015463917523</v>
      </c>
      <c r="N86" s="190">
        <v>51469674.490000002</v>
      </c>
      <c r="O86" s="191">
        <f t="shared" si="32"/>
        <v>1.5915174548546691</v>
      </c>
      <c r="P86" s="285">
        <v>48316705.07</v>
      </c>
      <c r="Q86" s="286">
        <f t="shared" si="33"/>
        <v>1.5343507484915846</v>
      </c>
      <c r="R86" s="285">
        <v>30000000</v>
      </c>
      <c r="S86" s="286">
        <f t="shared" si="34"/>
        <v>0.85299971566676136</v>
      </c>
      <c r="T86" s="285">
        <v>32000000</v>
      </c>
      <c r="U86" s="286">
        <f t="shared" si="22"/>
        <v>0.90986636337787885</v>
      </c>
      <c r="V86" s="818">
        <f t="shared" si="18"/>
        <v>2000000</v>
      </c>
      <c r="W86" s="819">
        <f t="shared" si="18"/>
        <v>5.6866647711117491E-2</v>
      </c>
      <c r="X86" s="285">
        <v>34000000</v>
      </c>
      <c r="Y86" s="287">
        <f t="shared" si="35"/>
        <v>0.91030789825970548</v>
      </c>
      <c r="Z86" s="823">
        <v>36000000</v>
      </c>
      <c r="AA86" s="286">
        <f t="shared" si="36"/>
        <v>0.90406830738322452</v>
      </c>
      <c r="AB86" s="823">
        <v>37000000</v>
      </c>
      <c r="AC86" s="286">
        <f t="shared" si="37"/>
        <v>0.86752637749120742</v>
      </c>
      <c r="AD86" s="84"/>
      <c r="AE86" s="84"/>
      <c r="AF86" s="56"/>
      <c r="AG86" s="56"/>
      <c r="AH86" s="56"/>
      <c r="AI86" s="56"/>
      <c r="AJ86" s="56"/>
      <c r="AK86" s="57"/>
      <c r="AL86" s="57"/>
      <c r="AM86" s="63"/>
      <c r="AN86" s="63"/>
      <c r="AO86" s="57"/>
      <c r="AP86" s="57"/>
      <c r="AQ86" s="57"/>
      <c r="AR86" s="57"/>
      <c r="AS86" s="57"/>
      <c r="AT86" s="57"/>
      <c r="AU86" s="57"/>
      <c r="AV86" s="57"/>
      <c r="AW86" s="57"/>
      <c r="AX86" s="57"/>
      <c r="AY86" s="57"/>
      <c r="AZ86" s="57"/>
      <c r="BA86" s="57"/>
      <c r="BB86" s="57"/>
      <c r="BC86" s="57"/>
      <c r="BD86" s="57"/>
      <c r="BE86" s="57"/>
      <c r="BF86" s="57"/>
      <c r="BG86" s="57"/>
      <c r="BH86" s="57"/>
      <c r="BI86" s="57"/>
      <c r="BJ86" s="57"/>
      <c r="BK86" s="57"/>
      <c r="BL86" s="57"/>
      <c r="BM86" s="57"/>
      <c r="BN86" s="57"/>
      <c r="BO86" s="57"/>
      <c r="BP86" s="57"/>
      <c r="BQ86" s="57"/>
      <c r="BR86" s="57"/>
      <c r="BS86" s="57"/>
      <c r="BT86" s="57"/>
      <c r="BU86" s="57"/>
      <c r="BV86" s="57"/>
      <c r="BW86" s="57"/>
      <c r="BX86" s="57"/>
      <c r="BY86" s="57"/>
      <c r="BZ86" s="57"/>
      <c r="CA86" s="57"/>
      <c r="CB86" s="57"/>
      <c r="CC86" s="57"/>
      <c r="CD86" s="57"/>
      <c r="CE86" s="57"/>
      <c r="CF86" s="57"/>
      <c r="CG86" s="57"/>
      <c r="CH86" s="57"/>
      <c r="CI86" s="57"/>
      <c r="CJ86" s="57"/>
      <c r="CK86" s="57"/>
      <c r="CL86" s="57"/>
      <c r="CM86" s="57"/>
      <c r="CN86" s="57"/>
      <c r="CO86" s="57"/>
      <c r="CP86" s="57"/>
      <c r="CQ86" s="57"/>
      <c r="CR86" s="57"/>
      <c r="CS86" s="57"/>
      <c r="CT86" s="57"/>
      <c r="CU86" s="57"/>
      <c r="CV86" s="57"/>
      <c r="CW86" s="57"/>
      <c r="CX86" s="57"/>
      <c r="CY86" s="57"/>
      <c r="CZ86" s="57"/>
      <c r="DA86" s="57"/>
      <c r="DB86" s="57"/>
      <c r="DC86" s="57"/>
      <c r="DD86" s="57"/>
      <c r="DE86" s="57"/>
      <c r="DF86" s="57"/>
      <c r="DG86" s="57"/>
      <c r="DH86" s="57"/>
      <c r="DI86" s="57"/>
      <c r="DJ86" s="57"/>
      <c r="DK86" s="57"/>
      <c r="DL86" s="57"/>
      <c r="DM86" s="57"/>
      <c r="DN86" s="57"/>
      <c r="DO86" s="57"/>
      <c r="DP86" s="57"/>
      <c r="DQ86" s="57"/>
      <c r="DR86" s="57"/>
      <c r="DS86" s="57"/>
      <c r="DT86" s="57"/>
      <c r="DU86" s="52"/>
      <c r="DV86" s="52"/>
      <c r="DW86" s="52"/>
      <c r="DX86" s="52"/>
      <c r="DY86" s="52"/>
      <c r="DZ86" s="52"/>
      <c r="EA86" s="52"/>
      <c r="EB86" s="52"/>
      <c r="EC86" s="52"/>
      <c r="ED86" s="52"/>
      <c r="EE86" s="52"/>
      <c r="EF86" s="52"/>
      <c r="EG86" s="52"/>
      <c r="EH86" s="52"/>
      <c r="EI86" s="52"/>
      <c r="EJ86" s="52"/>
    </row>
    <row r="87" spans="1:140" s="23" customFormat="1" ht="15" customHeight="1">
      <c r="A87" s="69"/>
      <c r="B87" s="69"/>
      <c r="C87" s="196" t="str">
        <f>IF(MasterSheet!$A$1=1,MasterSheet!C230,MasterSheet!B230)</f>
        <v>Pozajmice i krediti</v>
      </c>
      <c r="D87" s="190">
        <v>1165260.56</v>
      </c>
      <c r="E87" s="191">
        <f t="shared" si="27"/>
        <v>5.422590906975662E-2</v>
      </c>
      <c r="F87" s="190">
        <v>7077.33</v>
      </c>
      <c r="G87" s="191">
        <f t="shared" si="28"/>
        <v>2.6403021824286514E-4</v>
      </c>
      <c r="H87" s="190">
        <v>971121</v>
      </c>
      <c r="I87" s="191">
        <f t="shared" si="29"/>
        <v>3.1472679543686807E-2</v>
      </c>
      <c r="J87" s="190">
        <v>609500</v>
      </c>
      <c r="K87" s="191">
        <f t="shared" si="30"/>
        <v>2.0446159007044617E-2</v>
      </c>
      <c r="L87" s="190">
        <v>970000</v>
      </c>
      <c r="M87" s="191">
        <f t="shared" si="31"/>
        <v>3.125E-2</v>
      </c>
      <c r="N87" s="190">
        <v>2142181.59</v>
      </c>
      <c r="O87" s="191">
        <f t="shared" si="32"/>
        <v>6.6239381261595537E-2</v>
      </c>
      <c r="P87" s="285">
        <v>1189239.27</v>
      </c>
      <c r="Q87" s="286">
        <f t="shared" si="33"/>
        <v>3.7765616703715463E-2</v>
      </c>
      <c r="R87" s="285">
        <v>2005826.3165</v>
      </c>
      <c r="S87" s="286">
        <f t="shared" si="34"/>
        <v>5.703230925504691E-2</v>
      </c>
      <c r="T87" s="285">
        <f>+R87*1.02</f>
        <v>2045942.84283</v>
      </c>
      <c r="U87" s="286">
        <f t="shared" si="22"/>
        <v>5.8172955440147854E-2</v>
      </c>
      <c r="V87" s="818">
        <f t="shared" si="18"/>
        <v>40116.526330000022</v>
      </c>
      <c r="W87" s="819">
        <f t="shared" si="18"/>
        <v>1.1406461851009436E-3</v>
      </c>
      <c r="X87" s="285">
        <v>2206408.9481500001</v>
      </c>
      <c r="Y87" s="287">
        <f t="shared" si="35"/>
        <v>5.9073867420348064E-2</v>
      </c>
      <c r="Z87" s="823">
        <v>2261569.17185375</v>
      </c>
      <c r="AA87" s="286">
        <f t="shared" si="36"/>
        <v>5.6794805922997238E-2</v>
      </c>
      <c r="AB87" s="823">
        <f>+Z87*1.015</f>
        <v>2295492.7094315561</v>
      </c>
      <c r="AC87" s="286">
        <f t="shared" si="37"/>
        <v>5.3821634453260409E-2</v>
      </c>
      <c r="AD87" s="85"/>
      <c r="AE87" s="85"/>
      <c r="AF87" s="66"/>
      <c r="AG87" s="66"/>
      <c r="AH87" s="66"/>
      <c r="AI87" s="66"/>
      <c r="AJ87" s="66"/>
      <c r="AK87" s="55"/>
      <c r="AL87" s="159"/>
      <c r="AM87" s="67"/>
      <c r="AN87" s="67"/>
      <c r="AO87" s="159"/>
      <c r="AP87" s="159"/>
      <c r="AQ87" s="159"/>
      <c r="AR87" s="159"/>
      <c r="AS87" s="159"/>
      <c r="AT87" s="159"/>
      <c r="AU87" s="159"/>
      <c r="AV87" s="159"/>
      <c r="AW87" s="159"/>
      <c r="AX87" s="159"/>
      <c r="AY87" s="159"/>
      <c r="AZ87" s="159"/>
      <c r="BA87" s="159"/>
      <c r="BB87" s="159"/>
      <c r="BC87" s="159"/>
      <c r="BD87" s="159"/>
      <c r="BE87" s="159"/>
      <c r="BF87" s="159"/>
      <c r="BG87" s="159"/>
      <c r="BH87" s="159"/>
      <c r="BI87" s="159"/>
      <c r="BJ87" s="159"/>
      <c r="BK87" s="159"/>
      <c r="BL87" s="159"/>
      <c r="BM87" s="159"/>
      <c r="BN87" s="159"/>
      <c r="BO87" s="159"/>
      <c r="BP87" s="159"/>
      <c r="BQ87" s="159"/>
      <c r="BR87" s="159"/>
      <c r="BS87" s="159"/>
      <c r="BT87" s="159"/>
      <c r="BU87" s="159"/>
      <c r="BV87" s="159"/>
      <c r="BW87" s="159"/>
      <c r="BX87" s="159"/>
      <c r="BY87" s="159"/>
      <c r="BZ87" s="159"/>
      <c r="CA87" s="159"/>
      <c r="CB87" s="159"/>
      <c r="CC87" s="159"/>
      <c r="CD87" s="159"/>
      <c r="CE87" s="159"/>
      <c r="CF87" s="159"/>
      <c r="CG87" s="159"/>
      <c r="CH87" s="159"/>
      <c r="CI87" s="159"/>
      <c r="CJ87" s="159"/>
      <c r="CK87" s="159"/>
      <c r="CL87" s="159"/>
      <c r="CM87" s="159"/>
      <c r="CN87" s="159"/>
      <c r="CO87" s="159"/>
      <c r="CP87" s="159"/>
      <c r="CQ87" s="159"/>
      <c r="CR87" s="159"/>
      <c r="CS87" s="159"/>
      <c r="CT87" s="159"/>
      <c r="CU87" s="159"/>
      <c r="CV87" s="159"/>
      <c r="CW87" s="159"/>
      <c r="CX87" s="159"/>
      <c r="CY87" s="159"/>
      <c r="CZ87" s="159"/>
      <c r="DA87" s="159"/>
      <c r="DB87" s="159"/>
      <c r="DC87" s="159"/>
      <c r="DD87" s="159"/>
      <c r="DE87" s="159"/>
      <c r="DF87" s="159"/>
      <c r="DG87" s="159"/>
      <c r="DH87" s="159"/>
      <c r="DI87" s="159"/>
      <c r="DJ87" s="159"/>
      <c r="DK87" s="159"/>
      <c r="DL87" s="159"/>
      <c r="DM87" s="159"/>
      <c r="DN87" s="159"/>
      <c r="DO87" s="159"/>
      <c r="DP87" s="159"/>
      <c r="DQ87" s="159"/>
      <c r="DR87" s="159"/>
      <c r="DS87" s="159"/>
      <c r="DT87" s="159"/>
      <c r="DU87" s="66"/>
      <c r="DV87" s="66"/>
      <c r="DW87" s="66"/>
      <c r="DX87" s="66"/>
      <c r="DY87" s="66"/>
      <c r="DZ87" s="66"/>
      <c r="EA87" s="66"/>
      <c r="EB87" s="66"/>
      <c r="EC87" s="66"/>
      <c r="ED87" s="66"/>
      <c r="EE87" s="66"/>
      <c r="EF87" s="66"/>
      <c r="EG87" s="66"/>
      <c r="EH87" s="66"/>
      <c r="EI87" s="66"/>
      <c r="EJ87" s="66"/>
    </row>
    <row r="88" spans="1:140">
      <c r="A88" s="69"/>
      <c r="B88" s="69"/>
      <c r="C88" s="196" t="str">
        <f>IF(MasterSheet!$A$1=1,MasterSheet!C232,MasterSheet!B232)</f>
        <v>Otplata neizmirenih obaveza iz prethodnog perioda</v>
      </c>
      <c r="D88" s="190"/>
      <c r="E88" s="191">
        <f t="shared" si="27"/>
        <v>0</v>
      </c>
      <c r="F88" s="190"/>
      <c r="G88" s="191">
        <f t="shared" si="28"/>
        <v>0</v>
      </c>
      <c r="H88" s="190"/>
      <c r="I88" s="191">
        <f t="shared" si="29"/>
        <v>0</v>
      </c>
      <c r="J88" s="190"/>
      <c r="K88" s="191">
        <f t="shared" si="30"/>
        <v>0</v>
      </c>
      <c r="L88" s="190"/>
      <c r="M88" s="191">
        <f t="shared" si="31"/>
        <v>0</v>
      </c>
      <c r="N88" s="561"/>
      <c r="O88" s="562">
        <f t="shared" si="32"/>
        <v>0</v>
      </c>
      <c r="P88" s="285"/>
      <c r="Q88" s="286">
        <f t="shared" si="33"/>
        <v>0</v>
      </c>
      <c r="R88" s="285">
        <v>0</v>
      </c>
      <c r="S88" s="286">
        <f t="shared" si="34"/>
        <v>0</v>
      </c>
      <c r="T88" s="285">
        <v>0</v>
      </c>
      <c r="U88" s="286">
        <f t="shared" si="22"/>
        <v>0</v>
      </c>
      <c r="V88" s="818">
        <f t="shared" si="18"/>
        <v>0</v>
      </c>
      <c r="W88" s="819">
        <f t="shared" si="18"/>
        <v>0</v>
      </c>
      <c r="X88" s="285">
        <v>0</v>
      </c>
      <c r="Y88" s="287">
        <f t="shared" si="35"/>
        <v>0</v>
      </c>
      <c r="Z88" s="823">
        <v>0</v>
      </c>
      <c r="AA88" s="286">
        <f t="shared" si="36"/>
        <v>0</v>
      </c>
      <c r="AB88" s="823">
        <v>0</v>
      </c>
      <c r="AC88" s="286">
        <f t="shared" si="37"/>
        <v>0</v>
      </c>
      <c r="AD88" s="69"/>
      <c r="AE88" s="69"/>
      <c r="AF88" s="51"/>
      <c r="AG88" s="51"/>
      <c r="AH88" s="51"/>
      <c r="AI88" s="51"/>
      <c r="AJ88" s="51"/>
      <c r="AK88" s="4"/>
      <c r="AL88" s="4"/>
      <c r="AM88" s="160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</row>
    <row r="89" spans="1:140" ht="13.5" thickBot="1">
      <c r="A89" s="69"/>
      <c r="B89" s="69"/>
      <c r="C89" s="425" t="str">
        <f>IF(MasterSheet!$A$1=1,MasterSheet!C233,MasterSheet!B233)</f>
        <v>Rezerve</v>
      </c>
      <c r="D89" s="426">
        <v>4882891.71</v>
      </c>
      <c r="E89" s="577">
        <f t="shared" si="27"/>
        <v>0.22722749825492111</v>
      </c>
      <c r="F89" s="426">
        <v>8103979.8300000001</v>
      </c>
      <c r="G89" s="577">
        <f t="shared" si="28"/>
        <v>0.30233090207050922</v>
      </c>
      <c r="H89" s="426">
        <v>6750498.1299999999</v>
      </c>
      <c r="I89" s="577">
        <f t="shared" si="29"/>
        <v>0.21877424585169822</v>
      </c>
      <c r="J89" s="426">
        <v>3613548.59</v>
      </c>
      <c r="K89" s="577">
        <f t="shared" si="30"/>
        <v>0.12121934216705803</v>
      </c>
      <c r="L89" s="426">
        <v>3250000</v>
      </c>
      <c r="M89" s="577">
        <f t="shared" si="31"/>
        <v>0.10470360824742268</v>
      </c>
      <c r="N89" s="426">
        <v>2296279.0099999998</v>
      </c>
      <c r="O89" s="577">
        <f t="shared" si="32"/>
        <v>7.1004298392084095E-2</v>
      </c>
      <c r="P89" s="578">
        <v>3457991.1000000006</v>
      </c>
      <c r="Q89" s="579">
        <f t="shared" si="33"/>
        <v>0.10981235630358845</v>
      </c>
      <c r="R89" s="578">
        <v>3504092.6365</v>
      </c>
      <c r="S89" s="580">
        <f t="shared" si="34"/>
        <v>9.9633000753483081E-2</v>
      </c>
      <c r="T89" s="578">
        <f>+R89*1.02</f>
        <v>3574174.4892299999</v>
      </c>
      <c r="U89" s="580">
        <f t="shared" si="22"/>
        <v>0.10162566076855274</v>
      </c>
      <c r="V89" s="824">
        <f t="shared" si="18"/>
        <v>70081.852729999926</v>
      </c>
      <c r="W89" s="825">
        <f t="shared" si="18"/>
        <v>1.9926600150696611E-3</v>
      </c>
      <c r="X89" s="578">
        <v>3854501.9001500001</v>
      </c>
      <c r="Y89" s="579">
        <f t="shared" si="35"/>
        <v>0.10319951539892905</v>
      </c>
      <c r="Z89" s="826">
        <v>4000000</v>
      </c>
      <c r="AA89" s="580">
        <f t="shared" si="36"/>
        <v>0.10045203415369162</v>
      </c>
      <c r="AB89" s="826">
        <f>+Z89*1.01</f>
        <v>4040000</v>
      </c>
      <c r="AC89" s="286">
        <f t="shared" si="37"/>
        <v>9.4724501758499405E-2</v>
      </c>
      <c r="AD89" s="69"/>
      <c r="AE89" s="69"/>
      <c r="AF89" s="51"/>
      <c r="AG89" s="51"/>
      <c r="AH89" s="51"/>
      <c r="AI89" s="51"/>
      <c r="AJ89" s="51"/>
      <c r="AK89" s="4"/>
      <c r="AL89" s="4"/>
      <c r="AM89" s="160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</row>
    <row r="90" spans="1:140" ht="14.25" thickTop="1" thickBot="1">
      <c r="A90" s="69"/>
      <c r="B90" s="69"/>
      <c r="C90" s="583" t="str">
        <f>IF(MasterSheet!$A$1=1,MasterSheet!C241,MasterSheet!B241)</f>
        <v>Otplata garancija</v>
      </c>
      <c r="D90" s="401"/>
      <c r="E90" s="402">
        <f>+D90/$D$15*100</f>
        <v>0</v>
      </c>
      <c r="F90" s="401"/>
      <c r="G90" s="402">
        <f>+F90/$F$15*100</f>
        <v>0</v>
      </c>
      <c r="H90" s="401"/>
      <c r="I90" s="402">
        <f>+H90/$H$15*100</f>
        <v>0</v>
      </c>
      <c r="J90" s="401"/>
      <c r="K90" s="402">
        <f>+J90/$J$15*100</f>
        <v>0</v>
      </c>
      <c r="L90" s="401"/>
      <c r="M90" s="402">
        <f>+L90/$L$15*100</f>
        <v>0</v>
      </c>
      <c r="N90" s="403">
        <v>197478.01</v>
      </c>
      <c r="O90" s="404">
        <f>+N90/$N$15*100</f>
        <v>6.1063082869511447E-3</v>
      </c>
      <c r="P90" s="405"/>
      <c r="Q90" s="406">
        <f t="shared" si="33"/>
        <v>0</v>
      </c>
      <c r="R90" s="405"/>
      <c r="S90" s="406">
        <f t="shared" si="34"/>
        <v>0</v>
      </c>
      <c r="T90" s="405"/>
      <c r="U90" s="406">
        <f t="shared" si="22"/>
        <v>0</v>
      </c>
      <c r="V90" s="827">
        <f t="shared" si="18"/>
        <v>0</v>
      </c>
      <c r="W90" s="828">
        <f t="shared" si="18"/>
        <v>0</v>
      </c>
      <c r="X90" s="405"/>
      <c r="Y90" s="406">
        <f t="shared" si="35"/>
        <v>0</v>
      </c>
      <c r="Z90" s="405"/>
      <c r="AA90" s="581">
        <f t="shared" si="36"/>
        <v>0</v>
      </c>
      <c r="AB90" s="405"/>
      <c r="AC90" s="874">
        <f t="shared" si="37"/>
        <v>0</v>
      </c>
      <c r="AD90" s="69"/>
      <c r="AE90" s="69"/>
      <c r="AF90" s="51"/>
      <c r="AG90" s="51"/>
      <c r="AH90" s="51"/>
      <c r="AI90" s="51"/>
      <c r="AJ90" s="51"/>
      <c r="AK90" s="51"/>
      <c r="AL90" s="51"/>
      <c r="AM90" s="68"/>
      <c r="AN90" s="51"/>
      <c r="AO90" s="51"/>
      <c r="AP90" s="51"/>
      <c r="AQ90" s="51"/>
      <c r="AR90" s="51"/>
      <c r="AS90" s="51"/>
      <c r="AT90" s="51"/>
      <c r="AU90" s="51"/>
      <c r="AV90" s="51"/>
      <c r="AW90" s="51"/>
      <c r="AX90" s="51"/>
      <c r="AY90" s="51"/>
      <c r="AZ90" s="51"/>
      <c r="BA90" s="51"/>
      <c r="BB90" s="51"/>
      <c r="BC90" s="51"/>
      <c r="BD90" s="51"/>
      <c r="BE90" s="51"/>
      <c r="BF90" s="51"/>
      <c r="BG90" s="51"/>
      <c r="BH90" s="51"/>
      <c r="BI90" s="51"/>
      <c r="BJ90" s="51"/>
      <c r="BK90" s="51"/>
      <c r="BL90" s="51"/>
      <c r="BM90" s="51"/>
      <c r="BN90" s="51"/>
      <c r="BO90" s="51"/>
      <c r="BP90" s="51"/>
      <c r="BQ90" s="51"/>
      <c r="BR90" s="51"/>
      <c r="BS90" s="51"/>
      <c r="BT90" s="51"/>
      <c r="BU90" s="51"/>
      <c r="BV90" s="51"/>
      <c r="BW90" s="51"/>
      <c r="BX90" s="51"/>
      <c r="BY90" s="51"/>
      <c r="BZ90" s="51"/>
      <c r="CA90" s="51"/>
      <c r="CB90" s="51"/>
      <c r="CC90" s="51"/>
      <c r="CD90" s="51"/>
      <c r="CE90" s="51"/>
      <c r="CF90" s="51"/>
      <c r="CG90" s="51"/>
      <c r="CH90" s="51"/>
      <c r="CI90" s="51"/>
      <c r="CJ90" s="51"/>
      <c r="CK90" s="51"/>
      <c r="CL90" s="51"/>
      <c r="CM90" s="51"/>
      <c r="CN90" s="51"/>
      <c r="CO90" s="51"/>
      <c r="CP90" s="51"/>
      <c r="CQ90" s="51"/>
      <c r="CR90" s="51"/>
      <c r="CS90" s="51"/>
      <c r="CT90" s="51"/>
      <c r="CU90" s="51"/>
      <c r="CV90" s="51"/>
      <c r="CW90" s="51"/>
      <c r="CX90" s="51"/>
      <c r="CY90" s="51"/>
      <c r="CZ90" s="51"/>
      <c r="DA90" s="51"/>
      <c r="DB90" s="51"/>
      <c r="DC90" s="51"/>
      <c r="DD90" s="51"/>
      <c r="DE90" s="51"/>
      <c r="DF90" s="51"/>
      <c r="DG90" s="51"/>
      <c r="DH90" s="51"/>
      <c r="DI90" s="51"/>
      <c r="DJ90" s="51"/>
      <c r="DK90" s="51"/>
      <c r="DL90" s="51"/>
      <c r="DM90" s="51"/>
      <c r="DN90" s="51"/>
      <c r="DO90" s="51"/>
      <c r="DP90" s="51"/>
      <c r="DQ90" s="51"/>
      <c r="DR90" s="51"/>
      <c r="DS90" s="51"/>
      <c r="DT90" s="51"/>
      <c r="DU90" s="51"/>
      <c r="DV90" s="51"/>
      <c r="DW90" s="51"/>
      <c r="DX90" s="51"/>
      <c r="DY90" s="51"/>
      <c r="DZ90" s="51"/>
      <c r="EA90" s="51"/>
      <c r="EB90" s="51"/>
      <c r="EC90" s="51"/>
      <c r="ED90" s="51"/>
      <c r="EE90" s="51"/>
      <c r="EF90" s="51"/>
      <c r="EG90" s="51"/>
      <c r="EH90" s="51"/>
      <c r="EI90" s="51"/>
      <c r="EJ90" s="51"/>
    </row>
    <row r="91" spans="1:140" ht="14.25" thickTop="1" thickBot="1">
      <c r="A91" s="69"/>
      <c r="B91" s="69"/>
      <c r="C91" s="146" t="str">
        <f>IF(MasterSheet!$A$1=1,MasterSheet!C234,MasterSheet!B234)</f>
        <v>Neto povećanje obaveza</v>
      </c>
      <c r="D91" s="144"/>
      <c r="E91" s="142">
        <f t="shared" si="27"/>
        <v>0</v>
      </c>
      <c r="F91" s="144"/>
      <c r="G91" s="142">
        <f t="shared" si="28"/>
        <v>0</v>
      </c>
      <c r="H91" s="144"/>
      <c r="I91" s="142">
        <f t="shared" si="29"/>
        <v>0</v>
      </c>
      <c r="J91" s="144"/>
      <c r="K91" s="142">
        <f t="shared" si="30"/>
        <v>0</v>
      </c>
      <c r="L91" s="144">
        <v>31962969.949999999</v>
      </c>
      <c r="M91" s="142">
        <f t="shared" si="31"/>
        <v>1.029734856636598</v>
      </c>
      <c r="N91" s="141">
        <v>-4851519.62</v>
      </c>
      <c r="O91" s="145">
        <f t="shared" si="32"/>
        <v>-0.15001606740878171</v>
      </c>
      <c r="P91" s="288"/>
      <c r="Q91" s="290">
        <f t="shared" si="33"/>
        <v>0</v>
      </c>
      <c r="R91" s="292"/>
      <c r="S91" s="290">
        <f t="shared" si="34"/>
        <v>0</v>
      </c>
      <c r="T91" s="292"/>
      <c r="U91" s="290">
        <f t="shared" si="22"/>
        <v>0</v>
      </c>
      <c r="V91" s="829">
        <f t="shared" si="18"/>
        <v>0</v>
      </c>
      <c r="W91" s="822">
        <f t="shared" si="18"/>
        <v>0</v>
      </c>
      <c r="X91" s="288"/>
      <c r="Y91" s="290">
        <f t="shared" si="35"/>
        <v>0</v>
      </c>
      <c r="Z91" s="288"/>
      <c r="AA91" s="290">
        <f t="shared" si="36"/>
        <v>0</v>
      </c>
      <c r="AB91" s="288"/>
      <c r="AC91" s="579">
        <f t="shared" si="37"/>
        <v>0</v>
      </c>
      <c r="AD91" s="69"/>
      <c r="AE91" s="69"/>
      <c r="AF91" s="51"/>
      <c r="AG91" s="51"/>
      <c r="AH91" s="51"/>
      <c r="AI91" s="51"/>
      <c r="AJ91" s="51"/>
      <c r="AK91" s="51"/>
      <c r="AL91" s="51"/>
      <c r="AM91" s="68"/>
      <c r="AN91" s="51"/>
      <c r="AO91" s="51"/>
      <c r="AP91" s="51"/>
      <c r="AQ91" s="51"/>
      <c r="AR91" s="51"/>
      <c r="AS91" s="51"/>
      <c r="AT91" s="51"/>
      <c r="AU91" s="51"/>
      <c r="AV91" s="51"/>
      <c r="AW91" s="51"/>
      <c r="AX91" s="51"/>
      <c r="AY91" s="51"/>
      <c r="AZ91" s="51"/>
      <c r="BA91" s="51"/>
      <c r="BB91" s="51"/>
      <c r="BC91" s="51"/>
      <c r="BD91" s="51"/>
      <c r="BE91" s="51"/>
      <c r="BF91" s="51"/>
      <c r="BG91" s="51"/>
      <c r="BH91" s="51"/>
      <c r="BI91" s="51"/>
      <c r="BJ91" s="51"/>
      <c r="BK91" s="51"/>
      <c r="BL91" s="51"/>
      <c r="BM91" s="51"/>
      <c r="BN91" s="51"/>
      <c r="BO91" s="51"/>
      <c r="BP91" s="51"/>
      <c r="BQ91" s="51"/>
      <c r="BR91" s="51"/>
      <c r="BS91" s="51"/>
      <c r="BT91" s="51"/>
      <c r="BU91" s="51"/>
      <c r="BV91" s="51"/>
      <c r="BW91" s="51"/>
      <c r="BX91" s="51"/>
      <c r="BY91" s="51"/>
      <c r="BZ91" s="51"/>
      <c r="CA91" s="51"/>
      <c r="CB91" s="51"/>
      <c r="CC91" s="51"/>
      <c r="CD91" s="51"/>
      <c r="CE91" s="51"/>
      <c r="CF91" s="51"/>
      <c r="CG91" s="51"/>
      <c r="CH91" s="51"/>
      <c r="CI91" s="51"/>
      <c r="CJ91" s="51"/>
      <c r="CK91" s="51"/>
      <c r="CL91" s="51"/>
      <c r="CM91" s="51"/>
      <c r="CN91" s="51"/>
      <c r="CO91" s="51"/>
      <c r="CP91" s="51"/>
      <c r="CQ91" s="51"/>
      <c r="CR91" s="51"/>
      <c r="CS91" s="51"/>
      <c r="CT91" s="51"/>
      <c r="CU91" s="51"/>
      <c r="CV91" s="51"/>
      <c r="CW91" s="51"/>
      <c r="CX91" s="51"/>
      <c r="CY91" s="51"/>
      <c r="CZ91" s="51"/>
      <c r="DA91" s="51"/>
      <c r="DB91" s="51"/>
      <c r="DC91" s="51"/>
      <c r="DD91" s="51"/>
      <c r="DE91" s="51"/>
      <c r="DF91" s="51"/>
      <c r="DG91" s="51"/>
      <c r="DH91" s="51"/>
      <c r="DI91" s="51"/>
      <c r="DJ91" s="51"/>
      <c r="DK91" s="51"/>
      <c r="DL91" s="51"/>
      <c r="DM91" s="51"/>
      <c r="DN91" s="51"/>
      <c r="DO91" s="51"/>
      <c r="DP91" s="51"/>
      <c r="DQ91" s="51"/>
      <c r="DR91" s="51"/>
      <c r="DS91" s="51"/>
      <c r="DT91" s="51"/>
      <c r="DU91" s="51"/>
      <c r="DV91" s="51"/>
      <c r="DW91" s="51"/>
      <c r="DX91" s="51"/>
      <c r="DY91" s="51"/>
      <c r="DZ91" s="51"/>
      <c r="EA91" s="51"/>
      <c r="EB91" s="51"/>
      <c r="EC91" s="51"/>
      <c r="ED91" s="51"/>
      <c r="EE91" s="51"/>
      <c r="EF91" s="51"/>
      <c r="EG91" s="51"/>
      <c r="EH91" s="51"/>
      <c r="EI91" s="51"/>
      <c r="EJ91" s="51"/>
    </row>
    <row r="92" spans="1:140" ht="14.25" thickTop="1" thickBot="1">
      <c r="A92" s="69"/>
      <c r="B92" s="69"/>
      <c r="C92" s="180" t="str">
        <f>IF(MasterSheet!$A$1=1,MasterSheet!C235,MasterSheet!B235)</f>
        <v>Suficit/deficit</v>
      </c>
      <c r="D92" s="179">
        <f>+D20-D58+D105</f>
        <v>-5919333.7098000199</v>
      </c>
      <c r="E92" s="170">
        <f t="shared" si="27"/>
        <v>-0.27545877936618829</v>
      </c>
      <c r="F92" s="179">
        <f>+F20-F58+F105</f>
        <v>-8773875.1500000209</v>
      </c>
      <c r="G92" s="170">
        <f t="shared" si="28"/>
        <v>-0.3273223335198665</v>
      </c>
      <c r="H92" s="179">
        <f>+H20-H58+H105</f>
        <v>-27237173.702543128</v>
      </c>
      <c r="I92" s="170">
        <f t="shared" si="29"/>
        <v>-0.8827188780964198</v>
      </c>
      <c r="J92" s="179">
        <f>+J20-J58+J105</f>
        <v>-38979717.939999998</v>
      </c>
      <c r="K92" s="170">
        <f t="shared" si="30"/>
        <v>-1.3076054324052331</v>
      </c>
      <c r="L92" s="179">
        <f>+L20-L58+L105</f>
        <v>-38841165.291538469</v>
      </c>
      <c r="M92" s="170">
        <f t="shared" si="31"/>
        <v>-1.2513262014026569</v>
      </c>
      <c r="N92" s="169">
        <f>+N20-N58+N105</f>
        <v>13495969.159999985</v>
      </c>
      <c r="O92" s="171">
        <f t="shared" si="32"/>
        <v>0.41731506369820615</v>
      </c>
      <c r="P92" s="169">
        <f>+P20-P58+P105</f>
        <v>30704374.843333293</v>
      </c>
      <c r="Q92" s="278">
        <f t="shared" si="33"/>
        <v>0.97505159870858349</v>
      </c>
      <c r="R92" s="169">
        <f>+R20-R58+R105</f>
        <v>13646927.081038505</v>
      </c>
      <c r="S92" s="278">
        <f t="shared" si="34"/>
        <v>0.38802749732836239</v>
      </c>
      <c r="T92" s="169">
        <f>+T20-T58+T105</f>
        <v>13873265.622659251</v>
      </c>
      <c r="U92" s="278">
        <f t="shared" si="22"/>
        <v>0.3944630543832599</v>
      </c>
      <c r="V92" s="812">
        <f t="shared" si="18"/>
        <v>226338.54162074625</v>
      </c>
      <c r="W92" s="822">
        <f t="shared" si="18"/>
        <v>6.4355570548975116E-3</v>
      </c>
      <c r="X92" s="169">
        <f>+X20-X58+X105</f>
        <v>11459998.113150835</v>
      </c>
      <c r="Y92" s="278">
        <f t="shared" si="35"/>
        <v>0.30682725871889788</v>
      </c>
      <c r="Z92" s="169">
        <f>+Z20-Z58+Z105</f>
        <v>8502034.4867272973</v>
      </c>
      <c r="AA92" s="278">
        <f t="shared" si="36"/>
        <v>0.21351166465914859</v>
      </c>
      <c r="AB92" s="169">
        <f>+AB20-AB58+AB105</f>
        <v>7592838.7916674316</v>
      </c>
      <c r="AC92" s="278">
        <f t="shared" si="37"/>
        <v>0.17802670085972877</v>
      </c>
      <c r="AD92" s="69"/>
      <c r="AE92" s="69"/>
      <c r="AF92" s="51"/>
      <c r="AG92" s="51"/>
      <c r="AH92" s="51"/>
      <c r="AI92" s="51"/>
      <c r="AJ92" s="51"/>
      <c r="AK92" s="51"/>
      <c r="AL92" s="51"/>
      <c r="AM92" s="68"/>
      <c r="AN92" s="51"/>
      <c r="AO92" s="51"/>
      <c r="AP92" s="51"/>
      <c r="AQ92" s="51"/>
      <c r="AR92" s="51"/>
      <c r="AS92" s="51"/>
      <c r="AT92" s="51"/>
      <c r="AU92" s="51"/>
      <c r="AV92" s="51"/>
      <c r="AW92" s="51"/>
      <c r="AX92" s="51"/>
      <c r="AY92" s="51"/>
      <c r="AZ92" s="51"/>
      <c r="BA92" s="51"/>
      <c r="BB92" s="51"/>
      <c r="BC92" s="51"/>
      <c r="BD92" s="51"/>
      <c r="BE92" s="51"/>
      <c r="BF92" s="51"/>
      <c r="BG92" s="51"/>
      <c r="BH92" s="51"/>
      <c r="BI92" s="51"/>
      <c r="BJ92" s="51"/>
      <c r="BK92" s="51"/>
      <c r="BL92" s="51"/>
      <c r="BM92" s="51"/>
      <c r="BN92" s="51"/>
      <c r="BO92" s="51"/>
      <c r="BP92" s="51"/>
      <c r="BQ92" s="51"/>
      <c r="BR92" s="51"/>
      <c r="BS92" s="51"/>
      <c r="BT92" s="51"/>
      <c r="BU92" s="51"/>
      <c r="BV92" s="51"/>
      <c r="BW92" s="51"/>
      <c r="BX92" s="51"/>
      <c r="BY92" s="51"/>
      <c r="BZ92" s="51"/>
      <c r="CA92" s="51"/>
      <c r="CB92" s="51"/>
      <c r="CC92" s="51"/>
      <c r="CD92" s="51"/>
      <c r="CE92" s="51"/>
      <c r="CF92" s="51"/>
      <c r="CG92" s="51"/>
      <c r="CH92" s="51"/>
      <c r="CI92" s="51"/>
      <c r="CJ92" s="51"/>
      <c r="CK92" s="51"/>
      <c r="CL92" s="51"/>
      <c r="CM92" s="51"/>
      <c r="CN92" s="51"/>
      <c r="CO92" s="51"/>
      <c r="CP92" s="51"/>
      <c r="CQ92" s="51"/>
      <c r="CR92" s="51"/>
      <c r="CS92" s="51"/>
      <c r="CT92" s="51"/>
      <c r="CU92" s="51"/>
      <c r="CV92" s="51"/>
      <c r="CW92" s="51"/>
      <c r="CX92" s="51"/>
      <c r="CY92" s="51"/>
      <c r="CZ92" s="51"/>
      <c r="DA92" s="51"/>
      <c r="DB92" s="51"/>
      <c r="DC92" s="51"/>
      <c r="DD92" s="51"/>
      <c r="DE92" s="51"/>
      <c r="DF92" s="51"/>
      <c r="DG92" s="51"/>
      <c r="DH92" s="51"/>
      <c r="DI92" s="51"/>
      <c r="DJ92" s="51"/>
      <c r="DK92" s="51"/>
      <c r="DL92" s="51"/>
      <c r="DM92" s="51"/>
      <c r="DN92" s="51"/>
      <c r="DO92" s="51"/>
      <c r="DP92" s="51"/>
      <c r="DQ92" s="51"/>
      <c r="DR92" s="51"/>
      <c r="DS92" s="51"/>
      <c r="DT92" s="51"/>
      <c r="DU92" s="51"/>
      <c r="DV92" s="51"/>
      <c r="DW92" s="51"/>
      <c r="DX92" s="51"/>
      <c r="DY92" s="51"/>
      <c r="DZ92" s="51"/>
      <c r="EA92" s="51"/>
      <c r="EB92" s="51"/>
      <c r="EC92" s="51"/>
      <c r="ED92" s="51"/>
      <c r="EE92" s="51"/>
      <c r="EF92" s="51"/>
      <c r="EG92" s="51"/>
      <c r="EH92" s="51"/>
      <c r="EI92" s="51"/>
      <c r="EJ92" s="51"/>
    </row>
    <row r="93" spans="1:140" ht="14.25" thickTop="1" thickBot="1">
      <c r="A93" s="69"/>
      <c r="B93" s="69"/>
      <c r="C93" s="180" t="str">
        <f>IF(MasterSheet!$A$1=1,MasterSheet!C236,MasterSheet!B236)</f>
        <v>Primarni deficit</v>
      </c>
      <c r="D93" s="181">
        <f>+D92+D70</f>
        <v>-5463664.2698000195</v>
      </c>
      <c r="E93" s="170">
        <f t="shared" si="27"/>
        <v>-0.25425400296896178</v>
      </c>
      <c r="F93" s="181">
        <f>+F92+F70</f>
        <v>-7937701.4600000214</v>
      </c>
      <c r="G93" s="170">
        <f t="shared" si="28"/>
        <v>-0.2961276426039926</v>
      </c>
      <c r="H93" s="181">
        <f>+H92+H70</f>
        <v>-25963475.482543129</v>
      </c>
      <c r="I93" s="170">
        <f t="shared" si="29"/>
        <v>-0.8414400921228653</v>
      </c>
      <c r="J93" s="181">
        <f>+J92+J70</f>
        <v>-37969008.539999999</v>
      </c>
      <c r="K93" s="170">
        <f t="shared" si="30"/>
        <v>-1.2737003871184167</v>
      </c>
      <c r="L93" s="181">
        <f>+L92+L70</f>
        <v>-37691165.291538469</v>
      </c>
      <c r="M93" s="170">
        <f t="shared" si="31"/>
        <v>-1.2142772323304918</v>
      </c>
      <c r="N93" s="177">
        <f>+N92+N70</f>
        <v>16006884.839999985</v>
      </c>
      <c r="O93" s="171">
        <f t="shared" si="32"/>
        <v>0.49495624118738357</v>
      </c>
      <c r="P93" s="177">
        <f>+P92+P70</f>
        <v>33564837.043333292</v>
      </c>
      <c r="Q93" s="278">
        <f t="shared" si="33"/>
        <v>1.0658887597120767</v>
      </c>
      <c r="R93" s="177">
        <f>+R92+R70</f>
        <v>17566882.526038505</v>
      </c>
      <c r="S93" s="278">
        <f t="shared" si="34"/>
        <v>0.49948485999540815</v>
      </c>
      <c r="T93" s="177">
        <f>+T92+T70</f>
        <v>17871620.176559251</v>
      </c>
      <c r="U93" s="278">
        <f t="shared" si="22"/>
        <v>0.50814956430364666</v>
      </c>
      <c r="V93" s="821">
        <f t="shared" si="18"/>
        <v>304737.65052074566</v>
      </c>
      <c r="W93" s="822">
        <f t="shared" si="18"/>
        <v>8.6647043082385133E-3</v>
      </c>
      <c r="X93" s="177">
        <f>+X92+X70</f>
        <v>15811148.657100836</v>
      </c>
      <c r="Y93" s="278">
        <f t="shared" si="35"/>
        <v>0.42332392656227136</v>
      </c>
      <c r="Z93" s="177">
        <f>+Z92+Z70</f>
        <v>13518530.193862297</v>
      </c>
      <c r="AA93" s="277">
        <f t="shared" si="36"/>
        <v>0.33949096418539165</v>
      </c>
      <c r="AB93" s="177">
        <f>+AB92+AB70</f>
        <v>13149334.498802431</v>
      </c>
      <c r="AC93" s="277">
        <f t="shared" si="37"/>
        <v>0.30830796011260098</v>
      </c>
      <c r="AD93" s="69"/>
      <c r="AE93" s="69"/>
      <c r="AF93" s="51"/>
      <c r="AG93" s="51"/>
      <c r="AH93" s="51"/>
      <c r="AI93" s="51"/>
      <c r="AJ93" s="51"/>
      <c r="AK93" s="51"/>
      <c r="AL93" s="51"/>
      <c r="AM93" s="68"/>
      <c r="AN93" s="51"/>
      <c r="AO93" s="51"/>
      <c r="AP93" s="51"/>
      <c r="AQ93" s="51"/>
      <c r="AR93" s="51"/>
      <c r="AS93" s="51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1"/>
      <c r="BE93" s="51"/>
      <c r="BF93" s="51"/>
      <c r="BG93" s="51"/>
      <c r="BH93" s="51"/>
      <c r="BI93" s="51"/>
      <c r="BJ93" s="51"/>
      <c r="BK93" s="51"/>
      <c r="BL93" s="51"/>
      <c r="BM93" s="51"/>
      <c r="BN93" s="51"/>
      <c r="BO93" s="51"/>
      <c r="BP93" s="51"/>
      <c r="BQ93" s="51"/>
      <c r="BR93" s="51"/>
      <c r="BS93" s="51"/>
      <c r="BT93" s="51"/>
      <c r="BU93" s="51"/>
      <c r="BV93" s="51"/>
      <c r="BW93" s="51"/>
      <c r="BX93" s="51"/>
      <c r="BY93" s="51"/>
      <c r="BZ93" s="51"/>
      <c r="CA93" s="51"/>
      <c r="CB93" s="51"/>
      <c r="CC93" s="51"/>
      <c r="CD93" s="51"/>
      <c r="CE93" s="51"/>
      <c r="CF93" s="51"/>
      <c r="CG93" s="51"/>
      <c r="CH93" s="51"/>
      <c r="CI93" s="51"/>
      <c r="CJ93" s="51"/>
      <c r="CK93" s="51"/>
      <c r="CL93" s="51"/>
      <c r="CM93" s="51"/>
      <c r="CN93" s="51"/>
      <c r="CO93" s="51"/>
      <c r="CP93" s="51"/>
      <c r="CQ93" s="51"/>
      <c r="CR93" s="51"/>
      <c r="CS93" s="51"/>
      <c r="CT93" s="51"/>
      <c r="CU93" s="51"/>
      <c r="CV93" s="51"/>
      <c r="CW93" s="51"/>
      <c r="CX93" s="51"/>
      <c r="CY93" s="51"/>
      <c r="CZ93" s="51"/>
      <c r="DA93" s="51"/>
      <c r="DB93" s="51"/>
      <c r="DC93" s="51"/>
      <c r="DD93" s="51"/>
      <c r="DE93" s="51"/>
      <c r="DF93" s="51"/>
      <c r="DG93" s="51"/>
      <c r="DH93" s="51"/>
      <c r="DI93" s="51"/>
      <c r="DJ93" s="51"/>
      <c r="DK93" s="51"/>
      <c r="DL93" s="51"/>
      <c r="DM93" s="51"/>
      <c r="DN93" s="51"/>
      <c r="DO93" s="51"/>
      <c r="DP93" s="51"/>
      <c r="DQ93" s="51"/>
      <c r="DR93" s="51"/>
      <c r="DS93" s="51"/>
      <c r="DT93" s="51"/>
      <c r="DU93" s="51"/>
      <c r="DV93" s="51"/>
      <c r="DW93" s="51"/>
      <c r="DX93" s="51"/>
      <c r="DY93" s="51"/>
      <c r="DZ93" s="51"/>
      <c r="EA93" s="51"/>
      <c r="EB93" s="51"/>
      <c r="EC93" s="51"/>
      <c r="ED93" s="51"/>
      <c r="EE93" s="51"/>
      <c r="EF93" s="51"/>
      <c r="EG93" s="51"/>
      <c r="EH93" s="51"/>
      <c r="EI93" s="51"/>
      <c r="EJ93" s="51"/>
    </row>
    <row r="94" spans="1:140" ht="14.25" thickTop="1" thickBot="1">
      <c r="A94" s="69"/>
      <c r="B94" s="69"/>
      <c r="C94" s="180" t="str">
        <f>IF(MasterSheet!$A$1=1,MasterSheet!C237,MasterSheet!B237)</f>
        <v>Otplata duga</v>
      </c>
      <c r="D94" s="179">
        <f>SUM(D95:D97)</f>
        <v>17229438.09</v>
      </c>
      <c r="E94" s="170">
        <f t="shared" si="27"/>
        <v>0.80177942621806508</v>
      </c>
      <c r="F94" s="179">
        <f>SUM(F95:F97)</f>
        <v>21508720.48</v>
      </c>
      <c r="G94" s="170">
        <f t="shared" si="28"/>
        <v>0.80241449281850397</v>
      </c>
      <c r="H94" s="179">
        <f>SUM(H95:H97)</f>
        <v>22702726.235089999</v>
      </c>
      <c r="I94" s="170">
        <f t="shared" si="29"/>
        <v>0.7357637488686154</v>
      </c>
      <c r="J94" s="179">
        <f>SUM(J95:J97)</f>
        <v>36561416.140000001</v>
      </c>
      <c r="K94" s="170">
        <f t="shared" si="30"/>
        <v>1.2264815880576989</v>
      </c>
      <c r="L94" s="179">
        <f>SUM(L95:L97)</f>
        <v>10837030.049999997</v>
      </c>
      <c r="M94" s="170">
        <f t="shared" si="31"/>
        <v>0.34913112274484526</v>
      </c>
      <c r="N94" s="169">
        <f>SUM(N95:N97)</f>
        <v>49702174.310000002</v>
      </c>
      <c r="O94" s="171">
        <f t="shared" si="32"/>
        <v>1.5368637696351268</v>
      </c>
      <c r="P94" s="169">
        <f>SUM(P95:P97)</f>
        <v>54950812.849999994</v>
      </c>
      <c r="Q94" s="278">
        <f t="shared" si="33"/>
        <v>1.7450242251508412</v>
      </c>
      <c r="R94" s="169">
        <f>SUM(R95:R97)</f>
        <v>42000000</v>
      </c>
      <c r="S94" s="278">
        <f t="shared" si="34"/>
        <v>1.194199601933466</v>
      </c>
      <c r="T94" s="169">
        <f>SUM(T95:T97)</f>
        <v>43000000</v>
      </c>
      <c r="U94" s="278">
        <f t="shared" si="22"/>
        <v>1.2226329257890247</v>
      </c>
      <c r="V94" s="812">
        <f t="shared" si="18"/>
        <v>1000000</v>
      </c>
      <c r="W94" s="822">
        <f t="shared" si="18"/>
        <v>2.8433323855558745E-2</v>
      </c>
      <c r="X94" s="169">
        <f>SUM(X95:X97)</f>
        <v>38000000</v>
      </c>
      <c r="Y94" s="278">
        <f t="shared" si="35"/>
        <v>1.0174029451137885</v>
      </c>
      <c r="Z94" s="169">
        <f>SUM(Z95:Z97)</f>
        <v>35000000</v>
      </c>
      <c r="AA94" s="277">
        <f t="shared" si="36"/>
        <v>0.8789552988448015</v>
      </c>
      <c r="AB94" s="169">
        <f>SUM(AB95:AB97)</f>
        <v>30000000</v>
      </c>
      <c r="AC94" s="277">
        <f t="shared" si="37"/>
        <v>0.70339976553341155</v>
      </c>
      <c r="AD94" s="69"/>
      <c r="AE94" s="69"/>
      <c r="AF94" s="51"/>
      <c r="AG94" s="51"/>
      <c r="AH94" s="51"/>
      <c r="AI94" s="51"/>
      <c r="AJ94" s="51"/>
      <c r="AK94" s="51"/>
      <c r="AL94" s="51"/>
      <c r="AM94" s="68"/>
      <c r="AN94" s="51"/>
      <c r="AO94" s="51"/>
      <c r="AP94" s="51"/>
      <c r="AQ94" s="51"/>
      <c r="AR94" s="51"/>
      <c r="AS94" s="51"/>
      <c r="AT94" s="51"/>
      <c r="AU94" s="51"/>
      <c r="AV94" s="51"/>
      <c r="AW94" s="51"/>
      <c r="AX94" s="51"/>
      <c r="AY94" s="51"/>
      <c r="AZ94" s="51"/>
      <c r="BA94" s="51"/>
      <c r="BB94" s="51"/>
      <c r="BC94" s="51"/>
      <c r="BD94" s="51"/>
      <c r="BE94" s="51"/>
      <c r="BF94" s="51"/>
      <c r="BG94" s="51"/>
      <c r="BH94" s="51"/>
      <c r="BI94" s="51"/>
      <c r="BJ94" s="51"/>
      <c r="BK94" s="51"/>
      <c r="BL94" s="51"/>
      <c r="BM94" s="51"/>
      <c r="BN94" s="51"/>
      <c r="BO94" s="51"/>
      <c r="BP94" s="51"/>
      <c r="BQ94" s="51"/>
      <c r="BR94" s="51"/>
      <c r="BS94" s="51"/>
      <c r="BT94" s="51"/>
      <c r="BU94" s="51"/>
      <c r="BV94" s="51"/>
      <c r="BW94" s="51"/>
      <c r="BX94" s="51"/>
      <c r="BY94" s="51"/>
      <c r="BZ94" s="51"/>
      <c r="CA94" s="51"/>
      <c r="CB94" s="51"/>
      <c r="CC94" s="51"/>
      <c r="CD94" s="51"/>
      <c r="CE94" s="51"/>
      <c r="CF94" s="51"/>
      <c r="CG94" s="51"/>
      <c r="CH94" s="51"/>
      <c r="CI94" s="51"/>
      <c r="CJ94" s="51"/>
      <c r="CK94" s="51"/>
      <c r="CL94" s="51"/>
      <c r="CM94" s="51"/>
      <c r="CN94" s="51"/>
      <c r="CO94" s="51"/>
      <c r="CP94" s="51"/>
      <c r="CQ94" s="51"/>
      <c r="CR94" s="51"/>
      <c r="CS94" s="51"/>
      <c r="CT94" s="51"/>
      <c r="CU94" s="51"/>
      <c r="CV94" s="51"/>
      <c r="CW94" s="51"/>
      <c r="CX94" s="51"/>
      <c r="CY94" s="51"/>
      <c r="CZ94" s="51"/>
      <c r="DA94" s="51"/>
      <c r="DB94" s="51"/>
      <c r="DC94" s="51"/>
      <c r="DD94" s="51"/>
      <c r="DE94" s="51"/>
      <c r="DF94" s="51"/>
      <c r="DG94" s="51"/>
      <c r="DH94" s="51"/>
      <c r="DI94" s="51"/>
      <c r="DJ94" s="51"/>
      <c r="DK94" s="51"/>
      <c r="DL94" s="51"/>
      <c r="DM94" s="51"/>
      <c r="DN94" s="51"/>
      <c r="DO94" s="51"/>
      <c r="DP94" s="51"/>
      <c r="DQ94" s="51"/>
      <c r="DR94" s="51"/>
      <c r="DS94" s="51"/>
      <c r="DT94" s="51"/>
      <c r="DU94" s="51"/>
      <c r="DV94" s="51"/>
      <c r="DW94" s="51"/>
      <c r="DX94" s="51"/>
      <c r="DY94" s="51"/>
      <c r="DZ94" s="51"/>
      <c r="EA94" s="51"/>
      <c r="EB94" s="51"/>
      <c r="EC94" s="51"/>
      <c r="ED94" s="51"/>
      <c r="EE94" s="51"/>
      <c r="EF94" s="51"/>
      <c r="EG94" s="51"/>
      <c r="EH94" s="51"/>
      <c r="EI94" s="51"/>
      <c r="EJ94" s="51"/>
    </row>
    <row r="95" spans="1:140" ht="13.5" thickTop="1">
      <c r="A95" s="69"/>
      <c r="B95" s="69"/>
      <c r="C95" s="197" t="str">
        <f>IF(MasterSheet!$A$1=1,MasterSheet!C238,MasterSheet!B238)</f>
        <v>Otplata glavnice rezidentima</v>
      </c>
      <c r="D95" s="198">
        <v>11024495.749999998</v>
      </c>
      <c r="E95" s="199">
        <f t="shared" si="27"/>
        <v>0.51302972451021445</v>
      </c>
      <c r="F95" s="198">
        <v>6481912.0199999996</v>
      </c>
      <c r="G95" s="199">
        <f t="shared" si="28"/>
        <v>0.24181727364297706</v>
      </c>
      <c r="H95" s="198">
        <v>4464123.0729599996</v>
      </c>
      <c r="I95" s="199">
        <f t="shared" si="29"/>
        <v>0.14467601351309306</v>
      </c>
      <c r="J95" s="198">
        <v>7754843.96</v>
      </c>
      <c r="K95" s="199">
        <f t="shared" si="30"/>
        <v>0.26014236699094262</v>
      </c>
      <c r="L95" s="198">
        <v>5330000</v>
      </c>
      <c r="M95" s="199">
        <f t="shared" si="31"/>
        <v>0.1717139175257732</v>
      </c>
      <c r="N95" s="200">
        <v>7608617.8899999997</v>
      </c>
      <c r="O95" s="201">
        <f t="shared" si="32"/>
        <v>0.23526956988249845</v>
      </c>
      <c r="P95" s="293">
        <v>5489000</v>
      </c>
      <c r="Q95" s="294">
        <f t="shared" si="33"/>
        <v>0.17430930454112417</v>
      </c>
      <c r="R95" s="293">
        <v>4000000</v>
      </c>
      <c r="S95" s="294">
        <f t="shared" si="34"/>
        <v>0.11373329542223486</v>
      </c>
      <c r="T95" s="293">
        <v>4500000</v>
      </c>
      <c r="U95" s="294">
        <f t="shared" si="22"/>
        <v>0.12794995735001422</v>
      </c>
      <c r="V95" s="830">
        <f t="shared" si="18"/>
        <v>500000</v>
      </c>
      <c r="W95" s="831">
        <f t="shared" si="18"/>
        <v>1.4216661927779359E-2</v>
      </c>
      <c r="X95" s="293">
        <v>4000000</v>
      </c>
      <c r="Y95" s="295">
        <f t="shared" si="35"/>
        <v>0.107095046854083</v>
      </c>
      <c r="Z95" s="293">
        <v>5000000</v>
      </c>
      <c r="AA95" s="582">
        <f t="shared" si="36"/>
        <v>0.12556504269211452</v>
      </c>
      <c r="AB95" s="293">
        <v>5000000</v>
      </c>
      <c r="AC95" s="582">
        <f t="shared" si="37"/>
        <v>0.11723329425556857</v>
      </c>
      <c r="AD95" s="69"/>
      <c r="AE95" s="69"/>
      <c r="AF95" s="51"/>
      <c r="AG95" s="51"/>
      <c r="AH95" s="51"/>
      <c r="AI95" s="51"/>
      <c r="AJ95" s="51"/>
      <c r="AK95" s="51"/>
      <c r="AL95" s="51"/>
      <c r="AM95" s="68"/>
      <c r="AN95" s="51"/>
      <c r="AO95" s="51"/>
      <c r="AP95" s="51"/>
      <c r="AQ95" s="51"/>
      <c r="AR95" s="51"/>
      <c r="AS95" s="51"/>
      <c r="AT95" s="51"/>
      <c r="AU95" s="51"/>
      <c r="AV95" s="51"/>
      <c r="AW95" s="51"/>
      <c r="AX95" s="51"/>
      <c r="AY95" s="51"/>
      <c r="AZ95" s="51"/>
      <c r="BA95" s="51"/>
      <c r="BB95" s="51"/>
      <c r="BC95" s="51"/>
      <c r="BD95" s="51"/>
      <c r="BE95" s="51"/>
      <c r="BF95" s="51"/>
      <c r="BG95" s="51"/>
      <c r="BH95" s="51"/>
      <c r="BI95" s="51"/>
      <c r="BJ95" s="51"/>
      <c r="BK95" s="51"/>
      <c r="BL95" s="51"/>
      <c r="BM95" s="51"/>
      <c r="BN95" s="51"/>
      <c r="BO95" s="51"/>
      <c r="BP95" s="51"/>
      <c r="BQ95" s="51"/>
      <c r="BR95" s="51"/>
      <c r="BS95" s="51"/>
      <c r="BT95" s="51"/>
      <c r="BU95" s="51"/>
      <c r="BV95" s="51"/>
      <c r="BW95" s="51"/>
      <c r="BX95" s="51"/>
      <c r="BY95" s="51"/>
      <c r="BZ95" s="51"/>
      <c r="CA95" s="51"/>
      <c r="CB95" s="51"/>
      <c r="CC95" s="51"/>
      <c r="CD95" s="51"/>
      <c r="CE95" s="51"/>
      <c r="CF95" s="51"/>
      <c r="CG95" s="51"/>
      <c r="CH95" s="51"/>
      <c r="CI95" s="51"/>
      <c r="CJ95" s="51"/>
      <c r="CK95" s="51"/>
      <c r="CL95" s="51"/>
      <c r="CM95" s="51"/>
      <c r="CN95" s="51"/>
      <c r="CO95" s="51"/>
      <c r="CP95" s="51"/>
      <c r="CQ95" s="51"/>
      <c r="CR95" s="51"/>
      <c r="CS95" s="51"/>
      <c r="CT95" s="51"/>
      <c r="CU95" s="51"/>
      <c r="CV95" s="51"/>
      <c r="CW95" s="51"/>
      <c r="CX95" s="51"/>
      <c r="CY95" s="51"/>
      <c r="CZ95" s="51"/>
      <c r="DA95" s="51"/>
      <c r="DB95" s="51"/>
      <c r="DC95" s="51"/>
      <c r="DD95" s="51"/>
      <c r="DE95" s="51"/>
      <c r="DF95" s="51"/>
      <c r="DG95" s="51"/>
      <c r="DH95" s="51"/>
      <c r="DI95" s="51"/>
      <c r="DJ95" s="51"/>
      <c r="DK95" s="51"/>
      <c r="DL95" s="51"/>
      <c r="DM95" s="51"/>
      <c r="DN95" s="51"/>
      <c r="DO95" s="51"/>
      <c r="DP95" s="51"/>
      <c r="DQ95" s="51"/>
      <c r="DR95" s="51"/>
      <c r="DS95" s="51"/>
      <c r="DT95" s="51"/>
      <c r="DU95" s="51"/>
      <c r="DV95" s="51"/>
      <c r="DW95" s="51"/>
      <c r="DX95" s="51"/>
      <c r="DY95" s="51"/>
      <c r="DZ95" s="51"/>
      <c r="EA95" s="51"/>
      <c r="EB95" s="51"/>
      <c r="EC95" s="51"/>
      <c r="ED95" s="51"/>
      <c r="EE95" s="51"/>
      <c r="EF95" s="51"/>
      <c r="EG95" s="51"/>
      <c r="EH95" s="51"/>
      <c r="EI95" s="51"/>
      <c r="EJ95" s="51"/>
    </row>
    <row r="96" spans="1:140">
      <c r="A96" s="69"/>
      <c r="B96" s="69"/>
      <c r="C96" s="195" t="str">
        <f>IF(MasterSheet!$A$1=1,MasterSheet!C239,MasterSheet!B239)</f>
        <v>Otplata glavnice nerezidentima</v>
      </c>
      <c r="D96" s="203"/>
      <c r="E96" s="204">
        <f t="shared" si="27"/>
        <v>0</v>
      </c>
      <c r="F96" s="203">
        <v>89385.47</v>
      </c>
      <c r="G96" s="204">
        <f t="shared" si="28"/>
        <v>3.3346565939190451E-3</v>
      </c>
      <c r="H96" s="192">
        <v>3151725.3795199995</v>
      </c>
      <c r="I96" s="204">
        <f t="shared" si="29"/>
        <v>0.10214303148561056</v>
      </c>
      <c r="J96" s="203"/>
      <c r="K96" s="204">
        <f t="shared" si="30"/>
        <v>0</v>
      </c>
      <c r="L96" s="203">
        <v>0</v>
      </c>
      <c r="M96" s="204">
        <f t="shared" si="31"/>
        <v>0</v>
      </c>
      <c r="N96" s="186">
        <v>806645.45</v>
      </c>
      <c r="O96" s="205">
        <f t="shared" si="32"/>
        <v>2.494265460729746E-2</v>
      </c>
      <c r="P96" s="282">
        <v>5000000</v>
      </c>
      <c r="Q96" s="296">
        <f t="shared" si="33"/>
        <v>0.15878056525881232</v>
      </c>
      <c r="R96" s="282">
        <v>4000000</v>
      </c>
      <c r="S96" s="296">
        <f t="shared" si="34"/>
        <v>0.11373329542223486</v>
      </c>
      <c r="T96" s="282">
        <v>4500000</v>
      </c>
      <c r="U96" s="296">
        <f t="shared" si="22"/>
        <v>0.12794995735001422</v>
      </c>
      <c r="V96" s="816">
        <f t="shared" si="18"/>
        <v>500000</v>
      </c>
      <c r="W96" s="832">
        <f t="shared" si="18"/>
        <v>1.4216661927779359E-2</v>
      </c>
      <c r="X96" s="282">
        <v>4000000</v>
      </c>
      <c r="Y96" s="284">
        <f t="shared" si="35"/>
        <v>0.107095046854083</v>
      </c>
      <c r="Z96" s="282">
        <v>5000000</v>
      </c>
      <c r="AA96" s="283">
        <f t="shared" si="36"/>
        <v>0.12556504269211452</v>
      </c>
      <c r="AB96" s="282">
        <v>5000000</v>
      </c>
      <c r="AC96" s="283">
        <f t="shared" si="37"/>
        <v>0.11723329425556857</v>
      </c>
      <c r="AD96" s="69"/>
      <c r="AE96" s="69"/>
      <c r="AF96" s="51"/>
      <c r="AG96" s="51"/>
      <c r="AH96" s="51"/>
      <c r="AI96" s="51"/>
      <c r="AJ96" s="51"/>
      <c r="AK96" s="51"/>
      <c r="AL96" s="51"/>
      <c r="AM96" s="68"/>
      <c r="AN96" s="51"/>
      <c r="AO96" s="51"/>
      <c r="AP96" s="51"/>
      <c r="AQ96" s="51"/>
      <c r="AR96" s="51"/>
      <c r="AS96" s="51"/>
      <c r="AT96" s="51"/>
      <c r="AU96" s="51"/>
      <c r="AV96" s="51"/>
      <c r="AW96" s="51"/>
      <c r="AX96" s="51"/>
      <c r="AY96" s="51"/>
      <c r="AZ96" s="51"/>
      <c r="BA96" s="51"/>
      <c r="BB96" s="51"/>
      <c r="BC96" s="51"/>
      <c r="BD96" s="51"/>
      <c r="BE96" s="51"/>
      <c r="BF96" s="51"/>
      <c r="BG96" s="51"/>
      <c r="BH96" s="51"/>
      <c r="BI96" s="51"/>
      <c r="BJ96" s="51"/>
      <c r="BK96" s="51"/>
      <c r="BL96" s="51"/>
      <c r="BM96" s="51"/>
      <c r="BN96" s="51"/>
      <c r="BO96" s="51"/>
      <c r="BP96" s="51"/>
      <c r="BQ96" s="51"/>
      <c r="BR96" s="51"/>
      <c r="BS96" s="51"/>
      <c r="BT96" s="51"/>
      <c r="BU96" s="51"/>
      <c r="BV96" s="51"/>
      <c r="BW96" s="51"/>
      <c r="BX96" s="51"/>
      <c r="BY96" s="51"/>
      <c r="BZ96" s="51"/>
      <c r="CA96" s="51"/>
      <c r="CB96" s="51"/>
      <c r="CC96" s="51"/>
      <c r="CD96" s="51"/>
      <c r="CE96" s="51"/>
      <c r="CF96" s="51"/>
      <c r="CG96" s="51"/>
      <c r="CH96" s="51"/>
      <c r="CI96" s="51"/>
      <c r="CJ96" s="51"/>
      <c r="CK96" s="51"/>
      <c r="CL96" s="51"/>
      <c r="CM96" s="51"/>
      <c r="CN96" s="51"/>
      <c r="CO96" s="51"/>
      <c r="CP96" s="51"/>
      <c r="CQ96" s="51"/>
      <c r="CR96" s="51"/>
      <c r="CS96" s="51"/>
      <c r="CT96" s="51"/>
      <c r="CU96" s="51"/>
      <c r="CV96" s="51"/>
      <c r="CW96" s="51"/>
      <c r="CX96" s="51"/>
      <c r="CY96" s="51"/>
      <c r="CZ96" s="51"/>
      <c r="DA96" s="51"/>
      <c r="DB96" s="51"/>
      <c r="DC96" s="51"/>
      <c r="DD96" s="51"/>
      <c r="DE96" s="51"/>
      <c r="DF96" s="51"/>
      <c r="DG96" s="51"/>
      <c r="DH96" s="51"/>
      <c r="DI96" s="51"/>
      <c r="DJ96" s="51"/>
      <c r="DK96" s="51"/>
      <c r="DL96" s="51"/>
      <c r="DM96" s="51"/>
      <c r="DN96" s="51"/>
      <c r="DO96" s="51"/>
      <c r="DP96" s="51"/>
      <c r="DQ96" s="51"/>
      <c r="DR96" s="51"/>
      <c r="DS96" s="51"/>
      <c r="DT96" s="51"/>
      <c r="DU96" s="51"/>
      <c r="DV96" s="51"/>
      <c r="DW96" s="51"/>
      <c r="DX96" s="51"/>
      <c r="DY96" s="51"/>
      <c r="DZ96" s="51"/>
      <c r="EA96" s="51"/>
      <c r="EB96" s="51"/>
      <c r="EC96" s="51"/>
      <c r="ED96" s="51"/>
      <c r="EE96" s="51"/>
      <c r="EF96" s="51"/>
      <c r="EG96" s="51"/>
      <c r="EH96" s="51"/>
      <c r="EI96" s="51"/>
      <c r="EJ96" s="51"/>
    </row>
    <row r="97" spans="1:140" ht="13.5" thickBot="1">
      <c r="A97" s="69"/>
      <c r="B97" s="69"/>
      <c r="C97" s="195" t="str">
        <f>IF(MasterSheet!$A$1=1,MasterSheet!C240,MasterSheet!B240)</f>
        <v>Otplata  obaveza iz prethodnog perioda</v>
      </c>
      <c r="D97" s="203">
        <v>6204942.3400000008</v>
      </c>
      <c r="E97" s="204">
        <f t="shared" si="27"/>
        <v>0.28874970170785053</v>
      </c>
      <c r="F97" s="203">
        <v>14937422.99</v>
      </c>
      <c r="G97" s="204">
        <f t="shared" si="28"/>
        <v>0.55726256258160789</v>
      </c>
      <c r="H97" s="203">
        <v>15086877.782609999</v>
      </c>
      <c r="I97" s="204">
        <f t="shared" si="29"/>
        <v>0.48894470386991185</v>
      </c>
      <c r="J97" s="203">
        <v>28806572.18</v>
      </c>
      <c r="K97" s="204">
        <f t="shared" si="30"/>
        <v>0.96633922106675618</v>
      </c>
      <c r="L97" s="203">
        <v>5507030.049999997</v>
      </c>
      <c r="M97" s="204">
        <f t="shared" si="31"/>
        <v>0.17741720521907209</v>
      </c>
      <c r="N97" s="186">
        <v>41286910.969999999</v>
      </c>
      <c r="O97" s="205">
        <f t="shared" si="32"/>
        <v>1.2766515451453309</v>
      </c>
      <c r="P97" s="282">
        <v>44461812.849999994</v>
      </c>
      <c r="Q97" s="296">
        <f t="shared" si="33"/>
        <v>1.4119343553509049</v>
      </c>
      <c r="R97" s="282">
        <v>34000000</v>
      </c>
      <c r="S97" s="296">
        <f t="shared" si="34"/>
        <v>0.96673301108899634</v>
      </c>
      <c r="T97" s="282">
        <v>34000000</v>
      </c>
      <c r="U97" s="296">
        <f t="shared" si="22"/>
        <v>0.96673301108899634</v>
      </c>
      <c r="V97" s="816">
        <f t="shared" si="18"/>
        <v>0</v>
      </c>
      <c r="W97" s="832">
        <f t="shared" si="18"/>
        <v>0</v>
      </c>
      <c r="X97" s="282">
        <v>30000000</v>
      </c>
      <c r="Y97" s="284">
        <f t="shared" si="35"/>
        <v>0.80321285140562237</v>
      </c>
      <c r="Z97" s="282">
        <v>25000000</v>
      </c>
      <c r="AA97" s="283">
        <f t="shared" si="36"/>
        <v>0.62782521346057252</v>
      </c>
      <c r="AB97" s="282">
        <v>20000000</v>
      </c>
      <c r="AC97" s="283">
        <f t="shared" si="37"/>
        <v>0.46893317702227427</v>
      </c>
      <c r="AD97" s="69"/>
      <c r="AE97" s="69"/>
      <c r="AF97" s="51"/>
      <c r="AG97" s="51"/>
      <c r="AH97" s="51"/>
      <c r="AI97" s="51"/>
      <c r="AJ97" s="51"/>
      <c r="AK97" s="51"/>
      <c r="AL97" s="51"/>
      <c r="AM97" s="68"/>
      <c r="AN97" s="51"/>
      <c r="AO97" s="51"/>
      <c r="AP97" s="51"/>
      <c r="AQ97" s="51"/>
      <c r="AR97" s="51"/>
      <c r="AS97" s="51"/>
      <c r="AT97" s="51"/>
      <c r="AU97" s="51"/>
      <c r="AV97" s="51"/>
      <c r="AW97" s="51"/>
      <c r="AX97" s="51"/>
      <c r="AY97" s="51"/>
      <c r="AZ97" s="51"/>
      <c r="BA97" s="51"/>
      <c r="BB97" s="51"/>
      <c r="BC97" s="51"/>
      <c r="BD97" s="51"/>
      <c r="BE97" s="51"/>
      <c r="BF97" s="51"/>
      <c r="BG97" s="51"/>
      <c r="BH97" s="51"/>
      <c r="BI97" s="51"/>
      <c r="BJ97" s="51"/>
      <c r="BK97" s="51"/>
      <c r="BL97" s="51"/>
      <c r="BM97" s="51"/>
      <c r="BN97" s="51"/>
      <c r="BO97" s="51"/>
      <c r="BP97" s="51"/>
      <c r="BQ97" s="51"/>
      <c r="BR97" s="51"/>
      <c r="BS97" s="51"/>
      <c r="BT97" s="51"/>
      <c r="BU97" s="51"/>
      <c r="BV97" s="51"/>
      <c r="BW97" s="51"/>
      <c r="BX97" s="51"/>
      <c r="BY97" s="51"/>
      <c r="BZ97" s="51"/>
      <c r="CA97" s="51"/>
      <c r="CB97" s="51"/>
      <c r="CC97" s="51"/>
      <c r="CD97" s="51"/>
      <c r="CE97" s="51"/>
      <c r="CF97" s="51"/>
      <c r="CG97" s="51"/>
      <c r="CH97" s="51"/>
      <c r="CI97" s="51"/>
      <c r="CJ97" s="51"/>
      <c r="CK97" s="51"/>
      <c r="CL97" s="51"/>
      <c r="CM97" s="51"/>
      <c r="CN97" s="51"/>
      <c r="CO97" s="51"/>
      <c r="CP97" s="51"/>
      <c r="CQ97" s="51"/>
      <c r="CR97" s="51"/>
      <c r="CS97" s="51"/>
      <c r="CT97" s="51"/>
      <c r="CU97" s="51"/>
      <c r="CV97" s="51"/>
      <c r="CW97" s="51"/>
      <c r="CX97" s="51"/>
      <c r="CY97" s="51"/>
      <c r="CZ97" s="51"/>
      <c r="DA97" s="51"/>
      <c r="DB97" s="51"/>
      <c r="DC97" s="51"/>
      <c r="DD97" s="51"/>
      <c r="DE97" s="51"/>
      <c r="DF97" s="51"/>
      <c r="DG97" s="51"/>
      <c r="DH97" s="51"/>
      <c r="DI97" s="51"/>
      <c r="DJ97" s="51"/>
      <c r="DK97" s="51"/>
      <c r="DL97" s="51"/>
      <c r="DM97" s="51"/>
      <c r="DN97" s="51"/>
      <c r="DO97" s="51"/>
      <c r="DP97" s="51"/>
      <c r="DQ97" s="51"/>
      <c r="DR97" s="51"/>
      <c r="DS97" s="51"/>
      <c r="DT97" s="51"/>
      <c r="DU97" s="51"/>
      <c r="DV97" s="51"/>
      <c r="DW97" s="51"/>
      <c r="DX97" s="51"/>
      <c r="DY97" s="51"/>
      <c r="DZ97" s="51"/>
      <c r="EA97" s="51"/>
      <c r="EB97" s="51"/>
      <c r="EC97" s="51"/>
      <c r="ED97" s="51"/>
      <c r="EE97" s="51"/>
      <c r="EF97" s="51"/>
      <c r="EG97" s="51"/>
      <c r="EH97" s="51"/>
      <c r="EI97" s="51"/>
      <c r="EJ97" s="51"/>
    </row>
    <row r="98" spans="1:140" ht="14.25" thickTop="1" thickBot="1">
      <c r="A98" s="69"/>
      <c r="B98" s="69"/>
      <c r="C98" s="180" t="str">
        <f>IF(MasterSheet!$A$1=1,MasterSheet!C245,MasterSheet!B242)</f>
        <v>Nedostajuća sredstva</v>
      </c>
      <c r="D98" s="179">
        <f>+D92-D94</f>
        <v>-23148771.79980002</v>
      </c>
      <c r="E98" s="170">
        <f t="shared" si="27"/>
        <v>-1.0772382055842533</v>
      </c>
      <c r="F98" s="179">
        <f>+F92-F94</f>
        <v>-30282595.630000021</v>
      </c>
      <c r="G98" s="170">
        <f t="shared" si="28"/>
        <v>-1.1297368263383705</v>
      </c>
      <c r="H98" s="179">
        <f>+H92-H94</f>
        <v>-49939899.937633127</v>
      </c>
      <c r="I98" s="170">
        <f t="shared" si="29"/>
        <v>-1.6184826269650354</v>
      </c>
      <c r="J98" s="179">
        <f>+J92-J94</f>
        <v>-75541134.079999998</v>
      </c>
      <c r="K98" s="170">
        <f t="shared" si="30"/>
        <v>-2.5340870204629318</v>
      </c>
      <c r="L98" s="179">
        <f>+L92-L94</f>
        <v>-49678195.341538467</v>
      </c>
      <c r="M98" s="170">
        <f t="shared" si="31"/>
        <v>-1.6004573241475022</v>
      </c>
      <c r="N98" s="169">
        <f>+N92-N94</f>
        <v>-36206205.150000021</v>
      </c>
      <c r="O98" s="171">
        <f t="shared" si="32"/>
        <v>-1.1195487059369209</v>
      </c>
      <c r="P98" s="169">
        <f>+P92-P94</f>
        <v>-24246438.006666701</v>
      </c>
      <c r="Q98" s="278">
        <f t="shared" si="33"/>
        <v>-0.76997262644225795</v>
      </c>
      <c r="R98" s="169">
        <f>+R92-R94</f>
        <v>-28353072.918961495</v>
      </c>
      <c r="S98" s="278">
        <f t="shared" si="34"/>
        <v>-0.80617210460510369</v>
      </c>
      <c r="T98" s="169">
        <f>+T92-T94</f>
        <v>-29126734.377340749</v>
      </c>
      <c r="U98" s="278">
        <f t="shared" si="22"/>
        <v>-0.82816987140576481</v>
      </c>
      <c r="V98" s="812">
        <f t="shared" si="18"/>
        <v>-773661.45837925375</v>
      </c>
      <c r="W98" s="822">
        <f t="shared" si="18"/>
        <v>-2.1997766800661123E-2</v>
      </c>
      <c r="X98" s="169">
        <f>+X92-X94</f>
        <v>-26540001.886849165</v>
      </c>
      <c r="Y98" s="278">
        <f t="shared" si="35"/>
        <v>-0.71057568639489055</v>
      </c>
      <c r="Z98" s="169">
        <f>+Z92-Z94</f>
        <v>-26497965.513272703</v>
      </c>
      <c r="AA98" s="277">
        <f t="shared" si="36"/>
        <v>-0.665443634185653</v>
      </c>
      <c r="AB98" s="169">
        <f>+AB92-AB94</f>
        <v>-22407161.208332568</v>
      </c>
      <c r="AC98" s="277">
        <f t="shared" si="37"/>
        <v>-0.52537306467368272</v>
      </c>
      <c r="AD98" s="69"/>
      <c r="AE98" s="69"/>
      <c r="AF98" s="51"/>
      <c r="AG98" s="51"/>
      <c r="AH98" s="51"/>
      <c r="AI98" s="51"/>
      <c r="AJ98" s="51"/>
      <c r="AK98" s="51"/>
      <c r="AL98" s="51"/>
      <c r="AM98" s="68"/>
      <c r="AN98" s="51"/>
      <c r="AO98" s="51"/>
      <c r="AP98" s="51"/>
      <c r="AQ98" s="51"/>
      <c r="AR98" s="51"/>
      <c r="AS98" s="51"/>
      <c r="AT98" s="51"/>
      <c r="AU98" s="51"/>
      <c r="AV98" s="51"/>
      <c r="AW98" s="51"/>
      <c r="AX98" s="51"/>
      <c r="AY98" s="51"/>
      <c r="AZ98" s="51"/>
      <c r="BA98" s="51"/>
      <c r="BB98" s="51"/>
      <c r="BC98" s="51"/>
      <c r="BD98" s="51"/>
      <c r="BE98" s="51"/>
      <c r="BF98" s="51"/>
      <c r="BG98" s="51"/>
      <c r="BH98" s="51"/>
      <c r="BI98" s="51"/>
      <c r="BJ98" s="51"/>
      <c r="BK98" s="51"/>
      <c r="BL98" s="51"/>
      <c r="BM98" s="51"/>
      <c r="BN98" s="51"/>
      <c r="BO98" s="51"/>
      <c r="BP98" s="51"/>
      <c r="BQ98" s="51"/>
      <c r="BR98" s="51"/>
      <c r="BS98" s="51"/>
      <c r="BT98" s="51"/>
      <c r="BU98" s="51"/>
      <c r="BV98" s="51"/>
      <c r="BW98" s="51"/>
      <c r="BX98" s="51"/>
      <c r="BY98" s="51"/>
      <c r="BZ98" s="51"/>
      <c r="CA98" s="51"/>
      <c r="CB98" s="51"/>
      <c r="CC98" s="51"/>
      <c r="CD98" s="51"/>
      <c r="CE98" s="51"/>
      <c r="CF98" s="51"/>
      <c r="CG98" s="51"/>
      <c r="CH98" s="51"/>
      <c r="CI98" s="51"/>
      <c r="CJ98" s="51"/>
      <c r="CK98" s="51"/>
      <c r="CL98" s="51"/>
      <c r="CM98" s="51"/>
      <c r="CN98" s="51"/>
      <c r="CO98" s="51"/>
      <c r="CP98" s="51"/>
      <c r="CQ98" s="51"/>
      <c r="CR98" s="51"/>
      <c r="CS98" s="51"/>
      <c r="CT98" s="51"/>
      <c r="CU98" s="51"/>
      <c r="CV98" s="51"/>
      <c r="CW98" s="51"/>
      <c r="CX98" s="51"/>
      <c r="CY98" s="51"/>
      <c r="CZ98" s="51"/>
      <c r="DA98" s="51"/>
      <c r="DB98" s="51"/>
      <c r="DC98" s="51"/>
      <c r="DD98" s="51"/>
      <c r="DE98" s="51"/>
      <c r="DF98" s="51"/>
      <c r="DG98" s="51"/>
      <c r="DH98" s="51"/>
      <c r="DI98" s="51"/>
      <c r="DJ98" s="51"/>
      <c r="DK98" s="51"/>
      <c r="DL98" s="51"/>
      <c r="DM98" s="51"/>
      <c r="DN98" s="51"/>
      <c r="DO98" s="51"/>
      <c r="DP98" s="51"/>
      <c r="DQ98" s="51"/>
      <c r="DR98" s="51"/>
      <c r="DS98" s="51"/>
      <c r="DT98" s="51"/>
      <c r="DU98" s="51"/>
      <c r="DV98" s="51"/>
      <c r="DW98" s="51"/>
      <c r="DX98" s="51"/>
      <c r="DY98" s="51"/>
      <c r="DZ98" s="51"/>
      <c r="EA98" s="51"/>
      <c r="EB98" s="51"/>
      <c r="EC98" s="51"/>
      <c r="ED98" s="51"/>
      <c r="EE98" s="51"/>
      <c r="EF98" s="51"/>
      <c r="EG98" s="51"/>
      <c r="EH98" s="51"/>
      <c r="EI98" s="51"/>
      <c r="EJ98" s="51"/>
    </row>
    <row r="99" spans="1:140" ht="14.25" thickTop="1" thickBot="1">
      <c r="A99" s="69"/>
      <c r="B99" s="69"/>
      <c r="C99" s="180" t="str">
        <f>IF(MasterSheet!$A$1=1,MasterSheet!C246,MasterSheet!B243)</f>
        <v>Finansiranje</v>
      </c>
      <c r="D99" s="181">
        <f>SUM(D100:D104)</f>
        <v>23148771.799800016</v>
      </c>
      <c r="E99" s="170">
        <f t="shared" si="27"/>
        <v>1.0772382055842531</v>
      </c>
      <c r="F99" s="181">
        <f>SUM(F100:F104)</f>
        <v>30282595.630000018</v>
      </c>
      <c r="G99" s="170">
        <f t="shared" si="28"/>
        <v>1.1297368263383705</v>
      </c>
      <c r="H99" s="181">
        <f>SUM(H100:H104)</f>
        <v>49939899.937633127</v>
      </c>
      <c r="I99" s="170">
        <f t="shared" si="29"/>
        <v>1.6184826269650354</v>
      </c>
      <c r="J99" s="181">
        <f>SUM(J100:J104)</f>
        <v>75541134.079999983</v>
      </c>
      <c r="K99" s="170">
        <f t="shared" si="30"/>
        <v>2.5340870204629313</v>
      </c>
      <c r="L99" s="181">
        <f>SUM(L100:L104)</f>
        <v>49678195.341538467</v>
      </c>
      <c r="M99" s="170">
        <f t="shared" si="31"/>
        <v>1.6004573241475022</v>
      </c>
      <c r="N99" s="177">
        <f>SUM(N100:N104)</f>
        <v>36206205.150000013</v>
      </c>
      <c r="O99" s="171">
        <f t="shared" si="32"/>
        <v>1.1195487059369207</v>
      </c>
      <c r="P99" s="177">
        <f>SUM(P100:P104)</f>
        <v>24246438.006666701</v>
      </c>
      <c r="Q99" s="278">
        <f t="shared" si="33"/>
        <v>0.76997262644225795</v>
      </c>
      <c r="R99" s="177">
        <f>SUM(R100:R104)</f>
        <v>28353072.918961495</v>
      </c>
      <c r="S99" s="278">
        <f t="shared" si="34"/>
        <v>0.80617210460510369</v>
      </c>
      <c r="T99" s="177">
        <f>SUM(T100:T104)</f>
        <v>29126734.377340749</v>
      </c>
      <c r="U99" s="278">
        <f t="shared" si="22"/>
        <v>0.82816987140576481</v>
      </c>
      <c r="V99" s="821">
        <f t="shared" si="18"/>
        <v>773661.45837925375</v>
      </c>
      <c r="W99" s="822">
        <f t="shared" si="18"/>
        <v>2.1997766800661123E-2</v>
      </c>
      <c r="X99" s="177">
        <f>SUM(X100:X104)</f>
        <v>26540001.886849165</v>
      </c>
      <c r="Y99" s="278">
        <f t="shared" si="35"/>
        <v>0.71057568639489055</v>
      </c>
      <c r="Z99" s="177">
        <f>SUM(Z100:Z104)</f>
        <v>26497965.513272703</v>
      </c>
      <c r="AA99" s="278">
        <f t="shared" si="36"/>
        <v>0.665443634185653</v>
      </c>
      <c r="AB99" s="177">
        <f>SUM(AB100:AB104)</f>
        <v>22407161.208332568</v>
      </c>
      <c r="AC99" s="278">
        <f t="shared" si="37"/>
        <v>0.52537306467368272</v>
      </c>
      <c r="AD99" s="69"/>
      <c r="AE99" s="69"/>
      <c r="AF99" s="51"/>
      <c r="AG99" s="51"/>
      <c r="AH99" s="51"/>
      <c r="AI99" s="51"/>
      <c r="AJ99" s="51"/>
      <c r="AK99" s="51"/>
      <c r="AL99" s="51"/>
      <c r="AM99" s="68"/>
      <c r="AN99" s="51"/>
      <c r="AO99" s="51"/>
      <c r="AP99" s="51"/>
      <c r="AQ99" s="51"/>
      <c r="AR99" s="51"/>
      <c r="AS99" s="51"/>
      <c r="AT99" s="51"/>
      <c r="AU99" s="51"/>
      <c r="AV99" s="51"/>
      <c r="AW99" s="51"/>
      <c r="AX99" s="51"/>
      <c r="AY99" s="51"/>
      <c r="AZ99" s="51"/>
      <c r="BA99" s="51"/>
      <c r="BB99" s="51"/>
      <c r="BC99" s="51"/>
      <c r="BD99" s="51"/>
      <c r="BE99" s="51"/>
      <c r="BF99" s="51"/>
      <c r="BG99" s="51"/>
      <c r="BH99" s="51"/>
      <c r="BI99" s="51"/>
      <c r="BJ99" s="51"/>
      <c r="BK99" s="51"/>
      <c r="BL99" s="51"/>
      <c r="BM99" s="51"/>
      <c r="BN99" s="51"/>
      <c r="BO99" s="51"/>
      <c r="BP99" s="51"/>
      <c r="BQ99" s="51"/>
      <c r="BR99" s="51"/>
      <c r="BS99" s="51"/>
      <c r="BT99" s="51"/>
      <c r="BU99" s="51"/>
      <c r="BV99" s="51"/>
      <c r="BW99" s="51"/>
      <c r="BX99" s="51"/>
      <c r="BY99" s="51"/>
      <c r="BZ99" s="51"/>
      <c r="CA99" s="51"/>
      <c r="CB99" s="51"/>
      <c r="CC99" s="51"/>
      <c r="CD99" s="51"/>
      <c r="CE99" s="51"/>
      <c r="CF99" s="51"/>
      <c r="CG99" s="51"/>
      <c r="CH99" s="51"/>
      <c r="CI99" s="51"/>
      <c r="CJ99" s="51"/>
      <c r="CK99" s="51"/>
      <c r="CL99" s="51"/>
      <c r="CM99" s="51"/>
      <c r="CN99" s="51"/>
      <c r="CO99" s="51"/>
      <c r="CP99" s="51"/>
      <c r="CQ99" s="51"/>
      <c r="CR99" s="51"/>
      <c r="CS99" s="51"/>
      <c r="CT99" s="51"/>
      <c r="CU99" s="51"/>
      <c r="CV99" s="51"/>
      <c r="CW99" s="51"/>
      <c r="CX99" s="51"/>
      <c r="CY99" s="51"/>
      <c r="CZ99" s="51"/>
      <c r="DA99" s="51"/>
      <c r="DB99" s="51"/>
      <c r="DC99" s="51"/>
      <c r="DD99" s="51"/>
      <c r="DE99" s="51"/>
      <c r="DF99" s="51"/>
      <c r="DG99" s="51"/>
      <c r="DH99" s="51"/>
      <c r="DI99" s="51"/>
      <c r="DJ99" s="51"/>
      <c r="DK99" s="51"/>
      <c r="DL99" s="51"/>
      <c r="DM99" s="51"/>
      <c r="DN99" s="51"/>
      <c r="DO99" s="51"/>
      <c r="DP99" s="51"/>
      <c r="DQ99" s="51"/>
      <c r="DR99" s="51"/>
      <c r="DS99" s="51"/>
      <c r="DT99" s="51"/>
      <c r="DU99" s="51"/>
      <c r="DV99" s="51"/>
      <c r="DW99" s="51"/>
      <c r="DX99" s="51"/>
      <c r="DY99" s="51"/>
      <c r="DZ99" s="51"/>
      <c r="EA99" s="51"/>
      <c r="EB99" s="51"/>
      <c r="EC99" s="51"/>
      <c r="ED99" s="51"/>
      <c r="EE99" s="51"/>
      <c r="EF99" s="51"/>
      <c r="EG99" s="51"/>
      <c r="EH99" s="51"/>
      <c r="EI99" s="51"/>
      <c r="EJ99" s="51"/>
    </row>
    <row r="100" spans="1:140" ht="13.5" thickTop="1">
      <c r="A100" s="69"/>
      <c r="B100" s="69"/>
      <c r="C100" s="715" t="str">
        <f>IF(MasterSheet!$A$1=1,MasterSheet!C244,MasterSheet!B244)</f>
        <v>Pozajmice i krediti iz domaćih izvora</v>
      </c>
      <c r="D100" s="198">
        <v>5893589.3600000003</v>
      </c>
      <c r="E100" s="206">
        <f t="shared" si="27"/>
        <v>0.27426075480478385</v>
      </c>
      <c r="F100" s="198">
        <v>9181160.0299999993</v>
      </c>
      <c r="G100" s="206">
        <f t="shared" si="28"/>
        <v>0.34251669576571531</v>
      </c>
      <c r="H100" s="198">
        <v>7250658</v>
      </c>
      <c r="I100" s="206">
        <f t="shared" si="29"/>
        <v>0.23498373087892144</v>
      </c>
      <c r="J100" s="198">
        <v>17528712.059999999</v>
      </c>
      <c r="K100" s="206">
        <f t="shared" si="30"/>
        <v>0.58801449379402881</v>
      </c>
      <c r="L100" s="198">
        <v>22050000</v>
      </c>
      <c r="M100" s="206">
        <f t="shared" si="31"/>
        <v>0.71037371134020622</v>
      </c>
      <c r="N100" s="200">
        <v>19346883.030000001</v>
      </c>
      <c r="O100" s="202">
        <f t="shared" si="32"/>
        <v>0.59823385992578859</v>
      </c>
      <c r="P100" s="293">
        <v>7816189.2200000007</v>
      </c>
      <c r="Q100" s="295">
        <f t="shared" si="33"/>
        <v>0.24821178850428707</v>
      </c>
      <c r="R100" s="293">
        <v>8000000</v>
      </c>
      <c r="S100" s="295">
        <f t="shared" si="34"/>
        <v>0.22746659084446971</v>
      </c>
      <c r="T100" s="293">
        <v>8000000</v>
      </c>
      <c r="U100" s="295">
        <f t="shared" si="22"/>
        <v>0.22746659084446971</v>
      </c>
      <c r="V100" s="830">
        <f t="shared" si="18"/>
        <v>0</v>
      </c>
      <c r="W100" s="833">
        <f t="shared" si="18"/>
        <v>0</v>
      </c>
      <c r="X100" s="293">
        <v>6000000</v>
      </c>
      <c r="Y100" s="295">
        <f t="shared" si="35"/>
        <v>0.1606425702811245</v>
      </c>
      <c r="Z100" s="293">
        <v>6000000</v>
      </c>
      <c r="AA100" s="295">
        <f t="shared" si="36"/>
        <v>0.15067805123053743</v>
      </c>
      <c r="AB100" s="293">
        <v>6000000</v>
      </c>
      <c r="AC100" s="295">
        <f t="shared" si="37"/>
        <v>0.1406799531066823</v>
      </c>
      <c r="AD100" s="69"/>
      <c r="AE100" s="69"/>
      <c r="AF100" s="51"/>
      <c r="AG100" s="51"/>
      <c r="AH100" s="51"/>
      <c r="AI100" s="51"/>
      <c r="AJ100" s="51"/>
      <c r="AK100" s="51"/>
      <c r="AL100" s="51"/>
      <c r="AM100" s="68"/>
      <c r="AN100" s="51"/>
      <c r="AO100" s="51"/>
      <c r="AP100" s="51"/>
      <c r="AQ100" s="51"/>
      <c r="AR100" s="51"/>
      <c r="AS100" s="51"/>
      <c r="AT100" s="51"/>
      <c r="AU100" s="51"/>
      <c r="AV100" s="51"/>
      <c r="AW100" s="51"/>
      <c r="AX100" s="51"/>
      <c r="AY100" s="51"/>
      <c r="AZ100" s="51"/>
      <c r="BA100" s="51"/>
      <c r="BB100" s="51"/>
      <c r="BC100" s="51"/>
      <c r="BD100" s="51"/>
      <c r="BE100" s="51"/>
      <c r="BF100" s="51"/>
      <c r="BG100" s="51"/>
      <c r="BH100" s="51"/>
      <c r="BI100" s="51"/>
      <c r="BJ100" s="51"/>
      <c r="BK100" s="51"/>
      <c r="BL100" s="51"/>
      <c r="BM100" s="51"/>
      <c r="BN100" s="51"/>
      <c r="BO100" s="51"/>
      <c r="BP100" s="51"/>
      <c r="BQ100" s="51"/>
      <c r="BR100" s="51"/>
      <c r="BS100" s="51"/>
      <c r="BT100" s="51"/>
      <c r="BU100" s="51"/>
      <c r="BV100" s="51"/>
      <c r="BW100" s="51"/>
      <c r="BX100" s="51"/>
      <c r="BY100" s="51"/>
      <c r="BZ100" s="51"/>
      <c r="CA100" s="51"/>
      <c r="CB100" s="51"/>
      <c r="CC100" s="51"/>
      <c r="CD100" s="51"/>
      <c r="CE100" s="51"/>
      <c r="CF100" s="51"/>
      <c r="CG100" s="51"/>
      <c r="CH100" s="51"/>
      <c r="CI100" s="51"/>
      <c r="CJ100" s="51"/>
      <c r="CK100" s="51"/>
      <c r="CL100" s="51"/>
      <c r="CM100" s="51"/>
      <c r="CN100" s="51"/>
      <c r="CO100" s="51"/>
      <c r="CP100" s="51"/>
      <c r="CQ100" s="51"/>
      <c r="CR100" s="51"/>
      <c r="CS100" s="51"/>
      <c r="CT100" s="51"/>
      <c r="CU100" s="51"/>
      <c r="CV100" s="51"/>
      <c r="CW100" s="51"/>
      <c r="CX100" s="51"/>
      <c r="CY100" s="51"/>
      <c r="CZ100" s="51"/>
      <c r="DA100" s="51"/>
      <c r="DB100" s="51"/>
      <c r="DC100" s="51"/>
      <c r="DD100" s="51"/>
      <c r="DE100" s="51"/>
      <c r="DF100" s="51"/>
      <c r="DG100" s="51"/>
      <c r="DH100" s="51"/>
      <c r="DI100" s="51"/>
      <c r="DJ100" s="51"/>
      <c r="DK100" s="51"/>
      <c r="DL100" s="51"/>
      <c r="DM100" s="51"/>
      <c r="DN100" s="51"/>
      <c r="DO100" s="51"/>
      <c r="DP100" s="51"/>
      <c r="DQ100" s="51"/>
      <c r="DR100" s="51"/>
      <c r="DS100" s="51"/>
      <c r="DT100" s="51"/>
      <c r="DU100" s="51"/>
      <c r="DV100" s="51"/>
      <c r="DW100" s="51"/>
      <c r="DX100" s="51"/>
      <c r="DY100" s="51"/>
      <c r="DZ100" s="51"/>
      <c r="EA100" s="51"/>
      <c r="EB100" s="51"/>
      <c r="EC100" s="51"/>
      <c r="ED100" s="51"/>
      <c r="EE100" s="51"/>
      <c r="EF100" s="51"/>
      <c r="EG100" s="51"/>
      <c r="EH100" s="51"/>
      <c r="EI100" s="51"/>
      <c r="EJ100" s="51"/>
    </row>
    <row r="101" spans="1:140">
      <c r="A101" s="69"/>
      <c r="B101" s="69"/>
      <c r="C101" s="716" t="str">
        <f>IF(MasterSheet!$A$1=1,MasterSheet!C245,MasterSheet!B245)</f>
        <v>Pozajmice i krediti iz inostranih izvora</v>
      </c>
      <c r="D101" s="203"/>
      <c r="E101" s="187">
        <f t="shared" si="27"/>
        <v>0</v>
      </c>
      <c r="F101" s="203">
        <v>1526550</v>
      </c>
      <c r="G101" s="187">
        <f t="shared" si="28"/>
        <v>5.6950195858981534E-2</v>
      </c>
      <c r="H101" s="192">
        <v>10068787</v>
      </c>
      <c r="I101" s="187">
        <f t="shared" si="29"/>
        <v>0.32631536816178375</v>
      </c>
      <c r="J101" s="203"/>
      <c r="K101" s="187">
        <f t="shared" si="30"/>
        <v>0</v>
      </c>
      <c r="L101" s="203">
        <v>0</v>
      </c>
      <c r="M101" s="187">
        <f t="shared" si="31"/>
        <v>0</v>
      </c>
      <c r="N101" s="186">
        <v>2067504.4</v>
      </c>
      <c r="O101" s="188">
        <f t="shared" si="32"/>
        <v>6.3930253555967848E-2</v>
      </c>
      <c r="P101" s="282"/>
      <c r="Q101" s="284">
        <f t="shared" si="33"/>
        <v>0</v>
      </c>
      <c r="R101" s="282"/>
      <c r="S101" s="284">
        <f t="shared" si="34"/>
        <v>0</v>
      </c>
      <c r="T101" s="282"/>
      <c r="U101" s="284">
        <f t="shared" si="22"/>
        <v>0</v>
      </c>
      <c r="V101" s="816">
        <f t="shared" si="18"/>
        <v>0</v>
      </c>
      <c r="W101" s="834">
        <f t="shared" si="18"/>
        <v>0</v>
      </c>
      <c r="X101" s="282"/>
      <c r="Y101" s="284">
        <f t="shared" si="35"/>
        <v>0</v>
      </c>
      <c r="Z101" s="282"/>
      <c r="AA101" s="284">
        <f t="shared" si="36"/>
        <v>0</v>
      </c>
      <c r="AB101" s="282"/>
      <c r="AC101" s="284">
        <f t="shared" si="37"/>
        <v>0</v>
      </c>
      <c r="AD101" s="69"/>
      <c r="AE101" s="69"/>
      <c r="AF101" s="51"/>
      <c r="AG101" s="51"/>
      <c r="AH101" s="51"/>
      <c r="AI101" s="51"/>
      <c r="AJ101" s="51"/>
      <c r="AK101" s="51"/>
      <c r="AL101" s="51"/>
      <c r="AM101" s="68"/>
      <c r="AN101" s="51"/>
      <c r="AO101" s="51"/>
      <c r="AP101" s="51"/>
      <c r="AQ101" s="51"/>
      <c r="AR101" s="51"/>
      <c r="AS101" s="51"/>
      <c r="AT101" s="51"/>
      <c r="AU101" s="51"/>
      <c r="AV101" s="51"/>
      <c r="AW101" s="51"/>
      <c r="AX101" s="51"/>
      <c r="AY101" s="51"/>
      <c r="AZ101" s="51"/>
      <c r="BA101" s="51"/>
      <c r="BB101" s="51"/>
      <c r="BC101" s="51"/>
      <c r="BD101" s="51"/>
      <c r="BE101" s="51"/>
      <c r="BF101" s="51"/>
      <c r="BG101" s="51"/>
      <c r="BH101" s="51"/>
      <c r="BI101" s="51"/>
      <c r="BJ101" s="51"/>
      <c r="BK101" s="51"/>
      <c r="BL101" s="51"/>
      <c r="BM101" s="51"/>
      <c r="BN101" s="51"/>
      <c r="BO101" s="51"/>
      <c r="BP101" s="51"/>
      <c r="BQ101" s="51"/>
      <c r="BR101" s="51"/>
      <c r="BS101" s="51"/>
      <c r="BT101" s="51"/>
      <c r="BU101" s="51"/>
      <c r="BV101" s="51"/>
      <c r="BW101" s="51"/>
      <c r="BX101" s="51"/>
      <c r="BY101" s="51"/>
      <c r="BZ101" s="51"/>
      <c r="CA101" s="51"/>
      <c r="CB101" s="51"/>
      <c r="CC101" s="51"/>
      <c r="CD101" s="51"/>
      <c r="CE101" s="51"/>
      <c r="CF101" s="51"/>
      <c r="CG101" s="51"/>
      <c r="CH101" s="51"/>
      <c r="CI101" s="51"/>
      <c r="CJ101" s="51"/>
      <c r="CK101" s="51"/>
      <c r="CL101" s="51"/>
      <c r="CM101" s="51"/>
      <c r="CN101" s="51"/>
      <c r="CO101" s="51"/>
      <c r="CP101" s="51"/>
      <c r="CQ101" s="51"/>
      <c r="CR101" s="51"/>
      <c r="CS101" s="51"/>
      <c r="CT101" s="51"/>
      <c r="CU101" s="51"/>
      <c r="CV101" s="51"/>
      <c r="CW101" s="51"/>
      <c r="CX101" s="51"/>
      <c r="CY101" s="51"/>
      <c r="CZ101" s="51"/>
      <c r="DA101" s="51"/>
      <c r="DB101" s="51"/>
      <c r="DC101" s="51"/>
      <c r="DD101" s="51"/>
      <c r="DE101" s="51"/>
      <c r="DF101" s="51"/>
      <c r="DG101" s="51"/>
      <c r="DH101" s="51"/>
      <c r="DI101" s="51"/>
      <c r="DJ101" s="51"/>
      <c r="DK101" s="51"/>
      <c r="DL101" s="51"/>
      <c r="DM101" s="51"/>
      <c r="DN101" s="51"/>
      <c r="DO101" s="51"/>
      <c r="DP101" s="51"/>
      <c r="DQ101" s="51"/>
      <c r="DR101" s="51"/>
      <c r="DS101" s="51"/>
      <c r="DT101" s="51"/>
      <c r="DU101" s="51"/>
      <c r="DV101" s="51"/>
      <c r="DW101" s="51"/>
      <c r="DX101" s="51"/>
      <c r="DY101" s="51"/>
      <c r="DZ101" s="51"/>
      <c r="EA101" s="51"/>
      <c r="EB101" s="51"/>
      <c r="EC101" s="51"/>
      <c r="ED101" s="51"/>
      <c r="EE101" s="51"/>
      <c r="EF101" s="51"/>
      <c r="EG101" s="51"/>
      <c r="EH101" s="51"/>
      <c r="EI101" s="51"/>
      <c r="EJ101" s="51"/>
    </row>
    <row r="102" spans="1:140">
      <c r="A102" s="69"/>
      <c r="B102" s="69"/>
      <c r="C102" s="195" t="str">
        <f>IF(MasterSheet!$A$1=1,MasterSheet!C246,MasterSheet!B246)</f>
        <v>Prihodi od privatizacije i prodaje imovine</v>
      </c>
      <c r="D102" s="203">
        <v>38880231.440000005</v>
      </c>
      <c r="E102" s="187">
        <f t="shared" si="27"/>
        <v>1.8093085504211459</v>
      </c>
      <c r="F102" s="203">
        <v>78586838.060000002</v>
      </c>
      <c r="G102" s="187">
        <f t="shared" si="28"/>
        <v>2.9317977265435555</v>
      </c>
      <c r="H102" s="203">
        <v>13738634</v>
      </c>
      <c r="I102" s="187">
        <f t="shared" si="29"/>
        <v>0.44524999999999998</v>
      </c>
      <c r="J102" s="203">
        <v>22730850.149999999</v>
      </c>
      <c r="K102" s="187">
        <f t="shared" si="30"/>
        <v>0.76252432572962092</v>
      </c>
      <c r="L102" s="203">
        <v>22290000</v>
      </c>
      <c r="M102" s="187">
        <f t="shared" si="31"/>
        <v>0.71810567010309279</v>
      </c>
      <c r="N102" s="186">
        <v>11633716.219999999</v>
      </c>
      <c r="O102" s="188">
        <f t="shared" si="32"/>
        <v>0.35973148484848483</v>
      </c>
      <c r="P102" s="282">
        <v>10530729.020000001</v>
      </c>
      <c r="Q102" s="284">
        <f t="shared" si="33"/>
        <v>0.33441502127659578</v>
      </c>
      <c r="R102" s="282">
        <v>11000000</v>
      </c>
      <c r="S102" s="284">
        <f t="shared" si="34"/>
        <v>0.31276656241114587</v>
      </c>
      <c r="T102" s="282">
        <v>11000000</v>
      </c>
      <c r="U102" s="284">
        <f t="shared" si="22"/>
        <v>0.31276656241114587</v>
      </c>
      <c r="V102" s="816">
        <f t="shared" si="18"/>
        <v>0</v>
      </c>
      <c r="W102" s="834">
        <f t="shared" si="18"/>
        <v>0</v>
      </c>
      <c r="X102" s="282">
        <v>12000000</v>
      </c>
      <c r="Y102" s="284">
        <f t="shared" si="35"/>
        <v>0.32128514056224899</v>
      </c>
      <c r="Z102" s="282">
        <v>10000000</v>
      </c>
      <c r="AA102" s="284">
        <f t="shared" si="36"/>
        <v>0.25113008538422904</v>
      </c>
      <c r="AB102" s="282">
        <v>10000000</v>
      </c>
      <c r="AC102" s="284">
        <f t="shared" si="37"/>
        <v>0.23446658851113714</v>
      </c>
      <c r="AD102" s="69"/>
      <c r="AE102" s="69"/>
      <c r="AF102" s="51"/>
      <c r="AG102" s="51"/>
      <c r="AH102" s="51"/>
      <c r="AI102" s="51"/>
      <c r="AJ102" s="51"/>
      <c r="AK102" s="51"/>
      <c r="AL102" s="51"/>
      <c r="AM102" s="68"/>
      <c r="AN102" s="51"/>
      <c r="AO102" s="51"/>
      <c r="AP102" s="51"/>
      <c r="AQ102" s="51"/>
      <c r="AR102" s="51"/>
      <c r="AS102" s="51"/>
      <c r="AT102" s="51"/>
      <c r="AU102" s="51"/>
      <c r="AV102" s="51"/>
      <c r="AW102" s="51"/>
      <c r="AX102" s="51"/>
      <c r="AY102" s="51"/>
      <c r="AZ102" s="51"/>
      <c r="BA102" s="51"/>
      <c r="BB102" s="51"/>
      <c r="BC102" s="51"/>
      <c r="BD102" s="51"/>
      <c r="BE102" s="51"/>
      <c r="BF102" s="51"/>
      <c r="BG102" s="51"/>
      <c r="BH102" s="51"/>
      <c r="BI102" s="51"/>
      <c r="BJ102" s="51"/>
      <c r="BK102" s="51"/>
      <c r="BL102" s="51"/>
      <c r="BM102" s="51"/>
      <c r="BN102" s="51"/>
      <c r="BO102" s="51"/>
      <c r="BP102" s="51"/>
      <c r="BQ102" s="51"/>
      <c r="BR102" s="51"/>
      <c r="BS102" s="51"/>
      <c r="BT102" s="51"/>
      <c r="BU102" s="51"/>
      <c r="BV102" s="51"/>
      <c r="BW102" s="51"/>
      <c r="BX102" s="51"/>
      <c r="BY102" s="51"/>
      <c r="BZ102" s="51"/>
      <c r="CA102" s="51"/>
      <c r="CB102" s="51"/>
      <c r="CC102" s="51"/>
      <c r="CD102" s="51"/>
      <c r="CE102" s="51"/>
      <c r="CF102" s="51"/>
      <c r="CG102" s="51"/>
      <c r="CH102" s="51"/>
      <c r="CI102" s="51"/>
      <c r="CJ102" s="51"/>
      <c r="CK102" s="51"/>
      <c r="CL102" s="51"/>
      <c r="CM102" s="51"/>
      <c r="CN102" s="51"/>
      <c r="CO102" s="51"/>
      <c r="CP102" s="51"/>
      <c r="CQ102" s="51"/>
      <c r="CR102" s="51"/>
      <c r="CS102" s="51"/>
      <c r="CT102" s="51"/>
      <c r="CU102" s="51"/>
      <c r="CV102" s="51"/>
      <c r="CW102" s="51"/>
      <c r="CX102" s="51"/>
      <c r="CY102" s="51"/>
      <c r="CZ102" s="51"/>
      <c r="DA102" s="51"/>
      <c r="DB102" s="51"/>
      <c r="DC102" s="51"/>
      <c r="DD102" s="51"/>
      <c r="DE102" s="51"/>
      <c r="DF102" s="51"/>
      <c r="DG102" s="51"/>
      <c r="DH102" s="51"/>
      <c r="DI102" s="51"/>
      <c r="DJ102" s="51"/>
      <c r="DK102" s="51"/>
      <c r="DL102" s="51"/>
      <c r="DM102" s="51"/>
      <c r="DN102" s="51"/>
      <c r="DO102" s="51"/>
      <c r="DP102" s="51"/>
      <c r="DQ102" s="51"/>
      <c r="DR102" s="51"/>
      <c r="DS102" s="51"/>
      <c r="DT102" s="51"/>
      <c r="DU102" s="51"/>
      <c r="DV102" s="51"/>
      <c r="DW102" s="51"/>
      <c r="DX102" s="51"/>
      <c r="DY102" s="51"/>
      <c r="DZ102" s="51"/>
      <c r="EA102" s="51"/>
      <c r="EB102" s="51"/>
      <c r="EC102" s="51"/>
      <c r="ED102" s="51"/>
      <c r="EE102" s="51"/>
      <c r="EF102" s="51"/>
      <c r="EG102" s="51"/>
      <c r="EH102" s="51"/>
      <c r="EI102" s="51"/>
      <c r="EJ102" s="51"/>
    </row>
    <row r="103" spans="1:140">
      <c r="A103" s="69"/>
      <c r="B103" s="69"/>
      <c r="C103" s="195" t="str">
        <f>IF(MasterSheet!$A$1=1,MasterSheet!C247,MasterSheet!B247)</f>
        <v>Donacije</v>
      </c>
      <c r="D103" s="203">
        <v>1053772.6200000001</v>
      </c>
      <c r="E103" s="187">
        <f t="shared" si="27"/>
        <v>4.9037769091162933E-2</v>
      </c>
      <c r="F103" s="203">
        <v>1560565.85</v>
      </c>
      <c r="G103" s="187">
        <f t="shared" si="28"/>
        <v>5.8219207237455703E-2</v>
      </c>
      <c r="H103" s="203">
        <v>1980484</v>
      </c>
      <c r="I103" s="187">
        <f t="shared" si="29"/>
        <v>6.4184729064039409E-2</v>
      </c>
      <c r="J103" s="203">
        <v>5542134.3700000001</v>
      </c>
      <c r="K103" s="187">
        <f t="shared" si="30"/>
        <v>0.18591527574639383</v>
      </c>
      <c r="L103" s="203">
        <v>3080000</v>
      </c>
      <c r="M103" s="187">
        <f t="shared" si="31"/>
        <v>9.9226804123711349E-2</v>
      </c>
      <c r="N103" s="186">
        <v>4244191.55</v>
      </c>
      <c r="O103" s="188">
        <f t="shared" si="32"/>
        <v>0.13123659709338278</v>
      </c>
      <c r="P103" s="282">
        <v>2881375.29</v>
      </c>
      <c r="Q103" s="284">
        <f t="shared" si="33"/>
        <v>9.1501279453794854E-2</v>
      </c>
      <c r="R103" s="282">
        <v>2000000</v>
      </c>
      <c r="S103" s="284">
        <f t="shared" si="34"/>
        <v>5.6866647711117428E-2</v>
      </c>
      <c r="T103" s="282">
        <v>2000000</v>
      </c>
      <c r="U103" s="284">
        <f t="shared" si="22"/>
        <v>5.6866647711117428E-2</v>
      </c>
      <c r="V103" s="816">
        <f t="shared" si="18"/>
        <v>0</v>
      </c>
      <c r="W103" s="834">
        <f t="shared" si="18"/>
        <v>0</v>
      </c>
      <c r="X103" s="282">
        <v>2000000</v>
      </c>
      <c r="Y103" s="284">
        <f t="shared" si="35"/>
        <v>5.3547523427041499E-2</v>
      </c>
      <c r="Z103" s="282">
        <v>2000000</v>
      </c>
      <c r="AA103" s="284">
        <f t="shared" si="36"/>
        <v>5.0226017076845812E-2</v>
      </c>
      <c r="AB103" s="282">
        <v>2000000</v>
      </c>
      <c r="AC103" s="284">
        <f t="shared" si="37"/>
        <v>4.6893317702227433E-2</v>
      </c>
      <c r="AD103" s="69"/>
      <c r="AE103" s="69"/>
      <c r="AF103" s="51"/>
      <c r="AG103" s="51"/>
      <c r="AH103" s="51"/>
      <c r="AI103" s="51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  <c r="AU103" s="51"/>
      <c r="AV103" s="51"/>
      <c r="AW103" s="51"/>
      <c r="AX103" s="51"/>
      <c r="AY103" s="51"/>
      <c r="AZ103" s="51"/>
      <c r="BA103" s="51"/>
      <c r="BB103" s="51"/>
      <c r="BC103" s="51"/>
      <c r="BD103" s="51"/>
      <c r="BE103" s="51"/>
      <c r="BF103" s="51"/>
      <c r="BG103" s="51"/>
      <c r="BH103" s="51"/>
      <c r="BI103" s="51"/>
      <c r="BJ103" s="51"/>
      <c r="BK103" s="51"/>
      <c r="BL103" s="51"/>
      <c r="BM103" s="51"/>
      <c r="BN103" s="51"/>
      <c r="BO103" s="51"/>
      <c r="BP103" s="51"/>
      <c r="BQ103" s="51"/>
      <c r="BR103" s="51"/>
      <c r="BS103" s="51"/>
      <c r="BT103" s="51"/>
      <c r="BU103" s="51"/>
      <c r="BV103" s="51"/>
      <c r="BW103" s="51"/>
      <c r="BX103" s="51"/>
      <c r="BY103" s="51"/>
      <c r="BZ103" s="51"/>
      <c r="CA103" s="51"/>
      <c r="CB103" s="51"/>
      <c r="CC103" s="51"/>
      <c r="CD103" s="51"/>
      <c r="CE103" s="51"/>
      <c r="CF103" s="51"/>
      <c r="CG103" s="51"/>
      <c r="CH103" s="51"/>
      <c r="CI103" s="51"/>
      <c r="CJ103" s="51"/>
      <c r="CK103" s="51"/>
      <c r="CL103" s="51"/>
      <c r="CM103" s="51"/>
      <c r="CN103" s="51"/>
      <c r="CO103" s="51"/>
      <c r="CP103" s="51"/>
      <c r="CQ103" s="51"/>
      <c r="CR103" s="51"/>
      <c r="CS103" s="51"/>
      <c r="CT103" s="51"/>
      <c r="CU103" s="51"/>
      <c r="CV103" s="51"/>
      <c r="CW103" s="51"/>
      <c r="CX103" s="51"/>
      <c r="CY103" s="51"/>
      <c r="CZ103" s="51"/>
      <c r="DA103" s="51"/>
      <c r="DB103" s="51"/>
      <c r="DC103" s="51"/>
      <c r="DD103" s="51"/>
      <c r="DE103" s="51"/>
      <c r="DF103" s="51"/>
      <c r="DG103" s="51"/>
      <c r="DH103" s="51"/>
      <c r="DI103" s="51"/>
      <c r="DJ103" s="51"/>
      <c r="DK103" s="51"/>
      <c r="DL103" s="51"/>
      <c r="DM103" s="51"/>
      <c r="DN103" s="51"/>
      <c r="DO103" s="51"/>
      <c r="DP103" s="51"/>
      <c r="DQ103" s="51"/>
      <c r="DR103" s="51"/>
      <c r="DS103" s="51"/>
      <c r="DT103" s="51"/>
      <c r="DU103" s="51"/>
      <c r="DV103" s="51"/>
      <c r="DW103" s="51"/>
      <c r="DX103" s="51"/>
      <c r="DY103" s="51"/>
      <c r="DZ103" s="51"/>
      <c r="EA103" s="51"/>
      <c r="EB103" s="51"/>
      <c r="EC103" s="51"/>
      <c r="ED103" s="51"/>
      <c r="EE103" s="51"/>
      <c r="EF103" s="51"/>
      <c r="EG103" s="51"/>
      <c r="EH103" s="51"/>
      <c r="EI103" s="51"/>
      <c r="EJ103" s="51"/>
    </row>
    <row r="104" spans="1:140" ht="13.5" thickBot="1">
      <c r="A104" s="69"/>
      <c r="B104" s="69"/>
      <c r="C104" s="207" t="str">
        <f>IF(MasterSheet!$A$1=1,MasterSheet!C248,MasterSheet!B248)</f>
        <v>Korišćenje depozita lokalne samouprave</v>
      </c>
      <c r="D104" s="208">
        <f>+(-D98-D100-D101-D102-D103)</f>
        <v>-22678821.620199986</v>
      </c>
      <c r="E104" s="209">
        <f>+D104/$D$15*100</f>
        <v>-1.0553688687328395</v>
      </c>
      <c r="F104" s="208">
        <f>+(-F98-F100-F101-F102-F103)</f>
        <v>-60572518.30999998</v>
      </c>
      <c r="G104" s="209">
        <f t="shared" si="28"/>
        <v>-2.2597469990673376</v>
      </c>
      <c r="H104" s="208">
        <f>+(-H98-H100-H101-H102-H103)</f>
        <v>16901336.937633127</v>
      </c>
      <c r="I104" s="209">
        <f t="shared" si="29"/>
        <v>0.5477487988602906</v>
      </c>
      <c r="J104" s="208">
        <f>+(-J98-J100-J101-J102-J103)</f>
        <v>29739437.499999996</v>
      </c>
      <c r="K104" s="209">
        <f t="shared" si="30"/>
        <v>0.99763292519288815</v>
      </c>
      <c r="L104" s="208">
        <f>+(-L98-L100-L101-L102-L103)</f>
        <v>2258195.3415384665</v>
      </c>
      <c r="M104" s="209">
        <f t="shared" si="31"/>
        <v>7.2751138580491828E-2</v>
      </c>
      <c r="N104" s="208">
        <f>+(-N98-N100-N101-N102-N103)</f>
        <v>-1086090.0499999793</v>
      </c>
      <c r="O104" s="210">
        <f t="shared" si="32"/>
        <v>-3.3583489486703137E-2</v>
      </c>
      <c r="P104" s="208">
        <f>+(-P98-P100-P101-P102-P103)</f>
        <v>3018144.4766666992</v>
      </c>
      <c r="Q104" s="298">
        <f t="shared" si="33"/>
        <v>9.5844537207580155E-2</v>
      </c>
      <c r="R104" s="208">
        <f>+(-R98-R100-R101-R102-R103)</f>
        <v>7353072.9189614952</v>
      </c>
      <c r="S104" s="298">
        <f t="shared" si="34"/>
        <v>0.20907230363837065</v>
      </c>
      <c r="T104" s="208">
        <f>+(-T98-T100-T101-T102-T103)</f>
        <v>8126734.3773407489</v>
      </c>
      <c r="U104" s="298">
        <f t="shared" si="22"/>
        <v>0.2310700704390318</v>
      </c>
      <c r="V104" s="835">
        <f t="shared" si="18"/>
        <v>773661.45837925375</v>
      </c>
      <c r="W104" s="836">
        <f t="shared" si="18"/>
        <v>2.199776680066115E-2</v>
      </c>
      <c r="X104" s="208">
        <f>+(-X98-X100-X101-X102-X103)</f>
        <v>6540001.886849165</v>
      </c>
      <c r="Y104" s="298">
        <f t="shared" si="35"/>
        <v>0.17510045212447564</v>
      </c>
      <c r="Z104" s="208">
        <f>+(-Z98-Z100-Z101-Z102-Z103)</f>
        <v>8497965.5132727027</v>
      </c>
      <c r="AA104" s="298">
        <f t="shared" si="36"/>
        <v>0.21340948049404074</v>
      </c>
      <c r="AB104" s="208">
        <f>+(-AB98-AB100-AB101-AB102-AB103)</f>
        <v>4407161.2083325684</v>
      </c>
      <c r="AC104" s="298">
        <f t="shared" si="37"/>
        <v>0.10333320535363584</v>
      </c>
      <c r="AD104" s="69"/>
      <c r="AE104" s="69"/>
      <c r="AF104" s="51"/>
      <c r="AG104" s="51"/>
      <c r="AH104" s="51"/>
      <c r="AI104" s="51"/>
      <c r="AJ104" s="51"/>
      <c r="AK104" s="51"/>
      <c r="AL104" s="51"/>
      <c r="AM104" s="51"/>
      <c r="AN104" s="51"/>
      <c r="AO104" s="51"/>
      <c r="AP104" s="51"/>
      <c r="AQ104" s="51"/>
      <c r="AR104" s="51"/>
      <c r="AS104" s="51"/>
      <c r="AT104" s="51"/>
      <c r="AU104" s="51"/>
      <c r="AV104" s="51"/>
      <c r="AW104" s="51"/>
      <c r="AX104" s="51"/>
      <c r="AY104" s="51"/>
      <c r="AZ104" s="51"/>
      <c r="BA104" s="51"/>
      <c r="BB104" s="51"/>
      <c r="BC104" s="51"/>
      <c r="BD104" s="51"/>
      <c r="BE104" s="51"/>
      <c r="BF104" s="51"/>
      <c r="BG104" s="51"/>
      <c r="BH104" s="51"/>
      <c r="BI104" s="51"/>
      <c r="BJ104" s="51"/>
      <c r="BK104" s="51"/>
      <c r="BL104" s="51"/>
      <c r="BM104" s="51"/>
      <c r="BN104" s="51"/>
      <c r="BO104" s="51"/>
      <c r="BP104" s="51"/>
      <c r="BQ104" s="51"/>
      <c r="BR104" s="51"/>
      <c r="BS104" s="51"/>
      <c r="BT104" s="51"/>
      <c r="BU104" s="51"/>
      <c r="BV104" s="51"/>
      <c r="BW104" s="51"/>
      <c r="BX104" s="51"/>
      <c r="BY104" s="51"/>
      <c r="BZ104" s="51"/>
      <c r="CA104" s="51"/>
      <c r="CB104" s="51"/>
      <c r="CC104" s="51"/>
      <c r="CD104" s="51"/>
      <c r="CE104" s="51"/>
      <c r="CF104" s="51"/>
      <c r="CG104" s="51"/>
      <c r="CH104" s="51"/>
      <c r="CI104" s="51"/>
      <c r="CJ104" s="51"/>
      <c r="CK104" s="51"/>
      <c r="CL104" s="51"/>
      <c r="CM104" s="51"/>
      <c r="CN104" s="51"/>
      <c r="CO104" s="51"/>
      <c r="CP104" s="51"/>
      <c r="CQ104" s="51"/>
      <c r="CR104" s="51"/>
      <c r="CS104" s="51"/>
      <c r="CT104" s="51"/>
      <c r="CU104" s="51"/>
      <c r="CV104" s="51"/>
      <c r="CW104" s="51"/>
      <c r="CX104" s="51"/>
      <c r="CY104" s="51"/>
      <c r="CZ104" s="51"/>
      <c r="DA104" s="51"/>
      <c r="DB104" s="51"/>
      <c r="DC104" s="51"/>
      <c r="DD104" s="51"/>
      <c r="DE104" s="51"/>
      <c r="DF104" s="51"/>
      <c r="DG104" s="51"/>
      <c r="DH104" s="51"/>
      <c r="DI104" s="51"/>
      <c r="DJ104" s="51"/>
      <c r="DK104" s="51"/>
      <c r="DL104" s="51"/>
      <c r="DM104" s="51"/>
      <c r="DN104" s="51"/>
      <c r="DO104" s="51"/>
      <c r="DP104" s="51"/>
      <c r="DQ104" s="51"/>
      <c r="DR104" s="51"/>
      <c r="DS104" s="51"/>
      <c r="DT104" s="51"/>
      <c r="DU104" s="51"/>
      <c r="DV104" s="51"/>
      <c r="DW104" s="51"/>
      <c r="DX104" s="51"/>
      <c r="DY104" s="51"/>
      <c r="DZ104" s="51"/>
      <c r="EA104" s="51"/>
      <c r="EB104" s="51"/>
      <c r="EC104" s="51"/>
      <c r="ED104" s="51"/>
      <c r="EE104" s="51"/>
      <c r="EF104" s="51"/>
      <c r="EG104" s="51"/>
      <c r="EH104" s="51"/>
      <c r="EI104" s="51"/>
      <c r="EJ104" s="51"/>
    </row>
    <row r="105" spans="1:140" ht="14.25" thickTop="1" thickBot="1">
      <c r="A105" s="69"/>
      <c r="B105" s="69"/>
      <c r="C105" s="180" t="str">
        <f>IF(MasterSheet!$A$1=1,MasterSheet!C249,MasterSheet!B249)</f>
        <v>Transferi iz budžeta CG</v>
      </c>
      <c r="D105" s="181">
        <f>+'Cental Budget_int'!E79</f>
        <v>0</v>
      </c>
      <c r="E105" s="170">
        <f t="shared" si="27"/>
        <v>0</v>
      </c>
      <c r="F105" s="181">
        <f>+'Cental Budget_int'!G79</f>
        <v>2094166.36</v>
      </c>
      <c r="G105" s="170">
        <f t="shared" si="28"/>
        <v>7.8125960082074244E-2</v>
      </c>
      <c r="H105" s="181">
        <f>+'Cental Budget_int'!I79</f>
        <v>2285399.7000000002</v>
      </c>
      <c r="I105" s="170">
        <f t="shared" si="29"/>
        <v>7.4066622374902788E-2</v>
      </c>
      <c r="J105" s="181">
        <f>+'Cental Budget_int'!K79</f>
        <v>0</v>
      </c>
      <c r="K105" s="170">
        <f t="shared" si="30"/>
        <v>0</v>
      </c>
      <c r="L105" s="181">
        <f>+'Cental Budget_int'!M79</f>
        <v>903588.07</v>
      </c>
      <c r="M105" s="170">
        <f t="shared" si="31"/>
        <v>2.911044039948453E-2</v>
      </c>
      <c r="N105" s="169">
        <f>+'Cental Budget_int'!O79</f>
        <v>1067088.02</v>
      </c>
      <c r="O105" s="171">
        <f t="shared" si="32"/>
        <v>3.2995918985776126E-2</v>
      </c>
      <c r="P105" s="169">
        <f>+'Cental Budget_int'!Q79</f>
        <v>847020.99</v>
      </c>
      <c r="Q105" s="278">
        <f t="shared" si="33"/>
        <v>2.6898094315655763E-2</v>
      </c>
      <c r="R105" s="169">
        <f>+'Cental Budget_int'!S79</f>
        <v>250000</v>
      </c>
      <c r="S105" s="278">
        <f t="shared" si="34"/>
        <v>7.1083309638896785E-3</v>
      </c>
      <c r="T105" s="169">
        <f>+'Cental Budget_int'!U79</f>
        <v>250000</v>
      </c>
      <c r="U105" s="278">
        <f t="shared" si="22"/>
        <v>7.1083309638896785E-3</v>
      </c>
      <c r="V105" s="812">
        <f t="shared" si="18"/>
        <v>0</v>
      </c>
      <c r="W105" s="822">
        <f t="shared" si="18"/>
        <v>0</v>
      </c>
      <c r="X105" s="169">
        <f>+'Cental Budget_int'!Y79</f>
        <v>750000</v>
      </c>
      <c r="Y105" s="278">
        <f t="shared" si="35"/>
        <v>2.0080321285140562E-2</v>
      </c>
      <c r="Z105" s="169">
        <f>+'Cental Budget_int'!AA79</f>
        <v>750000</v>
      </c>
      <c r="AA105" s="278">
        <f t="shared" si="36"/>
        <v>1.8834756403817179E-2</v>
      </c>
      <c r="AB105" s="169">
        <f>+'Cental Budget_int'!AC79</f>
        <v>753749.99999999988</v>
      </c>
      <c r="AC105" s="278">
        <f t="shared" si="37"/>
        <v>1.7672919109026963E-2</v>
      </c>
      <c r="AD105" s="69"/>
      <c r="AE105" s="69"/>
      <c r="AF105" s="51"/>
      <c r="AG105" s="51"/>
      <c r="AH105" s="51"/>
      <c r="AI105" s="51"/>
      <c r="AJ105" s="51"/>
      <c r="AK105" s="51"/>
      <c r="AL105" s="51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  <c r="AX105" s="51"/>
      <c r="AY105" s="51"/>
      <c r="AZ105" s="51"/>
      <c r="BA105" s="51"/>
      <c r="BB105" s="51"/>
      <c r="BC105" s="51"/>
      <c r="BD105" s="51"/>
      <c r="BE105" s="51"/>
      <c r="BF105" s="51"/>
      <c r="BG105" s="51"/>
      <c r="BH105" s="51"/>
      <c r="BI105" s="51"/>
      <c r="BJ105" s="51"/>
      <c r="BK105" s="51"/>
      <c r="BL105" s="51"/>
      <c r="BM105" s="51"/>
      <c r="BN105" s="51"/>
      <c r="BO105" s="51"/>
      <c r="BP105" s="51"/>
      <c r="BQ105" s="51"/>
      <c r="BR105" s="51"/>
      <c r="BS105" s="51"/>
      <c r="BT105" s="51"/>
      <c r="BU105" s="51"/>
      <c r="BV105" s="51"/>
      <c r="BW105" s="51"/>
      <c r="BX105" s="51"/>
      <c r="BY105" s="51"/>
      <c r="BZ105" s="51"/>
      <c r="CA105" s="51"/>
      <c r="CB105" s="51"/>
      <c r="CC105" s="51"/>
      <c r="CD105" s="51"/>
      <c r="CE105" s="51"/>
      <c r="CF105" s="51"/>
      <c r="CG105" s="51"/>
      <c r="CH105" s="51"/>
      <c r="CI105" s="51"/>
      <c r="CJ105" s="51"/>
      <c r="CK105" s="51"/>
      <c r="CL105" s="51"/>
      <c r="CM105" s="51"/>
      <c r="CN105" s="51"/>
      <c r="CO105" s="51"/>
      <c r="CP105" s="51"/>
      <c r="CQ105" s="51"/>
      <c r="CR105" s="51"/>
      <c r="CS105" s="51"/>
      <c r="CT105" s="51"/>
      <c r="CU105" s="51"/>
      <c r="CV105" s="51"/>
      <c r="CW105" s="51"/>
      <c r="CX105" s="51"/>
      <c r="CY105" s="51"/>
      <c r="CZ105" s="51"/>
      <c r="DA105" s="51"/>
      <c r="DB105" s="51"/>
      <c r="DC105" s="51"/>
      <c r="DD105" s="51"/>
      <c r="DE105" s="51"/>
      <c r="DF105" s="51"/>
      <c r="DG105" s="51"/>
      <c r="DH105" s="51"/>
      <c r="DI105" s="51"/>
      <c r="DJ105" s="51"/>
      <c r="DK105" s="51"/>
      <c r="DL105" s="51"/>
      <c r="DM105" s="51"/>
      <c r="DN105" s="51"/>
      <c r="DO105" s="51"/>
      <c r="DP105" s="51"/>
      <c r="DQ105" s="51"/>
      <c r="DR105" s="51"/>
      <c r="DS105" s="51"/>
      <c r="DT105" s="51"/>
      <c r="DU105" s="51"/>
      <c r="DV105" s="51"/>
      <c r="DW105" s="51"/>
      <c r="DX105" s="51"/>
      <c r="DY105" s="51"/>
      <c r="DZ105" s="51"/>
      <c r="EA105" s="51"/>
      <c r="EB105" s="51"/>
      <c r="EC105" s="51"/>
      <c r="ED105" s="51"/>
      <c r="EE105" s="51"/>
      <c r="EF105" s="51"/>
      <c r="EG105" s="51"/>
      <c r="EH105" s="51"/>
      <c r="EI105" s="51"/>
      <c r="EJ105" s="51"/>
    </row>
    <row r="106" spans="1:140" ht="13.5" thickTop="1">
      <c r="A106" s="69"/>
      <c r="B106" s="69"/>
      <c r="C106" s="123" t="str">
        <f>IF(MasterSheet!$A$1=1,MasterSheet!C250,MasterSheet!B250)</f>
        <v>Izvor: Ministarstvo finansija Crne Gore</v>
      </c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51"/>
      <c r="AG106" s="51"/>
      <c r="AH106" s="51"/>
      <c r="AI106" s="51"/>
      <c r="AJ106" s="51"/>
      <c r="AK106" s="51"/>
      <c r="AL106" s="51"/>
      <c r="AM106" s="51"/>
      <c r="AN106" s="51"/>
      <c r="AO106" s="51"/>
      <c r="AP106" s="51"/>
      <c r="AQ106" s="51"/>
      <c r="AR106" s="51"/>
      <c r="AS106" s="51"/>
      <c r="AT106" s="51"/>
      <c r="AU106" s="51"/>
      <c r="AV106" s="51"/>
      <c r="AW106" s="51"/>
      <c r="AX106" s="51"/>
      <c r="AY106" s="51"/>
      <c r="AZ106" s="51"/>
      <c r="BA106" s="51"/>
      <c r="BB106" s="51"/>
      <c r="BC106" s="51"/>
      <c r="BD106" s="51"/>
      <c r="BE106" s="51"/>
      <c r="BF106" s="51"/>
      <c r="BG106" s="51"/>
      <c r="BH106" s="51"/>
      <c r="BI106" s="51"/>
      <c r="BJ106" s="51"/>
      <c r="BK106" s="51"/>
      <c r="BL106" s="51"/>
      <c r="BM106" s="51"/>
      <c r="BN106" s="51"/>
      <c r="BO106" s="51"/>
      <c r="BP106" s="51"/>
      <c r="BQ106" s="51"/>
      <c r="BR106" s="51"/>
      <c r="BS106" s="51"/>
      <c r="BT106" s="51"/>
      <c r="BU106" s="51"/>
      <c r="BV106" s="51"/>
      <c r="BW106" s="51"/>
      <c r="BX106" s="51"/>
      <c r="BY106" s="51"/>
      <c r="BZ106" s="51"/>
      <c r="CA106" s="51"/>
      <c r="CB106" s="51"/>
      <c r="CC106" s="51"/>
      <c r="CD106" s="51"/>
      <c r="CE106" s="51"/>
      <c r="CF106" s="51"/>
      <c r="CG106" s="51"/>
      <c r="CH106" s="51"/>
      <c r="CI106" s="51"/>
      <c r="CJ106" s="51"/>
      <c r="CK106" s="51"/>
      <c r="CL106" s="51"/>
      <c r="CM106" s="51"/>
      <c r="CN106" s="51"/>
      <c r="CO106" s="51"/>
      <c r="CP106" s="51"/>
      <c r="CQ106" s="51"/>
      <c r="CR106" s="51"/>
      <c r="CS106" s="51"/>
      <c r="CT106" s="51"/>
      <c r="CU106" s="51"/>
      <c r="CV106" s="51"/>
      <c r="CW106" s="51"/>
      <c r="CX106" s="51"/>
      <c r="CY106" s="51"/>
      <c r="CZ106" s="51"/>
      <c r="DA106" s="51"/>
      <c r="DB106" s="51"/>
      <c r="DC106" s="51"/>
      <c r="DD106" s="51"/>
      <c r="DE106" s="51"/>
      <c r="DF106" s="51"/>
      <c r="DG106" s="51"/>
      <c r="DH106" s="51"/>
      <c r="DI106" s="51"/>
      <c r="DJ106" s="51"/>
      <c r="DK106" s="51"/>
      <c r="DL106" s="51"/>
      <c r="DM106" s="51"/>
      <c r="DN106" s="51"/>
      <c r="DO106" s="51"/>
      <c r="DP106" s="51"/>
      <c r="DQ106" s="51"/>
      <c r="DR106" s="51"/>
      <c r="DS106" s="51"/>
      <c r="DT106" s="51"/>
      <c r="DU106" s="51"/>
      <c r="DV106" s="51"/>
      <c r="DW106" s="51"/>
      <c r="DX106" s="51"/>
      <c r="DY106" s="51"/>
      <c r="DZ106" s="51"/>
      <c r="EA106" s="51"/>
      <c r="EB106" s="51"/>
      <c r="EC106" s="51"/>
      <c r="ED106" s="51"/>
      <c r="EE106" s="51"/>
      <c r="EF106" s="51"/>
      <c r="EG106" s="51"/>
      <c r="EH106" s="51"/>
      <c r="EI106" s="51"/>
      <c r="EJ106" s="51"/>
    </row>
    <row r="107" spans="1:140">
      <c r="A107" s="69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51"/>
      <c r="AG107" s="51"/>
      <c r="AH107" s="51"/>
      <c r="AI107" s="51"/>
      <c r="AJ107" s="51"/>
      <c r="AK107" s="51"/>
      <c r="AL107" s="51"/>
      <c r="AM107" s="51"/>
      <c r="AN107" s="51"/>
      <c r="AO107" s="51"/>
      <c r="AP107" s="51"/>
      <c r="AQ107" s="51"/>
      <c r="AR107" s="51"/>
      <c r="AS107" s="51"/>
      <c r="AT107" s="51"/>
      <c r="AU107" s="51"/>
      <c r="AV107" s="51"/>
      <c r="AW107" s="51"/>
      <c r="AX107" s="51"/>
      <c r="AY107" s="51"/>
      <c r="AZ107" s="51"/>
      <c r="BA107" s="51"/>
      <c r="BB107" s="51"/>
      <c r="BC107" s="51"/>
      <c r="BD107" s="51"/>
      <c r="BE107" s="51"/>
      <c r="BF107" s="51"/>
      <c r="BG107" s="51"/>
      <c r="BH107" s="51"/>
      <c r="BI107" s="51"/>
      <c r="BJ107" s="51"/>
      <c r="BK107" s="51"/>
      <c r="BL107" s="51"/>
      <c r="BM107" s="51"/>
      <c r="BN107" s="51"/>
      <c r="BO107" s="51"/>
      <c r="BP107" s="51"/>
      <c r="BQ107" s="51"/>
      <c r="BR107" s="51"/>
      <c r="BS107" s="51"/>
      <c r="BT107" s="51"/>
      <c r="BU107" s="51"/>
      <c r="BV107" s="51"/>
      <c r="BW107" s="51"/>
      <c r="BX107" s="51"/>
      <c r="BY107" s="51"/>
      <c r="BZ107" s="51"/>
      <c r="CA107" s="51"/>
      <c r="CB107" s="51"/>
      <c r="CC107" s="51"/>
      <c r="CD107" s="51"/>
      <c r="CE107" s="51"/>
      <c r="CF107" s="51"/>
      <c r="CG107" s="51"/>
      <c r="CH107" s="51"/>
      <c r="CI107" s="51"/>
      <c r="CJ107" s="51"/>
      <c r="CK107" s="51"/>
      <c r="CL107" s="51"/>
      <c r="CM107" s="51"/>
      <c r="CN107" s="51"/>
      <c r="CO107" s="51"/>
      <c r="CP107" s="51"/>
      <c r="CQ107" s="51"/>
      <c r="CR107" s="51"/>
      <c r="CS107" s="51"/>
      <c r="CT107" s="51"/>
      <c r="CU107" s="51"/>
      <c r="CV107" s="51"/>
      <c r="CW107" s="51"/>
      <c r="CX107" s="51"/>
      <c r="CY107" s="51"/>
      <c r="CZ107" s="51"/>
      <c r="DA107" s="51"/>
      <c r="DB107" s="51"/>
      <c r="DC107" s="51"/>
      <c r="DD107" s="51"/>
      <c r="DE107" s="51"/>
      <c r="DF107" s="51"/>
      <c r="DG107" s="51"/>
      <c r="DH107" s="51"/>
      <c r="DI107" s="51"/>
      <c r="DJ107" s="51"/>
      <c r="DK107" s="51"/>
      <c r="DL107" s="51"/>
      <c r="DM107" s="51"/>
      <c r="DN107" s="51"/>
      <c r="DO107" s="51"/>
      <c r="DP107" s="51"/>
      <c r="DQ107" s="51"/>
      <c r="DR107" s="51"/>
      <c r="DS107" s="51"/>
      <c r="DT107" s="51"/>
      <c r="DU107" s="51"/>
      <c r="DV107" s="51"/>
      <c r="DW107" s="51"/>
      <c r="DX107" s="51"/>
      <c r="DY107" s="51"/>
      <c r="DZ107" s="51"/>
      <c r="EA107" s="51"/>
      <c r="EB107" s="51"/>
      <c r="EC107" s="51"/>
      <c r="ED107" s="51"/>
      <c r="EE107" s="51"/>
      <c r="EF107" s="51"/>
      <c r="EG107" s="51"/>
      <c r="EH107" s="51"/>
      <c r="EI107" s="51"/>
      <c r="EJ107" s="51"/>
    </row>
    <row r="108" spans="1:140">
      <c r="A108" s="69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51"/>
      <c r="AG108" s="51"/>
      <c r="AH108" s="51"/>
      <c r="AI108" s="51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  <c r="AT108" s="51"/>
      <c r="AU108" s="51"/>
      <c r="AV108" s="51"/>
      <c r="AW108" s="51"/>
      <c r="AX108" s="51"/>
      <c r="AY108" s="51"/>
      <c r="AZ108" s="51"/>
      <c r="BA108" s="51"/>
      <c r="BB108" s="51"/>
      <c r="BC108" s="51"/>
      <c r="BD108" s="51"/>
      <c r="BE108" s="51"/>
      <c r="BF108" s="51"/>
      <c r="BG108" s="51"/>
      <c r="BH108" s="51"/>
      <c r="BI108" s="51"/>
      <c r="BJ108" s="51"/>
      <c r="BK108" s="51"/>
      <c r="BL108" s="51"/>
      <c r="BM108" s="51"/>
      <c r="BN108" s="51"/>
      <c r="BO108" s="51"/>
      <c r="BP108" s="51"/>
      <c r="BQ108" s="51"/>
      <c r="BR108" s="51"/>
      <c r="BS108" s="51"/>
      <c r="BT108" s="51"/>
      <c r="BU108" s="51"/>
      <c r="BV108" s="51"/>
      <c r="BW108" s="51"/>
      <c r="BX108" s="51"/>
      <c r="BY108" s="51"/>
      <c r="BZ108" s="51"/>
      <c r="CA108" s="51"/>
      <c r="CB108" s="51"/>
      <c r="CC108" s="51"/>
      <c r="CD108" s="51"/>
      <c r="CE108" s="51"/>
      <c r="CF108" s="51"/>
      <c r="CG108" s="51"/>
      <c r="CH108" s="51"/>
      <c r="CI108" s="51"/>
      <c r="CJ108" s="51"/>
      <c r="CK108" s="51"/>
      <c r="CL108" s="51"/>
      <c r="CM108" s="51"/>
      <c r="CN108" s="51"/>
      <c r="CO108" s="51"/>
      <c r="CP108" s="51"/>
      <c r="CQ108" s="51"/>
      <c r="CR108" s="51"/>
      <c r="CS108" s="51"/>
      <c r="CT108" s="51"/>
      <c r="CU108" s="51"/>
      <c r="CV108" s="51"/>
      <c r="CW108" s="51"/>
      <c r="CX108" s="51"/>
      <c r="CY108" s="51"/>
      <c r="CZ108" s="51"/>
      <c r="DA108" s="51"/>
      <c r="DB108" s="51"/>
      <c r="DC108" s="51"/>
      <c r="DD108" s="51"/>
      <c r="DE108" s="51"/>
      <c r="DF108" s="51"/>
      <c r="DG108" s="51"/>
      <c r="DH108" s="51"/>
      <c r="DI108" s="51"/>
      <c r="DJ108" s="51"/>
      <c r="DK108" s="51"/>
      <c r="DL108" s="51"/>
      <c r="DM108" s="51"/>
      <c r="DN108" s="51"/>
      <c r="DO108" s="51"/>
      <c r="DP108" s="51"/>
      <c r="DQ108" s="51"/>
      <c r="DR108" s="51"/>
      <c r="DS108" s="51"/>
      <c r="DT108" s="51"/>
      <c r="DU108" s="51"/>
      <c r="DV108" s="51"/>
      <c r="DW108" s="51"/>
      <c r="DX108" s="51"/>
      <c r="DY108" s="51"/>
      <c r="DZ108" s="51"/>
      <c r="EA108" s="51"/>
      <c r="EB108" s="51"/>
      <c r="EC108" s="51"/>
      <c r="ED108" s="51"/>
      <c r="EE108" s="51"/>
      <c r="EF108" s="51"/>
      <c r="EG108" s="51"/>
      <c r="EH108" s="51"/>
      <c r="EI108" s="51"/>
      <c r="EJ108" s="51"/>
    </row>
    <row r="109" spans="1:140">
      <c r="A109" s="69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51"/>
      <c r="AG109" s="51"/>
      <c r="AH109" s="51"/>
      <c r="AI109" s="51"/>
      <c r="AJ109" s="51"/>
      <c r="AK109" s="51"/>
      <c r="AL109" s="51"/>
      <c r="AM109" s="51"/>
      <c r="AN109" s="51"/>
      <c r="AO109" s="51"/>
      <c r="AP109" s="51"/>
      <c r="AQ109" s="51"/>
      <c r="AR109" s="51"/>
      <c r="AS109" s="51"/>
      <c r="AT109" s="51"/>
      <c r="AU109" s="51"/>
      <c r="AV109" s="51"/>
      <c r="AW109" s="51"/>
      <c r="AX109" s="51"/>
      <c r="AY109" s="51"/>
      <c r="AZ109" s="51"/>
      <c r="BA109" s="51"/>
      <c r="BB109" s="51"/>
      <c r="BC109" s="51"/>
      <c r="BD109" s="51"/>
      <c r="BE109" s="51"/>
      <c r="BF109" s="51"/>
      <c r="BG109" s="51"/>
      <c r="BH109" s="51"/>
      <c r="BI109" s="51"/>
      <c r="BJ109" s="51"/>
      <c r="BK109" s="51"/>
      <c r="BL109" s="51"/>
      <c r="BM109" s="51"/>
      <c r="BN109" s="51"/>
      <c r="BO109" s="51"/>
      <c r="BP109" s="51"/>
      <c r="BQ109" s="51"/>
      <c r="BR109" s="51"/>
      <c r="BS109" s="51"/>
      <c r="BT109" s="51"/>
      <c r="BU109" s="51"/>
      <c r="BV109" s="51"/>
      <c r="BW109" s="51"/>
      <c r="BX109" s="51"/>
      <c r="BY109" s="51"/>
      <c r="BZ109" s="51"/>
      <c r="CA109" s="51"/>
      <c r="CB109" s="51"/>
      <c r="CC109" s="51"/>
      <c r="CD109" s="51"/>
      <c r="CE109" s="51"/>
      <c r="CF109" s="51"/>
      <c r="CG109" s="51"/>
      <c r="CH109" s="51"/>
      <c r="CI109" s="51"/>
      <c r="CJ109" s="51"/>
      <c r="CK109" s="51"/>
      <c r="CL109" s="51"/>
      <c r="CM109" s="51"/>
      <c r="CN109" s="51"/>
      <c r="CO109" s="51"/>
      <c r="CP109" s="51"/>
      <c r="CQ109" s="51"/>
      <c r="CR109" s="51"/>
      <c r="CS109" s="51"/>
      <c r="CT109" s="51"/>
      <c r="CU109" s="51"/>
      <c r="CV109" s="51"/>
      <c r="CW109" s="51"/>
      <c r="CX109" s="51"/>
      <c r="CY109" s="51"/>
      <c r="CZ109" s="51"/>
      <c r="DA109" s="51"/>
      <c r="DB109" s="51"/>
      <c r="DC109" s="51"/>
      <c r="DD109" s="51"/>
      <c r="DE109" s="51"/>
      <c r="DF109" s="51"/>
      <c r="DG109" s="51"/>
      <c r="DH109" s="51"/>
      <c r="DI109" s="51"/>
      <c r="DJ109" s="51"/>
      <c r="DK109" s="51"/>
      <c r="DL109" s="51"/>
      <c r="DM109" s="51"/>
      <c r="DN109" s="51"/>
      <c r="DO109" s="51"/>
      <c r="DP109" s="51"/>
      <c r="DQ109" s="51"/>
      <c r="DR109" s="51"/>
      <c r="DS109" s="51"/>
      <c r="DT109" s="51"/>
      <c r="DU109" s="51"/>
      <c r="DV109" s="51"/>
      <c r="DW109" s="51"/>
      <c r="DX109" s="51"/>
      <c r="DY109" s="51"/>
      <c r="DZ109" s="51"/>
      <c r="EA109" s="51"/>
      <c r="EB109" s="51"/>
      <c r="EC109" s="51"/>
      <c r="ED109" s="51"/>
      <c r="EE109" s="51"/>
      <c r="EF109" s="51"/>
      <c r="EG109" s="51"/>
      <c r="EH109" s="51"/>
      <c r="EI109" s="51"/>
      <c r="EJ109" s="51"/>
    </row>
    <row r="110" spans="1:140">
      <c r="A110" s="69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70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51"/>
      <c r="AG110" s="51"/>
      <c r="AH110" s="51"/>
      <c r="AI110" s="51"/>
      <c r="AJ110" s="51"/>
      <c r="AK110" s="51"/>
      <c r="AL110" s="51"/>
      <c r="AM110" s="51"/>
      <c r="AN110" s="51"/>
      <c r="AO110" s="51"/>
      <c r="AP110" s="51"/>
      <c r="AQ110" s="51"/>
      <c r="AR110" s="51"/>
      <c r="AS110" s="51"/>
      <c r="AT110" s="51"/>
      <c r="AU110" s="51"/>
      <c r="AV110" s="51"/>
      <c r="AW110" s="51"/>
      <c r="AX110" s="51"/>
      <c r="AY110" s="51"/>
      <c r="AZ110" s="51"/>
      <c r="BA110" s="51"/>
      <c r="BB110" s="51"/>
      <c r="BC110" s="51"/>
      <c r="BD110" s="51"/>
      <c r="BE110" s="51"/>
      <c r="BF110" s="51"/>
      <c r="BG110" s="51"/>
      <c r="BH110" s="51"/>
      <c r="BI110" s="51"/>
      <c r="BJ110" s="51"/>
      <c r="BK110" s="51"/>
      <c r="BL110" s="51"/>
      <c r="BM110" s="51"/>
      <c r="BN110" s="51"/>
      <c r="BO110" s="51"/>
      <c r="BP110" s="51"/>
      <c r="BQ110" s="51"/>
      <c r="BR110" s="51"/>
      <c r="BS110" s="51"/>
      <c r="BT110" s="51"/>
      <c r="BU110" s="51"/>
      <c r="BV110" s="51"/>
      <c r="BW110" s="51"/>
      <c r="BX110" s="51"/>
      <c r="BY110" s="51"/>
      <c r="BZ110" s="51"/>
      <c r="CA110" s="51"/>
      <c r="CB110" s="51"/>
      <c r="CC110" s="51"/>
      <c r="CD110" s="51"/>
      <c r="CE110" s="51"/>
      <c r="CF110" s="51"/>
      <c r="CG110" s="51"/>
      <c r="CH110" s="51"/>
      <c r="CI110" s="51"/>
      <c r="CJ110" s="51"/>
      <c r="CK110" s="51"/>
      <c r="CL110" s="51"/>
      <c r="CM110" s="51"/>
      <c r="CN110" s="51"/>
      <c r="CO110" s="51"/>
      <c r="CP110" s="51"/>
      <c r="CQ110" s="51"/>
      <c r="CR110" s="51"/>
      <c r="CS110" s="51"/>
      <c r="CT110" s="51"/>
      <c r="CU110" s="51"/>
      <c r="CV110" s="51"/>
      <c r="CW110" s="51"/>
      <c r="CX110" s="51"/>
      <c r="CY110" s="51"/>
      <c r="CZ110" s="51"/>
      <c r="DA110" s="51"/>
      <c r="DB110" s="51"/>
      <c r="DC110" s="51"/>
      <c r="DD110" s="51"/>
      <c r="DE110" s="51"/>
      <c r="DF110" s="51"/>
      <c r="DG110" s="51"/>
      <c r="DH110" s="51"/>
      <c r="DI110" s="51"/>
      <c r="DJ110" s="51"/>
      <c r="DK110" s="51"/>
      <c r="DL110" s="51"/>
      <c r="DM110" s="51"/>
      <c r="DN110" s="51"/>
      <c r="DO110" s="51"/>
      <c r="DP110" s="51"/>
      <c r="DQ110" s="51"/>
      <c r="DR110" s="51"/>
      <c r="DS110" s="51"/>
      <c r="DT110" s="51"/>
      <c r="DU110" s="51"/>
      <c r="DV110" s="51"/>
      <c r="DW110" s="51"/>
      <c r="DX110" s="51"/>
      <c r="DY110" s="51"/>
      <c r="DZ110" s="51"/>
      <c r="EA110" s="51"/>
      <c r="EB110" s="51"/>
      <c r="EC110" s="51"/>
      <c r="ED110" s="51"/>
      <c r="EE110" s="51"/>
      <c r="EF110" s="51"/>
      <c r="EG110" s="51"/>
      <c r="EH110" s="51"/>
      <c r="EI110" s="51"/>
      <c r="EJ110" s="51"/>
    </row>
    <row r="111" spans="1:140">
      <c r="A111" s="69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51"/>
      <c r="AG111" s="51"/>
      <c r="AH111" s="51"/>
      <c r="AI111" s="51"/>
      <c r="AJ111" s="51"/>
      <c r="AK111" s="51"/>
      <c r="AL111" s="51"/>
      <c r="AM111" s="51"/>
      <c r="AN111" s="51"/>
      <c r="AO111" s="51"/>
      <c r="AP111" s="51"/>
      <c r="AQ111" s="51"/>
      <c r="AR111" s="51"/>
      <c r="AS111" s="51"/>
      <c r="AT111" s="51"/>
      <c r="AU111" s="51"/>
      <c r="AV111" s="51"/>
      <c r="AW111" s="51"/>
      <c r="AX111" s="51"/>
      <c r="AY111" s="51"/>
      <c r="AZ111" s="51"/>
      <c r="BA111" s="51"/>
      <c r="BB111" s="51"/>
      <c r="BC111" s="51"/>
      <c r="BD111" s="51"/>
      <c r="BE111" s="51"/>
      <c r="BF111" s="51"/>
      <c r="BG111" s="51"/>
      <c r="BH111" s="51"/>
      <c r="BI111" s="51"/>
      <c r="BJ111" s="51"/>
      <c r="BK111" s="51"/>
      <c r="BL111" s="51"/>
      <c r="BM111" s="51"/>
      <c r="BN111" s="51"/>
      <c r="BO111" s="51"/>
      <c r="BP111" s="51"/>
      <c r="BQ111" s="51"/>
      <c r="BR111" s="51"/>
      <c r="BS111" s="51"/>
      <c r="BT111" s="51"/>
      <c r="BU111" s="51"/>
      <c r="BV111" s="51"/>
      <c r="BW111" s="51"/>
      <c r="BX111" s="51"/>
      <c r="BY111" s="51"/>
      <c r="BZ111" s="51"/>
      <c r="CA111" s="51"/>
      <c r="CB111" s="51"/>
      <c r="CC111" s="51"/>
      <c r="CD111" s="51"/>
      <c r="CE111" s="51"/>
      <c r="CF111" s="51"/>
      <c r="CG111" s="51"/>
      <c r="CH111" s="51"/>
      <c r="CI111" s="51"/>
      <c r="CJ111" s="51"/>
      <c r="CK111" s="51"/>
      <c r="CL111" s="51"/>
      <c r="CM111" s="51"/>
      <c r="CN111" s="51"/>
      <c r="CO111" s="51"/>
      <c r="CP111" s="51"/>
      <c r="CQ111" s="51"/>
      <c r="CR111" s="51"/>
      <c r="CS111" s="51"/>
      <c r="CT111" s="51"/>
      <c r="CU111" s="51"/>
      <c r="CV111" s="51"/>
      <c r="CW111" s="51"/>
      <c r="CX111" s="51"/>
      <c r="CY111" s="51"/>
      <c r="CZ111" s="51"/>
      <c r="DA111" s="51"/>
      <c r="DB111" s="51"/>
      <c r="DC111" s="51"/>
      <c r="DD111" s="51"/>
      <c r="DE111" s="51"/>
      <c r="DF111" s="51"/>
      <c r="DG111" s="51"/>
      <c r="DH111" s="51"/>
      <c r="DI111" s="51"/>
      <c r="DJ111" s="51"/>
      <c r="DK111" s="51"/>
      <c r="DL111" s="51"/>
      <c r="DM111" s="51"/>
      <c r="DN111" s="51"/>
      <c r="DO111" s="51"/>
      <c r="DP111" s="51"/>
      <c r="DQ111" s="51"/>
      <c r="DR111" s="51"/>
      <c r="DS111" s="51"/>
      <c r="DT111" s="51"/>
      <c r="DU111" s="51"/>
      <c r="DV111" s="51"/>
      <c r="DW111" s="51"/>
      <c r="DX111" s="51"/>
      <c r="DY111" s="51"/>
      <c r="DZ111" s="51"/>
      <c r="EA111" s="51"/>
      <c r="EB111" s="51"/>
      <c r="EC111" s="51"/>
      <c r="ED111" s="51"/>
      <c r="EE111" s="51"/>
      <c r="EF111" s="51"/>
      <c r="EG111" s="51"/>
      <c r="EH111" s="51"/>
      <c r="EI111" s="51"/>
      <c r="EJ111" s="51"/>
    </row>
    <row r="112" spans="1:140">
      <c r="A112" s="69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51"/>
      <c r="AG112" s="51"/>
      <c r="AH112" s="51"/>
      <c r="AI112" s="51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  <c r="AT112" s="51"/>
      <c r="AU112" s="51"/>
      <c r="AV112" s="51"/>
      <c r="AW112" s="51"/>
      <c r="AX112" s="51"/>
      <c r="AY112" s="51"/>
      <c r="AZ112" s="51"/>
      <c r="BA112" s="51"/>
      <c r="BB112" s="51"/>
      <c r="BC112" s="51"/>
      <c r="BD112" s="51"/>
      <c r="BE112" s="51"/>
      <c r="BF112" s="51"/>
      <c r="BG112" s="51"/>
      <c r="BH112" s="51"/>
      <c r="BI112" s="51"/>
      <c r="BJ112" s="51"/>
      <c r="BK112" s="51"/>
      <c r="BL112" s="51"/>
      <c r="BM112" s="51"/>
      <c r="BN112" s="51"/>
      <c r="BO112" s="51"/>
      <c r="BP112" s="51"/>
      <c r="BQ112" s="51"/>
      <c r="BR112" s="51"/>
      <c r="BS112" s="51"/>
      <c r="BT112" s="51"/>
      <c r="BU112" s="51"/>
      <c r="BV112" s="51"/>
      <c r="BW112" s="51"/>
      <c r="BX112" s="51"/>
      <c r="BY112" s="51"/>
      <c r="BZ112" s="51"/>
      <c r="CA112" s="51"/>
      <c r="CB112" s="51"/>
      <c r="CC112" s="51"/>
      <c r="CD112" s="51"/>
      <c r="CE112" s="51"/>
      <c r="CF112" s="51"/>
      <c r="CG112" s="51"/>
      <c r="CH112" s="51"/>
      <c r="CI112" s="51"/>
      <c r="CJ112" s="51"/>
      <c r="CK112" s="51"/>
      <c r="CL112" s="51"/>
      <c r="CM112" s="51"/>
      <c r="CN112" s="51"/>
      <c r="CO112" s="51"/>
      <c r="CP112" s="51"/>
      <c r="CQ112" s="51"/>
      <c r="CR112" s="51"/>
      <c r="CS112" s="51"/>
      <c r="CT112" s="51"/>
      <c r="CU112" s="51"/>
      <c r="CV112" s="51"/>
      <c r="CW112" s="51"/>
      <c r="CX112" s="51"/>
      <c r="CY112" s="51"/>
      <c r="CZ112" s="51"/>
      <c r="DA112" s="51"/>
      <c r="DB112" s="51"/>
      <c r="DC112" s="51"/>
      <c r="DD112" s="51"/>
      <c r="DE112" s="51"/>
      <c r="DF112" s="51"/>
      <c r="DG112" s="51"/>
      <c r="DH112" s="51"/>
      <c r="DI112" s="51"/>
      <c r="DJ112" s="51"/>
      <c r="DK112" s="51"/>
      <c r="DL112" s="51"/>
      <c r="DM112" s="51"/>
      <c r="DN112" s="51"/>
      <c r="DO112" s="51"/>
      <c r="DP112" s="51"/>
      <c r="DQ112" s="51"/>
      <c r="DR112" s="51"/>
      <c r="DS112" s="51"/>
      <c r="DT112" s="51"/>
      <c r="DU112" s="51"/>
      <c r="DV112" s="51"/>
      <c r="DW112" s="51"/>
      <c r="DX112" s="51"/>
      <c r="DY112" s="51"/>
      <c r="DZ112" s="51"/>
      <c r="EA112" s="51"/>
      <c r="EB112" s="51"/>
      <c r="EC112" s="51"/>
      <c r="ED112" s="51"/>
      <c r="EE112" s="51"/>
      <c r="EF112" s="51"/>
      <c r="EG112" s="51"/>
      <c r="EH112" s="51"/>
      <c r="EI112" s="51"/>
      <c r="EJ112" s="51"/>
    </row>
    <row r="113" spans="1:140">
      <c r="A113" s="69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51"/>
      <c r="AG113" s="51"/>
      <c r="AH113" s="51"/>
      <c r="AI113" s="51"/>
      <c r="AJ113" s="51"/>
      <c r="AK113" s="51"/>
      <c r="AL113" s="51"/>
      <c r="AM113" s="51"/>
      <c r="AN113" s="51"/>
      <c r="AO113" s="51"/>
      <c r="AP113" s="51"/>
      <c r="AQ113" s="51"/>
      <c r="AR113" s="51"/>
      <c r="AS113" s="51"/>
      <c r="AT113" s="51"/>
      <c r="AU113" s="51"/>
      <c r="AV113" s="51"/>
      <c r="AW113" s="51"/>
      <c r="AX113" s="51"/>
      <c r="AY113" s="51"/>
      <c r="AZ113" s="51"/>
      <c r="BA113" s="51"/>
      <c r="BB113" s="51"/>
      <c r="BC113" s="51"/>
      <c r="BD113" s="51"/>
      <c r="BE113" s="51"/>
      <c r="BF113" s="51"/>
      <c r="BG113" s="51"/>
      <c r="BH113" s="51"/>
      <c r="BI113" s="51"/>
      <c r="BJ113" s="51"/>
      <c r="BK113" s="51"/>
      <c r="BL113" s="51"/>
      <c r="BM113" s="51"/>
      <c r="BN113" s="51"/>
      <c r="BO113" s="51"/>
      <c r="BP113" s="51"/>
      <c r="BQ113" s="51"/>
      <c r="BR113" s="51"/>
      <c r="BS113" s="51"/>
      <c r="BT113" s="51"/>
      <c r="BU113" s="51"/>
      <c r="BV113" s="51"/>
      <c r="BW113" s="51"/>
      <c r="BX113" s="51"/>
      <c r="BY113" s="51"/>
      <c r="BZ113" s="51"/>
      <c r="CA113" s="51"/>
      <c r="CB113" s="51"/>
      <c r="CC113" s="51"/>
      <c r="CD113" s="51"/>
      <c r="CE113" s="51"/>
      <c r="CF113" s="51"/>
      <c r="CG113" s="51"/>
      <c r="CH113" s="51"/>
      <c r="CI113" s="51"/>
      <c r="CJ113" s="51"/>
      <c r="CK113" s="51"/>
      <c r="CL113" s="51"/>
      <c r="CM113" s="51"/>
      <c r="CN113" s="51"/>
      <c r="CO113" s="51"/>
      <c r="CP113" s="51"/>
      <c r="CQ113" s="51"/>
      <c r="CR113" s="51"/>
      <c r="CS113" s="51"/>
      <c r="CT113" s="51"/>
      <c r="CU113" s="51"/>
      <c r="CV113" s="51"/>
      <c r="CW113" s="51"/>
      <c r="CX113" s="51"/>
      <c r="CY113" s="51"/>
      <c r="CZ113" s="51"/>
      <c r="DA113" s="51"/>
      <c r="DB113" s="51"/>
      <c r="DC113" s="51"/>
      <c r="DD113" s="51"/>
      <c r="DE113" s="51"/>
      <c r="DF113" s="51"/>
      <c r="DG113" s="51"/>
      <c r="DH113" s="51"/>
      <c r="DI113" s="51"/>
      <c r="DJ113" s="51"/>
      <c r="DK113" s="51"/>
      <c r="DL113" s="51"/>
      <c r="DM113" s="51"/>
      <c r="DN113" s="51"/>
      <c r="DO113" s="51"/>
      <c r="DP113" s="51"/>
      <c r="DQ113" s="51"/>
      <c r="DR113" s="51"/>
      <c r="DS113" s="51"/>
      <c r="DT113" s="51"/>
      <c r="DU113" s="51"/>
      <c r="DV113" s="51"/>
      <c r="DW113" s="51"/>
      <c r="DX113" s="51"/>
      <c r="DY113" s="51"/>
      <c r="DZ113" s="51"/>
      <c r="EA113" s="51"/>
      <c r="EB113" s="51"/>
      <c r="EC113" s="51"/>
      <c r="ED113" s="51"/>
      <c r="EE113" s="51"/>
      <c r="EF113" s="51"/>
      <c r="EG113" s="51"/>
      <c r="EH113" s="51"/>
      <c r="EI113" s="51"/>
      <c r="EJ113" s="51"/>
    </row>
    <row r="114" spans="1:140">
      <c r="A114" s="69"/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51"/>
      <c r="AG114" s="51"/>
      <c r="AH114" s="51"/>
      <c r="AI114" s="51"/>
      <c r="AJ114" s="51"/>
      <c r="AK114" s="51"/>
      <c r="AL114" s="51"/>
      <c r="AM114" s="51"/>
      <c r="AN114" s="51"/>
      <c r="AO114" s="51"/>
      <c r="AP114" s="51"/>
      <c r="AQ114" s="51"/>
      <c r="AR114" s="51"/>
      <c r="AS114" s="51"/>
      <c r="AT114" s="51"/>
      <c r="AU114" s="51"/>
      <c r="AV114" s="51"/>
      <c r="AW114" s="51"/>
      <c r="AX114" s="51"/>
      <c r="AY114" s="51"/>
      <c r="AZ114" s="51"/>
      <c r="BA114" s="51"/>
      <c r="BB114" s="51"/>
      <c r="BC114" s="51"/>
      <c r="BD114" s="51"/>
      <c r="BE114" s="51"/>
      <c r="BF114" s="51"/>
      <c r="BG114" s="51"/>
      <c r="BH114" s="51"/>
      <c r="BI114" s="51"/>
      <c r="BJ114" s="51"/>
      <c r="BK114" s="51"/>
      <c r="BL114" s="51"/>
      <c r="BM114" s="51"/>
      <c r="BN114" s="51"/>
      <c r="BO114" s="51"/>
      <c r="BP114" s="51"/>
      <c r="BQ114" s="51"/>
      <c r="BR114" s="51"/>
      <c r="BS114" s="51"/>
      <c r="BT114" s="51"/>
      <c r="BU114" s="51"/>
      <c r="BV114" s="51"/>
      <c r="BW114" s="51"/>
      <c r="BX114" s="51"/>
      <c r="BY114" s="51"/>
      <c r="BZ114" s="51"/>
      <c r="CA114" s="51"/>
      <c r="CB114" s="51"/>
      <c r="CC114" s="51"/>
      <c r="CD114" s="51"/>
      <c r="CE114" s="51"/>
      <c r="CF114" s="51"/>
      <c r="CG114" s="51"/>
      <c r="CH114" s="51"/>
      <c r="CI114" s="51"/>
      <c r="CJ114" s="51"/>
      <c r="CK114" s="51"/>
      <c r="CL114" s="51"/>
      <c r="CM114" s="51"/>
      <c r="CN114" s="51"/>
      <c r="CO114" s="51"/>
      <c r="CP114" s="51"/>
      <c r="CQ114" s="51"/>
      <c r="CR114" s="51"/>
      <c r="CS114" s="51"/>
      <c r="CT114" s="51"/>
      <c r="CU114" s="51"/>
      <c r="CV114" s="51"/>
      <c r="CW114" s="51"/>
      <c r="CX114" s="51"/>
      <c r="CY114" s="51"/>
      <c r="CZ114" s="51"/>
      <c r="DA114" s="51"/>
      <c r="DB114" s="51"/>
      <c r="DC114" s="51"/>
      <c r="DD114" s="51"/>
      <c r="DE114" s="51"/>
      <c r="DF114" s="51"/>
      <c r="DG114" s="51"/>
      <c r="DH114" s="51"/>
      <c r="DI114" s="51"/>
      <c r="DJ114" s="51"/>
      <c r="DK114" s="51"/>
      <c r="DL114" s="51"/>
      <c r="DM114" s="51"/>
      <c r="DN114" s="51"/>
      <c r="DO114" s="51"/>
      <c r="DP114" s="51"/>
      <c r="DQ114" s="51"/>
      <c r="DR114" s="51"/>
      <c r="DS114" s="51"/>
      <c r="DT114" s="51"/>
      <c r="DU114" s="51"/>
      <c r="DV114" s="51"/>
      <c r="DW114" s="51"/>
      <c r="DX114" s="51"/>
      <c r="DY114" s="51"/>
      <c r="DZ114" s="51"/>
      <c r="EA114" s="51"/>
      <c r="EB114" s="51"/>
      <c r="EC114" s="51"/>
      <c r="ED114" s="51"/>
      <c r="EE114" s="51"/>
      <c r="EF114" s="51"/>
      <c r="EG114" s="51"/>
      <c r="EH114" s="51"/>
      <c r="EI114" s="51"/>
      <c r="EJ114" s="51"/>
    </row>
    <row r="115" spans="1:140">
      <c r="A115" s="69"/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51"/>
      <c r="AG115" s="51"/>
      <c r="AH115" s="51"/>
      <c r="AI115" s="51"/>
      <c r="AJ115" s="51"/>
      <c r="AK115" s="51"/>
      <c r="AL115" s="51"/>
      <c r="AM115" s="51"/>
      <c r="AN115" s="51"/>
      <c r="AO115" s="51"/>
      <c r="AP115" s="51"/>
      <c r="AQ115" s="51"/>
      <c r="AR115" s="51"/>
      <c r="AS115" s="51"/>
      <c r="AT115" s="51"/>
      <c r="AU115" s="51"/>
      <c r="AV115" s="51"/>
      <c r="AW115" s="51"/>
      <c r="AX115" s="51"/>
      <c r="AY115" s="51"/>
      <c r="AZ115" s="51"/>
      <c r="BA115" s="51"/>
      <c r="BB115" s="51"/>
      <c r="BC115" s="51"/>
      <c r="BD115" s="51"/>
      <c r="BE115" s="51"/>
      <c r="BF115" s="51"/>
      <c r="BG115" s="51"/>
      <c r="BH115" s="51"/>
      <c r="BI115" s="51"/>
      <c r="BJ115" s="51"/>
      <c r="BK115" s="51"/>
      <c r="BL115" s="51"/>
      <c r="BM115" s="51"/>
      <c r="BN115" s="51"/>
      <c r="BO115" s="51"/>
      <c r="BP115" s="51"/>
      <c r="BQ115" s="51"/>
      <c r="BR115" s="51"/>
      <c r="BS115" s="51"/>
      <c r="BT115" s="51"/>
      <c r="BU115" s="51"/>
      <c r="BV115" s="51"/>
      <c r="BW115" s="51"/>
      <c r="BX115" s="51"/>
      <c r="BY115" s="51"/>
      <c r="BZ115" s="51"/>
      <c r="CA115" s="51"/>
      <c r="CB115" s="51"/>
      <c r="CC115" s="51"/>
      <c r="CD115" s="51"/>
      <c r="CE115" s="51"/>
      <c r="CF115" s="51"/>
      <c r="CG115" s="51"/>
      <c r="CH115" s="51"/>
      <c r="CI115" s="51"/>
      <c r="CJ115" s="51"/>
      <c r="CK115" s="51"/>
      <c r="CL115" s="51"/>
      <c r="CM115" s="51"/>
      <c r="CN115" s="51"/>
      <c r="CO115" s="51"/>
      <c r="CP115" s="51"/>
      <c r="CQ115" s="51"/>
      <c r="CR115" s="51"/>
      <c r="CS115" s="51"/>
      <c r="CT115" s="51"/>
      <c r="CU115" s="51"/>
      <c r="CV115" s="51"/>
      <c r="CW115" s="51"/>
      <c r="CX115" s="51"/>
      <c r="CY115" s="51"/>
      <c r="CZ115" s="51"/>
      <c r="DA115" s="51"/>
      <c r="DB115" s="51"/>
      <c r="DC115" s="51"/>
      <c r="DD115" s="51"/>
      <c r="DE115" s="51"/>
      <c r="DF115" s="51"/>
      <c r="DG115" s="51"/>
      <c r="DH115" s="51"/>
      <c r="DI115" s="51"/>
      <c r="DJ115" s="51"/>
      <c r="DK115" s="51"/>
      <c r="DL115" s="51"/>
      <c r="DM115" s="51"/>
      <c r="DN115" s="51"/>
      <c r="DO115" s="51"/>
      <c r="DP115" s="51"/>
      <c r="DQ115" s="51"/>
      <c r="DR115" s="51"/>
      <c r="DS115" s="51"/>
      <c r="DT115" s="51"/>
      <c r="DU115" s="51"/>
      <c r="DV115" s="51"/>
      <c r="DW115" s="51"/>
      <c r="DX115" s="51"/>
      <c r="DY115" s="51"/>
      <c r="DZ115" s="51"/>
      <c r="EA115" s="51"/>
      <c r="EB115" s="51"/>
      <c r="EC115" s="51"/>
      <c r="ED115" s="51"/>
      <c r="EE115" s="51"/>
      <c r="EF115" s="51"/>
      <c r="EG115" s="51"/>
      <c r="EH115" s="51"/>
      <c r="EI115" s="51"/>
      <c r="EJ115" s="51"/>
    </row>
    <row r="116" spans="1:140">
      <c r="A116" s="69"/>
      <c r="B116" s="69"/>
      <c r="C116" s="86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51"/>
      <c r="AG116" s="51"/>
      <c r="AH116" s="51"/>
      <c r="AI116" s="51"/>
      <c r="AJ116" s="51"/>
      <c r="AK116" s="51"/>
      <c r="AL116" s="51"/>
      <c r="AM116" s="51"/>
      <c r="AN116" s="51"/>
      <c r="AO116" s="51"/>
      <c r="AP116" s="51"/>
      <c r="AQ116" s="51"/>
      <c r="AR116" s="51"/>
      <c r="AS116" s="51"/>
      <c r="AT116" s="51"/>
      <c r="AU116" s="51"/>
      <c r="AV116" s="51"/>
      <c r="AW116" s="51"/>
      <c r="AX116" s="51"/>
      <c r="AY116" s="51"/>
      <c r="AZ116" s="51"/>
      <c r="BA116" s="51"/>
      <c r="BB116" s="51"/>
      <c r="BC116" s="51"/>
      <c r="BD116" s="51"/>
      <c r="BE116" s="51"/>
      <c r="BF116" s="51"/>
      <c r="BG116" s="51"/>
      <c r="BH116" s="51"/>
      <c r="BI116" s="51"/>
      <c r="BJ116" s="51"/>
      <c r="BK116" s="51"/>
      <c r="BL116" s="51"/>
      <c r="BM116" s="51"/>
      <c r="BN116" s="51"/>
      <c r="BO116" s="51"/>
      <c r="BP116" s="51"/>
      <c r="BQ116" s="51"/>
      <c r="BR116" s="51"/>
      <c r="BS116" s="51"/>
      <c r="BT116" s="51"/>
      <c r="BU116" s="51"/>
      <c r="BV116" s="51"/>
      <c r="BW116" s="51"/>
      <c r="BX116" s="51"/>
      <c r="BY116" s="51"/>
      <c r="BZ116" s="51"/>
      <c r="CA116" s="51"/>
      <c r="CB116" s="51"/>
      <c r="CC116" s="51"/>
      <c r="CD116" s="51"/>
      <c r="CE116" s="51"/>
      <c r="CF116" s="51"/>
      <c r="CG116" s="51"/>
      <c r="CH116" s="51"/>
      <c r="CI116" s="51"/>
      <c r="CJ116" s="51"/>
      <c r="CK116" s="51"/>
      <c r="CL116" s="51"/>
      <c r="CM116" s="51"/>
      <c r="CN116" s="51"/>
      <c r="CO116" s="51"/>
      <c r="CP116" s="51"/>
      <c r="CQ116" s="51"/>
      <c r="CR116" s="51"/>
      <c r="CS116" s="51"/>
      <c r="CT116" s="51"/>
      <c r="CU116" s="51"/>
      <c r="CV116" s="51"/>
      <c r="CW116" s="51"/>
      <c r="CX116" s="51"/>
      <c r="CY116" s="51"/>
      <c r="CZ116" s="51"/>
      <c r="DA116" s="51"/>
      <c r="DB116" s="51"/>
      <c r="DC116" s="51"/>
      <c r="DD116" s="51"/>
      <c r="DE116" s="51"/>
      <c r="DF116" s="51"/>
      <c r="DG116" s="51"/>
      <c r="DH116" s="51"/>
      <c r="DI116" s="51"/>
      <c r="DJ116" s="51"/>
      <c r="DK116" s="51"/>
      <c r="DL116" s="51"/>
      <c r="DM116" s="51"/>
      <c r="DN116" s="51"/>
      <c r="DO116" s="51"/>
      <c r="DP116" s="51"/>
      <c r="DQ116" s="51"/>
      <c r="DR116" s="51"/>
      <c r="DS116" s="51"/>
      <c r="DT116" s="51"/>
      <c r="DU116" s="51"/>
      <c r="DV116" s="51"/>
      <c r="DW116" s="51"/>
      <c r="DX116" s="51"/>
      <c r="DY116" s="51"/>
      <c r="DZ116" s="51"/>
      <c r="EA116" s="51"/>
      <c r="EB116" s="51"/>
      <c r="EC116" s="51"/>
      <c r="ED116" s="51"/>
      <c r="EE116" s="51"/>
      <c r="EF116" s="51"/>
      <c r="EG116" s="51"/>
      <c r="EH116" s="51"/>
      <c r="EI116" s="51"/>
      <c r="EJ116" s="51"/>
    </row>
    <row r="117" spans="1:140">
      <c r="A117" s="69"/>
      <c r="B117" s="69"/>
      <c r="C117" s="86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51"/>
      <c r="AG117" s="51"/>
      <c r="AH117" s="51"/>
      <c r="AI117" s="51"/>
      <c r="AJ117" s="51"/>
      <c r="AK117" s="51"/>
      <c r="AL117" s="51"/>
      <c r="AM117" s="51"/>
      <c r="AN117" s="51"/>
      <c r="AO117" s="51"/>
      <c r="AP117" s="51"/>
      <c r="AQ117" s="51"/>
      <c r="AR117" s="51"/>
      <c r="AS117" s="51"/>
      <c r="AT117" s="51"/>
      <c r="AU117" s="51"/>
      <c r="AV117" s="51"/>
      <c r="AW117" s="51"/>
      <c r="AX117" s="51"/>
      <c r="AY117" s="51"/>
      <c r="AZ117" s="51"/>
      <c r="BA117" s="51"/>
      <c r="BB117" s="51"/>
      <c r="BC117" s="51"/>
      <c r="BD117" s="51"/>
      <c r="BE117" s="51"/>
      <c r="BF117" s="51"/>
      <c r="BG117" s="51"/>
      <c r="BH117" s="51"/>
      <c r="BI117" s="51"/>
      <c r="BJ117" s="51"/>
      <c r="BK117" s="51"/>
      <c r="BL117" s="51"/>
      <c r="BM117" s="51"/>
      <c r="BN117" s="51"/>
      <c r="BO117" s="51"/>
      <c r="BP117" s="51"/>
      <c r="BQ117" s="51"/>
      <c r="BR117" s="51"/>
      <c r="BS117" s="51"/>
      <c r="BT117" s="51"/>
      <c r="BU117" s="51"/>
      <c r="BV117" s="51"/>
      <c r="BW117" s="51"/>
      <c r="BX117" s="51"/>
      <c r="BY117" s="51"/>
      <c r="BZ117" s="51"/>
      <c r="CA117" s="51"/>
      <c r="CB117" s="51"/>
      <c r="CC117" s="51"/>
      <c r="CD117" s="51"/>
      <c r="CE117" s="51"/>
      <c r="CF117" s="51"/>
      <c r="CG117" s="51"/>
      <c r="CH117" s="51"/>
      <c r="CI117" s="51"/>
      <c r="CJ117" s="51"/>
      <c r="CK117" s="51"/>
      <c r="CL117" s="51"/>
      <c r="CM117" s="51"/>
      <c r="CN117" s="51"/>
      <c r="CO117" s="51"/>
      <c r="CP117" s="51"/>
      <c r="CQ117" s="51"/>
      <c r="CR117" s="51"/>
      <c r="CS117" s="51"/>
      <c r="CT117" s="51"/>
      <c r="CU117" s="51"/>
      <c r="CV117" s="51"/>
      <c r="CW117" s="51"/>
      <c r="CX117" s="51"/>
      <c r="CY117" s="51"/>
      <c r="CZ117" s="51"/>
      <c r="DA117" s="51"/>
      <c r="DB117" s="51"/>
      <c r="DC117" s="51"/>
      <c r="DD117" s="51"/>
      <c r="DE117" s="51"/>
      <c r="DF117" s="51"/>
      <c r="DG117" s="51"/>
      <c r="DH117" s="51"/>
      <c r="DI117" s="51"/>
      <c r="DJ117" s="51"/>
      <c r="DK117" s="51"/>
      <c r="DL117" s="51"/>
      <c r="DM117" s="51"/>
      <c r="DN117" s="51"/>
      <c r="DO117" s="51"/>
      <c r="DP117" s="51"/>
      <c r="DQ117" s="51"/>
      <c r="DR117" s="51"/>
      <c r="DS117" s="51"/>
      <c r="DT117" s="51"/>
      <c r="DU117" s="51"/>
      <c r="DV117" s="51"/>
      <c r="DW117" s="51"/>
      <c r="DX117" s="51"/>
      <c r="DY117" s="51"/>
      <c r="DZ117" s="51"/>
      <c r="EA117" s="51"/>
      <c r="EB117" s="51"/>
      <c r="EC117" s="51"/>
      <c r="ED117" s="51"/>
      <c r="EE117" s="51"/>
      <c r="EF117" s="51"/>
      <c r="EG117" s="51"/>
      <c r="EH117" s="51"/>
      <c r="EI117" s="51"/>
      <c r="EJ117" s="51"/>
    </row>
    <row r="118" spans="1:140">
      <c r="A118" s="69"/>
      <c r="B118" s="69"/>
      <c r="C118" s="86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51"/>
      <c r="AG118" s="51"/>
      <c r="AH118" s="51"/>
      <c r="AI118" s="51"/>
      <c r="AJ118" s="51"/>
      <c r="AK118" s="51"/>
      <c r="AL118" s="51"/>
      <c r="AM118" s="51"/>
      <c r="AN118" s="51"/>
      <c r="AO118" s="51"/>
      <c r="AP118" s="51"/>
      <c r="AQ118" s="51"/>
      <c r="AR118" s="51"/>
      <c r="AS118" s="51"/>
      <c r="AT118" s="51"/>
      <c r="AU118" s="51"/>
      <c r="AV118" s="51"/>
      <c r="AW118" s="51"/>
      <c r="AX118" s="51"/>
      <c r="AY118" s="51"/>
      <c r="AZ118" s="51"/>
      <c r="BA118" s="51"/>
      <c r="BB118" s="51"/>
      <c r="BC118" s="51"/>
      <c r="BD118" s="51"/>
      <c r="BE118" s="51"/>
      <c r="BF118" s="51"/>
      <c r="BG118" s="51"/>
      <c r="BH118" s="51"/>
      <c r="BI118" s="51"/>
      <c r="BJ118" s="51"/>
      <c r="BK118" s="51"/>
      <c r="BL118" s="51"/>
      <c r="BM118" s="51"/>
      <c r="BN118" s="51"/>
      <c r="BO118" s="51"/>
      <c r="BP118" s="51"/>
      <c r="BQ118" s="51"/>
      <c r="BR118" s="51"/>
      <c r="BS118" s="51"/>
      <c r="BT118" s="51"/>
      <c r="BU118" s="51"/>
      <c r="BV118" s="51"/>
      <c r="BW118" s="51"/>
      <c r="BX118" s="51"/>
      <c r="BY118" s="51"/>
      <c r="BZ118" s="51"/>
      <c r="CA118" s="51"/>
      <c r="CB118" s="51"/>
      <c r="CC118" s="51"/>
      <c r="CD118" s="51"/>
      <c r="CE118" s="51"/>
      <c r="CF118" s="51"/>
      <c r="CG118" s="51"/>
      <c r="CH118" s="51"/>
      <c r="CI118" s="51"/>
      <c r="CJ118" s="51"/>
      <c r="CK118" s="51"/>
      <c r="CL118" s="51"/>
      <c r="CM118" s="51"/>
      <c r="CN118" s="51"/>
      <c r="CO118" s="51"/>
      <c r="CP118" s="51"/>
      <c r="CQ118" s="51"/>
      <c r="CR118" s="51"/>
      <c r="CS118" s="51"/>
      <c r="CT118" s="51"/>
      <c r="CU118" s="51"/>
      <c r="CV118" s="51"/>
      <c r="CW118" s="51"/>
      <c r="CX118" s="51"/>
      <c r="CY118" s="51"/>
      <c r="CZ118" s="51"/>
      <c r="DA118" s="51"/>
      <c r="DB118" s="51"/>
      <c r="DC118" s="51"/>
      <c r="DD118" s="51"/>
      <c r="DE118" s="51"/>
      <c r="DF118" s="51"/>
      <c r="DG118" s="51"/>
      <c r="DH118" s="51"/>
      <c r="DI118" s="51"/>
      <c r="DJ118" s="51"/>
      <c r="DK118" s="51"/>
      <c r="DL118" s="51"/>
      <c r="DM118" s="51"/>
      <c r="DN118" s="51"/>
      <c r="DO118" s="51"/>
      <c r="DP118" s="51"/>
      <c r="DQ118" s="51"/>
      <c r="DR118" s="51"/>
      <c r="DS118" s="51"/>
      <c r="DT118" s="51"/>
      <c r="DU118" s="51"/>
      <c r="DV118" s="51"/>
      <c r="DW118" s="51"/>
      <c r="DX118" s="51"/>
      <c r="DY118" s="51"/>
      <c r="DZ118" s="51"/>
      <c r="EA118" s="51"/>
      <c r="EB118" s="51"/>
      <c r="EC118" s="51"/>
      <c r="ED118" s="51"/>
      <c r="EE118" s="51"/>
      <c r="EF118" s="51"/>
      <c r="EG118" s="51"/>
      <c r="EH118" s="51"/>
      <c r="EI118" s="51"/>
      <c r="EJ118" s="51"/>
    </row>
    <row r="119" spans="1:140">
      <c r="A119" s="69"/>
      <c r="B119" s="69"/>
      <c r="C119" s="88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51"/>
      <c r="AG119" s="51"/>
      <c r="AH119" s="51"/>
      <c r="AI119" s="51"/>
      <c r="AJ119" s="51"/>
      <c r="AK119" s="51"/>
      <c r="AL119" s="51"/>
      <c r="AM119" s="51"/>
      <c r="AN119" s="51"/>
      <c r="AO119" s="51"/>
      <c r="AP119" s="51"/>
      <c r="AQ119" s="51"/>
      <c r="AR119" s="51"/>
      <c r="AS119" s="51"/>
      <c r="AT119" s="51"/>
      <c r="AU119" s="51"/>
      <c r="AV119" s="51"/>
      <c r="AW119" s="51"/>
      <c r="AX119" s="51"/>
      <c r="AY119" s="51"/>
      <c r="AZ119" s="51"/>
      <c r="BA119" s="51"/>
      <c r="BB119" s="51"/>
      <c r="BC119" s="51"/>
      <c r="BD119" s="51"/>
      <c r="BE119" s="51"/>
      <c r="BF119" s="51"/>
      <c r="BG119" s="51"/>
      <c r="BH119" s="51"/>
      <c r="BI119" s="51"/>
      <c r="BJ119" s="51"/>
      <c r="BK119" s="51"/>
      <c r="BL119" s="51"/>
      <c r="BM119" s="51"/>
      <c r="BN119" s="51"/>
      <c r="BO119" s="51"/>
      <c r="BP119" s="51"/>
      <c r="BQ119" s="51"/>
      <c r="BR119" s="51"/>
      <c r="BS119" s="51"/>
      <c r="BT119" s="51"/>
      <c r="BU119" s="51"/>
      <c r="BV119" s="51"/>
      <c r="BW119" s="51"/>
      <c r="BX119" s="51"/>
      <c r="BY119" s="51"/>
      <c r="BZ119" s="51"/>
      <c r="CA119" s="51"/>
      <c r="CB119" s="51"/>
      <c r="CC119" s="51"/>
      <c r="CD119" s="51"/>
      <c r="CE119" s="51"/>
      <c r="CF119" s="51"/>
      <c r="CG119" s="51"/>
      <c r="CH119" s="51"/>
      <c r="CI119" s="51"/>
      <c r="CJ119" s="51"/>
      <c r="CK119" s="51"/>
      <c r="CL119" s="51"/>
      <c r="CM119" s="51"/>
      <c r="CN119" s="51"/>
      <c r="CO119" s="51"/>
      <c r="CP119" s="51"/>
      <c r="CQ119" s="51"/>
      <c r="CR119" s="51"/>
      <c r="CS119" s="51"/>
      <c r="CT119" s="51"/>
      <c r="CU119" s="51"/>
      <c r="CV119" s="51"/>
      <c r="CW119" s="51"/>
      <c r="CX119" s="51"/>
      <c r="CY119" s="51"/>
      <c r="CZ119" s="51"/>
      <c r="DA119" s="51"/>
      <c r="DB119" s="51"/>
      <c r="DC119" s="51"/>
      <c r="DD119" s="51"/>
      <c r="DE119" s="51"/>
      <c r="DF119" s="51"/>
      <c r="DG119" s="51"/>
      <c r="DH119" s="51"/>
      <c r="DI119" s="51"/>
      <c r="DJ119" s="51"/>
      <c r="DK119" s="51"/>
      <c r="DL119" s="51"/>
      <c r="DM119" s="51"/>
      <c r="DN119" s="51"/>
      <c r="DO119" s="51"/>
      <c r="DP119" s="51"/>
      <c r="DQ119" s="51"/>
      <c r="DR119" s="51"/>
      <c r="DS119" s="51"/>
      <c r="DT119" s="51"/>
      <c r="DU119" s="51"/>
      <c r="DV119" s="51"/>
      <c r="DW119" s="51"/>
      <c r="DX119" s="51"/>
      <c r="DY119" s="51"/>
      <c r="DZ119" s="51"/>
      <c r="EA119" s="51"/>
      <c r="EB119" s="51"/>
      <c r="EC119" s="51"/>
      <c r="ED119" s="51"/>
      <c r="EE119" s="51"/>
      <c r="EF119" s="51"/>
      <c r="EG119" s="51"/>
      <c r="EH119" s="51"/>
      <c r="EI119" s="51"/>
      <c r="EJ119" s="51"/>
    </row>
    <row r="120" spans="1:140">
      <c r="A120" s="69"/>
      <c r="B120" s="69"/>
      <c r="C120" s="88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51"/>
      <c r="AG120" s="51"/>
      <c r="AH120" s="51"/>
      <c r="AI120" s="51"/>
      <c r="AJ120" s="51"/>
      <c r="AK120" s="51"/>
      <c r="AL120" s="51"/>
      <c r="AM120" s="51"/>
      <c r="AN120" s="51"/>
      <c r="AO120" s="51"/>
      <c r="AP120" s="51"/>
      <c r="AQ120" s="51"/>
      <c r="AR120" s="51"/>
      <c r="AS120" s="51"/>
      <c r="AT120" s="51"/>
      <c r="AU120" s="51"/>
      <c r="AV120" s="51"/>
      <c r="AW120" s="51"/>
      <c r="AX120" s="51"/>
      <c r="AY120" s="51"/>
      <c r="AZ120" s="51"/>
      <c r="BA120" s="51"/>
      <c r="BB120" s="51"/>
      <c r="BC120" s="51"/>
      <c r="BD120" s="51"/>
      <c r="BE120" s="51"/>
      <c r="BF120" s="51"/>
      <c r="BG120" s="51"/>
      <c r="BH120" s="51"/>
      <c r="BI120" s="51"/>
      <c r="BJ120" s="51"/>
      <c r="BK120" s="51"/>
      <c r="BL120" s="51"/>
      <c r="BM120" s="51"/>
      <c r="BN120" s="51"/>
      <c r="BO120" s="51"/>
      <c r="BP120" s="51"/>
      <c r="BQ120" s="51"/>
      <c r="BR120" s="51"/>
      <c r="BS120" s="51"/>
      <c r="BT120" s="51"/>
      <c r="BU120" s="51"/>
      <c r="BV120" s="51"/>
      <c r="BW120" s="51"/>
      <c r="BX120" s="51"/>
      <c r="BY120" s="51"/>
      <c r="BZ120" s="51"/>
      <c r="CA120" s="51"/>
      <c r="CB120" s="51"/>
      <c r="CC120" s="51"/>
      <c r="CD120" s="51"/>
      <c r="CE120" s="51"/>
      <c r="CF120" s="51"/>
      <c r="CG120" s="51"/>
      <c r="CH120" s="51"/>
      <c r="CI120" s="51"/>
      <c r="CJ120" s="51"/>
      <c r="CK120" s="51"/>
      <c r="CL120" s="51"/>
      <c r="CM120" s="51"/>
      <c r="CN120" s="51"/>
      <c r="CO120" s="51"/>
      <c r="CP120" s="51"/>
      <c r="CQ120" s="51"/>
      <c r="CR120" s="51"/>
      <c r="CS120" s="51"/>
      <c r="CT120" s="51"/>
      <c r="CU120" s="51"/>
      <c r="CV120" s="51"/>
      <c r="CW120" s="51"/>
      <c r="CX120" s="51"/>
      <c r="CY120" s="51"/>
      <c r="CZ120" s="51"/>
      <c r="DA120" s="51"/>
      <c r="DB120" s="51"/>
      <c r="DC120" s="51"/>
      <c r="DD120" s="51"/>
      <c r="DE120" s="51"/>
      <c r="DF120" s="51"/>
      <c r="DG120" s="51"/>
      <c r="DH120" s="51"/>
      <c r="DI120" s="51"/>
      <c r="DJ120" s="51"/>
      <c r="DK120" s="51"/>
      <c r="DL120" s="51"/>
      <c r="DM120" s="51"/>
      <c r="DN120" s="51"/>
      <c r="DO120" s="51"/>
      <c r="DP120" s="51"/>
      <c r="DQ120" s="51"/>
      <c r="DR120" s="51"/>
      <c r="DS120" s="51"/>
      <c r="DT120" s="51"/>
      <c r="DU120" s="51"/>
      <c r="DV120" s="51"/>
      <c r="DW120" s="51"/>
      <c r="DX120" s="51"/>
      <c r="DY120" s="51"/>
      <c r="DZ120" s="51"/>
      <c r="EA120" s="51"/>
      <c r="EB120" s="51"/>
      <c r="EC120" s="51"/>
      <c r="ED120" s="51"/>
      <c r="EE120" s="51"/>
      <c r="EF120" s="51"/>
      <c r="EG120" s="51"/>
      <c r="EH120" s="51"/>
      <c r="EI120" s="51"/>
      <c r="EJ120" s="51"/>
    </row>
    <row r="121" spans="1:140">
      <c r="A121" s="69"/>
      <c r="B121" s="69"/>
      <c r="C121" s="88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51"/>
      <c r="AG121" s="51"/>
      <c r="AH121" s="51"/>
      <c r="AI121" s="51"/>
      <c r="AJ121" s="51"/>
      <c r="AK121" s="51"/>
      <c r="AL121" s="51"/>
      <c r="AM121" s="51"/>
      <c r="AN121" s="51"/>
      <c r="AO121" s="51"/>
      <c r="AP121" s="51"/>
      <c r="AQ121" s="51"/>
      <c r="AR121" s="51"/>
      <c r="AS121" s="51"/>
      <c r="AT121" s="51"/>
      <c r="AU121" s="51"/>
      <c r="AV121" s="51"/>
      <c r="AW121" s="51"/>
      <c r="AX121" s="51"/>
      <c r="AY121" s="51"/>
      <c r="AZ121" s="51"/>
      <c r="BA121" s="51"/>
      <c r="BB121" s="51"/>
      <c r="BC121" s="51"/>
      <c r="BD121" s="51"/>
      <c r="BE121" s="51"/>
      <c r="BF121" s="51"/>
      <c r="BG121" s="51"/>
      <c r="BH121" s="51"/>
      <c r="BI121" s="51"/>
      <c r="BJ121" s="51"/>
      <c r="BK121" s="51"/>
      <c r="BL121" s="51"/>
      <c r="BM121" s="51"/>
      <c r="BN121" s="51"/>
      <c r="BO121" s="51"/>
      <c r="BP121" s="51"/>
      <c r="BQ121" s="51"/>
      <c r="BR121" s="51"/>
      <c r="BS121" s="51"/>
      <c r="BT121" s="51"/>
      <c r="BU121" s="51"/>
      <c r="BV121" s="51"/>
      <c r="BW121" s="51"/>
      <c r="BX121" s="51"/>
      <c r="BY121" s="51"/>
      <c r="BZ121" s="51"/>
      <c r="CA121" s="51"/>
      <c r="CB121" s="51"/>
      <c r="CC121" s="51"/>
      <c r="CD121" s="51"/>
      <c r="CE121" s="51"/>
      <c r="CF121" s="51"/>
      <c r="CG121" s="51"/>
      <c r="CH121" s="51"/>
      <c r="CI121" s="51"/>
      <c r="CJ121" s="51"/>
      <c r="CK121" s="51"/>
      <c r="CL121" s="51"/>
      <c r="CM121" s="51"/>
      <c r="CN121" s="51"/>
      <c r="CO121" s="51"/>
      <c r="CP121" s="51"/>
      <c r="CQ121" s="51"/>
      <c r="CR121" s="51"/>
      <c r="CS121" s="51"/>
      <c r="CT121" s="51"/>
      <c r="CU121" s="51"/>
      <c r="CV121" s="51"/>
      <c r="CW121" s="51"/>
      <c r="CX121" s="51"/>
      <c r="CY121" s="51"/>
      <c r="CZ121" s="51"/>
      <c r="DA121" s="51"/>
      <c r="DB121" s="51"/>
      <c r="DC121" s="51"/>
      <c r="DD121" s="51"/>
      <c r="DE121" s="51"/>
      <c r="DF121" s="51"/>
      <c r="DG121" s="51"/>
      <c r="DH121" s="51"/>
      <c r="DI121" s="51"/>
      <c r="DJ121" s="51"/>
      <c r="DK121" s="51"/>
      <c r="DL121" s="51"/>
      <c r="DM121" s="51"/>
      <c r="DN121" s="51"/>
      <c r="DO121" s="51"/>
      <c r="DP121" s="51"/>
      <c r="DQ121" s="51"/>
      <c r="DR121" s="51"/>
      <c r="DS121" s="51"/>
      <c r="DT121" s="51"/>
      <c r="DU121" s="51"/>
      <c r="DV121" s="51"/>
      <c r="DW121" s="51"/>
      <c r="DX121" s="51"/>
      <c r="DY121" s="51"/>
      <c r="DZ121" s="51"/>
      <c r="EA121" s="51"/>
      <c r="EB121" s="51"/>
      <c r="EC121" s="51"/>
      <c r="ED121" s="51"/>
      <c r="EE121" s="51"/>
      <c r="EF121" s="51"/>
      <c r="EG121" s="51"/>
      <c r="EH121" s="51"/>
      <c r="EI121" s="51"/>
      <c r="EJ121" s="51"/>
    </row>
    <row r="122" spans="1:140">
      <c r="A122" s="69"/>
      <c r="B122" s="69"/>
      <c r="C122" s="88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51"/>
      <c r="AG122" s="51"/>
      <c r="AH122" s="51"/>
      <c r="AI122" s="51"/>
      <c r="AJ122" s="51"/>
      <c r="AK122" s="51"/>
      <c r="AL122" s="51"/>
      <c r="AM122" s="51"/>
      <c r="AN122" s="51"/>
      <c r="AO122" s="51"/>
      <c r="AP122" s="51"/>
      <c r="AQ122" s="51"/>
      <c r="AR122" s="51"/>
      <c r="AS122" s="51"/>
      <c r="AT122" s="51"/>
      <c r="AU122" s="51"/>
      <c r="AV122" s="51"/>
      <c r="AW122" s="51"/>
      <c r="AX122" s="51"/>
      <c r="AY122" s="51"/>
      <c r="AZ122" s="51"/>
      <c r="BA122" s="51"/>
      <c r="BB122" s="51"/>
      <c r="BC122" s="51"/>
      <c r="BD122" s="51"/>
      <c r="BE122" s="51"/>
      <c r="BF122" s="51"/>
      <c r="BG122" s="51"/>
      <c r="BH122" s="51"/>
      <c r="BI122" s="51"/>
      <c r="BJ122" s="51"/>
      <c r="BK122" s="51"/>
      <c r="BL122" s="51"/>
      <c r="BM122" s="51"/>
      <c r="BN122" s="51"/>
      <c r="BO122" s="51"/>
      <c r="BP122" s="51"/>
      <c r="BQ122" s="51"/>
      <c r="BR122" s="51"/>
      <c r="BS122" s="51"/>
      <c r="BT122" s="51"/>
      <c r="BU122" s="51"/>
      <c r="BV122" s="51"/>
      <c r="BW122" s="51"/>
      <c r="BX122" s="51"/>
      <c r="BY122" s="51"/>
      <c r="BZ122" s="51"/>
      <c r="CA122" s="51"/>
      <c r="CB122" s="51"/>
      <c r="CC122" s="51"/>
      <c r="CD122" s="51"/>
      <c r="CE122" s="51"/>
      <c r="CF122" s="51"/>
      <c r="CG122" s="51"/>
      <c r="CH122" s="51"/>
      <c r="CI122" s="51"/>
      <c r="CJ122" s="51"/>
      <c r="CK122" s="51"/>
      <c r="CL122" s="51"/>
      <c r="CM122" s="51"/>
      <c r="CN122" s="51"/>
      <c r="CO122" s="51"/>
      <c r="CP122" s="51"/>
      <c r="CQ122" s="51"/>
      <c r="CR122" s="51"/>
      <c r="CS122" s="51"/>
      <c r="CT122" s="51"/>
      <c r="CU122" s="51"/>
      <c r="CV122" s="51"/>
      <c r="CW122" s="51"/>
      <c r="CX122" s="51"/>
      <c r="CY122" s="51"/>
      <c r="CZ122" s="51"/>
      <c r="DA122" s="51"/>
      <c r="DB122" s="51"/>
      <c r="DC122" s="51"/>
      <c r="DD122" s="51"/>
      <c r="DE122" s="51"/>
      <c r="DF122" s="51"/>
      <c r="DG122" s="51"/>
      <c r="DH122" s="51"/>
      <c r="DI122" s="51"/>
      <c r="DJ122" s="51"/>
      <c r="DK122" s="51"/>
      <c r="DL122" s="51"/>
      <c r="DM122" s="51"/>
      <c r="DN122" s="51"/>
      <c r="DO122" s="51"/>
      <c r="DP122" s="51"/>
      <c r="DQ122" s="51"/>
      <c r="DR122" s="51"/>
      <c r="DS122" s="51"/>
      <c r="DT122" s="51"/>
      <c r="DU122" s="51"/>
      <c r="DV122" s="51"/>
      <c r="DW122" s="51"/>
      <c r="DX122" s="51"/>
      <c r="DY122" s="51"/>
      <c r="DZ122" s="51"/>
      <c r="EA122" s="51"/>
      <c r="EB122" s="51"/>
      <c r="EC122" s="51"/>
      <c r="ED122" s="51"/>
      <c r="EE122" s="51"/>
      <c r="EF122" s="51"/>
      <c r="EG122" s="51"/>
      <c r="EH122" s="51"/>
      <c r="EI122" s="51"/>
      <c r="EJ122" s="51"/>
    </row>
    <row r="123" spans="1:140">
      <c r="A123" s="69"/>
      <c r="B123" s="69"/>
      <c r="C123" s="89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51"/>
      <c r="AG123" s="51"/>
      <c r="AH123" s="51"/>
      <c r="AI123" s="51"/>
      <c r="AJ123" s="51"/>
      <c r="AK123" s="51"/>
      <c r="AL123" s="51"/>
      <c r="AM123" s="51"/>
      <c r="AN123" s="51"/>
      <c r="AO123" s="51"/>
      <c r="AP123" s="51"/>
      <c r="AQ123" s="51"/>
      <c r="AR123" s="51"/>
      <c r="AS123" s="51"/>
      <c r="AT123" s="51"/>
      <c r="AU123" s="51"/>
      <c r="AV123" s="51"/>
      <c r="AW123" s="51"/>
      <c r="AX123" s="51"/>
      <c r="AY123" s="51"/>
      <c r="AZ123" s="51"/>
      <c r="BA123" s="51"/>
      <c r="BB123" s="51"/>
      <c r="BC123" s="51"/>
      <c r="BD123" s="51"/>
      <c r="BE123" s="51"/>
      <c r="BF123" s="51"/>
      <c r="BG123" s="51"/>
      <c r="BH123" s="51"/>
      <c r="BI123" s="51"/>
      <c r="BJ123" s="51"/>
      <c r="BK123" s="51"/>
      <c r="BL123" s="51"/>
      <c r="BM123" s="51"/>
      <c r="BN123" s="51"/>
      <c r="BO123" s="51"/>
      <c r="BP123" s="51"/>
      <c r="BQ123" s="51"/>
      <c r="BR123" s="51"/>
      <c r="BS123" s="51"/>
      <c r="BT123" s="51"/>
      <c r="BU123" s="51"/>
      <c r="BV123" s="51"/>
      <c r="BW123" s="51"/>
      <c r="BX123" s="51"/>
      <c r="BY123" s="51"/>
      <c r="BZ123" s="51"/>
      <c r="CA123" s="51"/>
      <c r="CB123" s="51"/>
      <c r="CC123" s="51"/>
      <c r="CD123" s="51"/>
      <c r="CE123" s="51"/>
      <c r="CF123" s="51"/>
      <c r="CG123" s="51"/>
      <c r="CH123" s="51"/>
      <c r="CI123" s="51"/>
      <c r="CJ123" s="51"/>
      <c r="CK123" s="51"/>
      <c r="CL123" s="51"/>
      <c r="CM123" s="51"/>
      <c r="CN123" s="51"/>
      <c r="CO123" s="51"/>
      <c r="CP123" s="51"/>
      <c r="CQ123" s="51"/>
      <c r="CR123" s="51"/>
      <c r="CS123" s="51"/>
      <c r="CT123" s="51"/>
      <c r="CU123" s="51"/>
      <c r="CV123" s="51"/>
      <c r="CW123" s="51"/>
      <c r="CX123" s="51"/>
      <c r="CY123" s="51"/>
      <c r="CZ123" s="51"/>
      <c r="DA123" s="51"/>
      <c r="DB123" s="51"/>
      <c r="DC123" s="51"/>
      <c r="DD123" s="51"/>
      <c r="DE123" s="51"/>
      <c r="DF123" s="51"/>
      <c r="DG123" s="51"/>
      <c r="DH123" s="51"/>
      <c r="DI123" s="51"/>
      <c r="DJ123" s="51"/>
      <c r="DK123" s="51"/>
      <c r="DL123" s="51"/>
      <c r="DM123" s="51"/>
      <c r="DN123" s="51"/>
      <c r="DO123" s="51"/>
      <c r="DP123" s="51"/>
      <c r="DQ123" s="51"/>
      <c r="DR123" s="51"/>
      <c r="DS123" s="51"/>
      <c r="DT123" s="51"/>
      <c r="DU123" s="51"/>
      <c r="DV123" s="51"/>
      <c r="DW123" s="51"/>
      <c r="DX123" s="51"/>
      <c r="DY123" s="51"/>
      <c r="DZ123" s="51"/>
      <c r="EA123" s="51"/>
      <c r="EB123" s="51"/>
      <c r="EC123" s="51"/>
      <c r="ED123" s="51"/>
      <c r="EE123" s="51"/>
      <c r="EF123" s="51"/>
      <c r="EG123" s="51"/>
      <c r="EH123" s="51"/>
      <c r="EI123" s="51"/>
      <c r="EJ123" s="51"/>
    </row>
    <row r="124" spans="1:140">
      <c r="A124" s="69"/>
      <c r="B124" s="69"/>
      <c r="C124" s="89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51"/>
      <c r="AG124" s="51"/>
      <c r="AH124" s="51"/>
      <c r="AI124" s="51"/>
      <c r="AJ124" s="51"/>
      <c r="AK124" s="51"/>
      <c r="AL124" s="51"/>
      <c r="AM124" s="51"/>
      <c r="AN124" s="51"/>
      <c r="AO124" s="51"/>
      <c r="AP124" s="51"/>
      <c r="AQ124" s="51"/>
      <c r="AR124" s="51"/>
      <c r="AS124" s="51"/>
      <c r="AT124" s="51"/>
      <c r="AU124" s="51"/>
      <c r="AV124" s="51"/>
      <c r="AW124" s="51"/>
      <c r="AX124" s="51"/>
      <c r="AY124" s="51"/>
      <c r="AZ124" s="51"/>
      <c r="BA124" s="51"/>
      <c r="BB124" s="51"/>
      <c r="BC124" s="51"/>
      <c r="BD124" s="51"/>
      <c r="BE124" s="51"/>
      <c r="BF124" s="51"/>
      <c r="BG124" s="51"/>
      <c r="BH124" s="51"/>
      <c r="BI124" s="51"/>
      <c r="BJ124" s="51"/>
      <c r="BK124" s="51"/>
      <c r="BL124" s="51"/>
      <c r="BM124" s="51"/>
      <c r="BN124" s="51"/>
      <c r="BO124" s="51"/>
      <c r="BP124" s="51"/>
      <c r="BQ124" s="51"/>
      <c r="BR124" s="51"/>
      <c r="BS124" s="51"/>
      <c r="BT124" s="51"/>
      <c r="BU124" s="51"/>
      <c r="BV124" s="51"/>
      <c r="BW124" s="51"/>
      <c r="BX124" s="51"/>
      <c r="BY124" s="51"/>
      <c r="BZ124" s="51"/>
      <c r="CA124" s="51"/>
      <c r="CB124" s="51"/>
      <c r="CC124" s="51"/>
      <c r="CD124" s="51"/>
      <c r="CE124" s="51"/>
      <c r="CF124" s="51"/>
      <c r="CG124" s="51"/>
      <c r="CH124" s="51"/>
      <c r="CI124" s="51"/>
      <c r="CJ124" s="51"/>
      <c r="CK124" s="51"/>
      <c r="CL124" s="51"/>
      <c r="CM124" s="51"/>
      <c r="CN124" s="51"/>
      <c r="CO124" s="51"/>
      <c r="CP124" s="51"/>
      <c r="CQ124" s="51"/>
      <c r="CR124" s="51"/>
      <c r="CS124" s="51"/>
      <c r="CT124" s="51"/>
      <c r="CU124" s="51"/>
      <c r="CV124" s="51"/>
      <c r="CW124" s="51"/>
      <c r="CX124" s="51"/>
      <c r="CY124" s="51"/>
      <c r="CZ124" s="51"/>
      <c r="DA124" s="51"/>
      <c r="DB124" s="51"/>
      <c r="DC124" s="51"/>
      <c r="DD124" s="51"/>
      <c r="DE124" s="51"/>
      <c r="DF124" s="51"/>
      <c r="DG124" s="51"/>
      <c r="DH124" s="51"/>
      <c r="DI124" s="51"/>
      <c r="DJ124" s="51"/>
      <c r="DK124" s="51"/>
      <c r="DL124" s="51"/>
      <c r="DM124" s="51"/>
      <c r="DN124" s="51"/>
      <c r="DO124" s="51"/>
      <c r="DP124" s="51"/>
      <c r="DQ124" s="51"/>
      <c r="DR124" s="51"/>
      <c r="DS124" s="51"/>
      <c r="DT124" s="51"/>
      <c r="DU124" s="51"/>
      <c r="DV124" s="51"/>
      <c r="DW124" s="51"/>
      <c r="DX124" s="51"/>
      <c r="DY124" s="51"/>
      <c r="DZ124" s="51"/>
      <c r="EA124" s="51"/>
      <c r="EB124" s="51"/>
      <c r="EC124" s="51"/>
      <c r="ED124" s="51"/>
      <c r="EE124" s="51"/>
      <c r="EF124" s="51"/>
      <c r="EG124" s="51"/>
      <c r="EH124" s="51"/>
      <c r="EI124" s="51"/>
      <c r="EJ124" s="51"/>
    </row>
    <row r="125" spans="1:140">
      <c r="A125" s="69"/>
      <c r="B125" s="69"/>
      <c r="C125" s="89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51"/>
      <c r="AG125" s="51"/>
      <c r="AH125" s="51"/>
      <c r="AI125" s="51"/>
      <c r="AJ125" s="51"/>
      <c r="AK125" s="51"/>
      <c r="AL125" s="51"/>
      <c r="AM125" s="51"/>
      <c r="AN125" s="51"/>
      <c r="AO125" s="51"/>
      <c r="AP125" s="51"/>
      <c r="AQ125" s="51"/>
      <c r="AR125" s="51"/>
      <c r="AS125" s="51"/>
      <c r="AT125" s="51"/>
      <c r="AU125" s="51"/>
      <c r="AV125" s="51"/>
      <c r="AW125" s="51"/>
      <c r="AX125" s="51"/>
      <c r="AY125" s="51"/>
      <c r="AZ125" s="51"/>
      <c r="BA125" s="51"/>
      <c r="BB125" s="51"/>
      <c r="BC125" s="51"/>
      <c r="BD125" s="51"/>
      <c r="BE125" s="51"/>
      <c r="BF125" s="51"/>
      <c r="BG125" s="51"/>
      <c r="BH125" s="51"/>
      <c r="BI125" s="51"/>
      <c r="BJ125" s="51"/>
      <c r="BK125" s="51"/>
      <c r="BL125" s="51"/>
      <c r="BM125" s="51"/>
      <c r="BN125" s="51"/>
      <c r="BO125" s="51"/>
      <c r="BP125" s="51"/>
      <c r="BQ125" s="51"/>
      <c r="BR125" s="51"/>
      <c r="BS125" s="51"/>
      <c r="BT125" s="51"/>
      <c r="BU125" s="51"/>
      <c r="BV125" s="51"/>
      <c r="BW125" s="51"/>
      <c r="BX125" s="51"/>
      <c r="BY125" s="51"/>
      <c r="BZ125" s="51"/>
      <c r="CA125" s="51"/>
      <c r="CB125" s="51"/>
      <c r="CC125" s="51"/>
      <c r="CD125" s="51"/>
      <c r="CE125" s="51"/>
      <c r="CF125" s="51"/>
      <c r="CG125" s="51"/>
      <c r="CH125" s="51"/>
      <c r="CI125" s="51"/>
      <c r="CJ125" s="51"/>
      <c r="CK125" s="51"/>
      <c r="CL125" s="51"/>
      <c r="CM125" s="51"/>
      <c r="CN125" s="51"/>
      <c r="CO125" s="51"/>
      <c r="CP125" s="51"/>
      <c r="CQ125" s="51"/>
      <c r="CR125" s="51"/>
      <c r="CS125" s="51"/>
      <c r="CT125" s="51"/>
      <c r="CU125" s="51"/>
      <c r="CV125" s="51"/>
      <c r="CW125" s="51"/>
      <c r="CX125" s="51"/>
      <c r="CY125" s="51"/>
      <c r="CZ125" s="51"/>
      <c r="DA125" s="51"/>
      <c r="DB125" s="51"/>
      <c r="DC125" s="51"/>
      <c r="DD125" s="51"/>
      <c r="DE125" s="51"/>
      <c r="DF125" s="51"/>
      <c r="DG125" s="51"/>
      <c r="DH125" s="51"/>
      <c r="DI125" s="51"/>
      <c r="DJ125" s="51"/>
      <c r="DK125" s="51"/>
      <c r="DL125" s="51"/>
      <c r="DM125" s="51"/>
      <c r="DN125" s="51"/>
      <c r="DO125" s="51"/>
      <c r="DP125" s="51"/>
      <c r="DQ125" s="51"/>
      <c r="DR125" s="51"/>
      <c r="DS125" s="51"/>
      <c r="DT125" s="51"/>
      <c r="DU125" s="51"/>
      <c r="DV125" s="51"/>
      <c r="DW125" s="51"/>
      <c r="DX125" s="51"/>
      <c r="DY125" s="51"/>
      <c r="DZ125" s="51"/>
      <c r="EA125" s="51"/>
      <c r="EB125" s="51"/>
      <c r="EC125" s="51"/>
      <c r="ED125" s="51"/>
      <c r="EE125" s="51"/>
      <c r="EF125" s="51"/>
      <c r="EG125" s="51"/>
      <c r="EH125" s="51"/>
      <c r="EI125" s="51"/>
      <c r="EJ125" s="51"/>
    </row>
    <row r="126" spans="1:140">
      <c r="A126" s="69"/>
      <c r="B126" s="69"/>
      <c r="C126" s="89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51"/>
      <c r="AG126" s="51"/>
      <c r="AH126" s="51"/>
      <c r="AI126" s="51"/>
      <c r="AJ126" s="51"/>
      <c r="AK126" s="51"/>
      <c r="AL126" s="51"/>
      <c r="AM126" s="51"/>
      <c r="AN126" s="51"/>
      <c r="AO126" s="51"/>
      <c r="AP126" s="51"/>
      <c r="AQ126" s="51"/>
      <c r="AR126" s="51"/>
      <c r="AS126" s="51"/>
      <c r="AT126" s="51"/>
      <c r="AU126" s="51"/>
      <c r="AV126" s="51"/>
      <c r="AW126" s="51"/>
      <c r="AX126" s="51"/>
      <c r="AY126" s="51"/>
      <c r="AZ126" s="51"/>
      <c r="BA126" s="51"/>
      <c r="BB126" s="51"/>
      <c r="BC126" s="51"/>
      <c r="BD126" s="51"/>
      <c r="BE126" s="51"/>
      <c r="BF126" s="51"/>
      <c r="BG126" s="51"/>
      <c r="BH126" s="51"/>
      <c r="BI126" s="51"/>
      <c r="BJ126" s="51"/>
      <c r="BK126" s="51"/>
      <c r="BL126" s="51"/>
      <c r="BM126" s="51"/>
      <c r="BN126" s="51"/>
      <c r="BO126" s="51"/>
      <c r="BP126" s="51"/>
      <c r="BQ126" s="51"/>
      <c r="BR126" s="51"/>
      <c r="BS126" s="51"/>
      <c r="BT126" s="51"/>
      <c r="BU126" s="51"/>
      <c r="BV126" s="51"/>
      <c r="BW126" s="51"/>
      <c r="BX126" s="51"/>
      <c r="BY126" s="51"/>
      <c r="BZ126" s="51"/>
      <c r="CA126" s="51"/>
      <c r="CB126" s="51"/>
      <c r="CC126" s="51"/>
      <c r="CD126" s="51"/>
      <c r="CE126" s="51"/>
      <c r="CF126" s="51"/>
      <c r="CG126" s="51"/>
      <c r="CH126" s="51"/>
      <c r="CI126" s="51"/>
      <c r="CJ126" s="51"/>
      <c r="CK126" s="51"/>
      <c r="CL126" s="51"/>
      <c r="CM126" s="51"/>
      <c r="CN126" s="51"/>
      <c r="CO126" s="51"/>
      <c r="CP126" s="51"/>
      <c r="CQ126" s="51"/>
      <c r="CR126" s="51"/>
      <c r="CS126" s="51"/>
      <c r="CT126" s="51"/>
      <c r="CU126" s="51"/>
      <c r="CV126" s="51"/>
      <c r="CW126" s="51"/>
      <c r="CX126" s="51"/>
      <c r="CY126" s="51"/>
      <c r="CZ126" s="51"/>
      <c r="DA126" s="51"/>
      <c r="DB126" s="51"/>
      <c r="DC126" s="51"/>
      <c r="DD126" s="51"/>
      <c r="DE126" s="51"/>
      <c r="DF126" s="51"/>
      <c r="DG126" s="51"/>
      <c r="DH126" s="51"/>
      <c r="DI126" s="51"/>
      <c r="DJ126" s="51"/>
      <c r="DK126" s="51"/>
      <c r="DL126" s="51"/>
      <c r="DM126" s="51"/>
      <c r="DN126" s="51"/>
      <c r="DO126" s="51"/>
      <c r="DP126" s="51"/>
      <c r="DQ126" s="51"/>
      <c r="DR126" s="51"/>
      <c r="DS126" s="51"/>
      <c r="DT126" s="51"/>
      <c r="DU126" s="51"/>
      <c r="DV126" s="51"/>
      <c r="DW126" s="51"/>
      <c r="DX126" s="51"/>
      <c r="DY126" s="51"/>
      <c r="DZ126" s="51"/>
      <c r="EA126" s="51"/>
      <c r="EB126" s="51"/>
      <c r="EC126" s="51"/>
      <c r="ED126" s="51"/>
      <c r="EE126" s="51"/>
      <c r="EF126" s="51"/>
      <c r="EG126" s="51"/>
      <c r="EH126" s="51"/>
      <c r="EI126" s="51"/>
      <c r="EJ126" s="51"/>
    </row>
    <row r="127" spans="1:140">
      <c r="A127" s="69"/>
      <c r="B127" s="69"/>
      <c r="C127" s="90"/>
      <c r="D127" s="87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51"/>
      <c r="AG127" s="51"/>
      <c r="AH127" s="51"/>
      <c r="AI127" s="51"/>
      <c r="AJ127" s="51"/>
      <c r="AK127" s="51"/>
      <c r="AL127" s="51"/>
      <c r="AM127" s="51"/>
      <c r="AN127" s="51"/>
      <c r="AO127" s="51"/>
      <c r="AP127" s="51"/>
      <c r="AQ127" s="51"/>
      <c r="AR127" s="51"/>
      <c r="AS127" s="51"/>
      <c r="AT127" s="51"/>
      <c r="AU127" s="51"/>
      <c r="AV127" s="51"/>
      <c r="AW127" s="51"/>
      <c r="AX127" s="51"/>
      <c r="AY127" s="51"/>
      <c r="AZ127" s="51"/>
      <c r="BA127" s="51"/>
      <c r="BB127" s="51"/>
      <c r="BC127" s="51"/>
      <c r="BD127" s="51"/>
      <c r="BE127" s="51"/>
      <c r="BF127" s="51"/>
      <c r="BG127" s="51"/>
      <c r="BH127" s="51"/>
      <c r="BI127" s="51"/>
      <c r="BJ127" s="51"/>
      <c r="BK127" s="51"/>
      <c r="BL127" s="51"/>
      <c r="BM127" s="51"/>
      <c r="BN127" s="51"/>
      <c r="BO127" s="51"/>
      <c r="BP127" s="51"/>
      <c r="BQ127" s="51"/>
      <c r="BR127" s="51"/>
      <c r="BS127" s="51"/>
      <c r="BT127" s="51"/>
      <c r="BU127" s="51"/>
      <c r="BV127" s="51"/>
      <c r="BW127" s="51"/>
      <c r="BX127" s="51"/>
      <c r="BY127" s="51"/>
      <c r="BZ127" s="51"/>
      <c r="CA127" s="51"/>
      <c r="CB127" s="51"/>
      <c r="CC127" s="51"/>
      <c r="CD127" s="51"/>
      <c r="CE127" s="51"/>
      <c r="CF127" s="51"/>
      <c r="CG127" s="51"/>
      <c r="CH127" s="51"/>
      <c r="CI127" s="51"/>
      <c r="CJ127" s="51"/>
      <c r="CK127" s="51"/>
      <c r="CL127" s="51"/>
      <c r="CM127" s="51"/>
      <c r="CN127" s="51"/>
      <c r="CO127" s="51"/>
      <c r="CP127" s="51"/>
      <c r="CQ127" s="51"/>
      <c r="CR127" s="51"/>
      <c r="CS127" s="51"/>
      <c r="CT127" s="51"/>
      <c r="CU127" s="51"/>
      <c r="CV127" s="51"/>
      <c r="CW127" s="51"/>
      <c r="CX127" s="51"/>
      <c r="CY127" s="51"/>
      <c r="CZ127" s="51"/>
      <c r="DA127" s="51"/>
      <c r="DB127" s="51"/>
      <c r="DC127" s="51"/>
      <c r="DD127" s="51"/>
      <c r="DE127" s="51"/>
      <c r="DF127" s="51"/>
      <c r="DG127" s="51"/>
      <c r="DH127" s="51"/>
      <c r="DI127" s="51"/>
      <c r="DJ127" s="51"/>
      <c r="DK127" s="51"/>
      <c r="DL127" s="51"/>
      <c r="DM127" s="51"/>
      <c r="DN127" s="51"/>
      <c r="DO127" s="51"/>
      <c r="DP127" s="51"/>
      <c r="DQ127" s="51"/>
      <c r="DR127" s="51"/>
      <c r="DS127" s="51"/>
      <c r="DT127" s="51"/>
      <c r="DU127" s="51"/>
      <c r="DV127" s="51"/>
      <c r="DW127" s="51"/>
      <c r="DX127" s="51"/>
      <c r="DY127" s="51"/>
      <c r="DZ127" s="51"/>
      <c r="EA127" s="51"/>
      <c r="EB127" s="51"/>
      <c r="EC127" s="51"/>
      <c r="ED127" s="51"/>
      <c r="EE127" s="51"/>
      <c r="EF127" s="51"/>
      <c r="EG127" s="51"/>
      <c r="EH127" s="51"/>
      <c r="EI127" s="51"/>
      <c r="EJ127" s="51"/>
    </row>
    <row r="128" spans="1:140">
      <c r="A128" s="69"/>
      <c r="B128" s="69"/>
      <c r="C128" s="88"/>
      <c r="D128" s="87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51"/>
      <c r="AG128" s="51"/>
      <c r="AH128" s="51"/>
      <c r="AI128" s="51"/>
      <c r="AJ128" s="51"/>
      <c r="AK128" s="51"/>
      <c r="AL128" s="51"/>
      <c r="AM128" s="51"/>
      <c r="AN128" s="51"/>
      <c r="AO128" s="51"/>
      <c r="AP128" s="51"/>
      <c r="AQ128" s="51"/>
      <c r="AR128" s="51"/>
      <c r="AS128" s="51"/>
      <c r="AT128" s="51"/>
      <c r="AU128" s="51"/>
      <c r="AV128" s="51"/>
      <c r="AW128" s="51"/>
      <c r="AX128" s="51"/>
      <c r="AY128" s="51"/>
      <c r="AZ128" s="51"/>
      <c r="BA128" s="51"/>
      <c r="BB128" s="51"/>
      <c r="BC128" s="51"/>
      <c r="BD128" s="51"/>
      <c r="BE128" s="51"/>
      <c r="BF128" s="51"/>
      <c r="BG128" s="51"/>
      <c r="BH128" s="51"/>
      <c r="BI128" s="51"/>
      <c r="BJ128" s="51"/>
      <c r="BK128" s="51"/>
      <c r="BL128" s="51"/>
      <c r="BM128" s="51"/>
      <c r="BN128" s="51"/>
      <c r="BO128" s="51"/>
      <c r="BP128" s="51"/>
      <c r="BQ128" s="51"/>
      <c r="BR128" s="51"/>
      <c r="BS128" s="51"/>
      <c r="BT128" s="51"/>
      <c r="BU128" s="51"/>
      <c r="BV128" s="51"/>
      <c r="BW128" s="51"/>
      <c r="BX128" s="51"/>
      <c r="BY128" s="51"/>
      <c r="BZ128" s="51"/>
      <c r="CA128" s="51"/>
      <c r="CB128" s="51"/>
      <c r="CC128" s="51"/>
      <c r="CD128" s="51"/>
      <c r="CE128" s="51"/>
      <c r="CF128" s="51"/>
      <c r="CG128" s="51"/>
      <c r="CH128" s="51"/>
      <c r="CI128" s="51"/>
      <c r="CJ128" s="51"/>
      <c r="CK128" s="51"/>
      <c r="CL128" s="51"/>
      <c r="CM128" s="51"/>
      <c r="CN128" s="51"/>
      <c r="CO128" s="51"/>
      <c r="CP128" s="51"/>
      <c r="CQ128" s="51"/>
      <c r="CR128" s="51"/>
      <c r="CS128" s="51"/>
      <c r="CT128" s="51"/>
      <c r="CU128" s="51"/>
      <c r="CV128" s="51"/>
      <c r="CW128" s="51"/>
      <c r="CX128" s="51"/>
      <c r="CY128" s="51"/>
      <c r="CZ128" s="51"/>
      <c r="DA128" s="51"/>
      <c r="DB128" s="51"/>
      <c r="DC128" s="51"/>
      <c r="DD128" s="51"/>
      <c r="DE128" s="51"/>
      <c r="DF128" s="51"/>
      <c r="DG128" s="51"/>
      <c r="DH128" s="51"/>
      <c r="DI128" s="51"/>
      <c r="DJ128" s="51"/>
      <c r="DK128" s="51"/>
      <c r="DL128" s="51"/>
      <c r="DM128" s="51"/>
      <c r="DN128" s="51"/>
      <c r="DO128" s="51"/>
      <c r="DP128" s="51"/>
      <c r="DQ128" s="51"/>
      <c r="DR128" s="51"/>
      <c r="DS128" s="51"/>
      <c r="DT128" s="51"/>
      <c r="DU128" s="51"/>
      <c r="DV128" s="51"/>
      <c r="DW128" s="51"/>
      <c r="DX128" s="51"/>
      <c r="DY128" s="51"/>
      <c r="DZ128" s="51"/>
      <c r="EA128" s="51"/>
      <c r="EB128" s="51"/>
      <c r="EC128" s="51"/>
      <c r="ED128" s="51"/>
      <c r="EE128" s="51"/>
      <c r="EF128" s="51"/>
      <c r="EG128" s="51"/>
      <c r="EH128" s="51"/>
      <c r="EI128" s="51"/>
      <c r="EJ128" s="51"/>
    </row>
    <row r="129" spans="1:140">
      <c r="A129" s="69"/>
      <c r="B129" s="69"/>
      <c r="C129" s="88"/>
      <c r="D129" s="87"/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51"/>
      <c r="AG129" s="51"/>
      <c r="AH129" s="51"/>
      <c r="AI129" s="51"/>
      <c r="AJ129" s="51"/>
      <c r="AK129" s="51"/>
      <c r="AL129" s="51"/>
      <c r="AM129" s="51"/>
      <c r="AN129" s="51"/>
      <c r="AO129" s="51"/>
      <c r="AP129" s="51"/>
      <c r="AQ129" s="51"/>
      <c r="AR129" s="51"/>
      <c r="AS129" s="51"/>
      <c r="AT129" s="51"/>
      <c r="AU129" s="51"/>
      <c r="AV129" s="51"/>
      <c r="AW129" s="51"/>
      <c r="AX129" s="51"/>
      <c r="AY129" s="51"/>
      <c r="AZ129" s="51"/>
      <c r="BA129" s="51"/>
      <c r="BB129" s="51"/>
      <c r="BC129" s="51"/>
      <c r="BD129" s="51"/>
      <c r="BE129" s="51"/>
      <c r="BF129" s="51"/>
      <c r="BG129" s="51"/>
      <c r="BH129" s="51"/>
      <c r="BI129" s="51"/>
      <c r="BJ129" s="51"/>
      <c r="BK129" s="51"/>
      <c r="BL129" s="51"/>
      <c r="BM129" s="51"/>
      <c r="BN129" s="51"/>
      <c r="BO129" s="51"/>
      <c r="BP129" s="51"/>
      <c r="BQ129" s="51"/>
      <c r="BR129" s="51"/>
      <c r="BS129" s="51"/>
      <c r="BT129" s="51"/>
      <c r="BU129" s="51"/>
      <c r="BV129" s="51"/>
      <c r="BW129" s="51"/>
      <c r="BX129" s="51"/>
      <c r="BY129" s="51"/>
      <c r="BZ129" s="51"/>
      <c r="CA129" s="51"/>
      <c r="CB129" s="51"/>
      <c r="CC129" s="51"/>
      <c r="CD129" s="51"/>
      <c r="CE129" s="51"/>
      <c r="CF129" s="51"/>
      <c r="CG129" s="51"/>
      <c r="CH129" s="51"/>
      <c r="CI129" s="51"/>
      <c r="CJ129" s="51"/>
      <c r="CK129" s="51"/>
      <c r="CL129" s="51"/>
      <c r="CM129" s="51"/>
      <c r="CN129" s="51"/>
      <c r="CO129" s="51"/>
      <c r="CP129" s="51"/>
      <c r="CQ129" s="51"/>
      <c r="CR129" s="51"/>
      <c r="CS129" s="51"/>
      <c r="CT129" s="51"/>
      <c r="CU129" s="51"/>
      <c r="CV129" s="51"/>
      <c r="CW129" s="51"/>
      <c r="CX129" s="51"/>
      <c r="CY129" s="51"/>
      <c r="CZ129" s="51"/>
      <c r="DA129" s="51"/>
      <c r="DB129" s="51"/>
      <c r="DC129" s="51"/>
      <c r="DD129" s="51"/>
      <c r="DE129" s="51"/>
      <c r="DF129" s="51"/>
      <c r="DG129" s="51"/>
      <c r="DH129" s="51"/>
      <c r="DI129" s="51"/>
      <c r="DJ129" s="51"/>
      <c r="DK129" s="51"/>
      <c r="DL129" s="51"/>
      <c r="DM129" s="51"/>
      <c r="DN129" s="51"/>
      <c r="DO129" s="51"/>
      <c r="DP129" s="51"/>
      <c r="DQ129" s="51"/>
      <c r="DR129" s="51"/>
      <c r="DS129" s="51"/>
      <c r="DT129" s="51"/>
      <c r="DU129" s="51"/>
      <c r="DV129" s="51"/>
      <c r="DW129" s="51"/>
      <c r="DX129" s="51"/>
      <c r="DY129" s="51"/>
      <c r="DZ129" s="51"/>
      <c r="EA129" s="51"/>
      <c r="EB129" s="51"/>
      <c r="EC129" s="51"/>
      <c r="ED129" s="51"/>
      <c r="EE129" s="51"/>
      <c r="EF129" s="51"/>
      <c r="EG129" s="51"/>
      <c r="EH129" s="51"/>
      <c r="EI129" s="51"/>
      <c r="EJ129" s="51"/>
    </row>
    <row r="130" spans="1:140">
      <c r="A130" s="69"/>
      <c r="B130" s="69"/>
      <c r="C130" s="88"/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51"/>
      <c r="AG130" s="51"/>
      <c r="AH130" s="51"/>
      <c r="AI130" s="51"/>
      <c r="AJ130" s="51"/>
      <c r="AK130" s="51"/>
      <c r="AL130" s="51"/>
      <c r="AM130" s="51"/>
      <c r="AN130" s="51"/>
      <c r="AO130" s="51"/>
      <c r="AP130" s="51"/>
      <c r="AQ130" s="51"/>
      <c r="AR130" s="51"/>
      <c r="AS130" s="51"/>
      <c r="AT130" s="51"/>
      <c r="AU130" s="51"/>
      <c r="AV130" s="51"/>
      <c r="AW130" s="51"/>
      <c r="AX130" s="51"/>
      <c r="AY130" s="51"/>
      <c r="AZ130" s="51"/>
      <c r="BA130" s="51"/>
      <c r="BB130" s="51"/>
      <c r="BC130" s="51"/>
      <c r="BD130" s="51"/>
      <c r="BE130" s="51"/>
      <c r="BF130" s="51"/>
      <c r="BG130" s="51"/>
      <c r="BH130" s="51"/>
      <c r="BI130" s="51"/>
      <c r="BJ130" s="51"/>
      <c r="BK130" s="51"/>
      <c r="BL130" s="51"/>
      <c r="BM130" s="51"/>
      <c r="BN130" s="51"/>
      <c r="BO130" s="51"/>
      <c r="BP130" s="51"/>
      <c r="BQ130" s="51"/>
      <c r="BR130" s="51"/>
      <c r="BS130" s="51"/>
      <c r="BT130" s="51"/>
      <c r="BU130" s="51"/>
      <c r="BV130" s="51"/>
      <c r="BW130" s="51"/>
      <c r="BX130" s="51"/>
      <c r="BY130" s="51"/>
      <c r="BZ130" s="51"/>
      <c r="CA130" s="51"/>
      <c r="CB130" s="51"/>
      <c r="CC130" s="51"/>
      <c r="CD130" s="51"/>
      <c r="CE130" s="51"/>
      <c r="CF130" s="51"/>
      <c r="CG130" s="51"/>
      <c r="CH130" s="51"/>
      <c r="CI130" s="51"/>
      <c r="CJ130" s="51"/>
      <c r="CK130" s="51"/>
      <c r="CL130" s="51"/>
      <c r="CM130" s="51"/>
      <c r="CN130" s="51"/>
      <c r="CO130" s="51"/>
      <c r="CP130" s="51"/>
      <c r="CQ130" s="51"/>
      <c r="CR130" s="51"/>
      <c r="CS130" s="51"/>
      <c r="CT130" s="51"/>
      <c r="CU130" s="51"/>
      <c r="CV130" s="51"/>
      <c r="CW130" s="51"/>
      <c r="CX130" s="51"/>
      <c r="CY130" s="51"/>
      <c r="CZ130" s="51"/>
      <c r="DA130" s="51"/>
      <c r="DB130" s="51"/>
      <c r="DC130" s="51"/>
      <c r="DD130" s="51"/>
      <c r="DE130" s="51"/>
      <c r="DF130" s="51"/>
      <c r="DG130" s="51"/>
      <c r="DH130" s="51"/>
      <c r="DI130" s="51"/>
      <c r="DJ130" s="51"/>
      <c r="DK130" s="51"/>
      <c r="DL130" s="51"/>
      <c r="DM130" s="51"/>
      <c r="DN130" s="51"/>
      <c r="DO130" s="51"/>
      <c r="DP130" s="51"/>
      <c r="DQ130" s="51"/>
      <c r="DR130" s="51"/>
      <c r="DS130" s="51"/>
      <c r="DT130" s="51"/>
      <c r="DU130" s="51"/>
      <c r="DV130" s="51"/>
      <c r="DW130" s="51"/>
      <c r="DX130" s="51"/>
      <c r="DY130" s="51"/>
      <c r="DZ130" s="51"/>
      <c r="EA130" s="51"/>
      <c r="EB130" s="51"/>
      <c r="EC130" s="51"/>
      <c r="ED130" s="51"/>
      <c r="EE130" s="51"/>
      <c r="EF130" s="51"/>
      <c r="EG130" s="51"/>
      <c r="EH130" s="51"/>
      <c r="EI130" s="51"/>
      <c r="EJ130" s="51"/>
    </row>
    <row r="131" spans="1:140">
      <c r="A131" s="69"/>
      <c r="B131" s="69"/>
      <c r="C131" s="88"/>
      <c r="D131" s="87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51"/>
      <c r="AG131" s="51"/>
      <c r="AH131" s="51"/>
      <c r="AI131" s="51"/>
      <c r="AJ131" s="51"/>
      <c r="AK131" s="51"/>
      <c r="AL131" s="51"/>
      <c r="AM131" s="51"/>
      <c r="AN131" s="51"/>
      <c r="AO131" s="51"/>
      <c r="AP131" s="51"/>
      <c r="AQ131" s="51"/>
      <c r="AR131" s="51"/>
      <c r="AS131" s="51"/>
      <c r="AT131" s="51"/>
      <c r="AU131" s="51"/>
      <c r="AV131" s="51"/>
      <c r="AW131" s="51"/>
      <c r="AX131" s="51"/>
      <c r="AY131" s="51"/>
      <c r="AZ131" s="51"/>
      <c r="BA131" s="51"/>
      <c r="BB131" s="51"/>
      <c r="BC131" s="51"/>
      <c r="BD131" s="51"/>
      <c r="BE131" s="51"/>
      <c r="BF131" s="51"/>
      <c r="BG131" s="51"/>
      <c r="BH131" s="51"/>
      <c r="BI131" s="51"/>
      <c r="BJ131" s="51"/>
      <c r="BK131" s="51"/>
      <c r="BL131" s="51"/>
      <c r="BM131" s="51"/>
      <c r="BN131" s="51"/>
      <c r="BO131" s="51"/>
      <c r="BP131" s="51"/>
      <c r="BQ131" s="51"/>
      <c r="BR131" s="51"/>
      <c r="BS131" s="51"/>
      <c r="BT131" s="51"/>
      <c r="BU131" s="51"/>
      <c r="BV131" s="51"/>
      <c r="BW131" s="51"/>
      <c r="BX131" s="51"/>
      <c r="BY131" s="51"/>
      <c r="BZ131" s="51"/>
      <c r="CA131" s="51"/>
      <c r="CB131" s="51"/>
      <c r="CC131" s="51"/>
      <c r="CD131" s="51"/>
      <c r="CE131" s="51"/>
      <c r="CF131" s="51"/>
      <c r="CG131" s="51"/>
      <c r="CH131" s="51"/>
      <c r="CI131" s="51"/>
      <c r="CJ131" s="51"/>
      <c r="CK131" s="51"/>
      <c r="CL131" s="51"/>
      <c r="CM131" s="51"/>
      <c r="CN131" s="51"/>
      <c r="CO131" s="51"/>
      <c r="CP131" s="51"/>
      <c r="CQ131" s="51"/>
      <c r="CR131" s="51"/>
      <c r="CS131" s="51"/>
      <c r="CT131" s="51"/>
      <c r="CU131" s="51"/>
      <c r="CV131" s="51"/>
      <c r="CW131" s="51"/>
      <c r="CX131" s="51"/>
      <c r="CY131" s="51"/>
      <c r="CZ131" s="51"/>
      <c r="DA131" s="51"/>
      <c r="DB131" s="51"/>
      <c r="DC131" s="51"/>
      <c r="DD131" s="51"/>
      <c r="DE131" s="51"/>
      <c r="DF131" s="51"/>
      <c r="DG131" s="51"/>
      <c r="DH131" s="51"/>
      <c r="DI131" s="51"/>
      <c r="DJ131" s="51"/>
      <c r="DK131" s="51"/>
      <c r="DL131" s="51"/>
      <c r="DM131" s="51"/>
      <c r="DN131" s="51"/>
      <c r="DO131" s="51"/>
      <c r="DP131" s="51"/>
      <c r="DQ131" s="51"/>
      <c r="DR131" s="51"/>
      <c r="DS131" s="51"/>
      <c r="DT131" s="51"/>
      <c r="DU131" s="51"/>
      <c r="DV131" s="51"/>
      <c r="DW131" s="51"/>
      <c r="DX131" s="51"/>
      <c r="DY131" s="51"/>
      <c r="DZ131" s="51"/>
      <c r="EA131" s="51"/>
      <c r="EB131" s="51"/>
      <c r="EC131" s="51"/>
      <c r="ED131" s="51"/>
      <c r="EE131" s="51"/>
      <c r="EF131" s="51"/>
      <c r="EG131" s="51"/>
      <c r="EH131" s="51"/>
      <c r="EI131" s="51"/>
      <c r="EJ131" s="51"/>
    </row>
    <row r="132" spans="1:140">
      <c r="A132" s="69"/>
      <c r="B132" s="69"/>
      <c r="C132" s="88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51"/>
      <c r="AG132" s="51"/>
      <c r="AH132" s="51"/>
      <c r="AI132" s="51"/>
      <c r="AJ132" s="51"/>
      <c r="AK132" s="51"/>
      <c r="AL132" s="51"/>
      <c r="AM132" s="51"/>
      <c r="AN132" s="51"/>
      <c r="AO132" s="51"/>
      <c r="AP132" s="51"/>
      <c r="AQ132" s="51"/>
      <c r="AR132" s="51"/>
      <c r="AS132" s="51"/>
      <c r="AT132" s="51"/>
      <c r="AU132" s="51"/>
      <c r="AV132" s="51"/>
      <c r="AW132" s="51"/>
      <c r="AX132" s="51"/>
      <c r="AY132" s="51"/>
      <c r="AZ132" s="51"/>
      <c r="BA132" s="51"/>
      <c r="BB132" s="51"/>
      <c r="BC132" s="51"/>
      <c r="BD132" s="51"/>
      <c r="BE132" s="51"/>
      <c r="BF132" s="51"/>
      <c r="BG132" s="51"/>
      <c r="BH132" s="51"/>
      <c r="BI132" s="51"/>
      <c r="BJ132" s="51"/>
      <c r="BK132" s="51"/>
      <c r="BL132" s="51"/>
      <c r="BM132" s="51"/>
      <c r="BN132" s="51"/>
      <c r="BO132" s="51"/>
      <c r="BP132" s="51"/>
      <c r="BQ132" s="51"/>
      <c r="BR132" s="51"/>
      <c r="BS132" s="51"/>
      <c r="BT132" s="51"/>
      <c r="BU132" s="51"/>
      <c r="BV132" s="51"/>
      <c r="BW132" s="51"/>
      <c r="BX132" s="51"/>
      <c r="BY132" s="51"/>
      <c r="BZ132" s="51"/>
      <c r="CA132" s="51"/>
      <c r="CB132" s="51"/>
      <c r="CC132" s="51"/>
      <c r="CD132" s="51"/>
      <c r="CE132" s="51"/>
      <c r="CF132" s="51"/>
      <c r="CG132" s="51"/>
      <c r="CH132" s="51"/>
      <c r="CI132" s="51"/>
      <c r="CJ132" s="51"/>
      <c r="CK132" s="51"/>
      <c r="CL132" s="51"/>
      <c r="CM132" s="51"/>
      <c r="CN132" s="51"/>
      <c r="CO132" s="51"/>
      <c r="CP132" s="51"/>
      <c r="CQ132" s="51"/>
      <c r="CR132" s="51"/>
      <c r="CS132" s="51"/>
      <c r="CT132" s="51"/>
      <c r="CU132" s="51"/>
      <c r="CV132" s="51"/>
      <c r="CW132" s="51"/>
      <c r="CX132" s="51"/>
      <c r="CY132" s="51"/>
      <c r="CZ132" s="51"/>
      <c r="DA132" s="51"/>
      <c r="DB132" s="51"/>
      <c r="DC132" s="51"/>
      <c r="DD132" s="51"/>
      <c r="DE132" s="51"/>
      <c r="DF132" s="51"/>
      <c r="DG132" s="51"/>
      <c r="DH132" s="51"/>
      <c r="DI132" s="51"/>
      <c r="DJ132" s="51"/>
      <c r="DK132" s="51"/>
      <c r="DL132" s="51"/>
      <c r="DM132" s="51"/>
      <c r="DN132" s="51"/>
      <c r="DO132" s="51"/>
      <c r="DP132" s="51"/>
      <c r="DQ132" s="51"/>
      <c r="DR132" s="51"/>
      <c r="DS132" s="51"/>
      <c r="DT132" s="51"/>
      <c r="DU132" s="51"/>
      <c r="DV132" s="51"/>
      <c r="DW132" s="51"/>
      <c r="DX132" s="51"/>
      <c r="DY132" s="51"/>
      <c r="DZ132" s="51"/>
      <c r="EA132" s="51"/>
      <c r="EB132" s="51"/>
      <c r="EC132" s="51"/>
      <c r="ED132" s="51"/>
      <c r="EE132" s="51"/>
      <c r="EF132" s="51"/>
      <c r="EG132" s="51"/>
      <c r="EH132" s="51"/>
      <c r="EI132" s="51"/>
      <c r="EJ132" s="51"/>
    </row>
    <row r="133" spans="1:140">
      <c r="A133" s="69"/>
      <c r="B133" s="69"/>
      <c r="C133" s="88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51"/>
      <c r="AG133" s="51"/>
      <c r="AH133" s="51"/>
      <c r="AI133" s="51"/>
      <c r="AJ133" s="51"/>
      <c r="AK133" s="51"/>
      <c r="AL133" s="51"/>
      <c r="AM133" s="51"/>
      <c r="AN133" s="51"/>
      <c r="AO133" s="51"/>
      <c r="AP133" s="51"/>
      <c r="AQ133" s="51"/>
      <c r="AR133" s="51"/>
      <c r="AS133" s="51"/>
      <c r="AT133" s="51"/>
      <c r="AU133" s="51"/>
      <c r="AV133" s="51"/>
      <c r="AW133" s="51"/>
      <c r="AX133" s="51"/>
      <c r="AY133" s="51"/>
      <c r="AZ133" s="51"/>
      <c r="BA133" s="51"/>
      <c r="BB133" s="51"/>
      <c r="BC133" s="51"/>
      <c r="BD133" s="51"/>
      <c r="BE133" s="51"/>
      <c r="BF133" s="51"/>
      <c r="BG133" s="51"/>
      <c r="BH133" s="51"/>
      <c r="BI133" s="51"/>
      <c r="BJ133" s="51"/>
      <c r="BK133" s="51"/>
      <c r="BL133" s="51"/>
      <c r="BM133" s="51"/>
      <c r="BN133" s="51"/>
      <c r="BO133" s="51"/>
      <c r="BP133" s="51"/>
      <c r="BQ133" s="51"/>
      <c r="BR133" s="51"/>
      <c r="BS133" s="51"/>
      <c r="BT133" s="51"/>
      <c r="BU133" s="51"/>
      <c r="BV133" s="51"/>
      <c r="BW133" s="51"/>
      <c r="BX133" s="51"/>
      <c r="BY133" s="51"/>
      <c r="BZ133" s="51"/>
      <c r="CA133" s="51"/>
      <c r="CB133" s="51"/>
      <c r="CC133" s="51"/>
      <c r="CD133" s="51"/>
      <c r="CE133" s="51"/>
      <c r="CF133" s="51"/>
      <c r="CG133" s="51"/>
      <c r="CH133" s="51"/>
      <c r="CI133" s="51"/>
      <c r="CJ133" s="51"/>
      <c r="CK133" s="51"/>
      <c r="CL133" s="51"/>
      <c r="CM133" s="51"/>
      <c r="CN133" s="51"/>
      <c r="CO133" s="51"/>
      <c r="CP133" s="51"/>
      <c r="CQ133" s="51"/>
      <c r="CR133" s="51"/>
      <c r="CS133" s="51"/>
      <c r="CT133" s="51"/>
      <c r="CU133" s="51"/>
      <c r="CV133" s="51"/>
      <c r="CW133" s="51"/>
      <c r="CX133" s="51"/>
      <c r="CY133" s="51"/>
      <c r="CZ133" s="51"/>
      <c r="DA133" s="51"/>
      <c r="DB133" s="51"/>
      <c r="DC133" s="51"/>
      <c r="DD133" s="51"/>
      <c r="DE133" s="51"/>
      <c r="DF133" s="51"/>
      <c r="DG133" s="51"/>
      <c r="DH133" s="51"/>
      <c r="DI133" s="51"/>
      <c r="DJ133" s="51"/>
      <c r="DK133" s="51"/>
      <c r="DL133" s="51"/>
      <c r="DM133" s="51"/>
      <c r="DN133" s="51"/>
      <c r="DO133" s="51"/>
      <c r="DP133" s="51"/>
      <c r="DQ133" s="51"/>
      <c r="DR133" s="51"/>
      <c r="DS133" s="51"/>
      <c r="DT133" s="51"/>
      <c r="DU133" s="51"/>
      <c r="DV133" s="51"/>
      <c r="DW133" s="51"/>
      <c r="DX133" s="51"/>
      <c r="DY133" s="51"/>
      <c r="DZ133" s="51"/>
      <c r="EA133" s="51"/>
      <c r="EB133" s="51"/>
      <c r="EC133" s="51"/>
      <c r="ED133" s="51"/>
      <c r="EE133" s="51"/>
      <c r="EF133" s="51"/>
      <c r="EG133" s="51"/>
      <c r="EH133" s="51"/>
      <c r="EI133" s="51"/>
      <c r="EJ133" s="51"/>
    </row>
    <row r="134" spans="1:140">
      <c r="A134" s="69"/>
      <c r="B134" s="69"/>
      <c r="C134" s="88"/>
      <c r="D134" s="87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51"/>
      <c r="AG134" s="51"/>
      <c r="AH134" s="51"/>
      <c r="AI134" s="51"/>
      <c r="AJ134" s="51"/>
      <c r="AK134" s="51"/>
      <c r="AL134" s="51"/>
      <c r="AM134" s="51"/>
      <c r="AN134" s="51"/>
      <c r="AO134" s="51"/>
      <c r="AP134" s="51"/>
      <c r="AQ134" s="51"/>
      <c r="AR134" s="51"/>
      <c r="AS134" s="51"/>
      <c r="AT134" s="51"/>
      <c r="AU134" s="51"/>
      <c r="AV134" s="51"/>
      <c r="AW134" s="51"/>
      <c r="AX134" s="51"/>
      <c r="AY134" s="51"/>
      <c r="AZ134" s="51"/>
      <c r="BA134" s="51"/>
      <c r="BB134" s="51"/>
      <c r="BC134" s="51"/>
      <c r="BD134" s="51"/>
      <c r="BE134" s="51"/>
      <c r="BF134" s="51"/>
      <c r="BG134" s="51"/>
      <c r="BH134" s="51"/>
      <c r="BI134" s="51"/>
      <c r="BJ134" s="51"/>
      <c r="BK134" s="51"/>
      <c r="BL134" s="51"/>
      <c r="BM134" s="51"/>
      <c r="BN134" s="51"/>
      <c r="BO134" s="51"/>
      <c r="BP134" s="51"/>
      <c r="BQ134" s="51"/>
      <c r="BR134" s="51"/>
      <c r="BS134" s="51"/>
      <c r="BT134" s="51"/>
      <c r="BU134" s="51"/>
      <c r="BV134" s="51"/>
      <c r="BW134" s="51"/>
      <c r="BX134" s="51"/>
      <c r="BY134" s="51"/>
      <c r="BZ134" s="51"/>
      <c r="CA134" s="51"/>
      <c r="CB134" s="51"/>
      <c r="CC134" s="51"/>
      <c r="CD134" s="51"/>
      <c r="CE134" s="51"/>
      <c r="CF134" s="51"/>
      <c r="CG134" s="51"/>
      <c r="CH134" s="51"/>
      <c r="CI134" s="51"/>
      <c r="CJ134" s="51"/>
      <c r="CK134" s="51"/>
      <c r="CL134" s="51"/>
      <c r="CM134" s="51"/>
      <c r="CN134" s="51"/>
      <c r="CO134" s="51"/>
      <c r="CP134" s="51"/>
      <c r="CQ134" s="51"/>
      <c r="CR134" s="51"/>
      <c r="CS134" s="51"/>
      <c r="CT134" s="51"/>
      <c r="CU134" s="51"/>
      <c r="CV134" s="51"/>
      <c r="CW134" s="51"/>
      <c r="CX134" s="51"/>
      <c r="CY134" s="51"/>
      <c r="CZ134" s="51"/>
      <c r="DA134" s="51"/>
      <c r="DB134" s="51"/>
      <c r="DC134" s="51"/>
      <c r="DD134" s="51"/>
      <c r="DE134" s="51"/>
      <c r="DF134" s="51"/>
      <c r="DG134" s="51"/>
      <c r="DH134" s="51"/>
      <c r="DI134" s="51"/>
      <c r="DJ134" s="51"/>
      <c r="DK134" s="51"/>
      <c r="DL134" s="51"/>
      <c r="DM134" s="51"/>
      <c r="DN134" s="51"/>
      <c r="DO134" s="51"/>
      <c r="DP134" s="51"/>
      <c r="DQ134" s="51"/>
      <c r="DR134" s="51"/>
      <c r="DS134" s="51"/>
      <c r="DT134" s="51"/>
      <c r="DU134" s="51"/>
      <c r="DV134" s="51"/>
      <c r="DW134" s="51"/>
      <c r="DX134" s="51"/>
      <c r="DY134" s="51"/>
      <c r="DZ134" s="51"/>
      <c r="EA134" s="51"/>
      <c r="EB134" s="51"/>
      <c r="EC134" s="51"/>
      <c r="ED134" s="51"/>
      <c r="EE134" s="51"/>
      <c r="EF134" s="51"/>
      <c r="EG134" s="51"/>
      <c r="EH134" s="51"/>
      <c r="EI134" s="51"/>
      <c r="EJ134" s="51"/>
    </row>
    <row r="135" spans="1:140">
      <c r="A135" s="69"/>
      <c r="B135" s="69"/>
      <c r="C135" s="88"/>
      <c r="D135" s="87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51"/>
      <c r="AG135" s="51"/>
      <c r="AH135" s="51"/>
      <c r="AI135" s="51"/>
      <c r="AJ135" s="51"/>
      <c r="AK135" s="51"/>
      <c r="AL135" s="51"/>
      <c r="AM135" s="51"/>
      <c r="AN135" s="51"/>
      <c r="AO135" s="51"/>
      <c r="AP135" s="51"/>
      <c r="AQ135" s="51"/>
      <c r="AR135" s="51"/>
      <c r="AS135" s="51"/>
      <c r="AT135" s="51"/>
      <c r="AU135" s="51"/>
      <c r="AV135" s="51"/>
      <c r="AW135" s="51"/>
      <c r="AX135" s="51"/>
      <c r="AY135" s="51"/>
      <c r="AZ135" s="51"/>
      <c r="BA135" s="51"/>
      <c r="BB135" s="51"/>
      <c r="BC135" s="51"/>
      <c r="BD135" s="51"/>
      <c r="BE135" s="51"/>
      <c r="BF135" s="51"/>
      <c r="BG135" s="51"/>
      <c r="BH135" s="51"/>
      <c r="BI135" s="51"/>
      <c r="BJ135" s="51"/>
      <c r="BK135" s="51"/>
      <c r="BL135" s="51"/>
      <c r="BM135" s="51"/>
      <c r="BN135" s="51"/>
      <c r="BO135" s="51"/>
      <c r="BP135" s="51"/>
      <c r="BQ135" s="51"/>
      <c r="BR135" s="51"/>
      <c r="BS135" s="51"/>
      <c r="BT135" s="51"/>
      <c r="BU135" s="51"/>
      <c r="BV135" s="51"/>
      <c r="BW135" s="51"/>
      <c r="BX135" s="51"/>
      <c r="BY135" s="51"/>
      <c r="BZ135" s="51"/>
      <c r="CA135" s="51"/>
      <c r="CB135" s="51"/>
      <c r="CC135" s="51"/>
      <c r="CD135" s="51"/>
      <c r="CE135" s="51"/>
      <c r="CF135" s="51"/>
      <c r="CG135" s="51"/>
      <c r="CH135" s="51"/>
      <c r="CI135" s="51"/>
      <c r="CJ135" s="51"/>
      <c r="CK135" s="51"/>
      <c r="CL135" s="51"/>
      <c r="CM135" s="51"/>
      <c r="CN135" s="51"/>
      <c r="CO135" s="51"/>
      <c r="CP135" s="51"/>
      <c r="CQ135" s="51"/>
      <c r="CR135" s="51"/>
      <c r="CS135" s="51"/>
      <c r="CT135" s="51"/>
      <c r="CU135" s="51"/>
      <c r="CV135" s="51"/>
      <c r="CW135" s="51"/>
      <c r="CX135" s="51"/>
      <c r="CY135" s="51"/>
      <c r="CZ135" s="51"/>
      <c r="DA135" s="51"/>
      <c r="DB135" s="51"/>
      <c r="DC135" s="51"/>
      <c r="DD135" s="51"/>
      <c r="DE135" s="51"/>
      <c r="DF135" s="51"/>
      <c r="DG135" s="51"/>
      <c r="DH135" s="51"/>
      <c r="DI135" s="51"/>
      <c r="DJ135" s="51"/>
      <c r="DK135" s="51"/>
      <c r="DL135" s="51"/>
      <c r="DM135" s="51"/>
      <c r="DN135" s="51"/>
      <c r="DO135" s="51"/>
      <c r="DP135" s="51"/>
      <c r="DQ135" s="51"/>
      <c r="DR135" s="51"/>
      <c r="DS135" s="51"/>
      <c r="DT135" s="51"/>
      <c r="DU135" s="51"/>
      <c r="DV135" s="51"/>
      <c r="DW135" s="51"/>
      <c r="DX135" s="51"/>
      <c r="DY135" s="51"/>
      <c r="DZ135" s="51"/>
      <c r="EA135" s="51"/>
      <c r="EB135" s="51"/>
      <c r="EC135" s="51"/>
      <c r="ED135" s="51"/>
      <c r="EE135" s="51"/>
      <c r="EF135" s="51"/>
      <c r="EG135" s="51"/>
      <c r="EH135" s="51"/>
      <c r="EI135" s="51"/>
      <c r="EJ135" s="51"/>
    </row>
    <row r="136" spans="1:140">
      <c r="A136" s="69"/>
      <c r="B136" s="69"/>
      <c r="C136" s="88"/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51"/>
      <c r="AG136" s="51"/>
      <c r="AH136" s="51"/>
      <c r="AI136" s="51"/>
      <c r="AJ136" s="51"/>
      <c r="AK136" s="51"/>
      <c r="AL136" s="51"/>
      <c r="AM136" s="51"/>
      <c r="AN136" s="51"/>
      <c r="AO136" s="51"/>
      <c r="AP136" s="51"/>
      <c r="AQ136" s="51"/>
      <c r="AR136" s="51"/>
      <c r="AS136" s="51"/>
      <c r="AT136" s="51"/>
      <c r="AU136" s="51"/>
      <c r="AV136" s="51"/>
      <c r="AW136" s="51"/>
      <c r="AX136" s="51"/>
      <c r="AY136" s="51"/>
      <c r="AZ136" s="51"/>
      <c r="BA136" s="51"/>
      <c r="BB136" s="51"/>
      <c r="BC136" s="51"/>
      <c r="BD136" s="51"/>
      <c r="BE136" s="51"/>
      <c r="BF136" s="51"/>
      <c r="BG136" s="51"/>
      <c r="BH136" s="51"/>
      <c r="BI136" s="51"/>
      <c r="BJ136" s="51"/>
      <c r="BK136" s="51"/>
      <c r="BL136" s="51"/>
      <c r="BM136" s="51"/>
      <c r="BN136" s="51"/>
      <c r="BO136" s="51"/>
      <c r="BP136" s="51"/>
      <c r="BQ136" s="51"/>
      <c r="BR136" s="51"/>
      <c r="BS136" s="51"/>
      <c r="BT136" s="51"/>
      <c r="BU136" s="51"/>
      <c r="BV136" s="51"/>
      <c r="BW136" s="51"/>
      <c r="BX136" s="51"/>
      <c r="BY136" s="51"/>
      <c r="BZ136" s="51"/>
      <c r="CA136" s="51"/>
      <c r="CB136" s="51"/>
      <c r="CC136" s="51"/>
      <c r="CD136" s="51"/>
      <c r="CE136" s="51"/>
      <c r="CF136" s="51"/>
      <c r="CG136" s="51"/>
      <c r="CH136" s="51"/>
      <c r="CI136" s="51"/>
      <c r="CJ136" s="51"/>
      <c r="CK136" s="51"/>
      <c r="CL136" s="51"/>
      <c r="CM136" s="51"/>
      <c r="CN136" s="51"/>
      <c r="CO136" s="51"/>
      <c r="CP136" s="51"/>
      <c r="CQ136" s="51"/>
      <c r="CR136" s="51"/>
      <c r="CS136" s="51"/>
      <c r="CT136" s="51"/>
      <c r="CU136" s="51"/>
      <c r="CV136" s="51"/>
      <c r="CW136" s="51"/>
      <c r="CX136" s="51"/>
      <c r="CY136" s="51"/>
      <c r="CZ136" s="51"/>
      <c r="DA136" s="51"/>
      <c r="DB136" s="51"/>
      <c r="DC136" s="51"/>
      <c r="DD136" s="51"/>
      <c r="DE136" s="51"/>
      <c r="DF136" s="51"/>
      <c r="DG136" s="51"/>
      <c r="DH136" s="51"/>
      <c r="DI136" s="51"/>
      <c r="DJ136" s="51"/>
      <c r="DK136" s="51"/>
      <c r="DL136" s="51"/>
      <c r="DM136" s="51"/>
      <c r="DN136" s="51"/>
      <c r="DO136" s="51"/>
      <c r="DP136" s="51"/>
      <c r="DQ136" s="51"/>
      <c r="DR136" s="51"/>
      <c r="DS136" s="51"/>
      <c r="DT136" s="51"/>
      <c r="DU136" s="51"/>
      <c r="DV136" s="51"/>
      <c r="DW136" s="51"/>
      <c r="DX136" s="51"/>
      <c r="DY136" s="51"/>
      <c r="DZ136" s="51"/>
      <c r="EA136" s="51"/>
      <c r="EB136" s="51"/>
      <c r="EC136" s="51"/>
      <c r="ED136" s="51"/>
      <c r="EE136" s="51"/>
      <c r="EF136" s="51"/>
      <c r="EG136" s="51"/>
      <c r="EH136" s="51"/>
      <c r="EI136" s="51"/>
      <c r="EJ136" s="51"/>
    </row>
    <row r="137" spans="1:140">
      <c r="A137" s="69"/>
      <c r="B137" s="69"/>
      <c r="C137" s="88"/>
      <c r="D137" s="87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51"/>
      <c r="AG137" s="51"/>
      <c r="AH137" s="51"/>
      <c r="AI137" s="51"/>
      <c r="AJ137" s="51"/>
      <c r="AK137" s="51"/>
      <c r="AL137" s="51"/>
      <c r="AM137" s="51"/>
      <c r="AN137" s="51"/>
      <c r="AO137" s="51"/>
      <c r="AP137" s="51"/>
      <c r="AQ137" s="51"/>
      <c r="AR137" s="51"/>
      <c r="AS137" s="51"/>
      <c r="AT137" s="51"/>
      <c r="AU137" s="51"/>
      <c r="AV137" s="51"/>
      <c r="AW137" s="51"/>
      <c r="AX137" s="51"/>
      <c r="AY137" s="51"/>
      <c r="AZ137" s="51"/>
      <c r="BA137" s="51"/>
      <c r="BB137" s="51"/>
      <c r="BC137" s="51"/>
      <c r="BD137" s="51"/>
      <c r="BE137" s="51"/>
      <c r="BF137" s="51"/>
      <c r="BG137" s="51"/>
      <c r="BH137" s="51"/>
      <c r="BI137" s="51"/>
      <c r="BJ137" s="51"/>
      <c r="BK137" s="51"/>
      <c r="BL137" s="51"/>
      <c r="BM137" s="51"/>
      <c r="BN137" s="51"/>
      <c r="BO137" s="51"/>
      <c r="BP137" s="51"/>
      <c r="BQ137" s="51"/>
      <c r="BR137" s="51"/>
      <c r="BS137" s="51"/>
      <c r="BT137" s="51"/>
      <c r="BU137" s="51"/>
      <c r="BV137" s="51"/>
      <c r="BW137" s="51"/>
      <c r="BX137" s="51"/>
      <c r="BY137" s="51"/>
      <c r="BZ137" s="51"/>
      <c r="CA137" s="51"/>
      <c r="CB137" s="51"/>
      <c r="CC137" s="51"/>
      <c r="CD137" s="51"/>
      <c r="CE137" s="51"/>
      <c r="CF137" s="51"/>
      <c r="CG137" s="51"/>
      <c r="CH137" s="51"/>
      <c r="CI137" s="51"/>
      <c r="CJ137" s="51"/>
      <c r="CK137" s="51"/>
      <c r="CL137" s="51"/>
      <c r="CM137" s="51"/>
      <c r="CN137" s="51"/>
      <c r="CO137" s="51"/>
      <c r="CP137" s="51"/>
      <c r="CQ137" s="51"/>
      <c r="CR137" s="51"/>
      <c r="CS137" s="51"/>
      <c r="CT137" s="51"/>
      <c r="CU137" s="51"/>
      <c r="CV137" s="51"/>
      <c r="CW137" s="51"/>
      <c r="CX137" s="51"/>
      <c r="CY137" s="51"/>
      <c r="CZ137" s="51"/>
      <c r="DA137" s="51"/>
      <c r="DB137" s="51"/>
      <c r="DC137" s="51"/>
      <c r="DD137" s="51"/>
      <c r="DE137" s="51"/>
      <c r="DF137" s="51"/>
      <c r="DG137" s="51"/>
      <c r="DH137" s="51"/>
      <c r="DI137" s="51"/>
      <c r="DJ137" s="51"/>
      <c r="DK137" s="51"/>
      <c r="DL137" s="51"/>
      <c r="DM137" s="51"/>
      <c r="DN137" s="51"/>
      <c r="DO137" s="51"/>
      <c r="DP137" s="51"/>
      <c r="DQ137" s="51"/>
      <c r="DR137" s="51"/>
      <c r="DS137" s="51"/>
      <c r="DT137" s="51"/>
      <c r="DU137" s="51"/>
      <c r="DV137" s="51"/>
      <c r="DW137" s="51"/>
      <c r="DX137" s="51"/>
      <c r="DY137" s="51"/>
      <c r="DZ137" s="51"/>
      <c r="EA137" s="51"/>
      <c r="EB137" s="51"/>
      <c r="EC137" s="51"/>
      <c r="ED137" s="51"/>
      <c r="EE137" s="51"/>
      <c r="EF137" s="51"/>
      <c r="EG137" s="51"/>
      <c r="EH137" s="51"/>
      <c r="EI137" s="51"/>
      <c r="EJ137" s="51"/>
    </row>
    <row r="138" spans="1:140">
      <c r="A138" s="69"/>
      <c r="B138" s="69"/>
      <c r="C138" s="88"/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51"/>
      <c r="AG138" s="51"/>
      <c r="AH138" s="51"/>
      <c r="AI138" s="51"/>
      <c r="AJ138" s="51"/>
      <c r="AK138" s="51"/>
      <c r="AL138" s="51"/>
      <c r="AM138" s="51"/>
      <c r="AN138" s="51"/>
      <c r="AO138" s="51"/>
      <c r="AP138" s="51"/>
      <c r="AQ138" s="51"/>
      <c r="AR138" s="51"/>
      <c r="AS138" s="51"/>
      <c r="AT138" s="51"/>
      <c r="AU138" s="51"/>
      <c r="AV138" s="51"/>
      <c r="AW138" s="51"/>
      <c r="AX138" s="51"/>
      <c r="AY138" s="51"/>
      <c r="AZ138" s="51"/>
      <c r="BA138" s="51"/>
      <c r="BB138" s="51"/>
      <c r="BC138" s="51"/>
      <c r="BD138" s="51"/>
      <c r="BE138" s="51"/>
      <c r="BF138" s="51"/>
      <c r="BG138" s="51"/>
      <c r="BH138" s="51"/>
      <c r="BI138" s="51"/>
      <c r="BJ138" s="51"/>
      <c r="BK138" s="51"/>
      <c r="BL138" s="51"/>
      <c r="BM138" s="51"/>
      <c r="BN138" s="51"/>
      <c r="BO138" s="51"/>
      <c r="BP138" s="51"/>
      <c r="BQ138" s="51"/>
      <c r="BR138" s="51"/>
      <c r="BS138" s="51"/>
      <c r="BT138" s="51"/>
      <c r="BU138" s="51"/>
      <c r="BV138" s="51"/>
      <c r="BW138" s="51"/>
      <c r="BX138" s="51"/>
      <c r="BY138" s="51"/>
      <c r="BZ138" s="51"/>
      <c r="CA138" s="51"/>
      <c r="CB138" s="51"/>
      <c r="CC138" s="51"/>
      <c r="CD138" s="51"/>
      <c r="CE138" s="51"/>
      <c r="CF138" s="51"/>
      <c r="CG138" s="51"/>
      <c r="CH138" s="51"/>
      <c r="CI138" s="51"/>
      <c r="CJ138" s="51"/>
      <c r="CK138" s="51"/>
      <c r="CL138" s="51"/>
      <c r="CM138" s="51"/>
      <c r="CN138" s="51"/>
      <c r="CO138" s="51"/>
      <c r="CP138" s="51"/>
      <c r="CQ138" s="51"/>
      <c r="CR138" s="51"/>
      <c r="CS138" s="51"/>
      <c r="CT138" s="51"/>
      <c r="CU138" s="51"/>
      <c r="CV138" s="51"/>
      <c r="CW138" s="51"/>
      <c r="CX138" s="51"/>
      <c r="CY138" s="51"/>
      <c r="CZ138" s="51"/>
      <c r="DA138" s="51"/>
      <c r="DB138" s="51"/>
      <c r="DC138" s="51"/>
      <c r="DD138" s="51"/>
      <c r="DE138" s="51"/>
      <c r="DF138" s="51"/>
      <c r="DG138" s="51"/>
      <c r="DH138" s="51"/>
      <c r="DI138" s="51"/>
      <c r="DJ138" s="51"/>
      <c r="DK138" s="51"/>
      <c r="DL138" s="51"/>
      <c r="DM138" s="51"/>
      <c r="DN138" s="51"/>
      <c r="DO138" s="51"/>
      <c r="DP138" s="51"/>
      <c r="DQ138" s="51"/>
      <c r="DR138" s="51"/>
      <c r="DS138" s="51"/>
      <c r="DT138" s="51"/>
      <c r="DU138" s="51"/>
      <c r="DV138" s="51"/>
      <c r="DW138" s="51"/>
      <c r="DX138" s="51"/>
      <c r="DY138" s="51"/>
      <c r="DZ138" s="51"/>
      <c r="EA138" s="51"/>
      <c r="EB138" s="51"/>
      <c r="EC138" s="51"/>
      <c r="ED138" s="51"/>
      <c r="EE138" s="51"/>
      <c r="EF138" s="51"/>
      <c r="EG138" s="51"/>
      <c r="EH138" s="51"/>
      <c r="EI138" s="51"/>
      <c r="EJ138" s="51"/>
    </row>
    <row r="139" spans="1:140">
      <c r="A139" s="69"/>
      <c r="B139" s="69"/>
      <c r="C139" s="88"/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51"/>
      <c r="AG139" s="51"/>
      <c r="AH139" s="51"/>
      <c r="AI139" s="51"/>
      <c r="AJ139" s="51"/>
      <c r="AK139" s="51"/>
      <c r="AL139" s="51"/>
      <c r="AM139" s="51"/>
      <c r="AN139" s="51"/>
      <c r="AO139" s="51"/>
      <c r="AP139" s="51"/>
      <c r="AQ139" s="51"/>
      <c r="AR139" s="51"/>
      <c r="AS139" s="51"/>
      <c r="AT139" s="51"/>
      <c r="AU139" s="51"/>
      <c r="AV139" s="51"/>
      <c r="AW139" s="51"/>
      <c r="AX139" s="51"/>
      <c r="AY139" s="51"/>
      <c r="AZ139" s="51"/>
      <c r="BA139" s="51"/>
      <c r="BB139" s="51"/>
      <c r="BC139" s="51"/>
      <c r="BD139" s="51"/>
      <c r="BE139" s="51"/>
      <c r="BF139" s="51"/>
      <c r="BG139" s="51"/>
      <c r="BH139" s="51"/>
      <c r="BI139" s="51"/>
      <c r="BJ139" s="51"/>
      <c r="BK139" s="51"/>
      <c r="BL139" s="51"/>
      <c r="BM139" s="51"/>
      <c r="BN139" s="51"/>
      <c r="BO139" s="51"/>
      <c r="BP139" s="51"/>
      <c r="BQ139" s="51"/>
      <c r="BR139" s="51"/>
      <c r="BS139" s="51"/>
      <c r="BT139" s="51"/>
      <c r="BU139" s="51"/>
      <c r="BV139" s="51"/>
      <c r="BW139" s="51"/>
      <c r="BX139" s="51"/>
      <c r="BY139" s="51"/>
      <c r="BZ139" s="51"/>
      <c r="CA139" s="51"/>
      <c r="CB139" s="51"/>
      <c r="CC139" s="51"/>
      <c r="CD139" s="51"/>
      <c r="CE139" s="51"/>
      <c r="CF139" s="51"/>
      <c r="CG139" s="51"/>
      <c r="CH139" s="51"/>
      <c r="CI139" s="51"/>
      <c r="CJ139" s="51"/>
      <c r="CK139" s="51"/>
      <c r="CL139" s="51"/>
      <c r="CM139" s="51"/>
      <c r="CN139" s="51"/>
      <c r="CO139" s="51"/>
      <c r="CP139" s="51"/>
      <c r="CQ139" s="51"/>
      <c r="CR139" s="51"/>
      <c r="CS139" s="51"/>
      <c r="CT139" s="51"/>
      <c r="CU139" s="51"/>
      <c r="CV139" s="51"/>
      <c r="CW139" s="51"/>
      <c r="CX139" s="51"/>
      <c r="CY139" s="51"/>
      <c r="CZ139" s="51"/>
      <c r="DA139" s="51"/>
      <c r="DB139" s="51"/>
      <c r="DC139" s="51"/>
      <c r="DD139" s="51"/>
      <c r="DE139" s="51"/>
      <c r="DF139" s="51"/>
      <c r="DG139" s="51"/>
      <c r="DH139" s="51"/>
      <c r="DI139" s="51"/>
      <c r="DJ139" s="51"/>
      <c r="DK139" s="51"/>
      <c r="DL139" s="51"/>
      <c r="DM139" s="51"/>
      <c r="DN139" s="51"/>
      <c r="DO139" s="51"/>
      <c r="DP139" s="51"/>
      <c r="DQ139" s="51"/>
      <c r="DR139" s="51"/>
      <c r="DS139" s="51"/>
      <c r="DT139" s="51"/>
      <c r="DU139" s="51"/>
      <c r="DV139" s="51"/>
      <c r="DW139" s="51"/>
      <c r="DX139" s="51"/>
      <c r="DY139" s="51"/>
      <c r="DZ139" s="51"/>
      <c r="EA139" s="51"/>
      <c r="EB139" s="51"/>
      <c r="EC139" s="51"/>
      <c r="ED139" s="51"/>
      <c r="EE139" s="51"/>
      <c r="EF139" s="51"/>
      <c r="EG139" s="51"/>
      <c r="EH139" s="51"/>
      <c r="EI139" s="51"/>
      <c r="EJ139" s="51"/>
    </row>
    <row r="140" spans="1:140">
      <c r="A140" s="69"/>
      <c r="B140" s="69"/>
      <c r="C140" s="88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51"/>
      <c r="AG140" s="51"/>
      <c r="AH140" s="51"/>
      <c r="AI140" s="51"/>
      <c r="AJ140" s="51"/>
      <c r="AK140" s="51"/>
      <c r="AL140" s="51"/>
      <c r="AM140" s="51"/>
      <c r="AN140" s="51"/>
      <c r="AO140" s="51"/>
      <c r="AP140" s="51"/>
      <c r="AQ140" s="51"/>
      <c r="AR140" s="51"/>
      <c r="AS140" s="51"/>
      <c r="AT140" s="51"/>
      <c r="AU140" s="51"/>
      <c r="AV140" s="51"/>
      <c r="AW140" s="51"/>
      <c r="AX140" s="51"/>
      <c r="AY140" s="51"/>
      <c r="AZ140" s="51"/>
      <c r="BA140" s="51"/>
      <c r="BB140" s="51"/>
      <c r="BC140" s="51"/>
      <c r="BD140" s="51"/>
      <c r="BE140" s="51"/>
      <c r="BF140" s="51"/>
      <c r="BG140" s="51"/>
      <c r="BH140" s="51"/>
      <c r="BI140" s="51"/>
      <c r="BJ140" s="51"/>
      <c r="BK140" s="51"/>
      <c r="BL140" s="51"/>
      <c r="BM140" s="51"/>
      <c r="BN140" s="51"/>
      <c r="BO140" s="51"/>
      <c r="BP140" s="51"/>
      <c r="BQ140" s="51"/>
      <c r="BR140" s="51"/>
      <c r="BS140" s="51"/>
      <c r="BT140" s="51"/>
      <c r="BU140" s="51"/>
      <c r="BV140" s="51"/>
      <c r="BW140" s="51"/>
      <c r="BX140" s="51"/>
      <c r="BY140" s="51"/>
      <c r="BZ140" s="51"/>
      <c r="CA140" s="51"/>
      <c r="CB140" s="51"/>
      <c r="CC140" s="51"/>
      <c r="CD140" s="51"/>
      <c r="CE140" s="51"/>
      <c r="CF140" s="51"/>
      <c r="CG140" s="51"/>
      <c r="CH140" s="51"/>
      <c r="CI140" s="51"/>
      <c r="CJ140" s="51"/>
      <c r="CK140" s="51"/>
      <c r="CL140" s="51"/>
      <c r="CM140" s="51"/>
      <c r="CN140" s="51"/>
      <c r="CO140" s="51"/>
      <c r="CP140" s="51"/>
      <c r="CQ140" s="51"/>
      <c r="CR140" s="51"/>
      <c r="CS140" s="51"/>
      <c r="CT140" s="51"/>
      <c r="CU140" s="51"/>
      <c r="CV140" s="51"/>
      <c r="CW140" s="51"/>
      <c r="CX140" s="51"/>
      <c r="CY140" s="51"/>
      <c r="CZ140" s="51"/>
      <c r="DA140" s="51"/>
      <c r="DB140" s="51"/>
      <c r="DC140" s="51"/>
      <c r="DD140" s="51"/>
      <c r="DE140" s="51"/>
      <c r="DF140" s="51"/>
      <c r="DG140" s="51"/>
      <c r="DH140" s="51"/>
      <c r="DI140" s="51"/>
      <c r="DJ140" s="51"/>
      <c r="DK140" s="51"/>
      <c r="DL140" s="51"/>
      <c r="DM140" s="51"/>
      <c r="DN140" s="51"/>
      <c r="DO140" s="51"/>
      <c r="DP140" s="51"/>
      <c r="DQ140" s="51"/>
      <c r="DR140" s="51"/>
      <c r="DS140" s="51"/>
      <c r="DT140" s="51"/>
      <c r="DU140" s="51"/>
      <c r="DV140" s="51"/>
      <c r="DW140" s="51"/>
      <c r="DX140" s="51"/>
      <c r="DY140" s="51"/>
      <c r="DZ140" s="51"/>
      <c r="EA140" s="51"/>
      <c r="EB140" s="51"/>
      <c r="EC140" s="51"/>
      <c r="ED140" s="51"/>
      <c r="EE140" s="51"/>
      <c r="EF140" s="51"/>
      <c r="EG140" s="51"/>
      <c r="EH140" s="51"/>
      <c r="EI140" s="51"/>
      <c r="EJ140" s="51"/>
    </row>
    <row r="141" spans="1:140">
      <c r="A141" s="69"/>
      <c r="B141" s="69"/>
      <c r="C141" s="88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51"/>
      <c r="AG141" s="51"/>
      <c r="AH141" s="51"/>
      <c r="AI141" s="51"/>
      <c r="AJ141" s="51"/>
      <c r="AK141" s="51"/>
      <c r="AL141" s="51"/>
      <c r="AM141" s="51"/>
      <c r="AN141" s="51"/>
      <c r="AO141" s="51"/>
      <c r="AP141" s="51"/>
      <c r="AQ141" s="51"/>
      <c r="AR141" s="51"/>
      <c r="AS141" s="51"/>
      <c r="AT141" s="51"/>
      <c r="AU141" s="51"/>
      <c r="AV141" s="51"/>
      <c r="AW141" s="51"/>
      <c r="AX141" s="51"/>
      <c r="AY141" s="51"/>
      <c r="AZ141" s="51"/>
      <c r="BA141" s="51"/>
      <c r="BB141" s="51"/>
      <c r="BC141" s="51"/>
      <c r="BD141" s="51"/>
      <c r="BE141" s="51"/>
      <c r="BF141" s="51"/>
      <c r="BG141" s="51"/>
      <c r="BH141" s="51"/>
      <c r="BI141" s="51"/>
      <c r="BJ141" s="51"/>
      <c r="BK141" s="51"/>
      <c r="BL141" s="51"/>
      <c r="BM141" s="51"/>
      <c r="BN141" s="51"/>
      <c r="BO141" s="51"/>
      <c r="BP141" s="51"/>
      <c r="BQ141" s="51"/>
      <c r="BR141" s="51"/>
      <c r="BS141" s="51"/>
      <c r="BT141" s="51"/>
      <c r="BU141" s="51"/>
      <c r="BV141" s="51"/>
      <c r="BW141" s="51"/>
      <c r="BX141" s="51"/>
      <c r="BY141" s="51"/>
      <c r="BZ141" s="51"/>
      <c r="CA141" s="51"/>
      <c r="CB141" s="51"/>
      <c r="CC141" s="51"/>
      <c r="CD141" s="51"/>
      <c r="CE141" s="51"/>
      <c r="CF141" s="51"/>
      <c r="CG141" s="51"/>
      <c r="CH141" s="51"/>
      <c r="CI141" s="51"/>
      <c r="CJ141" s="51"/>
      <c r="CK141" s="51"/>
      <c r="CL141" s="51"/>
      <c r="CM141" s="51"/>
      <c r="CN141" s="51"/>
      <c r="CO141" s="51"/>
      <c r="CP141" s="51"/>
      <c r="CQ141" s="51"/>
      <c r="CR141" s="51"/>
      <c r="CS141" s="51"/>
      <c r="CT141" s="51"/>
      <c r="CU141" s="51"/>
      <c r="CV141" s="51"/>
      <c r="CW141" s="51"/>
      <c r="CX141" s="51"/>
      <c r="CY141" s="51"/>
      <c r="CZ141" s="51"/>
      <c r="DA141" s="51"/>
      <c r="DB141" s="51"/>
      <c r="DC141" s="51"/>
      <c r="DD141" s="51"/>
      <c r="DE141" s="51"/>
      <c r="DF141" s="51"/>
      <c r="DG141" s="51"/>
      <c r="DH141" s="51"/>
      <c r="DI141" s="51"/>
      <c r="DJ141" s="51"/>
      <c r="DK141" s="51"/>
      <c r="DL141" s="51"/>
      <c r="DM141" s="51"/>
      <c r="DN141" s="51"/>
      <c r="DO141" s="51"/>
      <c r="DP141" s="51"/>
      <c r="DQ141" s="51"/>
      <c r="DR141" s="51"/>
      <c r="DS141" s="51"/>
      <c r="DT141" s="51"/>
      <c r="DU141" s="51"/>
      <c r="DV141" s="51"/>
      <c r="DW141" s="51"/>
      <c r="DX141" s="51"/>
      <c r="DY141" s="51"/>
      <c r="DZ141" s="51"/>
      <c r="EA141" s="51"/>
      <c r="EB141" s="51"/>
      <c r="EC141" s="51"/>
      <c r="ED141" s="51"/>
      <c r="EE141" s="51"/>
      <c r="EF141" s="51"/>
      <c r="EG141" s="51"/>
      <c r="EH141" s="51"/>
      <c r="EI141" s="51"/>
      <c r="EJ141" s="51"/>
    </row>
    <row r="142" spans="1:140">
      <c r="A142" s="69"/>
      <c r="B142" s="69"/>
      <c r="C142" s="88"/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51"/>
      <c r="AG142" s="51"/>
      <c r="AH142" s="51"/>
      <c r="AI142" s="51"/>
      <c r="AJ142" s="51"/>
      <c r="AK142" s="51"/>
      <c r="AL142" s="51"/>
      <c r="AM142" s="51"/>
      <c r="AN142" s="51"/>
      <c r="AO142" s="51"/>
      <c r="AP142" s="51"/>
      <c r="AQ142" s="51"/>
      <c r="AR142" s="51"/>
      <c r="AS142" s="51"/>
      <c r="AT142" s="51"/>
      <c r="AU142" s="51"/>
      <c r="AV142" s="51"/>
      <c r="AW142" s="51"/>
      <c r="AX142" s="51"/>
      <c r="AY142" s="51"/>
      <c r="AZ142" s="51"/>
      <c r="BA142" s="51"/>
      <c r="BB142" s="51"/>
      <c r="BC142" s="51"/>
      <c r="BD142" s="51"/>
      <c r="BE142" s="51"/>
      <c r="BF142" s="51"/>
      <c r="BG142" s="51"/>
      <c r="BH142" s="51"/>
      <c r="BI142" s="51"/>
      <c r="BJ142" s="51"/>
      <c r="BK142" s="51"/>
      <c r="BL142" s="51"/>
      <c r="BM142" s="51"/>
      <c r="BN142" s="51"/>
      <c r="BO142" s="51"/>
      <c r="BP142" s="51"/>
      <c r="BQ142" s="51"/>
      <c r="BR142" s="51"/>
      <c r="BS142" s="51"/>
      <c r="BT142" s="51"/>
      <c r="BU142" s="51"/>
      <c r="BV142" s="51"/>
      <c r="BW142" s="51"/>
      <c r="BX142" s="51"/>
      <c r="BY142" s="51"/>
      <c r="BZ142" s="51"/>
      <c r="CA142" s="51"/>
      <c r="CB142" s="51"/>
      <c r="CC142" s="51"/>
      <c r="CD142" s="51"/>
      <c r="CE142" s="51"/>
      <c r="CF142" s="51"/>
      <c r="CG142" s="51"/>
      <c r="CH142" s="51"/>
      <c r="CI142" s="51"/>
      <c r="CJ142" s="51"/>
      <c r="CK142" s="51"/>
      <c r="CL142" s="51"/>
      <c r="CM142" s="51"/>
      <c r="CN142" s="51"/>
      <c r="CO142" s="51"/>
      <c r="CP142" s="51"/>
      <c r="CQ142" s="51"/>
      <c r="CR142" s="51"/>
      <c r="CS142" s="51"/>
      <c r="CT142" s="51"/>
      <c r="CU142" s="51"/>
      <c r="CV142" s="51"/>
      <c r="CW142" s="51"/>
      <c r="CX142" s="51"/>
      <c r="CY142" s="51"/>
      <c r="CZ142" s="51"/>
      <c r="DA142" s="51"/>
      <c r="DB142" s="51"/>
      <c r="DC142" s="51"/>
      <c r="DD142" s="51"/>
      <c r="DE142" s="51"/>
      <c r="DF142" s="51"/>
      <c r="DG142" s="51"/>
      <c r="DH142" s="51"/>
      <c r="DI142" s="51"/>
      <c r="DJ142" s="51"/>
      <c r="DK142" s="51"/>
      <c r="DL142" s="51"/>
      <c r="DM142" s="51"/>
      <c r="DN142" s="51"/>
      <c r="DO142" s="51"/>
      <c r="DP142" s="51"/>
      <c r="DQ142" s="51"/>
      <c r="DR142" s="51"/>
      <c r="DS142" s="51"/>
      <c r="DT142" s="51"/>
      <c r="DU142" s="51"/>
      <c r="DV142" s="51"/>
      <c r="DW142" s="51"/>
      <c r="DX142" s="51"/>
      <c r="DY142" s="51"/>
      <c r="DZ142" s="51"/>
      <c r="EA142" s="51"/>
      <c r="EB142" s="51"/>
      <c r="EC142" s="51"/>
      <c r="ED142" s="51"/>
      <c r="EE142" s="51"/>
      <c r="EF142" s="51"/>
      <c r="EG142" s="51"/>
      <c r="EH142" s="51"/>
      <c r="EI142" s="51"/>
      <c r="EJ142" s="51"/>
    </row>
    <row r="143" spans="1:140">
      <c r="A143" s="69"/>
      <c r="B143" s="69"/>
      <c r="C143" s="88"/>
      <c r="D143" s="87"/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51"/>
      <c r="AG143" s="51"/>
      <c r="AH143" s="51"/>
      <c r="AI143" s="51"/>
      <c r="AJ143" s="51"/>
      <c r="AK143" s="51"/>
      <c r="AL143" s="51"/>
      <c r="AM143" s="51"/>
      <c r="AN143" s="51"/>
      <c r="AO143" s="51"/>
      <c r="AP143" s="51"/>
      <c r="AQ143" s="51"/>
      <c r="AR143" s="51"/>
      <c r="AS143" s="51"/>
      <c r="AT143" s="51"/>
      <c r="AU143" s="51"/>
      <c r="AV143" s="51"/>
      <c r="AW143" s="51"/>
      <c r="AX143" s="51"/>
      <c r="AY143" s="51"/>
      <c r="AZ143" s="51"/>
      <c r="BA143" s="51"/>
      <c r="BB143" s="51"/>
      <c r="BC143" s="51"/>
      <c r="BD143" s="51"/>
      <c r="BE143" s="51"/>
      <c r="BF143" s="51"/>
      <c r="BG143" s="51"/>
      <c r="BH143" s="51"/>
      <c r="BI143" s="51"/>
      <c r="BJ143" s="51"/>
      <c r="BK143" s="51"/>
      <c r="BL143" s="51"/>
      <c r="BM143" s="51"/>
      <c r="BN143" s="51"/>
      <c r="BO143" s="51"/>
      <c r="BP143" s="51"/>
      <c r="BQ143" s="51"/>
      <c r="BR143" s="51"/>
      <c r="BS143" s="51"/>
      <c r="BT143" s="51"/>
      <c r="BU143" s="51"/>
      <c r="BV143" s="51"/>
      <c r="BW143" s="51"/>
      <c r="BX143" s="51"/>
      <c r="BY143" s="51"/>
      <c r="BZ143" s="51"/>
      <c r="CA143" s="51"/>
      <c r="CB143" s="51"/>
      <c r="CC143" s="51"/>
      <c r="CD143" s="51"/>
      <c r="CE143" s="51"/>
      <c r="CF143" s="51"/>
      <c r="CG143" s="51"/>
      <c r="CH143" s="51"/>
      <c r="CI143" s="51"/>
      <c r="CJ143" s="51"/>
      <c r="CK143" s="51"/>
      <c r="CL143" s="51"/>
      <c r="CM143" s="51"/>
      <c r="CN143" s="51"/>
      <c r="CO143" s="51"/>
      <c r="CP143" s="51"/>
      <c r="CQ143" s="51"/>
      <c r="CR143" s="51"/>
      <c r="CS143" s="51"/>
      <c r="CT143" s="51"/>
      <c r="CU143" s="51"/>
      <c r="CV143" s="51"/>
      <c r="CW143" s="51"/>
      <c r="CX143" s="51"/>
      <c r="CY143" s="51"/>
      <c r="CZ143" s="51"/>
      <c r="DA143" s="51"/>
      <c r="DB143" s="51"/>
      <c r="DC143" s="51"/>
      <c r="DD143" s="51"/>
      <c r="DE143" s="51"/>
      <c r="DF143" s="51"/>
      <c r="DG143" s="51"/>
      <c r="DH143" s="51"/>
      <c r="DI143" s="51"/>
      <c r="DJ143" s="51"/>
      <c r="DK143" s="51"/>
      <c r="DL143" s="51"/>
      <c r="DM143" s="51"/>
      <c r="DN143" s="51"/>
      <c r="DO143" s="51"/>
      <c r="DP143" s="51"/>
      <c r="DQ143" s="51"/>
      <c r="DR143" s="51"/>
      <c r="DS143" s="51"/>
      <c r="DT143" s="51"/>
      <c r="DU143" s="51"/>
      <c r="DV143" s="51"/>
      <c r="DW143" s="51"/>
      <c r="DX143" s="51"/>
      <c r="DY143" s="51"/>
      <c r="DZ143" s="51"/>
      <c r="EA143" s="51"/>
      <c r="EB143" s="51"/>
      <c r="EC143" s="51"/>
      <c r="ED143" s="51"/>
      <c r="EE143" s="51"/>
      <c r="EF143" s="51"/>
      <c r="EG143" s="51"/>
      <c r="EH143" s="51"/>
      <c r="EI143" s="51"/>
      <c r="EJ143" s="51"/>
    </row>
    <row r="144" spans="1:140">
      <c r="A144" s="69"/>
      <c r="B144" s="69"/>
      <c r="C144" s="88"/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51"/>
      <c r="AG144" s="51"/>
      <c r="AH144" s="51"/>
      <c r="AI144" s="51"/>
      <c r="AJ144" s="51"/>
      <c r="AK144" s="51"/>
      <c r="AL144" s="51"/>
      <c r="AM144" s="51"/>
      <c r="AN144" s="51"/>
      <c r="AO144" s="51"/>
      <c r="AP144" s="51"/>
      <c r="AQ144" s="51"/>
      <c r="AR144" s="51"/>
      <c r="AS144" s="51"/>
      <c r="AT144" s="51"/>
      <c r="AU144" s="51"/>
      <c r="AV144" s="51"/>
      <c r="AW144" s="51"/>
      <c r="AX144" s="51"/>
      <c r="AY144" s="51"/>
      <c r="AZ144" s="51"/>
      <c r="BA144" s="51"/>
      <c r="BB144" s="51"/>
      <c r="BC144" s="51"/>
      <c r="BD144" s="51"/>
      <c r="BE144" s="51"/>
      <c r="BF144" s="51"/>
      <c r="BG144" s="51"/>
      <c r="BH144" s="51"/>
      <c r="BI144" s="51"/>
      <c r="BJ144" s="51"/>
      <c r="BK144" s="51"/>
      <c r="BL144" s="51"/>
      <c r="BM144" s="51"/>
      <c r="BN144" s="51"/>
      <c r="BO144" s="51"/>
      <c r="BP144" s="51"/>
      <c r="BQ144" s="51"/>
      <c r="BR144" s="51"/>
      <c r="BS144" s="51"/>
      <c r="BT144" s="51"/>
      <c r="BU144" s="51"/>
      <c r="BV144" s="51"/>
      <c r="BW144" s="51"/>
      <c r="BX144" s="51"/>
      <c r="BY144" s="51"/>
      <c r="BZ144" s="51"/>
      <c r="CA144" s="51"/>
      <c r="CB144" s="51"/>
      <c r="CC144" s="51"/>
      <c r="CD144" s="51"/>
      <c r="CE144" s="51"/>
      <c r="CF144" s="51"/>
      <c r="CG144" s="51"/>
      <c r="CH144" s="51"/>
      <c r="CI144" s="51"/>
      <c r="CJ144" s="51"/>
      <c r="CK144" s="51"/>
      <c r="CL144" s="51"/>
      <c r="CM144" s="51"/>
      <c r="CN144" s="51"/>
      <c r="CO144" s="51"/>
      <c r="CP144" s="51"/>
      <c r="CQ144" s="51"/>
      <c r="CR144" s="51"/>
      <c r="CS144" s="51"/>
      <c r="CT144" s="51"/>
      <c r="CU144" s="51"/>
      <c r="CV144" s="51"/>
      <c r="CW144" s="51"/>
      <c r="CX144" s="51"/>
      <c r="CY144" s="51"/>
      <c r="CZ144" s="51"/>
      <c r="DA144" s="51"/>
      <c r="DB144" s="51"/>
      <c r="DC144" s="51"/>
      <c r="DD144" s="51"/>
      <c r="DE144" s="51"/>
      <c r="DF144" s="51"/>
      <c r="DG144" s="51"/>
      <c r="DH144" s="51"/>
      <c r="DI144" s="51"/>
      <c r="DJ144" s="51"/>
      <c r="DK144" s="51"/>
      <c r="DL144" s="51"/>
      <c r="DM144" s="51"/>
      <c r="DN144" s="51"/>
      <c r="DO144" s="51"/>
      <c r="DP144" s="51"/>
      <c r="DQ144" s="51"/>
      <c r="DR144" s="51"/>
      <c r="DS144" s="51"/>
      <c r="DT144" s="51"/>
      <c r="DU144" s="51"/>
      <c r="DV144" s="51"/>
      <c r="DW144" s="51"/>
      <c r="DX144" s="51"/>
      <c r="DY144" s="51"/>
      <c r="DZ144" s="51"/>
      <c r="EA144" s="51"/>
      <c r="EB144" s="51"/>
      <c r="EC144" s="51"/>
      <c r="ED144" s="51"/>
      <c r="EE144" s="51"/>
      <c r="EF144" s="51"/>
      <c r="EG144" s="51"/>
      <c r="EH144" s="51"/>
      <c r="EI144" s="51"/>
      <c r="EJ144" s="51"/>
    </row>
    <row r="145" spans="1:140">
      <c r="A145" s="69"/>
      <c r="B145" s="69"/>
      <c r="C145" s="88"/>
      <c r="D145" s="87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51"/>
      <c r="AG145" s="51"/>
      <c r="AH145" s="51"/>
      <c r="AI145" s="51"/>
      <c r="AJ145" s="51"/>
      <c r="AK145" s="51"/>
      <c r="AL145" s="51"/>
      <c r="AM145" s="51"/>
      <c r="AN145" s="51"/>
      <c r="AO145" s="51"/>
      <c r="AP145" s="51"/>
      <c r="AQ145" s="51"/>
      <c r="AR145" s="51"/>
      <c r="AS145" s="51"/>
      <c r="AT145" s="51"/>
      <c r="AU145" s="51"/>
      <c r="AV145" s="51"/>
      <c r="AW145" s="51"/>
      <c r="AX145" s="51"/>
      <c r="AY145" s="51"/>
      <c r="AZ145" s="51"/>
      <c r="BA145" s="51"/>
      <c r="BB145" s="51"/>
      <c r="BC145" s="51"/>
      <c r="BD145" s="51"/>
      <c r="BE145" s="51"/>
      <c r="BF145" s="51"/>
      <c r="BG145" s="51"/>
      <c r="BH145" s="51"/>
      <c r="BI145" s="51"/>
      <c r="BJ145" s="51"/>
      <c r="BK145" s="51"/>
      <c r="BL145" s="51"/>
      <c r="BM145" s="51"/>
      <c r="BN145" s="51"/>
      <c r="BO145" s="51"/>
      <c r="BP145" s="51"/>
      <c r="BQ145" s="51"/>
      <c r="BR145" s="51"/>
      <c r="BS145" s="51"/>
      <c r="BT145" s="51"/>
      <c r="BU145" s="51"/>
      <c r="BV145" s="51"/>
      <c r="BW145" s="51"/>
      <c r="BX145" s="51"/>
      <c r="BY145" s="51"/>
      <c r="BZ145" s="51"/>
      <c r="CA145" s="51"/>
      <c r="CB145" s="51"/>
      <c r="CC145" s="51"/>
      <c r="CD145" s="51"/>
      <c r="CE145" s="51"/>
      <c r="CF145" s="51"/>
      <c r="CG145" s="51"/>
      <c r="CH145" s="51"/>
      <c r="CI145" s="51"/>
      <c r="CJ145" s="51"/>
      <c r="CK145" s="51"/>
      <c r="CL145" s="51"/>
      <c r="CM145" s="51"/>
      <c r="CN145" s="51"/>
      <c r="CO145" s="51"/>
      <c r="CP145" s="51"/>
      <c r="CQ145" s="51"/>
      <c r="CR145" s="51"/>
      <c r="CS145" s="51"/>
      <c r="CT145" s="51"/>
      <c r="CU145" s="51"/>
      <c r="CV145" s="51"/>
      <c r="CW145" s="51"/>
      <c r="CX145" s="51"/>
      <c r="CY145" s="51"/>
      <c r="CZ145" s="51"/>
      <c r="DA145" s="51"/>
      <c r="DB145" s="51"/>
      <c r="DC145" s="51"/>
      <c r="DD145" s="51"/>
      <c r="DE145" s="51"/>
      <c r="DF145" s="51"/>
      <c r="DG145" s="51"/>
      <c r="DH145" s="51"/>
      <c r="DI145" s="51"/>
      <c r="DJ145" s="51"/>
      <c r="DK145" s="51"/>
      <c r="DL145" s="51"/>
      <c r="DM145" s="51"/>
      <c r="DN145" s="51"/>
      <c r="DO145" s="51"/>
      <c r="DP145" s="51"/>
      <c r="DQ145" s="51"/>
      <c r="DR145" s="51"/>
      <c r="DS145" s="51"/>
      <c r="DT145" s="51"/>
      <c r="DU145" s="51"/>
      <c r="DV145" s="51"/>
      <c r="DW145" s="51"/>
      <c r="DX145" s="51"/>
      <c r="DY145" s="51"/>
      <c r="DZ145" s="51"/>
      <c r="EA145" s="51"/>
      <c r="EB145" s="51"/>
      <c r="EC145" s="51"/>
      <c r="ED145" s="51"/>
      <c r="EE145" s="51"/>
      <c r="EF145" s="51"/>
      <c r="EG145" s="51"/>
      <c r="EH145" s="51"/>
      <c r="EI145" s="51"/>
      <c r="EJ145" s="51"/>
    </row>
    <row r="146" spans="1:140">
      <c r="A146" s="69"/>
      <c r="B146" s="69"/>
      <c r="C146" s="88"/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51"/>
      <c r="AG146" s="51"/>
      <c r="AH146" s="51"/>
      <c r="AI146" s="51"/>
      <c r="AJ146" s="51"/>
      <c r="AK146" s="51"/>
      <c r="AL146" s="51"/>
      <c r="AM146" s="51"/>
      <c r="AN146" s="51"/>
      <c r="AO146" s="51"/>
      <c r="AP146" s="51"/>
      <c r="AQ146" s="51"/>
      <c r="AR146" s="51"/>
      <c r="AS146" s="51"/>
      <c r="AT146" s="51"/>
      <c r="AU146" s="51"/>
      <c r="AV146" s="51"/>
      <c r="AW146" s="51"/>
      <c r="AX146" s="51"/>
      <c r="AY146" s="51"/>
      <c r="AZ146" s="51"/>
      <c r="BA146" s="51"/>
      <c r="BB146" s="51"/>
      <c r="BC146" s="51"/>
      <c r="BD146" s="51"/>
      <c r="BE146" s="51"/>
      <c r="BF146" s="51"/>
      <c r="BG146" s="51"/>
      <c r="BH146" s="51"/>
      <c r="BI146" s="51"/>
      <c r="BJ146" s="51"/>
      <c r="BK146" s="51"/>
      <c r="BL146" s="51"/>
      <c r="BM146" s="51"/>
      <c r="BN146" s="51"/>
      <c r="BO146" s="51"/>
      <c r="BP146" s="51"/>
      <c r="BQ146" s="51"/>
      <c r="BR146" s="51"/>
      <c r="BS146" s="51"/>
      <c r="BT146" s="51"/>
      <c r="BU146" s="51"/>
      <c r="BV146" s="51"/>
      <c r="BW146" s="51"/>
      <c r="BX146" s="51"/>
      <c r="BY146" s="51"/>
      <c r="BZ146" s="51"/>
      <c r="CA146" s="51"/>
      <c r="CB146" s="51"/>
      <c r="CC146" s="51"/>
      <c r="CD146" s="51"/>
      <c r="CE146" s="51"/>
      <c r="CF146" s="51"/>
      <c r="CG146" s="51"/>
      <c r="CH146" s="51"/>
      <c r="CI146" s="51"/>
      <c r="CJ146" s="51"/>
      <c r="CK146" s="51"/>
      <c r="CL146" s="51"/>
      <c r="CM146" s="51"/>
      <c r="CN146" s="51"/>
      <c r="CO146" s="51"/>
      <c r="CP146" s="51"/>
      <c r="CQ146" s="51"/>
      <c r="CR146" s="51"/>
      <c r="CS146" s="51"/>
      <c r="CT146" s="51"/>
      <c r="CU146" s="51"/>
      <c r="CV146" s="51"/>
      <c r="CW146" s="51"/>
      <c r="CX146" s="51"/>
      <c r="CY146" s="51"/>
      <c r="CZ146" s="51"/>
      <c r="DA146" s="51"/>
      <c r="DB146" s="51"/>
      <c r="DC146" s="51"/>
      <c r="DD146" s="51"/>
      <c r="DE146" s="51"/>
      <c r="DF146" s="51"/>
      <c r="DG146" s="51"/>
      <c r="DH146" s="51"/>
      <c r="DI146" s="51"/>
      <c r="DJ146" s="51"/>
      <c r="DK146" s="51"/>
      <c r="DL146" s="51"/>
      <c r="DM146" s="51"/>
      <c r="DN146" s="51"/>
      <c r="DO146" s="51"/>
      <c r="DP146" s="51"/>
      <c r="DQ146" s="51"/>
      <c r="DR146" s="51"/>
      <c r="DS146" s="51"/>
      <c r="DT146" s="51"/>
      <c r="DU146" s="51"/>
      <c r="DV146" s="51"/>
      <c r="DW146" s="51"/>
      <c r="DX146" s="51"/>
      <c r="DY146" s="51"/>
      <c r="DZ146" s="51"/>
      <c r="EA146" s="51"/>
      <c r="EB146" s="51"/>
      <c r="EC146" s="51"/>
      <c r="ED146" s="51"/>
      <c r="EE146" s="51"/>
      <c r="EF146" s="51"/>
      <c r="EG146" s="51"/>
      <c r="EH146" s="51"/>
      <c r="EI146" s="51"/>
      <c r="EJ146" s="51"/>
    </row>
    <row r="147" spans="1:140">
      <c r="A147" s="69"/>
      <c r="B147" s="69"/>
      <c r="C147" s="88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51"/>
      <c r="AG147" s="51"/>
      <c r="AH147" s="51"/>
      <c r="AI147" s="51"/>
      <c r="AJ147" s="51"/>
      <c r="AK147" s="51"/>
      <c r="AL147" s="51"/>
      <c r="AM147" s="51"/>
      <c r="AN147" s="51"/>
      <c r="AO147" s="51"/>
      <c r="AP147" s="51"/>
      <c r="AQ147" s="51"/>
      <c r="AR147" s="51"/>
      <c r="AS147" s="51"/>
      <c r="AT147" s="51"/>
      <c r="AU147" s="51"/>
      <c r="AV147" s="51"/>
      <c r="AW147" s="51"/>
      <c r="AX147" s="51"/>
      <c r="AY147" s="51"/>
      <c r="AZ147" s="51"/>
      <c r="BA147" s="51"/>
      <c r="BB147" s="51"/>
      <c r="BC147" s="51"/>
      <c r="BD147" s="51"/>
      <c r="BE147" s="51"/>
      <c r="BF147" s="51"/>
      <c r="BG147" s="51"/>
      <c r="BH147" s="51"/>
      <c r="BI147" s="51"/>
      <c r="BJ147" s="51"/>
      <c r="BK147" s="51"/>
      <c r="BL147" s="51"/>
      <c r="BM147" s="51"/>
      <c r="BN147" s="51"/>
      <c r="BO147" s="51"/>
      <c r="BP147" s="51"/>
      <c r="BQ147" s="51"/>
      <c r="BR147" s="51"/>
      <c r="BS147" s="51"/>
      <c r="BT147" s="51"/>
      <c r="BU147" s="51"/>
      <c r="BV147" s="51"/>
      <c r="BW147" s="51"/>
      <c r="BX147" s="51"/>
      <c r="BY147" s="51"/>
      <c r="BZ147" s="51"/>
      <c r="CA147" s="51"/>
      <c r="CB147" s="51"/>
      <c r="CC147" s="51"/>
      <c r="CD147" s="51"/>
      <c r="CE147" s="51"/>
      <c r="CF147" s="51"/>
      <c r="CG147" s="51"/>
      <c r="CH147" s="51"/>
      <c r="CI147" s="51"/>
      <c r="CJ147" s="51"/>
      <c r="CK147" s="51"/>
      <c r="CL147" s="51"/>
      <c r="CM147" s="51"/>
      <c r="CN147" s="51"/>
      <c r="CO147" s="51"/>
      <c r="CP147" s="51"/>
      <c r="CQ147" s="51"/>
      <c r="CR147" s="51"/>
      <c r="CS147" s="51"/>
      <c r="CT147" s="51"/>
      <c r="CU147" s="51"/>
      <c r="CV147" s="51"/>
      <c r="CW147" s="51"/>
      <c r="CX147" s="51"/>
      <c r="CY147" s="51"/>
      <c r="CZ147" s="51"/>
      <c r="DA147" s="51"/>
      <c r="DB147" s="51"/>
      <c r="DC147" s="51"/>
      <c r="DD147" s="51"/>
      <c r="DE147" s="51"/>
      <c r="DF147" s="51"/>
      <c r="DG147" s="51"/>
      <c r="DH147" s="51"/>
      <c r="DI147" s="51"/>
      <c r="DJ147" s="51"/>
      <c r="DK147" s="51"/>
      <c r="DL147" s="51"/>
      <c r="DM147" s="51"/>
      <c r="DN147" s="51"/>
      <c r="DO147" s="51"/>
      <c r="DP147" s="51"/>
      <c r="DQ147" s="51"/>
      <c r="DR147" s="51"/>
      <c r="DS147" s="51"/>
      <c r="DT147" s="51"/>
      <c r="DU147" s="51"/>
      <c r="DV147" s="51"/>
      <c r="DW147" s="51"/>
      <c r="DX147" s="51"/>
      <c r="DY147" s="51"/>
      <c r="DZ147" s="51"/>
      <c r="EA147" s="51"/>
      <c r="EB147" s="51"/>
      <c r="EC147" s="51"/>
      <c r="ED147" s="51"/>
      <c r="EE147" s="51"/>
      <c r="EF147" s="51"/>
      <c r="EG147" s="51"/>
      <c r="EH147" s="51"/>
      <c r="EI147" s="51"/>
      <c r="EJ147" s="51"/>
    </row>
    <row r="148" spans="1:140">
      <c r="A148" s="69"/>
      <c r="B148" s="69"/>
      <c r="C148" s="88"/>
      <c r="D148" s="87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51"/>
      <c r="AG148" s="51"/>
      <c r="AH148" s="51"/>
      <c r="AI148" s="51"/>
      <c r="AJ148" s="51"/>
      <c r="AK148" s="51"/>
      <c r="AL148" s="51"/>
      <c r="AM148" s="51"/>
      <c r="AN148" s="51"/>
      <c r="AO148" s="51"/>
      <c r="AP148" s="51"/>
      <c r="AQ148" s="51"/>
      <c r="AR148" s="51"/>
      <c r="AS148" s="51"/>
      <c r="AT148" s="51"/>
      <c r="AU148" s="51"/>
      <c r="AV148" s="51"/>
      <c r="AW148" s="51"/>
      <c r="AX148" s="51"/>
      <c r="AY148" s="51"/>
      <c r="AZ148" s="51"/>
      <c r="BA148" s="51"/>
      <c r="BB148" s="51"/>
      <c r="BC148" s="51"/>
      <c r="BD148" s="51"/>
      <c r="BE148" s="51"/>
      <c r="BF148" s="51"/>
      <c r="BG148" s="51"/>
      <c r="BH148" s="51"/>
      <c r="BI148" s="51"/>
      <c r="BJ148" s="51"/>
      <c r="BK148" s="51"/>
      <c r="BL148" s="51"/>
      <c r="BM148" s="51"/>
      <c r="BN148" s="51"/>
      <c r="BO148" s="51"/>
      <c r="BP148" s="51"/>
      <c r="BQ148" s="51"/>
      <c r="BR148" s="51"/>
      <c r="BS148" s="51"/>
      <c r="BT148" s="51"/>
      <c r="BU148" s="51"/>
      <c r="BV148" s="51"/>
      <c r="BW148" s="51"/>
      <c r="BX148" s="51"/>
      <c r="BY148" s="51"/>
      <c r="BZ148" s="51"/>
      <c r="CA148" s="51"/>
      <c r="CB148" s="51"/>
      <c r="CC148" s="51"/>
      <c r="CD148" s="51"/>
      <c r="CE148" s="51"/>
      <c r="CF148" s="51"/>
      <c r="CG148" s="51"/>
      <c r="CH148" s="51"/>
      <c r="CI148" s="51"/>
      <c r="CJ148" s="51"/>
      <c r="CK148" s="51"/>
      <c r="CL148" s="51"/>
      <c r="CM148" s="51"/>
      <c r="CN148" s="51"/>
      <c r="CO148" s="51"/>
      <c r="CP148" s="51"/>
      <c r="CQ148" s="51"/>
      <c r="CR148" s="51"/>
      <c r="CS148" s="51"/>
      <c r="CT148" s="51"/>
      <c r="CU148" s="51"/>
      <c r="CV148" s="51"/>
      <c r="CW148" s="51"/>
      <c r="CX148" s="51"/>
      <c r="CY148" s="51"/>
      <c r="CZ148" s="51"/>
      <c r="DA148" s="51"/>
      <c r="DB148" s="51"/>
      <c r="DC148" s="51"/>
      <c r="DD148" s="51"/>
      <c r="DE148" s="51"/>
      <c r="DF148" s="51"/>
      <c r="DG148" s="51"/>
      <c r="DH148" s="51"/>
      <c r="DI148" s="51"/>
      <c r="DJ148" s="51"/>
      <c r="DK148" s="51"/>
      <c r="DL148" s="51"/>
      <c r="DM148" s="51"/>
      <c r="DN148" s="51"/>
      <c r="DO148" s="51"/>
      <c r="DP148" s="51"/>
      <c r="DQ148" s="51"/>
      <c r="DR148" s="51"/>
      <c r="DS148" s="51"/>
      <c r="DT148" s="51"/>
      <c r="DU148" s="51"/>
      <c r="DV148" s="51"/>
      <c r="DW148" s="51"/>
      <c r="DX148" s="51"/>
      <c r="DY148" s="51"/>
      <c r="DZ148" s="51"/>
      <c r="EA148" s="51"/>
      <c r="EB148" s="51"/>
      <c r="EC148" s="51"/>
      <c r="ED148" s="51"/>
      <c r="EE148" s="51"/>
      <c r="EF148" s="51"/>
      <c r="EG148" s="51"/>
      <c r="EH148" s="51"/>
      <c r="EI148" s="51"/>
      <c r="EJ148" s="51"/>
    </row>
    <row r="149" spans="1:140">
      <c r="A149" s="69"/>
      <c r="B149" s="69"/>
      <c r="C149" s="88"/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51"/>
      <c r="AG149" s="51"/>
      <c r="AH149" s="51"/>
      <c r="AI149" s="51"/>
      <c r="AJ149" s="51"/>
      <c r="AK149" s="51"/>
      <c r="AL149" s="51"/>
      <c r="AM149" s="51"/>
      <c r="AN149" s="51"/>
      <c r="AO149" s="51"/>
      <c r="AP149" s="51"/>
      <c r="AQ149" s="51"/>
      <c r="AR149" s="51"/>
      <c r="AS149" s="51"/>
      <c r="AT149" s="51"/>
      <c r="AU149" s="51"/>
      <c r="AV149" s="51"/>
      <c r="AW149" s="51"/>
      <c r="AX149" s="51"/>
      <c r="AY149" s="51"/>
      <c r="AZ149" s="51"/>
      <c r="BA149" s="51"/>
      <c r="BB149" s="51"/>
      <c r="BC149" s="51"/>
      <c r="BD149" s="51"/>
      <c r="BE149" s="51"/>
      <c r="BF149" s="51"/>
      <c r="BG149" s="51"/>
      <c r="BH149" s="51"/>
      <c r="BI149" s="51"/>
      <c r="BJ149" s="51"/>
      <c r="BK149" s="51"/>
      <c r="BL149" s="51"/>
      <c r="BM149" s="51"/>
      <c r="BN149" s="51"/>
      <c r="BO149" s="51"/>
      <c r="BP149" s="51"/>
      <c r="BQ149" s="51"/>
      <c r="BR149" s="51"/>
      <c r="BS149" s="51"/>
      <c r="BT149" s="51"/>
      <c r="BU149" s="51"/>
      <c r="BV149" s="51"/>
      <c r="BW149" s="51"/>
      <c r="BX149" s="51"/>
      <c r="BY149" s="51"/>
      <c r="BZ149" s="51"/>
      <c r="CA149" s="51"/>
      <c r="CB149" s="51"/>
      <c r="CC149" s="51"/>
      <c r="CD149" s="51"/>
      <c r="CE149" s="51"/>
      <c r="CF149" s="51"/>
      <c r="CG149" s="51"/>
      <c r="CH149" s="51"/>
      <c r="CI149" s="51"/>
      <c r="CJ149" s="51"/>
      <c r="CK149" s="51"/>
      <c r="CL149" s="51"/>
      <c r="CM149" s="51"/>
      <c r="CN149" s="51"/>
      <c r="CO149" s="51"/>
      <c r="CP149" s="51"/>
      <c r="CQ149" s="51"/>
      <c r="CR149" s="51"/>
      <c r="CS149" s="51"/>
      <c r="CT149" s="51"/>
      <c r="CU149" s="51"/>
      <c r="CV149" s="51"/>
      <c r="CW149" s="51"/>
      <c r="CX149" s="51"/>
      <c r="CY149" s="51"/>
      <c r="CZ149" s="51"/>
      <c r="DA149" s="51"/>
      <c r="DB149" s="51"/>
      <c r="DC149" s="51"/>
      <c r="DD149" s="51"/>
      <c r="DE149" s="51"/>
      <c r="DF149" s="51"/>
      <c r="DG149" s="51"/>
      <c r="DH149" s="51"/>
      <c r="DI149" s="51"/>
      <c r="DJ149" s="51"/>
      <c r="DK149" s="51"/>
      <c r="DL149" s="51"/>
      <c r="DM149" s="51"/>
      <c r="DN149" s="51"/>
      <c r="DO149" s="51"/>
      <c r="DP149" s="51"/>
      <c r="DQ149" s="51"/>
      <c r="DR149" s="51"/>
      <c r="DS149" s="51"/>
      <c r="DT149" s="51"/>
      <c r="DU149" s="51"/>
      <c r="DV149" s="51"/>
      <c r="DW149" s="51"/>
      <c r="DX149" s="51"/>
      <c r="DY149" s="51"/>
      <c r="DZ149" s="51"/>
      <c r="EA149" s="51"/>
      <c r="EB149" s="51"/>
      <c r="EC149" s="51"/>
      <c r="ED149" s="51"/>
      <c r="EE149" s="51"/>
      <c r="EF149" s="51"/>
      <c r="EG149" s="51"/>
      <c r="EH149" s="51"/>
      <c r="EI149" s="51"/>
      <c r="EJ149" s="51"/>
    </row>
    <row r="150" spans="1:140">
      <c r="A150" s="69"/>
      <c r="B150" s="69"/>
      <c r="C150" s="88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/>
      <c r="AE150" s="69"/>
      <c r="AF150" s="51"/>
      <c r="AG150" s="51"/>
      <c r="AH150" s="51"/>
      <c r="AI150" s="51"/>
      <c r="AJ150" s="51"/>
      <c r="AK150" s="51"/>
      <c r="AL150" s="51"/>
      <c r="AM150" s="51"/>
      <c r="AN150" s="51"/>
      <c r="AO150" s="51"/>
      <c r="AP150" s="51"/>
      <c r="AQ150" s="51"/>
      <c r="AR150" s="51"/>
      <c r="AS150" s="51"/>
      <c r="AT150" s="51"/>
      <c r="AU150" s="51"/>
      <c r="AV150" s="51"/>
      <c r="AW150" s="51"/>
      <c r="AX150" s="51"/>
      <c r="AY150" s="51"/>
      <c r="AZ150" s="51"/>
      <c r="BA150" s="51"/>
      <c r="BB150" s="51"/>
      <c r="BC150" s="51"/>
      <c r="BD150" s="51"/>
      <c r="BE150" s="51"/>
      <c r="BF150" s="51"/>
      <c r="BG150" s="51"/>
      <c r="BH150" s="51"/>
      <c r="BI150" s="51"/>
      <c r="BJ150" s="51"/>
      <c r="BK150" s="51"/>
      <c r="BL150" s="51"/>
      <c r="BM150" s="51"/>
      <c r="BN150" s="51"/>
      <c r="BO150" s="51"/>
      <c r="BP150" s="51"/>
      <c r="BQ150" s="51"/>
      <c r="BR150" s="51"/>
      <c r="BS150" s="51"/>
      <c r="BT150" s="51"/>
      <c r="BU150" s="51"/>
      <c r="BV150" s="51"/>
      <c r="BW150" s="51"/>
      <c r="BX150" s="51"/>
      <c r="BY150" s="51"/>
      <c r="BZ150" s="51"/>
      <c r="CA150" s="51"/>
      <c r="CB150" s="51"/>
      <c r="CC150" s="51"/>
      <c r="CD150" s="51"/>
      <c r="CE150" s="51"/>
      <c r="CF150" s="51"/>
      <c r="CG150" s="51"/>
      <c r="CH150" s="51"/>
      <c r="CI150" s="51"/>
      <c r="CJ150" s="51"/>
      <c r="CK150" s="51"/>
      <c r="CL150" s="51"/>
      <c r="CM150" s="51"/>
      <c r="CN150" s="51"/>
      <c r="CO150" s="51"/>
      <c r="CP150" s="51"/>
      <c r="CQ150" s="51"/>
      <c r="CR150" s="51"/>
      <c r="CS150" s="51"/>
      <c r="CT150" s="51"/>
      <c r="CU150" s="51"/>
      <c r="CV150" s="51"/>
      <c r="CW150" s="51"/>
      <c r="CX150" s="51"/>
      <c r="CY150" s="51"/>
      <c r="CZ150" s="51"/>
      <c r="DA150" s="51"/>
      <c r="DB150" s="51"/>
      <c r="DC150" s="51"/>
      <c r="DD150" s="51"/>
      <c r="DE150" s="51"/>
      <c r="DF150" s="51"/>
      <c r="DG150" s="51"/>
      <c r="DH150" s="51"/>
      <c r="DI150" s="51"/>
      <c r="DJ150" s="51"/>
      <c r="DK150" s="51"/>
      <c r="DL150" s="51"/>
      <c r="DM150" s="51"/>
      <c r="DN150" s="51"/>
      <c r="DO150" s="51"/>
      <c r="DP150" s="51"/>
      <c r="DQ150" s="51"/>
      <c r="DR150" s="51"/>
      <c r="DS150" s="51"/>
      <c r="DT150" s="51"/>
      <c r="DU150" s="51"/>
      <c r="DV150" s="51"/>
      <c r="DW150" s="51"/>
      <c r="DX150" s="51"/>
      <c r="DY150" s="51"/>
      <c r="DZ150" s="51"/>
      <c r="EA150" s="51"/>
      <c r="EB150" s="51"/>
      <c r="EC150" s="51"/>
      <c r="ED150" s="51"/>
      <c r="EE150" s="51"/>
      <c r="EF150" s="51"/>
      <c r="EG150" s="51"/>
      <c r="EH150" s="51"/>
      <c r="EI150" s="51"/>
      <c r="EJ150" s="51"/>
    </row>
    <row r="151" spans="1:140">
      <c r="A151" s="69"/>
      <c r="B151" s="69"/>
      <c r="C151" s="88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51"/>
      <c r="AG151" s="51"/>
      <c r="AH151" s="51"/>
      <c r="AI151" s="51"/>
      <c r="AJ151" s="51"/>
      <c r="AK151" s="51"/>
      <c r="AL151" s="51"/>
      <c r="AM151" s="51"/>
      <c r="AN151" s="51"/>
      <c r="AO151" s="51"/>
      <c r="AP151" s="51"/>
      <c r="AQ151" s="51"/>
      <c r="AR151" s="51"/>
      <c r="AS151" s="51"/>
      <c r="AT151" s="51"/>
      <c r="AU151" s="51"/>
      <c r="AV151" s="51"/>
      <c r="AW151" s="51"/>
      <c r="AX151" s="51"/>
      <c r="AY151" s="51"/>
      <c r="AZ151" s="51"/>
      <c r="BA151" s="51"/>
      <c r="BB151" s="51"/>
      <c r="BC151" s="51"/>
      <c r="BD151" s="51"/>
      <c r="BE151" s="51"/>
      <c r="BF151" s="51"/>
      <c r="BG151" s="51"/>
      <c r="BH151" s="51"/>
      <c r="BI151" s="51"/>
      <c r="BJ151" s="51"/>
      <c r="BK151" s="51"/>
      <c r="BL151" s="51"/>
      <c r="BM151" s="51"/>
      <c r="BN151" s="51"/>
      <c r="BO151" s="51"/>
      <c r="BP151" s="51"/>
      <c r="BQ151" s="51"/>
      <c r="BR151" s="51"/>
      <c r="BS151" s="51"/>
      <c r="BT151" s="51"/>
      <c r="BU151" s="51"/>
      <c r="BV151" s="51"/>
      <c r="BW151" s="51"/>
      <c r="BX151" s="51"/>
      <c r="BY151" s="51"/>
      <c r="BZ151" s="51"/>
      <c r="CA151" s="51"/>
      <c r="CB151" s="51"/>
      <c r="CC151" s="51"/>
      <c r="CD151" s="51"/>
      <c r="CE151" s="51"/>
      <c r="CF151" s="51"/>
      <c r="CG151" s="51"/>
      <c r="CH151" s="51"/>
      <c r="CI151" s="51"/>
      <c r="CJ151" s="51"/>
      <c r="CK151" s="51"/>
      <c r="CL151" s="51"/>
      <c r="CM151" s="51"/>
      <c r="CN151" s="51"/>
      <c r="CO151" s="51"/>
      <c r="CP151" s="51"/>
      <c r="CQ151" s="51"/>
      <c r="CR151" s="51"/>
      <c r="CS151" s="51"/>
      <c r="CT151" s="51"/>
      <c r="CU151" s="51"/>
      <c r="CV151" s="51"/>
      <c r="CW151" s="51"/>
      <c r="CX151" s="51"/>
      <c r="CY151" s="51"/>
      <c r="CZ151" s="51"/>
      <c r="DA151" s="51"/>
      <c r="DB151" s="51"/>
      <c r="DC151" s="51"/>
      <c r="DD151" s="51"/>
      <c r="DE151" s="51"/>
      <c r="DF151" s="51"/>
      <c r="DG151" s="51"/>
      <c r="DH151" s="51"/>
      <c r="DI151" s="51"/>
      <c r="DJ151" s="51"/>
      <c r="DK151" s="51"/>
      <c r="DL151" s="51"/>
      <c r="DM151" s="51"/>
      <c r="DN151" s="51"/>
      <c r="DO151" s="51"/>
      <c r="DP151" s="51"/>
      <c r="DQ151" s="51"/>
      <c r="DR151" s="51"/>
      <c r="DS151" s="51"/>
      <c r="DT151" s="51"/>
      <c r="DU151" s="51"/>
      <c r="DV151" s="51"/>
      <c r="DW151" s="51"/>
      <c r="DX151" s="51"/>
      <c r="DY151" s="51"/>
      <c r="DZ151" s="51"/>
      <c r="EA151" s="51"/>
      <c r="EB151" s="51"/>
      <c r="EC151" s="51"/>
      <c r="ED151" s="51"/>
      <c r="EE151" s="51"/>
      <c r="EF151" s="51"/>
      <c r="EG151" s="51"/>
      <c r="EH151" s="51"/>
      <c r="EI151" s="51"/>
      <c r="EJ151" s="51"/>
    </row>
    <row r="152" spans="1:140">
      <c r="A152" s="69"/>
      <c r="B152" s="69"/>
      <c r="C152" s="88"/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51"/>
      <c r="AG152" s="51"/>
      <c r="AH152" s="51"/>
      <c r="AI152" s="51"/>
      <c r="AJ152" s="51"/>
      <c r="AK152" s="51"/>
      <c r="AL152" s="51"/>
      <c r="AM152" s="51"/>
      <c r="AN152" s="51"/>
      <c r="AO152" s="51"/>
      <c r="AP152" s="51"/>
      <c r="AQ152" s="51"/>
      <c r="AR152" s="51"/>
      <c r="AS152" s="51"/>
      <c r="AT152" s="51"/>
      <c r="AU152" s="51"/>
      <c r="AV152" s="51"/>
      <c r="AW152" s="51"/>
      <c r="AX152" s="51"/>
      <c r="AY152" s="51"/>
      <c r="AZ152" s="51"/>
      <c r="BA152" s="51"/>
      <c r="BB152" s="51"/>
      <c r="BC152" s="51"/>
      <c r="BD152" s="51"/>
      <c r="BE152" s="51"/>
      <c r="BF152" s="51"/>
      <c r="BG152" s="51"/>
      <c r="BH152" s="51"/>
      <c r="BI152" s="51"/>
      <c r="BJ152" s="51"/>
      <c r="BK152" s="51"/>
      <c r="BL152" s="51"/>
      <c r="BM152" s="51"/>
      <c r="BN152" s="51"/>
      <c r="BO152" s="51"/>
      <c r="BP152" s="51"/>
      <c r="BQ152" s="51"/>
      <c r="BR152" s="51"/>
      <c r="BS152" s="51"/>
      <c r="BT152" s="51"/>
      <c r="BU152" s="51"/>
      <c r="BV152" s="51"/>
      <c r="BW152" s="51"/>
      <c r="BX152" s="51"/>
      <c r="BY152" s="51"/>
      <c r="BZ152" s="51"/>
      <c r="CA152" s="51"/>
      <c r="CB152" s="51"/>
      <c r="CC152" s="51"/>
      <c r="CD152" s="51"/>
      <c r="CE152" s="51"/>
      <c r="CF152" s="51"/>
      <c r="CG152" s="51"/>
      <c r="CH152" s="51"/>
      <c r="CI152" s="51"/>
      <c r="CJ152" s="51"/>
      <c r="CK152" s="51"/>
      <c r="CL152" s="51"/>
      <c r="CM152" s="51"/>
      <c r="CN152" s="51"/>
      <c r="CO152" s="51"/>
      <c r="CP152" s="51"/>
      <c r="CQ152" s="51"/>
      <c r="CR152" s="51"/>
      <c r="CS152" s="51"/>
      <c r="CT152" s="51"/>
      <c r="CU152" s="51"/>
      <c r="CV152" s="51"/>
      <c r="CW152" s="51"/>
      <c r="CX152" s="51"/>
      <c r="CY152" s="51"/>
      <c r="CZ152" s="51"/>
      <c r="DA152" s="51"/>
      <c r="DB152" s="51"/>
      <c r="DC152" s="51"/>
      <c r="DD152" s="51"/>
      <c r="DE152" s="51"/>
      <c r="DF152" s="51"/>
      <c r="DG152" s="51"/>
      <c r="DH152" s="51"/>
      <c r="DI152" s="51"/>
      <c r="DJ152" s="51"/>
      <c r="DK152" s="51"/>
      <c r="DL152" s="51"/>
      <c r="DM152" s="51"/>
      <c r="DN152" s="51"/>
      <c r="DO152" s="51"/>
      <c r="DP152" s="51"/>
      <c r="DQ152" s="51"/>
      <c r="DR152" s="51"/>
      <c r="DS152" s="51"/>
      <c r="DT152" s="51"/>
      <c r="DU152" s="51"/>
      <c r="DV152" s="51"/>
      <c r="DW152" s="51"/>
      <c r="DX152" s="51"/>
      <c r="DY152" s="51"/>
      <c r="DZ152" s="51"/>
      <c r="EA152" s="51"/>
      <c r="EB152" s="51"/>
      <c r="EC152" s="51"/>
      <c r="ED152" s="51"/>
      <c r="EE152" s="51"/>
      <c r="EF152" s="51"/>
      <c r="EG152" s="51"/>
      <c r="EH152" s="51"/>
      <c r="EI152" s="51"/>
      <c r="EJ152" s="51"/>
    </row>
    <row r="153" spans="1:140">
      <c r="A153" s="69"/>
      <c r="B153" s="69"/>
      <c r="C153" s="88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51"/>
      <c r="AG153" s="51"/>
      <c r="AH153" s="51"/>
      <c r="AI153" s="51"/>
      <c r="AJ153" s="51"/>
      <c r="AK153" s="51"/>
      <c r="AL153" s="51"/>
      <c r="AM153" s="51"/>
      <c r="AN153" s="51"/>
      <c r="AO153" s="51"/>
      <c r="AP153" s="51"/>
      <c r="AQ153" s="51"/>
      <c r="AR153" s="51"/>
      <c r="AS153" s="51"/>
      <c r="AT153" s="51"/>
      <c r="AU153" s="51"/>
      <c r="AV153" s="51"/>
      <c r="AW153" s="51"/>
      <c r="AX153" s="51"/>
      <c r="AY153" s="51"/>
      <c r="AZ153" s="51"/>
      <c r="BA153" s="51"/>
      <c r="BB153" s="51"/>
      <c r="BC153" s="51"/>
      <c r="BD153" s="51"/>
      <c r="BE153" s="51"/>
      <c r="BF153" s="51"/>
      <c r="BG153" s="51"/>
      <c r="BH153" s="51"/>
      <c r="BI153" s="51"/>
      <c r="BJ153" s="51"/>
      <c r="BK153" s="51"/>
      <c r="BL153" s="51"/>
      <c r="BM153" s="51"/>
      <c r="BN153" s="51"/>
      <c r="BO153" s="51"/>
      <c r="BP153" s="51"/>
      <c r="BQ153" s="51"/>
      <c r="BR153" s="51"/>
      <c r="BS153" s="51"/>
      <c r="BT153" s="51"/>
      <c r="BU153" s="51"/>
      <c r="BV153" s="51"/>
      <c r="BW153" s="51"/>
      <c r="BX153" s="51"/>
      <c r="BY153" s="51"/>
      <c r="BZ153" s="51"/>
      <c r="CA153" s="51"/>
      <c r="CB153" s="51"/>
      <c r="CC153" s="51"/>
      <c r="CD153" s="51"/>
      <c r="CE153" s="51"/>
      <c r="CF153" s="51"/>
      <c r="CG153" s="51"/>
      <c r="CH153" s="51"/>
      <c r="CI153" s="51"/>
      <c r="CJ153" s="51"/>
      <c r="CK153" s="51"/>
      <c r="CL153" s="51"/>
      <c r="CM153" s="51"/>
      <c r="CN153" s="51"/>
      <c r="CO153" s="51"/>
      <c r="CP153" s="51"/>
      <c r="CQ153" s="51"/>
      <c r="CR153" s="51"/>
      <c r="CS153" s="51"/>
      <c r="CT153" s="51"/>
      <c r="CU153" s="51"/>
      <c r="CV153" s="51"/>
      <c r="CW153" s="51"/>
      <c r="CX153" s="51"/>
      <c r="CY153" s="51"/>
      <c r="CZ153" s="51"/>
      <c r="DA153" s="51"/>
      <c r="DB153" s="51"/>
      <c r="DC153" s="51"/>
      <c r="DD153" s="51"/>
      <c r="DE153" s="51"/>
      <c r="DF153" s="51"/>
      <c r="DG153" s="51"/>
      <c r="DH153" s="51"/>
      <c r="DI153" s="51"/>
      <c r="DJ153" s="51"/>
      <c r="DK153" s="51"/>
      <c r="DL153" s="51"/>
      <c r="DM153" s="51"/>
      <c r="DN153" s="51"/>
      <c r="DO153" s="51"/>
      <c r="DP153" s="51"/>
      <c r="DQ153" s="51"/>
      <c r="DR153" s="51"/>
      <c r="DS153" s="51"/>
      <c r="DT153" s="51"/>
      <c r="DU153" s="51"/>
      <c r="DV153" s="51"/>
      <c r="DW153" s="51"/>
      <c r="DX153" s="51"/>
      <c r="DY153" s="51"/>
      <c r="DZ153" s="51"/>
      <c r="EA153" s="51"/>
      <c r="EB153" s="51"/>
      <c r="EC153" s="51"/>
      <c r="ED153" s="51"/>
      <c r="EE153" s="51"/>
      <c r="EF153" s="51"/>
      <c r="EG153" s="51"/>
      <c r="EH153" s="51"/>
      <c r="EI153" s="51"/>
      <c r="EJ153" s="51"/>
    </row>
    <row r="154" spans="1:140">
      <c r="A154" s="69"/>
      <c r="B154" s="69"/>
      <c r="C154" s="88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69"/>
      <c r="Q154" s="69"/>
      <c r="R154" s="69"/>
      <c r="S154" s="69"/>
      <c r="T154" s="69"/>
      <c r="U154" s="69"/>
      <c r="V154" s="69"/>
      <c r="W154" s="69"/>
      <c r="X154" s="69"/>
      <c r="Y154" s="69"/>
      <c r="Z154" s="69"/>
      <c r="AA154" s="69"/>
      <c r="AB154" s="69"/>
      <c r="AC154" s="69"/>
      <c r="AD154" s="69"/>
      <c r="AE154" s="69"/>
      <c r="AF154" s="51"/>
      <c r="AG154" s="51"/>
      <c r="AH154" s="51"/>
      <c r="AI154" s="51"/>
      <c r="AJ154" s="51"/>
      <c r="AK154" s="51"/>
      <c r="AL154" s="51"/>
      <c r="AM154" s="51"/>
      <c r="AN154" s="51"/>
      <c r="AO154" s="51"/>
      <c r="AP154" s="51"/>
      <c r="AQ154" s="51"/>
      <c r="AR154" s="51"/>
      <c r="AS154" s="51"/>
      <c r="AT154" s="51"/>
      <c r="AU154" s="51"/>
      <c r="AV154" s="51"/>
      <c r="AW154" s="51"/>
      <c r="AX154" s="51"/>
      <c r="AY154" s="51"/>
      <c r="AZ154" s="51"/>
      <c r="BA154" s="51"/>
      <c r="BB154" s="51"/>
      <c r="BC154" s="51"/>
      <c r="BD154" s="51"/>
      <c r="BE154" s="51"/>
      <c r="BF154" s="51"/>
      <c r="BG154" s="51"/>
      <c r="BH154" s="51"/>
      <c r="BI154" s="51"/>
      <c r="BJ154" s="51"/>
      <c r="BK154" s="51"/>
      <c r="BL154" s="51"/>
      <c r="BM154" s="51"/>
      <c r="BN154" s="51"/>
      <c r="BO154" s="51"/>
      <c r="BP154" s="51"/>
      <c r="BQ154" s="51"/>
      <c r="BR154" s="51"/>
      <c r="BS154" s="51"/>
      <c r="BT154" s="51"/>
      <c r="BU154" s="51"/>
      <c r="BV154" s="51"/>
      <c r="BW154" s="51"/>
      <c r="BX154" s="51"/>
      <c r="BY154" s="51"/>
      <c r="BZ154" s="51"/>
      <c r="CA154" s="51"/>
      <c r="CB154" s="51"/>
      <c r="CC154" s="51"/>
      <c r="CD154" s="51"/>
      <c r="CE154" s="51"/>
      <c r="CF154" s="51"/>
      <c r="CG154" s="51"/>
      <c r="CH154" s="51"/>
      <c r="CI154" s="51"/>
      <c r="CJ154" s="51"/>
      <c r="CK154" s="51"/>
      <c r="CL154" s="51"/>
      <c r="CM154" s="51"/>
      <c r="CN154" s="51"/>
      <c r="CO154" s="51"/>
      <c r="CP154" s="51"/>
      <c r="CQ154" s="51"/>
      <c r="CR154" s="51"/>
      <c r="CS154" s="51"/>
      <c r="CT154" s="51"/>
      <c r="CU154" s="51"/>
      <c r="CV154" s="51"/>
      <c r="CW154" s="51"/>
      <c r="CX154" s="51"/>
      <c r="CY154" s="51"/>
      <c r="CZ154" s="51"/>
      <c r="DA154" s="51"/>
      <c r="DB154" s="51"/>
      <c r="DC154" s="51"/>
      <c r="DD154" s="51"/>
      <c r="DE154" s="51"/>
      <c r="DF154" s="51"/>
      <c r="DG154" s="51"/>
      <c r="DH154" s="51"/>
      <c r="DI154" s="51"/>
      <c r="DJ154" s="51"/>
      <c r="DK154" s="51"/>
      <c r="DL154" s="51"/>
      <c r="DM154" s="51"/>
      <c r="DN154" s="51"/>
      <c r="DO154" s="51"/>
      <c r="DP154" s="51"/>
      <c r="DQ154" s="51"/>
      <c r="DR154" s="51"/>
      <c r="DS154" s="51"/>
      <c r="DT154" s="51"/>
      <c r="DU154" s="51"/>
      <c r="DV154" s="51"/>
      <c r="DW154" s="51"/>
      <c r="DX154" s="51"/>
      <c r="DY154" s="51"/>
      <c r="DZ154" s="51"/>
      <c r="EA154" s="51"/>
      <c r="EB154" s="51"/>
      <c r="EC154" s="51"/>
      <c r="ED154" s="51"/>
      <c r="EE154" s="51"/>
      <c r="EF154" s="51"/>
      <c r="EG154" s="51"/>
      <c r="EH154" s="51"/>
      <c r="EI154" s="51"/>
      <c r="EJ154" s="51"/>
    </row>
    <row r="155" spans="1:140">
      <c r="A155" s="69"/>
      <c r="B155" s="69"/>
      <c r="C155" s="88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  <c r="AA155" s="69"/>
      <c r="AB155" s="69"/>
      <c r="AC155" s="69"/>
      <c r="AD155" s="69"/>
      <c r="AE155" s="69"/>
      <c r="AF155" s="51"/>
      <c r="AG155" s="51"/>
      <c r="AH155" s="51"/>
      <c r="AI155" s="51"/>
      <c r="AJ155" s="51"/>
      <c r="AK155" s="51"/>
      <c r="AL155" s="51"/>
      <c r="AM155" s="51"/>
      <c r="AN155" s="51"/>
      <c r="AO155" s="51"/>
      <c r="AP155" s="51"/>
      <c r="AQ155" s="51"/>
      <c r="AR155" s="51"/>
      <c r="AS155" s="51"/>
      <c r="AT155" s="51"/>
      <c r="AU155" s="51"/>
      <c r="AV155" s="51"/>
      <c r="AW155" s="51"/>
      <c r="AX155" s="51"/>
      <c r="AY155" s="51"/>
      <c r="AZ155" s="51"/>
      <c r="BA155" s="51"/>
      <c r="BB155" s="51"/>
      <c r="BC155" s="51"/>
      <c r="BD155" s="51"/>
      <c r="BE155" s="51"/>
      <c r="BF155" s="51"/>
      <c r="BG155" s="51"/>
      <c r="BH155" s="51"/>
      <c r="BI155" s="51"/>
      <c r="BJ155" s="51"/>
      <c r="BK155" s="51"/>
      <c r="BL155" s="51"/>
      <c r="BM155" s="51"/>
      <c r="BN155" s="51"/>
      <c r="BO155" s="51"/>
      <c r="BP155" s="51"/>
      <c r="BQ155" s="51"/>
      <c r="BR155" s="51"/>
      <c r="BS155" s="51"/>
      <c r="BT155" s="51"/>
      <c r="BU155" s="51"/>
      <c r="BV155" s="51"/>
      <c r="BW155" s="51"/>
      <c r="BX155" s="51"/>
      <c r="BY155" s="51"/>
      <c r="BZ155" s="51"/>
      <c r="CA155" s="51"/>
      <c r="CB155" s="51"/>
      <c r="CC155" s="51"/>
      <c r="CD155" s="51"/>
      <c r="CE155" s="51"/>
      <c r="CF155" s="51"/>
      <c r="CG155" s="51"/>
      <c r="CH155" s="51"/>
      <c r="CI155" s="51"/>
      <c r="CJ155" s="51"/>
      <c r="CK155" s="51"/>
      <c r="CL155" s="51"/>
      <c r="CM155" s="51"/>
      <c r="CN155" s="51"/>
      <c r="CO155" s="51"/>
      <c r="CP155" s="51"/>
      <c r="CQ155" s="51"/>
      <c r="CR155" s="51"/>
      <c r="CS155" s="51"/>
      <c r="CT155" s="51"/>
      <c r="CU155" s="51"/>
      <c r="CV155" s="51"/>
      <c r="CW155" s="51"/>
      <c r="CX155" s="51"/>
      <c r="CY155" s="51"/>
      <c r="CZ155" s="51"/>
      <c r="DA155" s="51"/>
      <c r="DB155" s="51"/>
      <c r="DC155" s="51"/>
      <c r="DD155" s="51"/>
      <c r="DE155" s="51"/>
      <c r="DF155" s="51"/>
      <c r="DG155" s="51"/>
      <c r="DH155" s="51"/>
      <c r="DI155" s="51"/>
      <c r="DJ155" s="51"/>
      <c r="DK155" s="51"/>
      <c r="DL155" s="51"/>
      <c r="DM155" s="51"/>
      <c r="DN155" s="51"/>
      <c r="DO155" s="51"/>
      <c r="DP155" s="51"/>
      <c r="DQ155" s="51"/>
      <c r="DR155" s="51"/>
      <c r="DS155" s="51"/>
      <c r="DT155" s="51"/>
      <c r="DU155" s="51"/>
      <c r="DV155" s="51"/>
      <c r="DW155" s="51"/>
      <c r="DX155" s="51"/>
      <c r="DY155" s="51"/>
      <c r="DZ155" s="51"/>
      <c r="EA155" s="51"/>
      <c r="EB155" s="51"/>
      <c r="EC155" s="51"/>
      <c r="ED155" s="51"/>
      <c r="EE155" s="51"/>
      <c r="EF155" s="51"/>
      <c r="EG155" s="51"/>
      <c r="EH155" s="51"/>
      <c r="EI155" s="51"/>
      <c r="EJ155" s="51"/>
    </row>
    <row r="156" spans="1:140">
      <c r="A156" s="69"/>
      <c r="B156" s="69"/>
      <c r="C156" s="88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69"/>
      <c r="AE156" s="69"/>
      <c r="AF156" s="51"/>
      <c r="AG156" s="51"/>
      <c r="AH156" s="51"/>
      <c r="AI156" s="51"/>
      <c r="AJ156" s="51"/>
      <c r="AK156" s="51"/>
      <c r="AL156" s="51"/>
      <c r="AM156" s="51"/>
      <c r="AN156" s="51"/>
      <c r="AO156" s="51"/>
      <c r="AP156" s="51"/>
      <c r="AQ156" s="51"/>
      <c r="AR156" s="51"/>
      <c r="AS156" s="51"/>
      <c r="AT156" s="51"/>
      <c r="AU156" s="51"/>
      <c r="AV156" s="51"/>
      <c r="AW156" s="51"/>
      <c r="AX156" s="51"/>
      <c r="AY156" s="51"/>
      <c r="AZ156" s="51"/>
      <c r="BA156" s="51"/>
      <c r="BB156" s="51"/>
      <c r="BC156" s="51"/>
      <c r="BD156" s="51"/>
      <c r="BE156" s="51"/>
      <c r="BF156" s="51"/>
      <c r="BG156" s="51"/>
      <c r="BH156" s="51"/>
      <c r="BI156" s="51"/>
      <c r="BJ156" s="51"/>
      <c r="BK156" s="51"/>
      <c r="BL156" s="51"/>
      <c r="BM156" s="51"/>
      <c r="BN156" s="51"/>
      <c r="BO156" s="51"/>
      <c r="BP156" s="51"/>
      <c r="BQ156" s="51"/>
      <c r="BR156" s="51"/>
      <c r="BS156" s="51"/>
      <c r="BT156" s="51"/>
      <c r="BU156" s="51"/>
      <c r="BV156" s="51"/>
      <c r="BW156" s="51"/>
      <c r="BX156" s="51"/>
      <c r="BY156" s="51"/>
      <c r="BZ156" s="51"/>
      <c r="CA156" s="51"/>
      <c r="CB156" s="51"/>
      <c r="CC156" s="51"/>
      <c r="CD156" s="51"/>
      <c r="CE156" s="51"/>
      <c r="CF156" s="51"/>
      <c r="CG156" s="51"/>
      <c r="CH156" s="51"/>
      <c r="CI156" s="51"/>
      <c r="CJ156" s="51"/>
      <c r="CK156" s="51"/>
      <c r="CL156" s="51"/>
      <c r="CM156" s="51"/>
      <c r="CN156" s="51"/>
      <c r="CO156" s="51"/>
      <c r="CP156" s="51"/>
      <c r="CQ156" s="51"/>
      <c r="CR156" s="51"/>
      <c r="CS156" s="51"/>
      <c r="CT156" s="51"/>
      <c r="CU156" s="51"/>
      <c r="CV156" s="51"/>
      <c r="CW156" s="51"/>
      <c r="CX156" s="51"/>
      <c r="CY156" s="51"/>
      <c r="CZ156" s="51"/>
      <c r="DA156" s="51"/>
      <c r="DB156" s="51"/>
      <c r="DC156" s="51"/>
      <c r="DD156" s="51"/>
      <c r="DE156" s="51"/>
      <c r="DF156" s="51"/>
      <c r="DG156" s="51"/>
      <c r="DH156" s="51"/>
      <c r="DI156" s="51"/>
      <c r="DJ156" s="51"/>
      <c r="DK156" s="51"/>
      <c r="DL156" s="51"/>
      <c r="DM156" s="51"/>
      <c r="DN156" s="51"/>
      <c r="DO156" s="51"/>
      <c r="DP156" s="51"/>
      <c r="DQ156" s="51"/>
      <c r="DR156" s="51"/>
      <c r="DS156" s="51"/>
      <c r="DT156" s="51"/>
      <c r="DU156" s="51"/>
      <c r="DV156" s="51"/>
      <c r="DW156" s="51"/>
      <c r="DX156" s="51"/>
      <c r="DY156" s="51"/>
      <c r="DZ156" s="51"/>
      <c r="EA156" s="51"/>
      <c r="EB156" s="51"/>
      <c r="EC156" s="51"/>
      <c r="ED156" s="51"/>
      <c r="EE156" s="51"/>
      <c r="EF156" s="51"/>
      <c r="EG156" s="51"/>
      <c r="EH156" s="51"/>
      <c r="EI156" s="51"/>
      <c r="EJ156" s="51"/>
    </row>
    <row r="157" spans="1:140">
      <c r="A157" s="69"/>
      <c r="B157" s="69"/>
      <c r="C157" s="88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51"/>
      <c r="AG157" s="51"/>
      <c r="AH157" s="51"/>
      <c r="AI157" s="51"/>
      <c r="AJ157" s="51"/>
      <c r="AK157" s="51"/>
      <c r="AL157" s="51"/>
      <c r="AM157" s="51"/>
      <c r="AN157" s="51"/>
      <c r="AO157" s="51"/>
      <c r="AP157" s="51"/>
      <c r="AQ157" s="51"/>
      <c r="AR157" s="51"/>
      <c r="AS157" s="51"/>
      <c r="AT157" s="51"/>
      <c r="AU157" s="51"/>
      <c r="AV157" s="51"/>
      <c r="AW157" s="51"/>
      <c r="AX157" s="51"/>
      <c r="AY157" s="51"/>
      <c r="AZ157" s="51"/>
      <c r="BA157" s="51"/>
      <c r="BB157" s="51"/>
      <c r="BC157" s="51"/>
      <c r="BD157" s="51"/>
      <c r="BE157" s="51"/>
      <c r="BF157" s="51"/>
      <c r="BG157" s="51"/>
      <c r="BH157" s="51"/>
      <c r="BI157" s="51"/>
      <c r="BJ157" s="51"/>
      <c r="BK157" s="51"/>
      <c r="BL157" s="51"/>
      <c r="BM157" s="51"/>
      <c r="BN157" s="51"/>
      <c r="BO157" s="51"/>
      <c r="BP157" s="51"/>
      <c r="BQ157" s="51"/>
      <c r="BR157" s="51"/>
      <c r="BS157" s="51"/>
      <c r="BT157" s="51"/>
      <c r="BU157" s="51"/>
      <c r="BV157" s="51"/>
      <c r="BW157" s="51"/>
      <c r="BX157" s="51"/>
      <c r="BY157" s="51"/>
      <c r="BZ157" s="51"/>
      <c r="CA157" s="51"/>
      <c r="CB157" s="51"/>
      <c r="CC157" s="51"/>
      <c r="CD157" s="51"/>
      <c r="CE157" s="51"/>
      <c r="CF157" s="51"/>
      <c r="CG157" s="51"/>
      <c r="CH157" s="51"/>
      <c r="CI157" s="51"/>
      <c r="CJ157" s="51"/>
      <c r="CK157" s="51"/>
      <c r="CL157" s="51"/>
      <c r="CM157" s="51"/>
      <c r="CN157" s="51"/>
      <c r="CO157" s="51"/>
      <c r="CP157" s="51"/>
      <c r="CQ157" s="51"/>
      <c r="CR157" s="51"/>
      <c r="CS157" s="51"/>
      <c r="CT157" s="51"/>
      <c r="CU157" s="51"/>
      <c r="CV157" s="51"/>
      <c r="CW157" s="51"/>
      <c r="CX157" s="51"/>
      <c r="CY157" s="51"/>
      <c r="CZ157" s="51"/>
      <c r="DA157" s="51"/>
      <c r="DB157" s="51"/>
      <c r="DC157" s="51"/>
      <c r="DD157" s="51"/>
      <c r="DE157" s="51"/>
      <c r="DF157" s="51"/>
      <c r="DG157" s="51"/>
      <c r="DH157" s="51"/>
      <c r="DI157" s="51"/>
      <c r="DJ157" s="51"/>
      <c r="DK157" s="51"/>
      <c r="DL157" s="51"/>
      <c r="DM157" s="51"/>
      <c r="DN157" s="51"/>
      <c r="DO157" s="51"/>
      <c r="DP157" s="51"/>
      <c r="DQ157" s="51"/>
      <c r="DR157" s="51"/>
      <c r="DS157" s="51"/>
      <c r="DT157" s="51"/>
      <c r="DU157" s="51"/>
      <c r="DV157" s="51"/>
      <c r="DW157" s="51"/>
      <c r="DX157" s="51"/>
      <c r="DY157" s="51"/>
      <c r="DZ157" s="51"/>
      <c r="EA157" s="51"/>
      <c r="EB157" s="51"/>
      <c r="EC157" s="51"/>
      <c r="ED157" s="51"/>
      <c r="EE157" s="51"/>
      <c r="EF157" s="51"/>
      <c r="EG157" s="51"/>
      <c r="EH157" s="51"/>
      <c r="EI157" s="51"/>
      <c r="EJ157" s="51"/>
    </row>
    <row r="158" spans="1:140">
      <c r="A158" s="69"/>
      <c r="B158" s="69"/>
      <c r="C158" s="88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69"/>
      <c r="Q158" s="69"/>
      <c r="R158" s="69"/>
      <c r="S158" s="69"/>
      <c r="T158" s="69"/>
      <c r="U158" s="69"/>
      <c r="V158" s="69"/>
      <c r="W158" s="69"/>
      <c r="X158" s="69"/>
      <c r="Y158" s="69"/>
      <c r="Z158" s="69"/>
      <c r="AA158" s="69"/>
      <c r="AB158" s="69"/>
      <c r="AC158" s="69"/>
      <c r="AD158" s="69"/>
      <c r="AE158" s="69"/>
      <c r="AF158" s="51"/>
      <c r="AG158" s="51"/>
      <c r="AH158" s="51"/>
      <c r="AI158" s="51"/>
      <c r="AJ158" s="51"/>
      <c r="AK158" s="51"/>
      <c r="AL158" s="51"/>
      <c r="AM158" s="51"/>
      <c r="AN158" s="51"/>
      <c r="AO158" s="51"/>
      <c r="AP158" s="51"/>
      <c r="AQ158" s="51"/>
      <c r="AR158" s="51"/>
      <c r="AS158" s="51"/>
      <c r="AT158" s="51"/>
      <c r="AU158" s="51"/>
      <c r="AV158" s="51"/>
      <c r="AW158" s="51"/>
      <c r="AX158" s="51"/>
      <c r="AY158" s="51"/>
      <c r="AZ158" s="51"/>
      <c r="BA158" s="51"/>
      <c r="BB158" s="51"/>
      <c r="BC158" s="51"/>
      <c r="BD158" s="51"/>
      <c r="BE158" s="51"/>
      <c r="BF158" s="51"/>
      <c r="BG158" s="51"/>
      <c r="BH158" s="51"/>
      <c r="BI158" s="51"/>
      <c r="BJ158" s="51"/>
      <c r="BK158" s="51"/>
      <c r="BL158" s="51"/>
      <c r="BM158" s="51"/>
      <c r="BN158" s="51"/>
      <c r="BO158" s="51"/>
      <c r="BP158" s="51"/>
      <c r="BQ158" s="51"/>
      <c r="BR158" s="51"/>
      <c r="BS158" s="51"/>
      <c r="BT158" s="51"/>
      <c r="BU158" s="51"/>
      <c r="BV158" s="51"/>
      <c r="BW158" s="51"/>
      <c r="BX158" s="51"/>
      <c r="BY158" s="51"/>
      <c r="BZ158" s="51"/>
      <c r="CA158" s="51"/>
      <c r="CB158" s="51"/>
      <c r="CC158" s="51"/>
      <c r="CD158" s="51"/>
      <c r="CE158" s="51"/>
      <c r="CF158" s="51"/>
      <c r="CG158" s="51"/>
      <c r="CH158" s="51"/>
      <c r="CI158" s="51"/>
      <c r="CJ158" s="51"/>
      <c r="CK158" s="51"/>
      <c r="CL158" s="51"/>
      <c r="CM158" s="51"/>
      <c r="CN158" s="51"/>
      <c r="CO158" s="51"/>
      <c r="CP158" s="51"/>
      <c r="CQ158" s="51"/>
      <c r="CR158" s="51"/>
      <c r="CS158" s="51"/>
      <c r="CT158" s="51"/>
      <c r="CU158" s="51"/>
      <c r="CV158" s="51"/>
      <c r="CW158" s="51"/>
      <c r="CX158" s="51"/>
      <c r="CY158" s="51"/>
      <c r="CZ158" s="51"/>
      <c r="DA158" s="51"/>
      <c r="DB158" s="51"/>
      <c r="DC158" s="51"/>
      <c r="DD158" s="51"/>
      <c r="DE158" s="51"/>
      <c r="DF158" s="51"/>
      <c r="DG158" s="51"/>
      <c r="DH158" s="51"/>
      <c r="DI158" s="51"/>
      <c r="DJ158" s="51"/>
      <c r="DK158" s="51"/>
      <c r="DL158" s="51"/>
      <c r="DM158" s="51"/>
      <c r="DN158" s="51"/>
      <c r="DO158" s="51"/>
      <c r="DP158" s="51"/>
      <c r="DQ158" s="51"/>
      <c r="DR158" s="51"/>
      <c r="DS158" s="51"/>
      <c r="DT158" s="51"/>
      <c r="DU158" s="51"/>
      <c r="DV158" s="51"/>
      <c r="DW158" s="51"/>
      <c r="DX158" s="51"/>
      <c r="DY158" s="51"/>
      <c r="DZ158" s="51"/>
      <c r="EA158" s="51"/>
      <c r="EB158" s="51"/>
      <c r="EC158" s="51"/>
      <c r="ED158" s="51"/>
      <c r="EE158" s="51"/>
      <c r="EF158" s="51"/>
      <c r="EG158" s="51"/>
      <c r="EH158" s="51"/>
      <c r="EI158" s="51"/>
      <c r="EJ158" s="51"/>
    </row>
    <row r="159" spans="1:140">
      <c r="A159" s="69"/>
      <c r="B159" s="69"/>
      <c r="C159" s="88"/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69"/>
      <c r="Q159" s="69"/>
      <c r="R159" s="69"/>
      <c r="S159" s="69"/>
      <c r="T159" s="69"/>
      <c r="U159" s="69"/>
      <c r="V159" s="69"/>
      <c r="W159" s="69"/>
      <c r="X159" s="69"/>
      <c r="Y159" s="69"/>
      <c r="Z159" s="69"/>
      <c r="AA159" s="69"/>
      <c r="AB159" s="69"/>
      <c r="AC159" s="69"/>
      <c r="AD159" s="69"/>
      <c r="AE159" s="69"/>
      <c r="AF159" s="51"/>
      <c r="AG159" s="51"/>
      <c r="AH159" s="51"/>
      <c r="AI159" s="51"/>
      <c r="AJ159" s="51"/>
      <c r="AK159" s="51"/>
      <c r="AL159" s="51"/>
      <c r="AM159" s="51"/>
      <c r="AN159" s="51"/>
      <c r="AO159" s="51"/>
      <c r="AP159" s="51"/>
      <c r="AQ159" s="51"/>
      <c r="AR159" s="51"/>
      <c r="AS159" s="51"/>
      <c r="AT159" s="51"/>
      <c r="AU159" s="51"/>
      <c r="AV159" s="51"/>
      <c r="AW159" s="51"/>
      <c r="AX159" s="51"/>
      <c r="AY159" s="51"/>
      <c r="AZ159" s="51"/>
      <c r="BA159" s="51"/>
      <c r="BB159" s="51"/>
      <c r="BC159" s="51"/>
      <c r="BD159" s="51"/>
      <c r="BE159" s="51"/>
      <c r="BF159" s="51"/>
      <c r="BG159" s="51"/>
      <c r="BH159" s="51"/>
      <c r="BI159" s="51"/>
      <c r="BJ159" s="51"/>
      <c r="BK159" s="51"/>
      <c r="BL159" s="51"/>
      <c r="BM159" s="51"/>
      <c r="BN159" s="51"/>
      <c r="BO159" s="51"/>
      <c r="BP159" s="51"/>
      <c r="BQ159" s="51"/>
      <c r="BR159" s="51"/>
      <c r="BS159" s="51"/>
      <c r="BT159" s="51"/>
      <c r="BU159" s="51"/>
      <c r="BV159" s="51"/>
      <c r="BW159" s="51"/>
      <c r="BX159" s="51"/>
      <c r="BY159" s="51"/>
      <c r="BZ159" s="51"/>
      <c r="CA159" s="51"/>
      <c r="CB159" s="51"/>
      <c r="CC159" s="51"/>
      <c r="CD159" s="51"/>
      <c r="CE159" s="51"/>
      <c r="CF159" s="51"/>
      <c r="CG159" s="51"/>
      <c r="CH159" s="51"/>
      <c r="CI159" s="51"/>
      <c r="CJ159" s="51"/>
      <c r="CK159" s="51"/>
      <c r="CL159" s="51"/>
      <c r="CM159" s="51"/>
      <c r="CN159" s="51"/>
      <c r="CO159" s="51"/>
      <c r="CP159" s="51"/>
      <c r="CQ159" s="51"/>
      <c r="CR159" s="51"/>
      <c r="CS159" s="51"/>
      <c r="CT159" s="51"/>
      <c r="CU159" s="51"/>
      <c r="CV159" s="51"/>
      <c r="CW159" s="51"/>
      <c r="CX159" s="51"/>
      <c r="CY159" s="51"/>
      <c r="CZ159" s="51"/>
      <c r="DA159" s="51"/>
      <c r="DB159" s="51"/>
      <c r="DC159" s="51"/>
      <c r="DD159" s="51"/>
      <c r="DE159" s="51"/>
      <c r="DF159" s="51"/>
      <c r="DG159" s="51"/>
      <c r="DH159" s="51"/>
      <c r="DI159" s="51"/>
      <c r="DJ159" s="51"/>
      <c r="DK159" s="51"/>
      <c r="DL159" s="51"/>
      <c r="DM159" s="51"/>
      <c r="DN159" s="51"/>
      <c r="DO159" s="51"/>
      <c r="DP159" s="51"/>
      <c r="DQ159" s="51"/>
      <c r="DR159" s="51"/>
      <c r="DS159" s="51"/>
      <c r="DT159" s="51"/>
      <c r="DU159" s="51"/>
      <c r="DV159" s="51"/>
      <c r="DW159" s="51"/>
      <c r="DX159" s="51"/>
      <c r="DY159" s="51"/>
      <c r="DZ159" s="51"/>
      <c r="EA159" s="51"/>
      <c r="EB159" s="51"/>
      <c r="EC159" s="51"/>
      <c r="ED159" s="51"/>
      <c r="EE159" s="51"/>
      <c r="EF159" s="51"/>
      <c r="EG159" s="51"/>
      <c r="EH159" s="51"/>
      <c r="EI159" s="51"/>
      <c r="EJ159" s="51"/>
    </row>
    <row r="160" spans="1:140">
      <c r="A160" s="69"/>
      <c r="B160" s="69"/>
      <c r="C160" s="88"/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51"/>
      <c r="AG160" s="51"/>
      <c r="AH160" s="51"/>
      <c r="AI160" s="51"/>
      <c r="AJ160" s="51"/>
      <c r="AK160" s="51"/>
      <c r="AL160" s="51"/>
      <c r="AM160" s="51"/>
      <c r="AN160" s="51"/>
      <c r="AO160" s="51"/>
      <c r="AP160" s="51"/>
      <c r="AQ160" s="51"/>
      <c r="AR160" s="51"/>
      <c r="AS160" s="51"/>
      <c r="AT160" s="51"/>
      <c r="AU160" s="51"/>
      <c r="AV160" s="51"/>
      <c r="AW160" s="51"/>
      <c r="AX160" s="51"/>
      <c r="AY160" s="51"/>
      <c r="AZ160" s="51"/>
      <c r="BA160" s="51"/>
      <c r="BB160" s="51"/>
      <c r="BC160" s="51"/>
      <c r="BD160" s="51"/>
      <c r="BE160" s="51"/>
      <c r="BF160" s="51"/>
      <c r="BG160" s="51"/>
      <c r="BH160" s="51"/>
      <c r="BI160" s="51"/>
      <c r="BJ160" s="51"/>
      <c r="BK160" s="51"/>
      <c r="BL160" s="51"/>
      <c r="BM160" s="51"/>
      <c r="BN160" s="51"/>
      <c r="BO160" s="51"/>
      <c r="BP160" s="51"/>
      <c r="BQ160" s="51"/>
      <c r="BR160" s="51"/>
      <c r="BS160" s="51"/>
      <c r="BT160" s="51"/>
      <c r="BU160" s="51"/>
      <c r="BV160" s="51"/>
      <c r="BW160" s="51"/>
      <c r="BX160" s="51"/>
      <c r="BY160" s="51"/>
      <c r="BZ160" s="51"/>
      <c r="CA160" s="51"/>
      <c r="CB160" s="51"/>
      <c r="CC160" s="51"/>
      <c r="CD160" s="51"/>
      <c r="CE160" s="51"/>
      <c r="CF160" s="51"/>
      <c r="CG160" s="51"/>
      <c r="CH160" s="51"/>
      <c r="CI160" s="51"/>
      <c r="CJ160" s="51"/>
      <c r="CK160" s="51"/>
      <c r="CL160" s="51"/>
      <c r="CM160" s="51"/>
      <c r="CN160" s="51"/>
      <c r="CO160" s="51"/>
      <c r="CP160" s="51"/>
      <c r="CQ160" s="51"/>
      <c r="CR160" s="51"/>
      <c r="CS160" s="51"/>
      <c r="CT160" s="51"/>
      <c r="CU160" s="51"/>
      <c r="CV160" s="51"/>
      <c r="CW160" s="51"/>
      <c r="CX160" s="51"/>
      <c r="CY160" s="51"/>
      <c r="CZ160" s="51"/>
      <c r="DA160" s="51"/>
      <c r="DB160" s="51"/>
      <c r="DC160" s="51"/>
      <c r="DD160" s="51"/>
      <c r="DE160" s="51"/>
      <c r="DF160" s="51"/>
      <c r="DG160" s="51"/>
      <c r="DH160" s="51"/>
      <c r="DI160" s="51"/>
      <c r="DJ160" s="51"/>
      <c r="DK160" s="51"/>
      <c r="DL160" s="51"/>
      <c r="DM160" s="51"/>
      <c r="DN160" s="51"/>
      <c r="DO160" s="51"/>
      <c r="DP160" s="51"/>
      <c r="DQ160" s="51"/>
      <c r="DR160" s="51"/>
      <c r="DS160" s="51"/>
      <c r="DT160" s="51"/>
      <c r="DU160" s="51"/>
      <c r="DV160" s="51"/>
      <c r="DW160" s="51"/>
      <c r="DX160" s="51"/>
      <c r="DY160" s="51"/>
      <c r="DZ160" s="51"/>
      <c r="EA160" s="51"/>
      <c r="EB160" s="51"/>
      <c r="EC160" s="51"/>
      <c r="ED160" s="51"/>
      <c r="EE160" s="51"/>
      <c r="EF160" s="51"/>
      <c r="EG160" s="51"/>
      <c r="EH160" s="51"/>
      <c r="EI160" s="51"/>
      <c r="EJ160" s="51"/>
    </row>
    <row r="161" spans="1:140">
      <c r="A161" s="69"/>
      <c r="B161" s="69"/>
      <c r="C161" s="88"/>
      <c r="D161" s="87"/>
      <c r="E161" s="87"/>
      <c r="F161" s="87"/>
      <c r="G161" s="87"/>
      <c r="H161" s="87"/>
      <c r="I161" s="87"/>
      <c r="J161" s="87"/>
      <c r="K161" s="87"/>
      <c r="L161" s="87"/>
      <c r="M161" s="87"/>
      <c r="N161" s="87"/>
      <c r="O161" s="87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51"/>
      <c r="AG161" s="51"/>
      <c r="AH161" s="51"/>
      <c r="AI161" s="51"/>
      <c r="AJ161" s="51"/>
      <c r="AK161" s="51"/>
      <c r="AL161" s="51"/>
      <c r="AM161" s="51"/>
      <c r="AN161" s="51"/>
      <c r="AO161" s="51"/>
      <c r="AP161" s="51"/>
      <c r="AQ161" s="51"/>
      <c r="AR161" s="51"/>
      <c r="AS161" s="51"/>
      <c r="AT161" s="51"/>
      <c r="AU161" s="51"/>
      <c r="AV161" s="51"/>
      <c r="AW161" s="51"/>
      <c r="AX161" s="51"/>
      <c r="AY161" s="51"/>
      <c r="AZ161" s="51"/>
      <c r="BA161" s="51"/>
      <c r="BB161" s="51"/>
      <c r="BC161" s="51"/>
      <c r="BD161" s="51"/>
      <c r="BE161" s="51"/>
      <c r="BF161" s="51"/>
      <c r="BG161" s="51"/>
      <c r="BH161" s="51"/>
      <c r="BI161" s="51"/>
      <c r="BJ161" s="51"/>
      <c r="BK161" s="51"/>
      <c r="BL161" s="51"/>
      <c r="BM161" s="51"/>
      <c r="BN161" s="51"/>
      <c r="BO161" s="51"/>
      <c r="BP161" s="51"/>
      <c r="BQ161" s="51"/>
      <c r="BR161" s="51"/>
      <c r="BS161" s="51"/>
      <c r="BT161" s="51"/>
      <c r="BU161" s="51"/>
      <c r="BV161" s="51"/>
      <c r="BW161" s="51"/>
      <c r="BX161" s="51"/>
      <c r="BY161" s="51"/>
      <c r="BZ161" s="51"/>
      <c r="CA161" s="51"/>
      <c r="CB161" s="51"/>
      <c r="CC161" s="51"/>
      <c r="CD161" s="51"/>
      <c r="CE161" s="51"/>
      <c r="CF161" s="51"/>
      <c r="CG161" s="51"/>
      <c r="CH161" s="51"/>
      <c r="CI161" s="51"/>
      <c r="CJ161" s="51"/>
      <c r="CK161" s="51"/>
      <c r="CL161" s="51"/>
      <c r="CM161" s="51"/>
      <c r="CN161" s="51"/>
      <c r="CO161" s="51"/>
      <c r="CP161" s="51"/>
      <c r="CQ161" s="51"/>
      <c r="CR161" s="51"/>
      <c r="CS161" s="51"/>
      <c r="CT161" s="51"/>
      <c r="CU161" s="51"/>
      <c r="CV161" s="51"/>
      <c r="CW161" s="51"/>
      <c r="CX161" s="51"/>
      <c r="CY161" s="51"/>
      <c r="CZ161" s="51"/>
      <c r="DA161" s="51"/>
      <c r="DB161" s="51"/>
      <c r="DC161" s="51"/>
      <c r="DD161" s="51"/>
      <c r="DE161" s="51"/>
      <c r="DF161" s="51"/>
      <c r="DG161" s="51"/>
      <c r="DH161" s="51"/>
      <c r="DI161" s="51"/>
      <c r="DJ161" s="51"/>
      <c r="DK161" s="51"/>
      <c r="DL161" s="51"/>
      <c r="DM161" s="51"/>
      <c r="DN161" s="51"/>
      <c r="DO161" s="51"/>
      <c r="DP161" s="51"/>
      <c r="DQ161" s="51"/>
      <c r="DR161" s="51"/>
      <c r="DS161" s="51"/>
      <c r="DT161" s="51"/>
      <c r="DU161" s="51"/>
      <c r="DV161" s="51"/>
      <c r="DW161" s="51"/>
      <c r="DX161" s="51"/>
      <c r="DY161" s="51"/>
      <c r="DZ161" s="51"/>
      <c r="EA161" s="51"/>
      <c r="EB161" s="51"/>
      <c r="EC161" s="51"/>
      <c r="ED161" s="51"/>
      <c r="EE161" s="51"/>
      <c r="EF161" s="51"/>
      <c r="EG161" s="51"/>
      <c r="EH161" s="51"/>
      <c r="EI161" s="51"/>
      <c r="EJ161" s="51"/>
    </row>
    <row r="162" spans="1:140">
      <c r="A162" s="69"/>
      <c r="B162" s="69"/>
      <c r="C162" s="88"/>
      <c r="D162" s="87"/>
      <c r="E162" s="87"/>
      <c r="F162" s="87"/>
      <c r="G162" s="87"/>
      <c r="H162" s="87"/>
      <c r="I162" s="87"/>
      <c r="J162" s="87"/>
      <c r="K162" s="87"/>
      <c r="L162" s="87"/>
      <c r="M162" s="87"/>
      <c r="N162" s="87"/>
      <c r="O162" s="87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51"/>
      <c r="AG162" s="51"/>
      <c r="AH162" s="51"/>
      <c r="AI162" s="51"/>
      <c r="AJ162" s="51"/>
      <c r="AK162" s="51"/>
      <c r="AL162" s="51"/>
      <c r="AM162" s="51"/>
      <c r="AN162" s="51"/>
      <c r="AO162" s="51"/>
      <c r="AP162" s="51"/>
      <c r="AQ162" s="51"/>
      <c r="AR162" s="51"/>
      <c r="AS162" s="51"/>
      <c r="AT162" s="51"/>
      <c r="AU162" s="51"/>
      <c r="AV162" s="51"/>
      <c r="AW162" s="51"/>
      <c r="AX162" s="51"/>
      <c r="AY162" s="51"/>
      <c r="AZ162" s="51"/>
      <c r="BA162" s="51"/>
      <c r="BB162" s="51"/>
      <c r="BC162" s="51"/>
      <c r="BD162" s="51"/>
      <c r="BE162" s="51"/>
      <c r="BF162" s="51"/>
      <c r="BG162" s="51"/>
      <c r="BH162" s="51"/>
      <c r="BI162" s="51"/>
      <c r="BJ162" s="51"/>
      <c r="BK162" s="51"/>
      <c r="BL162" s="51"/>
      <c r="BM162" s="51"/>
      <c r="BN162" s="51"/>
      <c r="BO162" s="51"/>
      <c r="BP162" s="51"/>
      <c r="BQ162" s="51"/>
      <c r="BR162" s="51"/>
      <c r="BS162" s="51"/>
      <c r="BT162" s="51"/>
      <c r="BU162" s="51"/>
      <c r="BV162" s="51"/>
      <c r="BW162" s="51"/>
      <c r="BX162" s="51"/>
      <c r="BY162" s="51"/>
      <c r="BZ162" s="51"/>
      <c r="CA162" s="51"/>
      <c r="CB162" s="51"/>
      <c r="CC162" s="51"/>
      <c r="CD162" s="51"/>
      <c r="CE162" s="51"/>
      <c r="CF162" s="51"/>
      <c r="CG162" s="51"/>
      <c r="CH162" s="51"/>
      <c r="CI162" s="51"/>
      <c r="CJ162" s="51"/>
      <c r="CK162" s="51"/>
      <c r="CL162" s="51"/>
      <c r="CM162" s="51"/>
      <c r="CN162" s="51"/>
      <c r="CO162" s="51"/>
      <c r="CP162" s="51"/>
      <c r="CQ162" s="51"/>
      <c r="CR162" s="51"/>
      <c r="CS162" s="51"/>
      <c r="CT162" s="51"/>
      <c r="CU162" s="51"/>
      <c r="CV162" s="51"/>
      <c r="CW162" s="51"/>
      <c r="CX162" s="51"/>
      <c r="CY162" s="51"/>
      <c r="CZ162" s="51"/>
      <c r="DA162" s="51"/>
      <c r="DB162" s="51"/>
      <c r="DC162" s="51"/>
      <c r="DD162" s="51"/>
      <c r="DE162" s="51"/>
      <c r="DF162" s="51"/>
      <c r="DG162" s="51"/>
      <c r="DH162" s="51"/>
      <c r="DI162" s="51"/>
      <c r="DJ162" s="51"/>
      <c r="DK162" s="51"/>
      <c r="DL162" s="51"/>
      <c r="DM162" s="51"/>
      <c r="DN162" s="51"/>
      <c r="DO162" s="51"/>
      <c r="DP162" s="51"/>
      <c r="DQ162" s="51"/>
      <c r="DR162" s="51"/>
      <c r="DS162" s="51"/>
      <c r="DT162" s="51"/>
      <c r="DU162" s="51"/>
      <c r="DV162" s="51"/>
      <c r="DW162" s="51"/>
      <c r="DX162" s="51"/>
      <c r="DY162" s="51"/>
      <c r="DZ162" s="51"/>
      <c r="EA162" s="51"/>
      <c r="EB162" s="51"/>
      <c r="EC162" s="51"/>
      <c r="ED162" s="51"/>
      <c r="EE162" s="51"/>
      <c r="EF162" s="51"/>
      <c r="EG162" s="51"/>
      <c r="EH162" s="51"/>
      <c r="EI162" s="51"/>
      <c r="EJ162" s="51"/>
    </row>
    <row r="163" spans="1:140">
      <c r="A163" s="69"/>
      <c r="B163" s="69"/>
      <c r="C163" s="88"/>
      <c r="D163" s="87"/>
      <c r="E163" s="87"/>
      <c r="F163" s="87"/>
      <c r="G163" s="87"/>
      <c r="H163" s="87"/>
      <c r="I163" s="87"/>
      <c r="J163" s="87"/>
      <c r="K163" s="87"/>
      <c r="L163" s="87"/>
      <c r="M163" s="87"/>
      <c r="N163" s="87"/>
      <c r="O163" s="87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51"/>
      <c r="AG163" s="51"/>
      <c r="AH163" s="51"/>
      <c r="AI163" s="51"/>
      <c r="AJ163" s="51"/>
      <c r="AK163" s="51"/>
      <c r="AL163" s="51"/>
      <c r="AM163" s="51"/>
      <c r="AN163" s="51"/>
      <c r="AO163" s="51"/>
      <c r="AP163" s="51"/>
      <c r="AQ163" s="51"/>
      <c r="AR163" s="51"/>
      <c r="AS163" s="51"/>
      <c r="AT163" s="51"/>
      <c r="AU163" s="51"/>
      <c r="AV163" s="51"/>
      <c r="AW163" s="51"/>
      <c r="AX163" s="51"/>
      <c r="AY163" s="51"/>
      <c r="AZ163" s="51"/>
      <c r="BA163" s="51"/>
      <c r="BB163" s="51"/>
      <c r="BC163" s="51"/>
      <c r="BD163" s="51"/>
      <c r="BE163" s="51"/>
      <c r="BF163" s="51"/>
      <c r="BG163" s="51"/>
      <c r="BH163" s="51"/>
      <c r="BI163" s="51"/>
      <c r="BJ163" s="51"/>
      <c r="BK163" s="51"/>
      <c r="BL163" s="51"/>
      <c r="BM163" s="51"/>
      <c r="BN163" s="51"/>
      <c r="BO163" s="51"/>
      <c r="BP163" s="51"/>
      <c r="BQ163" s="51"/>
      <c r="BR163" s="51"/>
      <c r="BS163" s="51"/>
      <c r="BT163" s="51"/>
      <c r="BU163" s="51"/>
      <c r="BV163" s="51"/>
      <c r="BW163" s="51"/>
      <c r="BX163" s="51"/>
      <c r="BY163" s="51"/>
      <c r="BZ163" s="51"/>
      <c r="CA163" s="51"/>
      <c r="CB163" s="51"/>
      <c r="CC163" s="51"/>
      <c r="CD163" s="51"/>
      <c r="CE163" s="51"/>
      <c r="CF163" s="51"/>
      <c r="CG163" s="51"/>
      <c r="CH163" s="51"/>
      <c r="CI163" s="51"/>
      <c r="CJ163" s="51"/>
      <c r="CK163" s="51"/>
      <c r="CL163" s="51"/>
      <c r="CM163" s="51"/>
      <c r="CN163" s="51"/>
      <c r="CO163" s="51"/>
      <c r="CP163" s="51"/>
      <c r="CQ163" s="51"/>
      <c r="CR163" s="51"/>
      <c r="CS163" s="51"/>
      <c r="CT163" s="51"/>
      <c r="CU163" s="51"/>
      <c r="CV163" s="51"/>
      <c r="CW163" s="51"/>
      <c r="CX163" s="51"/>
      <c r="CY163" s="51"/>
      <c r="CZ163" s="51"/>
      <c r="DA163" s="51"/>
      <c r="DB163" s="51"/>
      <c r="DC163" s="51"/>
      <c r="DD163" s="51"/>
      <c r="DE163" s="51"/>
      <c r="DF163" s="51"/>
      <c r="DG163" s="51"/>
      <c r="DH163" s="51"/>
      <c r="DI163" s="51"/>
      <c r="DJ163" s="51"/>
      <c r="DK163" s="51"/>
      <c r="DL163" s="51"/>
      <c r="DM163" s="51"/>
      <c r="DN163" s="51"/>
      <c r="DO163" s="51"/>
      <c r="DP163" s="51"/>
      <c r="DQ163" s="51"/>
      <c r="DR163" s="51"/>
      <c r="DS163" s="51"/>
      <c r="DT163" s="51"/>
      <c r="DU163" s="51"/>
      <c r="DV163" s="51"/>
      <c r="DW163" s="51"/>
      <c r="DX163" s="51"/>
      <c r="DY163" s="51"/>
      <c r="DZ163" s="51"/>
      <c r="EA163" s="51"/>
      <c r="EB163" s="51"/>
      <c r="EC163" s="51"/>
      <c r="ED163" s="51"/>
      <c r="EE163" s="51"/>
      <c r="EF163" s="51"/>
      <c r="EG163" s="51"/>
      <c r="EH163" s="51"/>
      <c r="EI163" s="51"/>
      <c r="EJ163" s="51"/>
    </row>
    <row r="164" spans="1:140">
      <c r="A164" s="69"/>
      <c r="B164" s="69"/>
      <c r="C164" s="88"/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51"/>
      <c r="AG164" s="51"/>
      <c r="AH164" s="51"/>
      <c r="AI164" s="51"/>
      <c r="AJ164" s="51"/>
      <c r="AK164" s="51"/>
      <c r="AL164" s="51"/>
      <c r="AM164" s="51"/>
      <c r="AN164" s="51"/>
      <c r="AO164" s="51"/>
      <c r="AP164" s="51"/>
      <c r="AQ164" s="51"/>
      <c r="AR164" s="51"/>
      <c r="AS164" s="51"/>
      <c r="AT164" s="51"/>
      <c r="AU164" s="51"/>
      <c r="AV164" s="51"/>
      <c r="AW164" s="51"/>
      <c r="AX164" s="51"/>
      <c r="AY164" s="51"/>
      <c r="AZ164" s="51"/>
      <c r="BA164" s="51"/>
      <c r="BB164" s="51"/>
      <c r="BC164" s="51"/>
      <c r="BD164" s="51"/>
      <c r="BE164" s="51"/>
      <c r="BF164" s="51"/>
      <c r="BG164" s="51"/>
      <c r="BH164" s="51"/>
      <c r="BI164" s="51"/>
      <c r="BJ164" s="51"/>
      <c r="BK164" s="51"/>
      <c r="BL164" s="51"/>
      <c r="BM164" s="51"/>
      <c r="BN164" s="51"/>
      <c r="BO164" s="51"/>
      <c r="BP164" s="51"/>
      <c r="BQ164" s="51"/>
      <c r="BR164" s="51"/>
      <c r="BS164" s="51"/>
      <c r="BT164" s="51"/>
      <c r="BU164" s="51"/>
      <c r="BV164" s="51"/>
      <c r="BW164" s="51"/>
      <c r="BX164" s="51"/>
      <c r="BY164" s="51"/>
      <c r="BZ164" s="51"/>
      <c r="CA164" s="51"/>
      <c r="CB164" s="51"/>
      <c r="CC164" s="51"/>
      <c r="CD164" s="51"/>
      <c r="CE164" s="51"/>
      <c r="CF164" s="51"/>
      <c r="CG164" s="51"/>
      <c r="CH164" s="51"/>
      <c r="CI164" s="51"/>
      <c r="CJ164" s="51"/>
      <c r="CK164" s="51"/>
      <c r="CL164" s="51"/>
      <c r="CM164" s="51"/>
      <c r="CN164" s="51"/>
      <c r="CO164" s="51"/>
      <c r="CP164" s="51"/>
      <c r="CQ164" s="51"/>
      <c r="CR164" s="51"/>
      <c r="CS164" s="51"/>
      <c r="CT164" s="51"/>
      <c r="CU164" s="51"/>
      <c r="CV164" s="51"/>
      <c r="CW164" s="51"/>
      <c r="CX164" s="51"/>
      <c r="CY164" s="51"/>
      <c r="CZ164" s="51"/>
      <c r="DA164" s="51"/>
      <c r="DB164" s="51"/>
      <c r="DC164" s="51"/>
      <c r="DD164" s="51"/>
      <c r="DE164" s="51"/>
      <c r="DF164" s="51"/>
      <c r="DG164" s="51"/>
      <c r="DH164" s="51"/>
      <c r="DI164" s="51"/>
      <c r="DJ164" s="51"/>
      <c r="DK164" s="51"/>
      <c r="DL164" s="51"/>
      <c r="DM164" s="51"/>
      <c r="DN164" s="51"/>
      <c r="DO164" s="51"/>
      <c r="DP164" s="51"/>
      <c r="DQ164" s="51"/>
      <c r="DR164" s="51"/>
      <c r="DS164" s="51"/>
      <c r="DT164" s="51"/>
      <c r="DU164" s="51"/>
      <c r="DV164" s="51"/>
      <c r="DW164" s="51"/>
      <c r="DX164" s="51"/>
      <c r="DY164" s="51"/>
      <c r="DZ164" s="51"/>
      <c r="EA164" s="51"/>
      <c r="EB164" s="51"/>
      <c r="EC164" s="51"/>
      <c r="ED164" s="51"/>
      <c r="EE164" s="51"/>
      <c r="EF164" s="51"/>
      <c r="EG164" s="51"/>
      <c r="EH164" s="51"/>
      <c r="EI164" s="51"/>
      <c r="EJ164" s="51"/>
    </row>
    <row r="165" spans="1:140">
      <c r="A165" s="69"/>
      <c r="B165" s="69"/>
      <c r="C165" s="88"/>
      <c r="D165" s="87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51"/>
      <c r="AG165" s="51"/>
      <c r="AH165" s="51"/>
      <c r="AI165" s="51"/>
      <c r="AJ165" s="51"/>
      <c r="AK165" s="51"/>
      <c r="AL165" s="51"/>
      <c r="AM165" s="51"/>
      <c r="AN165" s="51"/>
      <c r="AO165" s="51"/>
      <c r="AP165" s="51"/>
      <c r="AQ165" s="51"/>
      <c r="AR165" s="51"/>
      <c r="AS165" s="51"/>
      <c r="AT165" s="51"/>
      <c r="AU165" s="51"/>
      <c r="AV165" s="51"/>
      <c r="AW165" s="51"/>
      <c r="AX165" s="51"/>
      <c r="AY165" s="51"/>
      <c r="AZ165" s="51"/>
      <c r="BA165" s="51"/>
      <c r="BB165" s="51"/>
      <c r="BC165" s="51"/>
      <c r="BD165" s="51"/>
      <c r="BE165" s="51"/>
      <c r="BF165" s="51"/>
      <c r="BG165" s="51"/>
      <c r="BH165" s="51"/>
      <c r="BI165" s="51"/>
      <c r="BJ165" s="51"/>
      <c r="BK165" s="51"/>
      <c r="BL165" s="51"/>
      <c r="BM165" s="51"/>
      <c r="BN165" s="51"/>
      <c r="BO165" s="51"/>
      <c r="BP165" s="51"/>
      <c r="BQ165" s="51"/>
      <c r="BR165" s="51"/>
      <c r="BS165" s="51"/>
      <c r="BT165" s="51"/>
      <c r="BU165" s="51"/>
      <c r="BV165" s="51"/>
      <c r="BW165" s="51"/>
      <c r="BX165" s="51"/>
      <c r="BY165" s="51"/>
      <c r="BZ165" s="51"/>
      <c r="CA165" s="51"/>
      <c r="CB165" s="51"/>
      <c r="CC165" s="51"/>
      <c r="CD165" s="51"/>
      <c r="CE165" s="51"/>
      <c r="CF165" s="51"/>
      <c r="CG165" s="51"/>
      <c r="CH165" s="51"/>
      <c r="CI165" s="51"/>
      <c r="CJ165" s="51"/>
      <c r="CK165" s="51"/>
      <c r="CL165" s="51"/>
      <c r="CM165" s="51"/>
      <c r="CN165" s="51"/>
      <c r="CO165" s="51"/>
      <c r="CP165" s="51"/>
      <c r="CQ165" s="51"/>
      <c r="CR165" s="51"/>
      <c r="CS165" s="51"/>
      <c r="CT165" s="51"/>
      <c r="CU165" s="51"/>
      <c r="CV165" s="51"/>
      <c r="CW165" s="51"/>
      <c r="CX165" s="51"/>
      <c r="CY165" s="51"/>
      <c r="CZ165" s="51"/>
      <c r="DA165" s="51"/>
      <c r="DB165" s="51"/>
      <c r="DC165" s="51"/>
      <c r="DD165" s="51"/>
      <c r="DE165" s="51"/>
      <c r="DF165" s="51"/>
      <c r="DG165" s="51"/>
      <c r="DH165" s="51"/>
      <c r="DI165" s="51"/>
      <c r="DJ165" s="51"/>
      <c r="DK165" s="51"/>
      <c r="DL165" s="51"/>
      <c r="DM165" s="51"/>
      <c r="DN165" s="51"/>
      <c r="DO165" s="51"/>
      <c r="DP165" s="51"/>
      <c r="DQ165" s="51"/>
      <c r="DR165" s="51"/>
      <c r="DS165" s="51"/>
      <c r="DT165" s="51"/>
      <c r="DU165" s="51"/>
      <c r="DV165" s="51"/>
      <c r="DW165" s="51"/>
      <c r="DX165" s="51"/>
      <c r="DY165" s="51"/>
      <c r="DZ165" s="51"/>
      <c r="EA165" s="51"/>
      <c r="EB165" s="51"/>
      <c r="EC165" s="51"/>
      <c r="ED165" s="51"/>
      <c r="EE165" s="51"/>
      <c r="EF165" s="51"/>
      <c r="EG165" s="51"/>
      <c r="EH165" s="51"/>
      <c r="EI165" s="51"/>
      <c r="EJ165" s="51"/>
    </row>
    <row r="166" spans="1:140">
      <c r="A166" s="69"/>
      <c r="B166" s="69"/>
      <c r="C166" s="88"/>
      <c r="D166" s="87"/>
      <c r="E166" s="87"/>
      <c r="F166" s="87"/>
      <c r="G166" s="87"/>
      <c r="H166" s="87"/>
      <c r="I166" s="87"/>
      <c r="J166" s="87"/>
      <c r="K166" s="87"/>
      <c r="L166" s="87"/>
      <c r="M166" s="87"/>
      <c r="N166" s="87"/>
      <c r="O166" s="87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51"/>
      <c r="AG166" s="51"/>
      <c r="AH166" s="51"/>
      <c r="AI166" s="51"/>
      <c r="AJ166" s="51"/>
      <c r="AK166" s="51"/>
      <c r="AL166" s="51"/>
      <c r="AM166" s="51"/>
      <c r="AN166" s="51"/>
      <c r="AO166" s="51"/>
      <c r="AP166" s="51"/>
      <c r="AQ166" s="51"/>
      <c r="AR166" s="51"/>
      <c r="AS166" s="51"/>
      <c r="AT166" s="51"/>
      <c r="AU166" s="51"/>
      <c r="AV166" s="51"/>
      <c r="AW166" s="51"/>
      <c r="AX166" s="51"/>
      <c r="AY166" s="51"/>
      <c r="AZ166" s="51"/>
      <c r="BA166" s="51"/>
      <c r="BB166" s="51"/>
      <c r="BC166" s="51"/>
      <c r="BD166" s="51"/>
      <c r="BE166" s="51"/>
      <c r="BF166" s="51"/>
      <c r="BG166" s="51"/>
      <c r="BH166" s="51"/>
      <c r="BI166" s="51"/>
      <c r="BJ166" s="51"/>
      <c r="BK166" s="51"/>
      <c r="BL166" s="51"/>
      <c r="BM166" s="51"/>
      <c r="BN166" s="51"/>
      <c r="BO166" s="51"/>
      <c r="BP166" s="51"/>
      <c r="BQ166" s="51"/>
      <c r="BR166" s="51"/>
      <c r="BS166" s="51"/>
      <c r="BT166" s="51"/>
      <c r="BU166" s="51"/>
      <c r="BV166" s="51"/>
      <c r="BW166" s="51"/>
      <c r="BX166" s="51"/>
      <c r="BY166" s="51"/>
      <c r="BZ166" s="51"/>
      <c r="CA166" s="51"/>
      <c r="CB166" s="51"/>
      <c r="CC166" s="51"/>
      <c r="CD166" s="51"/>
      <c r="CE166" s="51"/>
      <c r="CF166" s="51"/>
      <c r="CG166" s="51"/>
      <c r="CH166" s="51"/>
      <c r="CI166" s="51"/>
      <c r="CJ166" s="51"/>
      <c r="CK166" s="51"/>
      <c r="CL166" s="51"/>
      <c r="CM166" s="51"/>
      <c r="CN166" s="51"/>
      <c r="CO166" s="51"/>
      <c r="CP166" s="51"/>
      <c r="CQ166" s="51"/>
      <c r="CR166" s="51"/>
      <c r="CS166" s="51"/>
      <c r="CT166" s="51"/>
      <c r="CU166" s="51"/>
      <c r="CV166" s="51"/>
      <c r="CW166" s="51"/>
      <c r="CX166" s="51"/>
      <c r="CY166" s="51"/>
      <c r="CZ166" s="51"/>
      <c r="DA166" s="51"/>
      <c r="DB166" s="51"/>
      <c r="DC166" s="51"/>
      <c r="DD166" s="51"/>
      <c r="DE166" s="51"/>
      <c r="DF166" s="51"/>
      <c r="DG166" s="51"/>
      <c r="DH166" s="51"/>
      <c r="DI166" s="51"/>
      <c r="DJ166" s="51"/>
      <c r="DK166" s="51"/>
      <c r="DL166" s="51"/>
      <c r="DM166" s="51"/>
      <c r="DN166" s="51"/>
      <c r="DO166" s="51"/>
      <c r="DP166" s="51"/>
      <c r="DQ166" s="51"/>
      <c r="DR166" s="51"/>
      <c r="DS166" s="51"/>
      <c r="DT166" s="51"/>
      <c r="DU166" s="51"/>
      <c r="DV166" s="51"/>
      <c r="DW166" s="51"/>
      <c r="DX166" s="51"/>
      <c r="DY166" s="51"/>
      <c r="DZ166" s="51"/>
      <c r="EA166" s="51"/>
      <c r="EB166" s="51"/>
      <c r="EC166" s="51"/>
      <c r="ED166" s="51"/>
      <c r="EE166" s="51"/>
      <c r="EF166" s="51"/>
      <c r="EG166" s="51"/>
      <c r="EH166" s="51"/>
      <c r="EI166" s="51"/>
      <c r="EJ166" s="51"/>
    </row>
    <row r="167" spans="1:140">
      <c r="A167" s="69"/>
      <c r="B167" s="69"/>
      <c r="C167" s="88"/>
      <c r="D167" s="87"/>
      <c r="E167" s="87"/>
      <c r="F167" s="87"/>
      <c r="G167" s="87"/>
      <c r="H167" s="87"/>
      <c r="I167" s="87"/>
      <c r="J167" s="87"/>
      <c r="K167" s="87"/>
      <c r="L167" s="87"/>
      <c r="M167" s="87"/>
      <c r="N167" s="87"/>
      <c r="O167" s="87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51"/>
      <c r="AG167" s="51"/>
      <c r="AH167" s="51"/>
      <c r="AI167" s="51"/>
      <c r="AJ167" s="51"/>
      <c r="AK167" s="51"/>
      <c r="AL167" s="51"/>
      <c r="AM167" s="51"/>
      <c r="AN167" s="51"/>
      <c r="AO167" s="51"/>
      <c r="AP167" s="51"/>
      <c r="AQ167" s="51"/>
      <c r="AR167" s="51"/>
      <c r="AS167" s="51"/>
      <c r="AT167" s="51"/>
      <c r="AU167" s="51"/>
      <c r="AV167" s="51"/>
      <c r="AW167" s="51"/>
      <c r="AX167" s="51"/>
      <c r="AY167" s="51"/>
      <c r="AZ167" s="51"/>
      <c r="BA167" s="51"/>
      <c r="BB167" s="51"/>
      <c r="BC167" s="51"/>
      <c r="BD167" s="51"/>
      <c r="BE167" s="51"/>
      <c r="BF167" s="51"/>
      <c r="BG167" s="51"/>
      <c r="BH167" s="51"/>
      <c r="BI167" s="51"/>
      <c r="BJ167" s="51"/>
      <c r="BK167" s="51"/>
      <c r="BL167" s="51"/>
      <c r="BM167" s="51"/>
      <c r="BN167" s="51"/>
      <c r="BO167" s="51"/>
      <c r="BP167" s="51"/>
      <c r="BQ167" s="51"/>
      <c r="BR167" s="51"/>
      <c r="BS167" s="51"/>
      <c r="BT167" s="51"/>
      <c r="BU167" s="51"/>
      <c r="BV167" s="51"/>
      <c r="BW167" s="51"/>
      <c r="BX167" s="51"/>
      <c r="BY167" s="51"/>
      <c r="BZ167" s="51"/>
      <c r="CA167" s="51"/>
      <c r="CB167" s="51"/>
      <c r="CC167" s="51"/>
      <c r="CD167" s="51"/>
      <c r="CE167" s="51"/>
      <c r="CF167" s="51"/>
      <c r="CG167" s="51"/>
      <c r="CH167" s="51"/>
      <c r="CI167" s="51"/>
      <c r="CJ167" s="51"/>
      <c r="CK167" s="51"/>
      <c r="CL167" s="51"/>
      <c r="CM167" s="51"/>
      <c r="CN167" s="51"/>
      <c r="CO167" s="51"/>
      <c r="CP167" s="51"/>
      <c r="CQ167" s="51"/>
      <c r="CR167" s="51"/>
      <c r="CS167" s="51"/>
      <c r="CT167" s="51"/>
      <c r="CU167" s="51"/>
      <c r="CV167" s="51"/>
      <c r="CW167" s="51"/>
      <c r="CX167" s="51"/>
      <c r="CY167" s="51"/>
      <c r="CZ167" s="51"/>
      <c r="DA167" s="51"/>
      <c r="DB167" s="51"/>
      <c r="DC167" s="51"/>
      <c r="DD167" s="51"/>
      <c r="DE167" s="51"/>
      <c r="DF167" s="51"/>
      <c r="DG167" s="51"/>
      <c r="DH167" s="51"/>
      <c r="DI167" s="51"/>
      <c r="DJ167" s="51"/>
      <c r="DK167" s="51"/>
      <c r="DL167" s="51"/>
      <c r="DM167" s="51"/>
      <c r="DN167" s="51"/>
      <c r="DO167" s="51"/>
      <c r="DP167" s="51"/>
      <c r="DQ167" s="51"/>
      <c r="DR167" s="51"/>
      <c r="DS167" s="51"/>
      <c r="DT167" s="51"/>
      <c r="DU167" s="51"/>
      <c r="DV167" s="51"/>
      <c r="DW167" s="51"/>
      <c r="DX167" s="51"/>
      <c r="DY167" s="51"/>
      <c r="DZ167" s="51"/>
      <c r="EA167" s="51"/>
      <c r="EB167" s="51"/>
      <c r="EC167" s="51"/>
      <c r="ED167" s="51"/>
      <c r="EE167" s="51"/>
      <c r="EF167" s="51"/>
      <c r="EG167" s="51"/>
      <c r="EH167" s="51"/>
      <c r="EI167" s="51"/>
      <c r="EJ167" s="51"/>
    </row>
    <row r="168" spans="1:140">
      <c r="C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  <c r="AG168" s="51"/>
      <c r="AH168" s="51"/>
      <c r="AI168" s="51"/>
      <c r="AJ168" s="51"/>
      <c r="AK168" s="51"/>
      <c r="AL168" s="51"/>
      <c r="AM168" s="51"/>
      <c r="AN168" s="51"/>
      <c r="AO168" s="51"/>
      <c r="AP168" s="51"/>
      <c r="AQ168" s="51"/>
      <c r="AR168" s="51"/>
      <c r="AS168" s="51"/>
      <c r="AT168" s="51"/>
      <c r="AU168" s="51"/>
      <c r="AV168" s="51"/>
      <c r="AW168" s="51"/>
      <c r="AX168" s="51"/>
      <c r="AY168" s="51"/>
      <c r="AZ168" s="51"/>
      <c r="BA168" s="51"/>
      <c r="BB168" s="51"/>
      <c r="BC168" s="51"/>
      <c r="BD168" s="51"/>
      <c r="BE168" s="51"/>
      <c r="BF168" s="51"/>
      <c r="BG168" s="51"/>
      <c r="BH168" s="51"/>
      <c r="BI168" s="51"/>
      <c r="BJ168" s="51"/>
      <c r="BK168" s="51"/>
      <c r="BL168" s="51"/>
      <c r="BM168" s="51"/>
      <c r="BN168" s="51"/>
      <c r="BO168" s="51"/>
      <c r="BP168" s="51"/>
      <c r="BQ168" s="51"/>
      <c r="BR168" s="51"/>
      <c r="BS168" s="51"/>
      <c r="BT168" s="51"/>
      <c r="BU168" s="51"/>
      <c r="BV168" s="51"/>
      <c r="BW168" s="51"/>
      <c r="BX168" s="51"/>
      <c r="BY168" s="51"/>
      <c r="BZ168" s="51"/>
      <c r="CA168" s="51"/>
      <c r="CB168" s="51"/>
      <c r="CC168" s="51"/>
      <c r="CD168" s="51"/>
      <c r="CE168" s="51"/>
      <c r="CF168" s="51"/>
      <c r="CG168" s="51"/>
      <c r="CH168" s="51"/>
      <c r="CI168" s="51"/>
      <c r="CJ168" s="51"/>
      <c r="CK168" s="51"/>
      <c r="CL168" s="51"/>
      <c r="CM168" s="51"/>
      <c r="CN168" s="51"/>
      <c r="CO168" s="51"/>
      <c r="CP168" s="51"/>
      <c r="CQ168" s="51"/>
      <c r="CR168" s="51"/>
      <c r="CS168" s="51"/>
      <c r="CT168" s="51"/>
      <c r="CU168" s="51"/>
      <c r="CV168" s="51"/>
      <c r="CW168" s="51"/>
      <c r="CX168" s="51"/>
      <c r="CY168" s="51"/>
      <c r="CZ168" s="51"/>
      <c r="DA168" s="51"/>
      <c r="DB168" s="51"/>
      <c r="DC168" s="51"/>
      <c r="DD168" s="51"/>
      <c r="DE168" s="51"/>
      <c r="DF168" s="51"/>
      <c r="DG168" s="51"/>
      <c r="DH168" s="51"/>
      <c r="DI168" s="51"/>
      <c r="DJ168" s="51"/>
      <c r="DK168" s="51"/>
      <c r="DL168" s="51"/>
      <c r="DM168" s="51"/>
      <c r="DN168" s="51"/>
      <c r="DO168" s="51"/>
      <c r="DP168" s="51"/>
      <c r="DQ168" s="51"/>
      <c r="DR168" s="51"/>
      <c r="DS168" s="51"/>
      <c r="DT168" s="51"/>
      <c r="DU168" s="51"/>
      <c r="DV168" s="51"/>
      <c r="DW168" s="51"/>
      <c r="DX168" s="51"/>
      <c r="DY168" s="51"/>
      <c r="DZ168" s="51"/>
      <c r="EA168" s="51"/>
      <c r="EB168" s="51"/>
      <c r="EC168" s="51"/>
      <c r="ED168" s="51"/>
      <c r="EE168" s="51"/>
      <c r="EF168" s="51"/>
      <c r="EG168" s="51"/>
      <c r="EH168" s="51"/>
      <c r="EI168" s="51"/>
      <c r="EJ168" s="51"/>
    </row>
    <row r="169" spans="1:140">
      <c r="C169" s="19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1"/>
      <c r="AI169" s="51"/>
      <c r="AJ169" s="51"/>
      <c r="AK169" s="51"/>
      <c r="AL169" s="51"/>
      <c r="AM169" s="51"/>
      <c r="AN169" s="51"/>
      <c r="AO169" s="51"/>
      <c r="AP169" s="51"/>
      <c r="AQ169" s="51"/>
      <c r="AR169" s="51"/>
      <c r="AS169" s="51"/>
      <c r="AT169" s="51"/>
      <c r="AU169" s="51"/>
      <c r="AV169" s="51"/>
      <c r="AW169" s="51"/>
      <c r="AX169" s="51"/>
      <c r="AY169" s="51"/>
      <c r="AZ169" s="51"/>
      <c r="BA169" s="51"/>
      <c r="BB169" s="51"/>
      <c r="BC169" s="51"/>
      <c r="BD169" s="51"/>
      <c r="BE169" s="51"/>
      <c r="BF169" s="51"/>
      <c r="BG169" s="51"/>
      <c r="BH169" s="51"/>
      <c r="BI169" s="51"/>
      <c r="BJ169" s="51"/>
      <c r="BK169" s="51"/>
      <c r="BL169" s="51"/>
      <c r="BM169" s="51"/>
      <c r="BN169" s="51"/>
      <c r="BO169" s="51"/>
      <c r="BP169" s="51"/>
      <c r="BQ169" s="51"/>
      <c r="BR169" s="51"/>
      <c r="BS169" s="51"/>
      <c r="BT169" s="51"/>
      <c r="BU169" s="51"/>
      <c r="BV169" s="51"/>
      <c r="BW169" s="51"/>
      <c r="BX169" s="51"/>
      <c r="BY169" s="51"/>
      <c r="BZ169" s="51"/>
      <c r="CA169" s="51"/>
      <c r="CB169" s="51"/>
      <c r="CC169" s="51"/>
      <c r="CD169" s="51"/>
      <c r="CE169" s="51"/>
      <c r="CF169" s="51"/>
      <c r="CG169" s="51"/>
      <c r="CH169" s="51"/>
      <c r="CI169" s="51"/>
      <c r="CJ169" s="51"/>
      <c r="CK169" s="51"/>
      <c r="CL169" s="51"/>
      <c r="CM169" s="51"/>
      <c r="CN169" s="51"/>
      <c r="CO169" s="51"/>
      <c r="CP169" s="51"/>
      <c r="CQ169" s="51"/>
      <c r="CR169" s="51"/>
      <c r="CS169" s="51"/>
      <c r="CT169" s="51"/>
      <c r="CU169" s="51"/>
      <c r="CV169" s="51"/>
      <c r="CW169" s="51"/>
      <c r="CX169" s="51"/>
      <c r="CY169" s="51"/>
      <c r="CZ169" s="51"/>
      <c r="DA169" s="51"/>
      <c r="DB169" s="51"/>
      <c r="DC169" s="51"/>
      <c r="DD169" s="51"/>
      <c r="DE169" s="51"/>
      <c r="DF169" s="51"/>
      <c r="DG169" s="51"/>
      <c r="DH169" s="51"/>
      <c r="DI169" s="51"/>
      <c r="DJ169" s="51"/>
      <c r="DK169" s="51"/>
      <c r="DL169" s="51"/>
      <c r="DM169" s="51"/>
      <c r="DN169" s="51"/>
      <c r="DO169" s="51"/>
      <c r="DP169" s="51"/>
      <c r="DQ169" s="51"/>
      <c r="DR169" s="51"/>
      <c r="DS169" s="51"/>
      <c r="DT169" s="51"/>
      <c r="DU169" s="51"/>
      <c r="DV169" s="51"/>
      <c r="DW169" s="51"/>
      <c r="DX169" s="51"/>
      <c r="DY169" s="51"/>
      <c r="DZ169" s="51"/>
      <c r="EA169" s="51"/>
      <c r="EB169" s="51"/>
      <c r="EC169" s="51"/>
      <c r="ED169" s="51"/>
      <c r="EE169" s="51"/>
      <c r="EF169" s="51"/>
      <c r="EG169" s="51"/>
      <c r="EH169" s="51"/>
      <c r="EI169" s="51"/>
      <c r="EJ169" s="51"/>
    </row>
    <row r="170" spans="1:140">
      <c r="C170" s="19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1"/>
      <c r="AI170" s="51"/>
      <c r="AJ170" s="51"/>
      <c r="AK170" s="51"/>
      <c r="AL170" s="51"/>
      <c r="AM170" s="51"/>
      <c r="AN170" s="51"/>
      <c r="AO170" s="51"/>
      <c r="AP170" s="51"/>
      <c r="AQ170" s="51"/>
      <c r="AR170" s="51"/>
      <c r="AS170" s="51"/>
      <c r="AT170" s="51"/>
      <c r="AU170" s="51"/>
      <c r="AV170" s="51"/>
      <c r="AW170" s="51"/>
      <c r="AX170" s="51"/>
      <c r="AY170" s="51"/>
      <c r="AZ170" s="51"/>
      <c r="BA170" s="51"/>
      <c r="BB170" s="51"/>
      <c r="BC170" s="51"/>
      <c r="BD170" s="51"/>
      <c r="BE170" s="51"/>
      <c r="BF170" s="51"/>
      <c r="BG170" s="51"/>
      <c r="BH170" s="51"/>
      <c r="BI170" s="51"/>
      <c r="BJ170" s="51"/>
      <c r="BK170" s="51"/>
      <c r="BL170" s="51"/>
      <c r="BM170" s="51"/>
      <c r="BN170" s="51"/>
      <c r="BO170" s="51"/>
      <c r="BP170" s="51"/>
      <c r="BQ170" s="51"/>
      <c r="BR170" s="51"/>
      <c r="BS170" s="51"/>
      <c r="BT170" s="51"/>
      <c r="BU170" s="51"/>
      <c r="BV170" s="51"/>
      <c r="BW170" s="51"/>
      <c r="BX170" s="51"/>
      <c r="BY170" s="51"/>
      <c r="BZ170" s="51"/>
      <c r="CA170" s="51"/>
      <c r="CB170" s="51"/>
      <c r="CC170" s="51"/>
      <c r="CD170" s="51"/>
      <c r="CE170" s="51"/>
      <c r="CF170" s="51"/>
      <c r="CG170" s="51"/>
      <c r="CH170" s="51"/>
      <c r="CI170" s="51"/>
      <c r="CJ170" s="51"/>
      <c r="CK170" s="51"/>
      <c r="CL170" s="51"/>
      <c r="CM170" s="51"/>
      <c r="CN170" s="51"/>
      <c r="CO170" s="51"/>
      <c r="CP170" s="51"/>
      <c r="CQ170" s="51"/>
      <c r="CR170" s="51"/>
      <c r="CS170" s="51"/>
      <c r="CT170" s="51"/>
      <c r="CU170" s="51"/>
      <c r="CV170" s="51"/>
      <c r="CW170" s="51"/>
      <c r="CX170" s="51"/>
      <c r="CY170" s="51"/>
      <c r="CZ170" s="51"/>
      <c r="DA170" s="51"/>
      <c r="DB170" s="51"/>
      <c r="DC170" s="51"/>
      <c r="DD170" s="51"/>
      <c r="DE170" s="51"/>
      <c r="DF170" s="51"/>
      <c r="DG170" s="51"/>
      <c r="DH170" s="51"/>
      <c r="DI170" s="51"/>
      <c r="DJ170" s="51"/>
      <c r="DK170" s="51"/>
      <c r="DL170" s="51"/>
      <c r="DM170" s="51"/>
      <c r="DN170" s="51"/>
      <c r="DO170" s="51"/>
      <c r="DP170" s="51"/>
      <c r="DQ170" s="51"/>
      <c r="DR170" s="51"/>
      <c r="DS170" s="51"/>
      <c r="DT170" s="51"/>
      <c r="DU170" s="51"/>
      <c r="DV170" s="51"/>
      <c r="DW170" s="51"/>
      <c r="DX170" s="51"/>
      <c r="DY170" s="51"/>
      <c r="DZ170" s="51"/>
      <c r="EA170" s="51"/>
      <c r="EB170" s="51"/>
      <c r="EC170" s="51"/>
      <c r="ED170" s="51"/>
      <c r="EE170" s="51"/>
      <c r="EF170" s="51"/>
      <c r="EG170" s="51"/>
      <c r="EH170" s="51"/>
      <c r="EI170" s="51"/>
      <c r="EJ170" s="51"/>
    </row>
    <row r="171" spans="1:140">
      <c r="C171" s="19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V171" s="51"/>
      <c r="W171" s="51"/>
      <c r="X171" s="51"/>
      <c r="Y171" s="51"/>
      <c r="Z171" s="51"/>
      <c r="AA171" s="51"/>
      <c r="AB171" s="51"/>
      <c r="AC171" s="51"/>
      <c r="AD171" s="51"/>
      <c r="AE171" s="51"/>
      <c r="AF171" s="51"/>
      <c r="AG171" s="51"/>
      <c r="AH171" s="51"/>
      <c r="AI171" s="51"/>
      <c r="AJ171" s="51"/>
      <c r="AK171" s="51"/>
      <c r="AL171" s="51"/>
      <c r="AM171" s="51"/>
      <c r="AN171" s="51"/>
      <c r="AO171" s="51"/>
      <c r="AP171" s="51"/>
      <c r="AQ171" s="51"/>
      <c r="AR171" s="51"/>
      <c r="AS171" s="51"/>
      <c r="AT171" s="51"/>
      <c r="AU171" s="51"/>
      <c r="AV171" s="51"/>
      <c r="AW171" s="51"/>
      <c r="AX171" s="51"/>
      <c r="AY171" s="51"/>
      <c r="AZ171" s="51"/>
      <c r="BA171" s="51"/>
      <c r="BB171" s="51"/>
      <c r="BC171" s="51"/>
      <c r="BD171" s="51"/>
      <c r="BE171" s="51"/>
      <c r="BF171" s="51"/>
      <c r="BG171" s="51"/>
      <c r="BH171" s="51"/>
      <c r="BI171" s="51"/>
      <c r="BJ171" s="51"/>
      <c r="BK171" s="51"/>
      <c r="BL171" s="51"/>
      <c r="BM171" s="51"/>
      <c r="BN171" s="51"/>
      <c r="BO171" s="51"/>
      <c r="BP171" s="51"/>
      <c r="BQ171" s="51"/>
      <c r="BR171" s="51"/>
      <c r="BS171" s="51"/>
      <c r="BT171" s="51"/>
      <c r="BU171" s="51"/>
      <c r="BV171" s="51"/>
      <c r="BW171" s="51"/>
      <c r="BX171" s="51"/>
      <c r="BY171" s="51"/>
      <c r="BZ171" s="51"/>
      <c r="CA171" s="51"/>
      <c r="CB171" s="51"/>
      <c r="CC171" s="51"/>
      <c r="CD171" s="51"/>
      <c r="CE171" s="51"/>
      <c r="CF171" s="51"/>
      <c r="CG171" s="51"/>
      <c r="CH171" s="51"/>
      <c r="CI171" s="51"/>
      <c r="CJ171" s="51"/>
      <c r="CK171" s="51"/>
      <c r="CL171" s="51"/>
      <c r="CM171" s="51"/>
      <c r="CN171" s="51"/>
      <c r="CO171" s="51"/>
      <c r="CP171" s="51"/>
      <c r="CQ171" s="51"/>
      <c r="CR171" s="51"/>
      <c r="CS171" s="51"/>
      <c r="CT171" s="51"/>
      <c r="CU171" s="51"/>
      <c r="CV171" s="51"/>
      <c r="CW171" s="51"/>
      <c r="CX171" s="51"/>
      <c r="CY171" s="51"/>
      <c r="CZ171" s="51"/>
      <c r="DA171" s="51"/>
      <c r="DB171" s="51"/>
      <c r="DC171" s="51"/>
      <c r="DD171" s="51"/>
      <c r="DE171" s="51"/>
      <c r="DF171" s="51"/>
      <c r="DG171" s="51"/>
      <c r="DH171" s="51"/>
      <c r="DI171" s="51"/>
      <c r="DJ171" s="51"/>
      <c r="DK171" s="51"/>
      <c r="DL171" s="51"/>
      <c r="DM171" s="51"/>
      <c r="DN171" s="51"/>
      <c r="DO171" s="51"/>
      <c r="DP171" s="51"/>
      <c r="DQ171" s="51"/>
      <c r="DR171" s="51"/>
      <c r="DS171" s="51"/>
      <c r="DT171" s="51"/>
      <c r="DU171" s="51"/>
      <c r="DV171" s="51"/>
      <c r="DW171" s="51"/>
      <c r="DX171" s="51"/>
      <c r="DY171" s="51"/>
      <c r="DZ171" s="51"/>
      <c r="EA171" s="51"/>
      <c r="EB171" s="51"/>
      <c r="EC171" s="51"/>
      <c r="ED171" s="51"/>
      <c r="EE171" s="51"/>
      <c r="EF171" s="51"/>
      <c r="EG171" s="51"/>
      <c r="EH171" s="51"/>
      <c r="EI171" s="51"/>
      <c r="EJ171" s="51"/>
    </row>
    <row r="172" spans="1:140">
      <c r="C172" s="19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  <c r="AF172" s="51"/>
      <c r="AG172" s="51"/>
      <c r="AH172" s="51"/>
      <c r="AI172" s="51"/>
      <c r="AJ172" s="51"/>
      <c r="AK172" s="51"/>
      <c r="AL172" s="51"/>
      <c r="AM172" s="51"/>
      <c r="AN172" s="51"/>
      <c r="AO172" s="51"/>
      <c r="AP172" s="51"/>
      <c r="AQ172" s="51"/>
      <c r="AR172" s="51"/>
      <c r="AS172" s="51"/>
      <c r="AT172" s="51"/>
      <c r="AU172" s="51"/>
      <c r="AV172" s="51"/>
      <c r="AW172" s="51"/>
      <c r="AX172" s="51"/>
      <c r="AY172" s="51"/>
      <c r="AZ172" s="51"/>
      <c r="BA172" s="51"/>
      <c r="BB172" s="51"/>
      <c r="BC172" s="51"/>
      <c r="BD172" s="51"/>
      <c r="BE172" s="51"/>
      <c r="BF172" s="51"/>
      <c r="BG172" s="51"/>
      <c r="BH172" s="51"/>
      <c r="BI172" s="51"/>
      <c r="BJ172" s="51"/>
      <c r="BK172" s="51"/>
      <c r="BL172" s="51"/>
      <c r="BM172" s="51"/>
      <c r="BN172" s="51"/>
      <c r="BO172" s="51"/>
      <c r="BP172" s="51"/>
      <c r="BQ172" s="51"/>
      <c r="BR172" s="51"/>
      <c r="BS172" s="51"/>
      <c r="BT172" s="51"/>
      <c r="BU172" s="51"/>
      <c r="BV172" s="51"/>
      <c r="BW172" s="51"/>
      <c r="BX172" s="51"/>
      <c r="BY172" s="51"/>
      <c r="BZ172" s="51"/>
      <c r="CA172" s="51"/>
      <c r="CB172" s="51"/>
      <c r="CC172" s="51"/>
      <c r="CD172" s="51"/>
      <c r="CE172" s="51"/>
      <c r="CF172" s="51"/>
      <c r="CG172" s="51"/>
      <c r="CH172" s="51"/>
      <c r="CI172" s="51"/>
      <c r="CJ172" s="51"/>
      <c r="CK172" s="51"/>
      <c r="CL172" s="51"/>
      <c r="CM172" s="51"/>
      <c r="CN172" s="51"/>
      <c r="CO172" s="51"/>
      <c r="CP172" s="51"/>
      <c r="CQ172" s="51"/>
      <c r="CR172" s="51"/>
      <c r="CS172" s="51"/>
      <c r="CT172" s="51"/>
      <c r="CU172" s="51"/>
      <c r="CV172" s="51"/>
      <c r="CW172" s="51"/>
      <c r="CX172" s="51"/>
      <c r="CY172" s="51"/>
      <c r="CZ172" s="51"/>
      <c r="DA172" s="51"/>
      <c r="DB172" s="51"/>
      <c r="DC172" s="51"/>
      <c r="DD172" s="51"/>
      <c r="DE172" s="51"/>
      <c r="DF172" s="51"/>
      <c r="DG172" s="51"/>
      <c r="DH172" s="51"/>
      <c r="DI172" s="51"/>
      <c r="DJ172" s="51"/>
      <c r="DK172" s="51"/>
      <c r="DL172" s="51"/>
      <c r="DM172" s="51"/>
      <c r="DN172" s="51"/>
      <c r="DO172" s="51"/>
      <c r="DP172" s="51"/>
      <c r="DQ172" s="51"/>
      <c r="DR172" s="51"/>
      <c r="DS172" s="51"/>
      <c r="DT172" s="51"/>
      <c r="DU172" s="51"/>
      <c r="DV172" s="51"/>
      <c r="DW172" s="51"/>
      <c r="DX172" s="51"/>
      <c r="DY172" s="51"/>
      <c r="DZ172" s="51"/>
      <c r="EA172" s="51"/>
      <c r="EB172" s="51"/>
      <c r="EC172" s="51"/>
      <c r="ED172" s="51"/>
      <c r="EE172" s="51"/>
      <c r="EF172" s="51"/>
      <c r="EG172" s="51"/>
      <c r="EH172" s="51"/>
      <c r="EI172" s="51"/>
      <c r="EJ172" s="51"/>
    </row>
    <row r="173" spans="1:140">
      <c r="C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V173" s="51"/>
      <c r="W173" s="51"/>
      <c r="X173" s="51"/>
      <c r="Y173" s="51"/>
      <c r="Z173" s="51"/>
      <c r="AA173" s="51"/>
      <c r="AB173" s="51"/>
      <c r="AC173" s="51"/>
      <c r="AD173" s="51"/>
      <c r="AE173" s="51"/>
      <c r="AF173" s="51"/>
      <c r="AG173" s="51"/>
      <c r="AH173" s="51"/>
      <c r="AI173" s="51"/>
      <c r="AJ173" s="51"/>
      <c r="AK173" s="51"/>
      <c r="AL173" s="51"/>
      <c r="AM173" s="51"/>
      <c r="AN173" s="51"/>
      <c r="AO173" s="51"/>
      <c r="AP173" s="51"/>
      <c r="AQ173" s="51"/>
      <c r="AR173" s="51"/>
      <c r="AS173" s="51"/>
      <c r="AT173" s="51"/>
      <c r="AU173" s="51"/>
      <c r="AV173" s="51"/>
      <c r="AW173" s="51"/>
      <c r="AX173" s="51"/>
      <c r="AY173" s="51"/>
      <c r="AZ173" s="51"/>
      <c r="BA173" s="51"/>
      <c r="BB173" s="51"/>
      <c r="BC173" s="51"/>
      <c r="BD173" s="51"/>
      <c r="BE173" s="51"/>
      <c r="BF173" s="51"/>
      <c r="BG173" s="51"/>
      <c r="BH173" s="51"/>
      <c r="BI173" s="51"/>
      <c r="BJ173" s="51"/>
      <c r="BK173" s="51"/>
      <c r="BL173" s="51"/>
      <c r="BM173" s="51"/>
      <c r="BN173" s="51"/>
      <c r="BO173" s="51"/>
      <c r="BP173" s="51"/>
      <c r="BQ173" s="51"/>
      <c r="BR173" s="51"/>
      <c r="BS173" s="51"/>
      <c r="BT173" s="51"/>
      <c r="BU173" s="51"/>
      <c r="BV173" s="51"/>
      <c r="BW173" s="51"/>
      <c r="BX173" s="51"/>
      <c r="BY173" s="51"/>
      <c r="BZ173" s="51"/>
      <c r="CA173" s="51"/>
      <c r="CB173" s="51"/>
      <c r="CC173" s="51"/>
      <c r="CD173" s="51"/>
      <c r="CE173" s="51"/>
      <c r="CF173" s="51"/>
      <c r="CG173" s="51"/>
      <c r="CH173" s="51"/>
      <c r="CI173" s="51"/>
      <c r="CJ173" s="51"/>
      <c r="CK173" s="51"/>
      <c r="CL173" s="51"/>
      <c r="CM173" s="51"/>
      <c r="CN173" s="51"/>
      <c r="CO173" s="51"/>
      <c r="CP173" s="51"/>
      <c r="CQ173" s="51"/>
      <c r="CR173" s="51"/>
      <c r="CS173" s="51"/>
      <c r="CT173" s="51"/>
      <c r="CU173" s="51"/>
      <c r="CV173" s="51"/>
      <c r="CW173" s="51"/>
      <c r="CX173" s="51"/>
      <c r="CY173" s="51"/>
      <c r="CZ173" s="51"/>
      <c r="DA173" s="51"/>
      <c r="DB173" s="51"/>
      <c r="DC173" s="51"/>
      <c r="DD173" s="51"/>
      <c r="DE173" s="51"/>
      <c r="DF173" s="51"/>
      <c r="DG173" s="51"/>
      <c r="DH173" s="51"/>
      <c r="DI173" s="51"/>
      <c r="DJ173" s="51"/>
      <c r="DK173" s="51"/>
      <c r="DL173" s="51"/>
      <c r="DM173" s="51"/>
      <c r="DN173" s="51"/>
      <c r="DO173" s="51"/>
      <c r="DP173" s="51"/>
      <c r="DQ173" s="51"/>
      <c r="DR173" s="51"/>
      <c r="DS173" s="51"/>
      <c r="DT173" s="51"/>
      <c r="DU173" s="51"/>
      <c r="DV173" s="51"/>
      <c r="DW173" s="51"/>
      <c r="DX173" s="51"/>
      <c r="DY173" s="51"/>
      <c r="DZ173" s="51"/>
      <c r="EA173" s="51"/>
      <c r="EB173" s="51"/>
      <c r="EC173" s="51"/>
      <c r="ED173" s="51"/>
      <c r="EE173" s="51"/>
      <c r="EF173" s="51"/>
      <c r="EG173" s="51"/>
      <c r="EH173" s="51"/>
      <c r="EI173" s="51"/>
      <c r="EJ173" s="51"/>
    </row>
    <row r="174" spans="1:140">
      <c r="C174" s="19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  <c r="AH174" s="51"/>
      <c r="AI174" s="51"/>
      <c r="AJ174" s="51"/>
      <c r="AK174" s="51"/>
      <c r="AL174" s="51"/>
      <c r="AM174" s="51"/>
      <c r="AN174" s="51"/>
      <c r="AO174" s="51"/>
      <c r="AP174" s="51"/>
      <c r="AQ174" s="51"/>
      <c r="AR174" s="51"/>
      <c r="AS174" s="51"/>
      <c r="AT174" s="51"/>
      <c r="AU174" s="51"/>
      <c r="AV174" s="51"/>
      <c r="AW174" s="51"/>
      <c r="AX174" s="51"/>
      <c r="AY174" s="51"/>
      <c r="AZ174" s="51"/>
      <c r="BA174" s="51"/>
      <c r="BB174" s="51"/>
      <c r="BC174" s="51"/>
      <c r="BD174" s="51"/>
      <c r="BE174" s="51"/>
      <c r="BF174" s="51"/>
      <c r="BG174" s="51"/>
      <c r="BH174" s="51"/>
      <c r="BI174" s="51"/>
      <c r="BJ174" s="51"/>
      <c r="BK174" s="51"/>
      <c r="BL174" s="51"/>
      <c r="BM174" s="51"/>
      <c r="BN174" s="51"/>
      <c r="BO174" s="51"/>
      <c r="BP174" s="51"/>
      <c r="BQ174" s="51"/>
      <c r="BR174" s="51"/>
      <c r="BS174" s="51"/>
      <c r="BT174" s="51"/>
      <c r="BU174" s="51"/>
      <c r="BV174" s="51"/>
      <c r="BW174" s="51"/>
      <c r="BX174" s="51"/>
      <c r="BY174" s="51"/>
      <c r="BZ174" s="51"/>
      <c r="CA174" s="51"/>
      <c r="CB174" s="51"/>
      <c r="CC174" s="51"/>
      <c r="CD174" s="51"/>
      <c r="CE174" s="51"/>
      <c r="CF174" s="51"/>
      <c r="CG174" s="51"/>
      <c r="CH174" s="51"/>
      <c r="CI174" s="51"/>
      <c r="CJ174" s="51"/>
      <c r="CK174" s="51"/>
      <c r="CL174" s="51"/>
      <c r="CM174" s="51"/>
      <c r="CN174" s="51"/>
      <c r="CO174" s="51"/>
      <c r="CP174" s="51"/>
      <c r="CQ174" s="51"/>
      <c r="CR174" s="51"/>
      <c r="CS174" s="51"/>
      <c r="CT174" s="51"/>
      <c r="CU174" s="51"/>
      <c r="CV174" s="51"/>
      <c r="CW174" s="51"/>
      <c r="CX174" s="51"/>
      <c r="CY174" s="51"/>
      <c r="CZ174" s="51"/>
      <c r="DA174" s="51"/>
      <c r="DB174" s="51"/>
      <c r="DC174" s="51"/>
      <c r="DD174" s="51"/>
      <c r="DE174" s="51"/>
      <c r="DF174" s="51"/>
      <c r="DG174" s="51"/>
      <c r="DH174" s="51"/>
      <c r="DI174" s="51"/>
      <c r="DJ174" s="51"/>
      <c r="DK174" s="51"/>
      <c r="DL174" s="51"/>
      <c r="DM174" s="51"/>
      <c r="DN174" s="51"/>
      <c r="DO174" s="51"/>
      <c r="DP174" s="51"/>
      <c r="DQ174" s="51"/>
      <c r="DR174" s="51"/>
      <c r="DS174" s="51"/>
      <c r="DT174" s="51"/>
      <c r="DU174" s="51"/>
      <c r="DV174" s="51"/>
      <c r="DW174" s="51"/>
      <c r="DX174" s="51"/>
      <c r="DY174" s="51"/>
      <c r="DZ174" s="51"/>
      <c r="EA174" s="51"/>
      <c r="EB174" s="51"/>
      <c r="EC174" s="51"/>
      <c r="ED174" s="51"/>
      <c r="EE174" s="51"/>
      <c r="EF174" s="51"/>
      <c r="EG174" s="51"/>
      <c r="EH174" s="51"/>
      <c r="EI174" s="51"/>
      <c r="EJ174" s="51"/>
    </row>
    <row r="175" spans="1:140">
      <c r="C175" s="19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V175" s="51"/>
      <c r="W175" s="51"/>
      <c r="X175" s="51"/>
      <c r="Y175" s="51"/>
      <c r="Z175" s="51"/>
      <c r="AA175" s="51"/>
      <c r="AB175" s="51"/>
      <c r="AC175" s="51"/>
      <c r="AD175" s="51"/>
      <c r="AE175" s="51"/>
      <c r="AF175" s="51"/>
      <c r="AG175" s="51"/>
      <c r="AH175" s="51"/>
      <c r="AI175" s="51"/>
      <c r="AJ175" s="51"/>
      <c r="AK175" s="51"/>
      <c r="AL175" s="51"/>
      <c r="AM175" s="51"/>
      <c r="AN175" s="51"/>
      <c r="AO175" s="51"/>
      <c r="AP175" s="51"/>
      <c r="AQ175" s="51"/>
      <c r="AR175" s="51"/>
      <c r="AS175" s="51"/>
      <c r="AT175" s="51"/>
      <c r="AU175" s="51"/>
      <c r="AV175" s="51"/>
      <c r="AW175" s="51"/>
      <c r="AX175" s="51"/>
      <c r="AY175" s="51"/>
      <c r="AZ175" s="51"/>
      <c r="BA175" s="51"/>
      <c r="BB175" s="51"/>
      <c r="BC175" s="51"/>
      <c r="BD175" s="51"/>
      <c r="BE175" s="51"/>
      <c r="BF175" s="51"/>
      <c r="BG175" s="51"/>
      <c r="BH175" s="51"/>
      <c r="BI175" s="51"/>
      <c r="BJ175" s="51"/>
      <c r="BK175" s="51"/>
      <c r="BL175" s="51"/>
      <c r="BM175" s="51"/>
      <c r="BN175" s="51"/>
      <c r="BO175" s="51"/>
      <c r="BP175" s="51"/>
      <c r="BQ175" s="51"/>
      <c r="BR175" s="51"/>
      <c r="BS175" s="51"/>
      <c r="BT175" s="51"/>
      <c r="BU175" s="51"/>
      <c r="BV175" s="51"/>
      <c r="BW175" s="51"/>
      <c r="BX175" s="51"/>
      <c r="BY175" s="51"/>
      <c r="BZ175" s="51"/>
      <c r="CA175" s="51"/>
      <c r="CB175" s="51"/>
      <c r="CC175" s="51"/>
      <c r="CD175" s="51"/>
      <c r="CE175" s="51"/>
      <c r="CF175" s="51"/>
      <c r="CG175" s="51"/>
      <c r="CH175" s="51"/>
      <c r="CI175" s="51"/>
      <c r="CJ175" s="51"/>
      <c r="CK175" s="51"/>
      <c r="CL175" s="51"/>
      <c r="CM175" s="51"/>
      <c r="CN175" s="51"/>
      <c r="CO175" s="51"/>
      <c r="CP175" s="51"/>
      <c r="CQ175" s="51"/>
      <c r="CR175" s="51"/>
      <c r="CS175" s="51"/>
      <c r="CT175" s="51"/>
      <c r="CU175" s="51"/>
      <c r="CV175" s="51"/>
      <c r="CW175" s="51"/>
      <c r="CX175" s="51"/>
      <c r="CY175" s="51"/>
      <c r="CZ175" s="51"/>
      <c r="DA175" s="51"/>
      <c r="DB175" s="51"/>
      <c r="DC175" s="51"/>
      <c r="DD175" s="51"/>
      <c r="DE175" s="51"/>
      <c r="DF175" s="51"/>
      <c r="DG175" s="51"/>
      <c r="DH175" s="51"/>
      <c r="DI175" s="51"/>
      <c r="DJ175" s="51"/>
      <c r="DK175" s="51"/>
      <c r="DL175" s="51"/>
      <c r="DM175" s="51"/>
      <c r="DN175" s="51"/>
      <c r="DO175" s="51"/>
      <c r="DP175" s="51"/>
      <c r="DQ175" s="51"/>
      <c r="DR175" s="51"/>
      <c r="DS175" s="51"/>
      <c r="DT175" s="51"/>
      <c r="DU175" s="51"/>
      <c r="DV175" s="51"/>
      <c r="DW175" s="51"/>
      <c r="DX175" s="51"/>
      <c r="DY175" s="51"/>
      <c r="DZ175" s="51"/>
      <c r="EA175" s="51"/>
      <c r="EB175" s="51"/>
      <c r="EC175" s="51"/>
      <c r="ED175" s="51"/>
      <c r="EE175" s="51"/>
      <c r="EF175" s="51"/>
      <c r="EG175" s="51"/>
      <c r="EH175" s="51"/>
      <c r="EI175" s="51"/>
      <c r="EJ175" s="51"/>
    </row>
    <row r="176" spans="1:140">
      <c r="C176" s="19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V176" s="51"/>
      <c r="W176" s="51"/>
      <c r="X176" s="51"/>
      <c r="Y176" s="51"/>
      <c r="Z176" s="51"/>
      <c r="AA176" s="51"/>
      <c r="AB176" s="51"/>
      <c r="AC176" s="51"/>
      <c r="AD176" s="51"/>
      <c r="AE176" s="51"/>
      <c r="AF176" s="51"/>
      <c r="AG176" s="51"/>
      <c r="AH176" s="51"/>
      <c r="AI176" s="51"/>
      <c r="AJ176" s="51"/>
      <c r="AK176" s="51"/>
      <c r="AL176" s="51"/>
      <c r="AM176" s="51"/>
      <c r="AN176" s="51"/>
      <c r="AO176" s="51"/>
      <c r="AP176" s="51"/>
      <c r="AQ176" s="51"/>
      <c r="AR176" s="51"/>
      <c r="AS176" s="51"/>
      <c r="AT176" s="51"/>
      <c r="AU176" s="51"/>
      <c r="AV176" s="51"/>
      <c r="AW176" s="51"/>
      <c r="AX176" s="51"/>
      <c r="AY176" s="51"/>
      <c r="AZ176" s="51"/>
      <c r="BA176" s="51"/>
      <c r="BB176" s="51"/>
      <c r="BC176" s="51"/>
      <c r="BD176" s="51"/>
      <c r="BE176" s="51"/>
      <c r="BF176" s="51"/>
      <c r="BG176" s="51"/>
      <c r="BH176" s="51"/>
      <c r="BI176" s="51"/>
      <c r="BJ176" s="51"/>
      <c r="BK176" s="51"/>
      <c r="BL176" s="51"/>
      <c r="BM176" s="51"/>
      <c r="BN176" s="51"/>
      <c r="BO176" s="51"/>
      <c r="BP176" s="51"/>
      <c r="BQ176" s="51"/>
      <c r="BR176" s="51"/>
      <c r="BS176" s="51"/>
      <c r="BT176" s="51"/>
      <c r="BU176" s="51"/>
      <c r="BV176" s="51"/>
      <c r="BW176" s="51"/>
      <c r="BX176" s="51"/>
      <c r="BY176" s="51"/>
      <c r="BZ176" s="51"/>
      <c r="CA176" s="51"/>
      <c r="CB176" s="51"/>
      <c r="CC176" s="51"/>
      <c r="CD176" s="51"/>
      <c r="CE176" s="51"/>
      <c r="CF176" s="51"/>
      <c r="CG176" s="51"/>
      <c r="CH176" s="51"/>
      <c r="CI176" s="51"/>
      <c r="CJ176" s="51"/>
      <c r="CK176" s="51"/>
      <c r="CL176" s="51"/>
      <c r="CM176" s="51"/>
      <c r="CN176" s="51"/>
      <c r="CO176" s="51"/>
      <c r="CP176" s="51"/>
      <c r="CQ176" s="51"/>
      <c r="CR176" s="51"/>
      <c r="CS176" s="51"/>
      <c r="CT176" s="51"/>
      <c r="CU176" s="51"/>
      <c r="CV176" s="51"/>
      <c r="CW176" s="51"/>
      <c r="CX176" s="51"/>
      <c r="CY176" s="51"/>
      <c r="CZ176" s="51"/>
      <c r="DA176" s="51"/>
      <c r="DB176" s="51"/>
      <c r="DC176" s="51"/>
      <c r="DD176" s="51"/>
      <c r="DE176" s="51"/>
      <c r="DF176" s="51"/>
      <c r="DG176" s="51"/>
      <c r="DH176" s="51"/>
      <c r="DI176" s="51"/>
      <c r="DJ176" s="51"/>
      <c r="DK176" s="51"/>
      <c r="DL176" s="51"/>
      <c r="DM176" s="51"/>
      <c r="DN176" s="51"/>
      <c r="DO176" s="51"/>
      <c r="DP176" s="51"/>
      <c r="DQ176" s="51"/>
      <c r="DR176" s="51"/>
      <c r="DS176" s="51"/>
      <c r="DT176" s="51"/>
      <c r="DU176" s="51"/>
      <c r="DV176" s="51"/>
      <c r="DW176" s="51"/>
      <c r="DX176" s="51"/>
      <c r="DY176" s="51"/>
      <c r="DZ176" s="51"/>
      <c r="EA176" s="51"/>
      <c r="EB176" s="51"/>
      <c r="EC176" s="51"/>
      <c r="ED176" s="51"/>
      <c r="EE176" s="51"/>
      <c r="EF176" s="51"/>
      <c r="EG176" s="51"/>
      <c r="EH176" s="51"/>
      <c r="EI176" s="51"/>
      <c r="EJ176" s="51"/>
    </row>
    <row r="177" spans="3:140">
      <c r="C177" s="19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V177" s="51"/>
      <c r="W177" s="51"/>
      <c r="X177" s="51"/>
      <c r="Y177" s="51"/>
      <c r="Z177" s="51"/>
      <c r="AA177" s="51"/>
      <c r="AB177" s="51"/>
      <c r="AC177" s="51"/>
      <c r="AD177" s="51"/>
      <c r="AE177" s="51"/>
      <c r="AF177" s="51"/>
      <c r="AG177" s="51"/>
      <c r="AH177" s="51"/>
      <c r="AI177" s="51"/>
      <c r="AJ177" s="51"/>
      <c r="AK177" s="51"/>
      <c r="AL177" s="51"/>
      <c r="AM177" s="51"/>
      <c r="AN177" s="51"/>
      <c r="AO177" s="51"/>
      <c r="AP177" s="51"/>
      <c r="AQ177" s="51"/>
      <c r="AR177" s="51"/>
      <c r="AS177" s="51"/>
      <c r="AT177" s="51"/>
      <c r="AU177" s="51"/>
      <c r="AV177" s="51"/>
      <c r="AW177" s="51"/>
      <c r="AX177" s="51"/>
      <c r="AY177" s="51"/>
      <c r="AZ177" s="51"/>
      <c r="BA177" s="51"/>
      <c r="BB177" s="51"/>
      <c r="BC177" s="51"/>
      <c r="BD177" s="51"/>
      <c r="BE177" s="51"/>
      <c r="BF177" s="51"/>
      <c r="BG177" s="51"/>
      <c r="BH177" s="51"/>
      <c r="BI177" s="51"/>
      <c r="BJ177" s="51"/>
      <c r="BK177" s="51"/>
      <c r="BL177" s="51"/>
      <c r="BM177" s="51"/>
      <c r="BN177" s="51"/>
      <c r="BO177" s="51"/>
      <c r="BP177" s="51"/>
      <c r="BQ177" s="51"/>
      <c r="BR177" s="51"/>
      <c r="BS177" s="51"/>
      <c r="BT177" s="51"/>
      <c r="BU177" s="51"/>
      <c r="BV177" s="51"/>
      <c r="BW177" s="51"/>
      <c r="BX177" s="51"/>
      <c r="BY177" s="51"/>
      <c r="BZ177" s="51"/>
      <c r="CA177" s="51"/>
      <c r="CB177" s="51"/>
      <c r="CC177" s="51"/>
      <c r="CD177" s="51"/>
      <c r="CE177" s="51"/>
      <c r="CF177" s="51"/>
      <c r="CG177" s="51"/>
      <c r="CH177" s="51"/>
      <c r="CI177" s="51"/>
      <c r="CJ177" s="51"/>
      <c r="CK177" s="51"/>
      <c r="CL177" s="51"/>
      <c r="CM177" s="51"/>
      <c r="CN177" s="51"/>
      <c r="CO177" s="51"/>
      <c r="CP177" s="51"/>
      <c r="CQ177" s="51"/>
      <c r="CR177" s="51"/>
      <c r="CS177" s="51"/>
      <c r="CT177" s="51"/>
      <c r="CU177" s="51"/>
      <c r="CV177" s="51"/>
      <c r="CW177" s="51"/>
      <c r="CX177" s="51"/>
      <c r="CY177" s="51"/>
      <c r="CZ177" s="51"/>
      <c r="DA177" s="51"/>
      <c r="DB177" s="51"/>
      <c r="DC177" s="51"/>
      <c r="DD177" s="51"/>
      <c r="DE177" s="51"/>
      <c r="DF177" s="51"/>
      <c r="DG177" s="51"/>
      <c r="DH177" s="51"/>
      <c r="DI177" s="51"/>
      <c r="DJ177" s="51"/>
      <c r="DK177" s="51"/>
      <c r="DL177" s="51"/>
      <c r="DM177" s="51"/>
      <c r="DN177" s="51"/>
      <c r="DO177" s="51"/>
      <c r="DP177" s="51"/>
      <c r="DQ177" s="51"/>
      <c r="DR177" s="51"/>
      <c r="DS177" s="51"/>
      <c r="DT177" s="51"/>
      <c r="DU177" s="51"/>
      <c r="DV177" s="51"/>
      <c r="DW177" s="51"/>
      <c r="DX177" s="51"/>
      <c r="DY177" s="51"/>
      <c r="DZ177" s="51"/>
      <c r="EA177" s="51"/>
      <c r="EB177" s="51"/>
      <c r="EC177" s="51"/>
      <c r="ED177" s="51"/>
      <c r="EE177" s="51"/>
      <c r="EF177" s="51"/>
      <c r="EG177" s="51"/>
      <c r="EH177" s="51"/>
      <c r="EI177" s="51"/>
      <c r="EJ177" s="51"/>
    </row>
    <row r="178" spans="3:140">
      <c r="C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  <c r="AG178" s="51"/>
      <c r="AH178" s="51"/>
      <c r="AI178" s="51"/>
      <c r="AJ178" s="51"/>
      <c r="AK178" s="51"/>
      <c r="AL178" s="51"/>
      <c r="AM178" s="51"/>
      <c r="AN178" s="51"/>
      <c r="AO178" s="51"/>
      <c r="AP178" s="51"/>
      <c r="AQ178" s="51"/>
      <c r="AR178" s="51"/>
      <c r="AS178" s="51"/>
      <c r="AT178" s="51"/>
      <c r="AU178" s="51"/>
      <c r="AV178" s="51"/>
      <c r="AW178" s="51"/>
      <c r="AX178" s="51"/>
      <c r="AY178" s="51"/>
      <c r="AZ178" s="51"/>
      <c r="BA178" s="51"/>
      <c r="BB178" s="51"/>
      <c r="BC178" s="51"/>
      <c r="BD178" s="51"/>
      <c r="BE178" s="51"/>
      <c r="BF178" s="51"/>
      <c r="BG178" s="51"/>
      <c r="BH178" s="51"/>
      <c r="BI178" s="51"/>
      <c r="BJ178" s="51"/>
      <c r="BK178" s="51"/>
      <c r="BL178" s="51"/>
      <c r="BM178" s="51"/>
      <c r="BN178" s="51"/>
      <c r="BO178" s="51"/>
      <c r="BP178" s="51"/>
      <c r="BQ178" s="51"/>
      <c r="BR178" s="51"/>
      <c r="BS178" s="51"/>
      <c r="BT178" s="51"/>
      <c r="BU178" s="51"/>
      <c r="BV178" s="51"/>
      <c r="BW178" s="51"/>
      <c r="BX178" s="51"/>
      <c r="BY178" s="51"/>
      <c r="BZ178" s="51"/>
      <c r="CA178" s="51"/>
      <c r="CB178" s="51"/>
      <c r="CC178" s="51"/>
      <c r="CD178" s="51"/>
      <c r="CE178" s="51"/>
      <c r="CF178" s="51"/>
      <c r="CG178" s="51"/>
      <c r="CH178" s="51"/>
      <c r="CI178" s="51"/>
      <c r="CJ178" s="51"/>
      <c r="CK178" s="51"/>
      <c r="CL178" s="51"/>
      <c r="CM178" s="51"/>
      <c r="CN178" s="51"/>
      <c r="CO178" s="51"/>
      <c r="CP178" s="51"/>
      <c r="CQ178" s="51"/>
      <c r="CR178" s="51"/>
      <c r="CS178" s="51"/>
      <c r="CT178" s="51"/>
      <c r="CU178" s="51"/>
      <c r="CV178" s="51"/>
      <c r="CW178" s="51"/>
      <c r="CX178" s="51"/>
      <c r="CY178" s="51"/>
      <c r="CZ178" s="51"/>
      <c r="DA178" s="51"/>
      <c r="DB178" s="51"/>
      <c r="DC178" s="51"/>
      <c r="DD178" s="51"/>
      <c r="DE178" s="51"/>
      <c r="DF178" s="51"/>
      <c r="DG178" s="51"/>
      <c r="DH178" s="51"/>
      <c r="DI178" s="51"/>
      <c r="DJ178" s="51"/>
      <c r="DK178" s="51"/>
      <c r="DL178" s="51"/>
      <c r="DM178" s="51"/>
      <c r="DN178" s="51"/>
      <c r="DO178" s="51"/>
      <c r="DP178" s="51"/>
      <c r="DQ178" s="51"/>
      <c r="DR178" s="51"/>
      <c r="DS178" s="51"/>
      <c r="DT178" s="51"/>
      <c r="DU178" s="51"/>
      <c r="DV178" s="51"/>
      <c r="DW178" s="51"/>
      <c r="DX178" s="51"/>
      <c r="DY178" s="51"/>
      <c r="DZ178" s="51"/>
      <c r="EA178" s="51"/>
      <c r="EB178" s="51"/>
      <c r="EC178" s="51"/>
      <c r="ED178" s="51"/>
      <c r="EE178" s="51"/>
      <c r="EF178" s="51"/>
      <c r="EG178" s="51"/>
      <c r="EH178" s="51"/>
      <c r="EI178" s="51"/>
      <c r="EJ178" s="51"/>
    </row>
    <row r="179" spans="3:140">
      <c r="C179" s="19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  <c r="AF179" s="51"/>
      <c r="AG179" s="51"/>
      <c r="AH179" s="51"/>
      <c r="AI179" s="51"/>
      <c r="AJ179" s="51"/>
      <c r="AK179" s="51"/>
      <c r="AL179" s="51"/>
      <c r="AM179" s="51"/>
      <c r="AN179" s="51"/>
      <c r="AO179" s="51"/>
      <c r="AP179" s="51"/>
      <c r="AQ179" s="51"/>
      <c r="AR179" s="51"/>
      <c r="AS179" s="51"/>
      <c r="AT179" s="51"/>
      <c r="AU179" s="51"/>
      <c r="AV179" s="51"/>
      <c r="AW179" s="51"/>
      <c r="AX179" s="51"/>
      <c r="AY179" s="51"/>
      <c r="AZ179" s="51"/>
      <c r="BA179" s="51"/>
      <c r="BB179" s="51"/>
      <c r="BC179" s="51"/>
      <c r="BD179" s="51"/>
      <c r="BE179" s="51"/>
      <c r="BF179" s="51"/>
      <c r="BG179" s="51"/>
      <c r="BH179" s="51"/>
      <c r="BI179" s="51"/>
      <c r="BJ179" s="51"/>
      <c r="BK179" s="51"/>
      <c r="BL179" s="51"/>
      <c r="BM179" s="51"/>
      <c r="BN179" s="51"/>
      <c r="BO179" s="51"/>
      <c r="BP179" s="51"/>
      <c r="BQ179" s="51"/>
      <c r="BR179" s="51"/>
      <c r="BS179" s="51"/>
      <c r="BT179" s="51"/>
      <c r="BU179" s="51"/>
      <c r="BV179" s="51"/>
      <c r="BW179" s="51"/>
      <c r="BX179" s="51"/>
      <c r="BY179" s="51"/>
      <c r="BZ179" s="51"/>
      <c r="CA179" s="51"/>
      <c r="CB179" s="51"/>
      <c r="CC179" s="51"/>
      <c r="CD179" s="51"/>
      <c r="CE179" s="51"/>
      <c r="CF179" s="51"/>
      <c r="CG179" s="51"/>
      <c r="CH179" s="51"/>
      <c r="CI179" s="51"/>
      <c r="CJ179" s="51"/>
      <c r="CK179" s="51"/>
      <c r="CL179" s="51"/>
      <c r="CM179" s="51"/>
      <c r="CN179" s="51"/>
      <c r="CO179" s="51"/>
      <c r="CP179" s="51"/>
      <c r="CQ179" s="51"/>
      <c r="CR179" s="51"/>
      <c r="CS179" s="51"/>
      <c r="CT179" s="51"/>
      <c r="CU179" s="51"/>
      <c r="CV179" s="51"/>
      <c r="CW179" s="51"/>
      <c r="CX179" s="51"/>
      <c r="CY179" s="51"/>
      <c r="CZ179" s="51"/>
      <c r="DA179" s="51"/>
      <c r="DB179" s="51"/>
      <c r="DC179" s="51"/>
      <c r="DD179" s="51"/>
      <c r="DE179" s="51"/>
      <c r="DF179" s="51"/>
      <c r="DG179" s="51"/>
      <c r="DH179" s="51"/>
      <c r="DI179" s="51"/>
      <c r="DJ179" s="51"/>
      <c r="DK179" s="51"/>
      <c r="DL179" s="51"/>
      <c r="DM179" s="51"/>
      <c r="DN179" s="51"/>
      <c r="DO179" s="51"/>
      <c r="DP179" s="51"/>
      <c r="DQ179" s="51"/>
      <c r="DR179" s="51"/>
      <c r="DS179" s="51"/>
      <c r="DT179" s="51"/>
      <c r="DU179" s="51"/>
      <c r="DV179" s="51"/>
      <c r="DW179" s="51"/>
      <c r="DX179" s="51"/>
      <c r="DY179" s="51"/>
      <c r="DZ179" s="51"/>
      <c r="EA179" s="51"/>
      <c r="EB179" s="51"/>
      <c r="EC179" s="51"/>
      <c r="ED179" s="51"/>
      <c r="EE179" s="51"/>
      <c r="EF179" s="51"/>
      <c r="EG179" s="51"/>
      <c r="EH179" s="51"/>
      <c r="EI179" s="51"/>
      <c r="EJ179" s="51"/>
    </row>
    <row r="180" spans="3:140">
      <c r="C180" s="19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1"/>
      <c r="AI180" s="51"/>
      <c r="AJ180" s="51"/>
      <c r="AK180" s="51"/>
      <c r="AL180" s="51"/>
      <c r="AM180" s="51"/>
      <c r="AN180" s="51"/>
      <c r="AO180" s="51"/>
      <c r="AP180" s="51"/>
      <c r="AQ180" s="51"/>
      <c r="AR180" s="51"/>
      <c r="AS180" s="51"/>
      <c r="AT180" s="51"/>
      <c r="AU180" s="51"/>
      <c r="AV180" s="51"/>
      <c r="AW180" s="51"/>
      <c r="AX180" s="51"/>
      <c r="AY180" s="51"/>
      <c r="AZ180" s="51"/>
      <c r="BA180" s="51"/>
      <c r="BB180" s="51"/>
      <c r="BC180" s="51"/>
      <c r="BD180" s="51"/>
      <c r="BE180" s="51"/>
      <c r="BF180" s="51"/>
      <c r="BG180" s="51"/>
      <c r="BH180" s="51"/>
      <c r="BI180" s="51"/>
      <c r="BJ180" s="51"/>
      <c r="BK180" s="51"/>
      <c r="BL180" s="51"/>
      <c r="BM180" s="51"/>
      <c r="BN180" s="51"/>
      <c r="BO180" s="51"/>
      <c r="BP180" s="51"/>
      <c r="BQ180" s="51"/>
      <c r="BR180" s="51"/>
      <c r="BS180" s="51"/>
      <c r="BT180" s="51"/>
      <c r="BU180" s="51"/>
      <c r="BV180" s="51"/>
      <c r="BW180" s="51"/>
      <c r="BX180" s="51"/>
      <c r="BY180" s="51"/>
      <c r="BZ180" s="51"/>
      <c r="CA180" s="51"/>
      <c r="CB180" s="51"/>
      <c r="CC180" s="51"/>
      <c r="CD180" s="51"/>
      <c r="CE180" s="51"/>
      <c r="CF180" s="51"/>
      <c r="CG180" s="51"/>
      <c r="CH180" s="51"/>
      <c r="CI180" s="51"/>
      <c r="CJ180" s="51"/>
      <c r="CK180" s="51"/>
      <c r="CL180" s="51"/>
      <c r="CM180" s="51"/>
      <c r="CN180" s="51"/>
      <c r="CO180" s="51"/>
      <c r="CP180" s="51"/>
      <c r="CQ180" s="51"/>
      <c r="CR180" s="51"/>
      <c r="CS180" s="51"/>
      <c r="CT180" s="51"/>
      <c r="CU180" s="51"/>
      <c r="CV180" s="51"/>
      <c r="CW180" s="51"/>
      <c r="CX180" s="51"/>
      <c r="CY180" s="51"/>
      <c r="CZ180" s="51"/>
      <c r="DA180" s="51"/>
      <c r="DB180" s="51"/>
      <c r="DC180" s="51"/>
      <c r="DD180" s="51"/>
      <c r="DE180" s="51"/>
      <c r="DF180" s="51"/>
      <c r="DG180" s="51"/>
      <c r="DH180" s="51"/>
      <c r="DI180" s="51"/>
      <c r="DJ180" s="51"/>
      <c r="DK180" s="51"/>
      <c r="DL180" s="51"/>
      <c r="DM180" s="51"/>
      <c r="DN180" s="51"/>
      <c r="DO180" s="51"/>
      <c r="DP180" s="51"/>
      <c r="DQ180" s="51"/>
      <c r="DR180" s="51"/>
      <c r="DS180" s="51"/>
      <c r="DT180" s="51"/>
      <c r="DU180" s="51"/>
      <c r="DV180" s="51"/>
      <c r="DW180" s="51"/>
      <c r="DX180" s="51"/>
      <c r="DY180" s="51"/>
      <c r="DZ180" s="51"/>
      <c r="EA180" s="51"/>
      <c r="EB180" s="51"/>
      <c r="EC180" s="51"/>
      <c r="ED180" s="51"/>
      <c r="EE180" s="51"/>
      <c r="EF180" s="51"/>
      <c r="EG180" s="51"/>
      <c r="EH180" s="51"/>
      <c r="EI180" s="51"/>
      <c r="EJ180" s="51"/>
    </row>
    <row r="181" spans="3:140">
      <c r="C181" s="19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  <c r="AF181" s="51"/>
      <c r="AG181" s="51"/>
      <c r="AH181" s="51"/>
      <c r="AI181" s="51"/>
      <c r="AJ181" s="51"/>
      <c r="AK181" s="51"/>
      <c r="AL181" s="51"/>
      <c r="AM181" s="51"/>
      <c r="AN181" s="51"/>
      <c r="AO181" s="51"/>
      <c r="AP181" s="51"/>
      <c r="AQ181" s="51"/>
      <c r="AR181" s="51"/>
      <c r="AS181" s="51"/>
      <c r="AT181" s="51"/>
      <c r="AU181" s="51"/>
      <c r="AV181" s="51"/>
      <c r="AW181" s="51"/>
      <c r="AX181" s="51"/>
      <c r="AY181" s="51"/>
      <c r="AZ181" s="51"/>
      <c r="BA181" s="51"/>
      <c r="BB181" s="51"/>
      <c r="BC181" s="51"/>
      <c r="BD181" s="51"/>
      <c r="BE181" s="51"/>
      <c r="BF181" s="51"/>
      <c r="BG181" s="51"/>
      <c r="BH181" s="51"/>
      <c r="BI181" s="51"/>
      <c r="BJ181" s="51"/>
      <c r="BK181" s="51"/>
      <c r="BL181" s="51"/>
      <c r="BM181" s="51"/>
      <c r="BN181" s="51"/>
      <c r="BO181" s="51"/>
      <c r="BP181" s="51"/>
      <c r="BQ181" s="51"/>
      <c r="BR181" s="51"/>
      <c r="BS181" s="51"/>
      <c r="BT181" s="51"/>
      <c r="BU181" s="51"/>
      <c r="BV181" s="51"/>
      <c r="BW181" s="51"/>
      <c r="BX181" s="51"/>
      <c r="BY181" s="51"/>
      <c r="BZ181" s="51"/>
      <c r="CA181" s="51"/>
      <c r="CB181" s="51"/>
      <c r="CC181" s="51"/>
      <c r="CD181" s="51"/>
      <c r="CE181" s="51"/>
      <c r="CF181" s="51"/>
      <c r="CG181" s="51"/>
      <c r="CH181" s="51"/>
      <c r="CI181" s="51"/>
      <c r="CJ181" s="51"/>
      <c r="CK181" s="51"/>
      <c r="CL181" s="51"/>
      <c r="CM181" s="51"/>
      <c r="CN181" s="51"/>
      <c r="CO181" s="51"/>
      <c r="CP181" s="51"/>
      <c r="CQ181" s="51"/>
      <c r="CR181" s="51"/>
      <c r="CS181" s="51"/>
      <c r="CT181" s="51"/>
      <c r="CU181" s="51"/>
      <c r="CV181" s="51"/>
      <c r="CW181" s="51"/>
      <c r="CX181" s="51"/>
      <c r="CY181" s="51"/>
      <c r="CZ181" s="51"/>
      <c r="DA181" s="51"/>
      <c r="DB181" s="51"/>
      <c r="DC181" s="51"/>
      <c r="DD181" s="51"/>
      <c r="DE181" s="51"/>
      <c r="DF181" s="51"/>
      <c r="DG181" s="51"/>
      <c r="DH181" s="51"/>
      <c r="DI181" s="51"/>
      <c r="DJ181" s="51"/>
      <c r="DK181" s="51"/>
      <c r="DL181" s="51"/>
      <c r="DM181" s="51"/>
      <c r="DN181" s="51"/>
      <c r="DO181" s="51"/>
      <c r="DP181" s="51"/>
      <c r="DQ181" s="51"/>
      <c r="DR181" s="51"/>
      <c r="DS181" s="51"/>
      <c r="DT181" s="51"/>
      <c r="DU181" s="51"/>
      <c r="DV181" s="51"/>
      <c r="DW181" s="51"/>
      <c r="DX181" s="51"/>
      <c r="DY181" s="51"/>
      <c r="DZ181" s="51"/>
      <c r="EA181" s="51"/>
      <c r="EB181" s="51"/>
      <c r="EC181" s="51"/>
      <c r="ED181" s="51"/>
      <c r="EE181" s="51"/>
      <c r="EF181" s="51"/>
      <c r="EG181" s="51"/>
      <c r="EH181" s="51"/>
      <c r="EI181" s="51"/>
      <c r="EJ181" s="51"/>
    </row>
    <row r="182" spans="3:140">
      <c r="C182" s="19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  <c r="AG182" s="51"/>
      <c r="AH182" s="51"/>
      <c r="AI182" s="51"/>
      <c r="AJ182" s="51"/>
      <c r="AK182" s="51"/>
      <c r="AL182" s="51"/>
      <c r="AM182" s="51"/>
      <c r="AN182" s="51"/>
      <c r="AO182" s="51"/>
      <c r="AP182" s="51"/>
      <c r="AQ182" s="51"/>
      <c r="AR182" s="51"/>
      <c r="AS182" s="51"/>
      <c r="AT182" s="51"/>
      <c r="AU182" s="51"/>
      <c r="AV182" s="51"/>
      <c r="AW182" s="51"/>
      <c r="AX182" s="51"/>
      <c r="AY182" s="51"/>
      <c r="AZ182" s="51"/>
      <c r="BA182" s="51"/>
      <c r="BB182" s="51"/>
      <c r="BC182" s="51"/>
      <c r="BD182" s="51"/>
      <c r="BE182" s="51"/>
      <c r="BF182" s="51"/>
      <c r="BG182" s="51"/>
      <c r="BH182" s="51"/>
      <c r="BI182" s="51"/>
      <c r="BJ182" s="51"/>
      <c r="BK182" s="51"/>
      <c r="BL182" s="51"/>
      <c r="BM182" s="51"/>
      <c r="BN182" s="51"/>
      <c r="BO182" s="51"/>
      <c r="BP182" s="51"/>
      <c r="BQ182" s="51"/>
      <c r="BR182" s="51"/>
      <c r="BS182" s="51"/>
      <c r="BT182" s="51"/>
      <c r="BU182" s="51"/>
      <c r="BV182" s="51"/>
      <c r="BW182" s="51"/>
      <c r="BX182" s="51"/>
      <c r="BY182" s="51"/>
      <c r="BZ182" s="51"/>
      <c r="CA182" s="51"/>
      <c r="CB182" s="51"/>
      <c r="CC182" s="51"/>
      <c r="CD182" s="51"/>
      <c r="CE182" s="51"/>
      <c r="CF182" s="51"/>
      <c r="CG182" s="51"/>
      <c r="CH182" s="51"/>
      <c r="CI182" s="51"/>
      <c r="CJ182" s="51"/>
      <c r="CK182" s="51"/>
      <c r="CL182" s="51"/>
      <c r="CM182" s="51"/>
      <c r="CN182" s="51"/>
      <c r="CO182" s="51"/>
      <c r="CP182" s="51"/>
      <c r="CQ182" s="51"/>
      <c r="CR182" s="51"/>
      <c r="CS182" s="51"/>
      <c r="CT182" s="51"/>
      <c r="CU182" s="51"/>
      <c r="CV182" s="51"/>
      <c r="CW182" s="51"/>
      <c r="CX182" s="51"/>
      <c r="CY182" s="51"/>
      <c r="CZ182" s="51"/>
      <c r="DA182" s="51"/>
      <c r="DB182" s="51"/>
      <c r="DC182" s="51"/>
      <c r="DD182" s="51"/>
      <c r="DE182" s="51"/>
      <c r="DF182" s="51"/>
      <c r="DG182" s="51"/>
      <c r="DH182" s="51"/>
      <c r="DI182" s="51"/>
      <c r="DJ182" s="51"/>
      <c r="DK182" s="51"/>
      <c r="DL182" s="51"/>
      <c r="DM182" s="51"/>
      <c r="DN182" s="51"/>
      <c r="DO182" s="51"/>
      <c r="DP182" s="51"/>
      <c r="DQ182" s="51"/>
      <c r="DR182" s="51"/>
      <c r="DS182" s="51"/>
      <c r="DT182" s="51"/>
      <c r="DU182" s="51"/>
      <c r="DV182" s="51"/>
      <c r="DW182" s="51"/>
      <c r="DX182" s="51"/>
      <c r="DY182" s="51"/>
      <c r="DZ182" s="51"/>
      <c r="EA182" s="51"/>
      <c r="EB182" s="51"/>
      <c r="EC182" s="51"/>
      <c r="ED182" s="51"/>
      <c r="EE182" s="51"/>
      <c r="EF182" s="51"/>
      <c r="EG182" s="51"/>
      <c r="EH182" s="51"/>
      <c r="EI182" s="51"/>
      <c r="EJ182" s="51"/>
    </row>
    <row r="183" spans="3:140">
      <c r="C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  <c r="AH183" s="51"/>
      <c r="AI183" s="51"/>
      <c r="AJ183" s="51"/>
      <c r="AK183" s="51"/>
      <c r="AL183" s="51"/>
      <c r="AM183" s="51"/>
      <c r="AN183" s="51"/>
      <c r="AO183" s="51"/>
      <c r="AP183" s="51"/>
      <c r="AQ183" s="51"/>
      <c r="AR183" s="51"/>
      <c r="AS183" s="51"/>
      <c r="AT183" s="51"/>
      <c r="AU183" s="51"/>
      <c r="AV183" s="51"/>
      <c r="AW183" s="51"/>
      <c r="AX183" s="51"/>
      <c r="AY183" s="51"/>
      <c r="AZ183" s="51"/>
      <c r="BA183" s="51"/>
      <c r="BB183" s="51"/>
      <c r="BC183" s="51"/>
      <c r="BD183" s="51"/>
      <c r="BE183" s="51"/>
      <c r="BF183" s="51"/>
      <c r="BG183" s="51"/>
      <c r="BH183" s="51"/>
      <c r="BI183" s="51"/>
      <c r="BJ183" s="51"/>
      <c r="BK183" s="51"/>
      <c r="BL183" s="51"/>
      <c r="BM183" s="51"/>
      <c r="BN183" s="51"/>
      <c r="BO183" s="51"/>
      <c r="BP183" s="51"/>
      <c r="BQ183" s="51"/>
      <c r="BR183" s="51"/>
      <c r="BS183" s="51"/>
      <c r="BT183" s="51"/>
      <c r="BU183" s="51"/>
      <c r="BV183" s="51"/>
      <c r="BW183" s="51"/>
      <c r="BX183" s="51"/>
      <c r="BY183" s="51"/>
      <c r="BZ183" s="51"/>
      <c r="CA183" s="51"/>
      <c r="CB183" s="51"/>
      <c r="CC183" s="51"/>
      <c r="CD183" s="51"/>
      <c r="CE183" s="51"/>
      <c r="CF183" s="51"/>
      <c r="CG183" s="51"/>
      <c r="CH183" s="51"/>
      <c r="CI183" s="51"/>
      <c r="CJ183" s="51"/>
      <c r="CK183" s="51"/>
      <c r="CL183" s="51"/>
      <c r="CM183" s="51"/>
      <c r="CN183" s="51"/>
      <c r="CO183" s="51"/>
      <c r="CP183" s="51"/>
      <c r="CQ183" s="51"/>
      <c r="CR183" s="51"/>
      <c r="CS183" s="51"/>
      <c r="CT183" s="51"/>
      <c r="CU183" s="51"/>
      <c r="CV183" s="51"/>
      <c r="CW183" s="51"/>
      <c r="CX183" s="51"/>
      <c r="CY183" s="51"/>
      <c r="CZ183" s="51"/>
      <c r="DA183" s="51"/>
      <c r="DB183" s="51"/>
      <c r="DC183" s="51"/>
      <c r="DD183" s="51"/>
      <c r="DE183" s="51"/>
      <c r="DF183" s="51"/>
      <c r="DG183" s="51"/>
      <c r="DH183" s="51"/>
      <c r="DI183" s="51"/>
      <c r="DJ183" s="51"/>
      <c r="DK183" s="51"/>
      <c r="DL183" s="51"/>
      <c r="DM183" s="51"/>
      <c r="DN183" s="51"/>
      <c r="DO183" s="51"/>
      <c r="DP183" s="51"/>
      <c r="DQ183" s="51"/>
      <c r="DR183" s="51"/>
      <c r="DS183" s="51"/>
      <c r="DT183" s="51"/>
      <c r="DU183" s="51"/>
      <c r="DV183" s="51"/>
      <c r="DW183" s="51"/>
      <c r="DX183" s="51"/>
      <c r="DY183" s="51"/>
      <c r="DZ183" s="51"/>
      <c r="EA183" s="51"/>
      <c r="EB183" s="51"/>
      <c r="EC183" s="51"/>
      <c r="ED183" s="51"/>
      <c r="EE183" s="51"/>
      <c r="EF183" s="51"/>
      <c r="EG183" s="51"/>
      <c r="EH183" s="51"/>
      <c r="EI183" s="51"/>
      <c r="EJ183" s="51"/>
    </row>
    <row r="184" spans="3:140">
      <c r="C184" s="19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1"/>
      <c r="AI184" s="51"/>
      <c r="AJ184" s="51"/>
      <c r="AK184" s="51"/>
      <c r="AL184" s="51"/>
      <c r="AM184" s="51"/>
      <c r="AN184" s="51"/>
      <c r="AO184" s="51"/>
      <c r="AP184" s="51"/>
      <c r="AQ184" s="51"/>
      <c r="AR184" s="51"/>
      <c r="AS184" s="51"/>
      <c r="AT184" s="51"/>
      <c r="AU184" s="51"/>
      <c r="AV184" s="51"/>
      <c r="AW184" s="51"/>
      <c r="AX184" s="51"/>
      <c r="AY184" s="51"/>
      <c r="AZ184" s="51"/>
      <c r="BA184" s="51"/>
      <c r="BB184" s="51"/>
      <c r="BC184" s="51"/>
      <c r="BD184" s="51"/>
      <c r="BE184" s="51"/>
      <c r="BF184" s="51"/>
      <c r="BG184" s="51"/>
      <c r="BH184" s="51"/>
      <c r="BI184" s="51"/>
      <c r="BJ184" s="51"/>
      <c r="BK184" s="51"/>
      <c r="BL184" s="51"/>
      <c r="BM184" s="51"/>
      <c r="BN184" s="51"/>
      <c r="BO184" s="51"/>
      <c r="BP184" s="51"/>
      <c r="BQ184" s="51"/>
      <c r="BR184" s="51"/>
      <c r="BS184" s="51"/>
      <c r="BT184" s="51"/>
      <c r="BU184" s="51"/>
      <c r="BV184" s="51"/>
      <c r="BW184" s="51"/>
      <c r="BX184" s="51"/>
      <c r="BY184" s="51"/>
      <c r="BZ184" s="51"/>
      <c r="CA184" s="51"/>
      <c r="CB184" s="51"/>
      <c r="CC184" s="51"/>
      <c r="CD184" s="51"/>
      <c r="CE184" s="51"/>
      <c r="CF184" s="51"/>
      <c r="CG184" s="51"/>
      <c r="CH184" s="51"/>
      <c r="CI184" s="51"/>
      <c r="CJ184" s="51"/>
      <c r="CK184" s="51"/>
      <c r="CL184" s="51"/>
      <c r="CM184" s="51"/>
      <c r="CN184" s="51"/>
      <c r="CO184" s="51"/>
      <c r="CP184" s="51"/>
      <c r="CQ184" s="51"/>
      <c r="CR184" s="51"/>
      <c r="CS184" s="51"/>
      <c r="CT184" s="51"/>
      <c r="CU184" s="51"/>
      <c r="CV184" s="51"/>
      <c r="CW184" s="51"/>
      <c r="CX184" s="51"/>
      <c r="CY184" s="51"/>
      <c r="CZ184" s="51"/>
      <c r="DA184" s="51"/>
      <c r="DB184" s="51"/>
      <c r="DC184" s="51"/>
      <c r="DD184" s="51"/>
      <c r="DE184" s="51"/>
      <c r="DF184" s="51"/>
      <c r="DG184" s="51"/>
      <c r="DH184" s="51"/>
      <c r="DI184" s="51"/>
      <c r="DJ184" s="51"/>
      <c r="DK184" s="51"/>
      <c r="DL184" s="51"/>
      <c r="DM184" s="51"/>
      <c r="DN184" s="51"/>
      <c r="DO184" s="51"/>
      <c r="DP184" s="51"/>
      <c r="DQ184" s="51"/>
      <c r="DR184" s="51"/>
      <c r="DS184" s="51"/>
      <c r="DT184" s="51"/>
      <c r="DU184" s="51"/>
      <c r="DV184" s="51"/>
      <c r="DW184" s="51"/>
      <c r="DX184" s="51"/>
      <c r="DY184" s="51"/>
      <c r="DZ184" s="51"/>
      <c r="EA184" s="51"/>
      <c r="EB184" s="51"/>
      <c r="EC184" s="51"/>
      <c r="ED184" s="51"/>
      <c r="EE184" s="51"/>
      <c r="EF184" s="51"/>
      <c r="EG184" s="51"/>
      <c r="EH184" s="51"/>
      <c r="EI184" s="51"/>
      <c r="EJ184" s="51"/>
    </row>
    <row r="185" spans="3:140">
      <c r="C185" s="19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1"/>
      <c r="AI185" s="51"/>
      <c r="AJ185" s="51"/>
      <c r="AK185" s="51"/>
      <c r="AL185" s="51"/>
      <c r="AM185" s="51"/>
      <c r="AN185" s="51"/>
      <c r="AO185" s="51"/>
      <c r="AP185" s="51"/>
      <c r="AQ185" s="51"/>
      <c r="AR185" s="51"/>
      <c r="AS185" s="51"/>
      <c r="AT185" s="51"/>
      <c r="AU185" s="51"/>
      <c r="AV185" s="51"/>
      <c r="AW185" s="51"/>
      <c r="AX185" s="51"/>
      <c r="AY185" s="51"/>
      <c r="AZ185" s="51"/>
      <c r="BA185" s="51"/>
      <c r="BB185" s="51"/>
      <c r="BC185" s="51"/>
      <c r="BD185" s="51"/>
      <c r="BE185" s="51"/>
      <c r="BF185" s="51"/>
      <c r="BG185" s="51"/>
      <c r="BH185" s="51"/>
      <c r="BI185" s="51"/>
      <c r="BJ185" s="51"/>
      <c r="BK185" s="51"/>
      <c r="BL185" s="51"/>
      <c r="BM185" s="51"/>
      <c r="BN185" s="51"/>
      <c r="BO185" s="51"/>
      <c r="BP185" s="51"/>
      <c r="BQ185" s="51"/>
      <c r="BR185" s="51"/>
      <c r="BS185" s="51"/>
      <c r="BT185" s="51"/>
      <c r="BU185" s="51"/>
      <c r="BV185" s="51"/>
      <c r="BW185" s="51"/>
      <c r="BX185" s="51"/>
      <c r="BY185" s="51"/>
      <c r="BZ185" s="51"/>
      <c r="CA185" s="51"/>
      <c r="CB185" s="51"/>
      <c r="CC185" s="51"/>
      <c r="CD185" s="51"/>
      <c r="CE185" s="51"/>
      <c r="CF185" s="51"/>
      <c r="CG185" s="51"/>
      <c r="CH185" s="51"/>
      <c r="CI185" s="51"/>
      <c r="CJ185" s="51"/>
      <c r="CK185" s="51"/>
      <c r="CL185" s="51"/>
      <c r="CM185" s="51"/>
      <c r="CN185" s="51"/>
      <c r="CO185" s="51"/>
      <c r="CP185" s="51"/>
      <c r="CQ185" s="51"/>
      <c r="CR185" s="51"/>
      <c r="CS185" s="51"/>
      <c r="CT185" s="51"/>
      <c r="CU185" s="51"/>
      <c r="CV185" s="51"/>
      <c r="CW185" s="51"/>
      <c r="CX185" s="51"/>
      <c r="CY185" s="51"/>
      <c r="CZ185" s="51"/>
      <c r="DA185" s="51"/>
      <c r="DB185" s="51"/>
      <c r="DC185" s="51"/>
      <c r="DD185" s="51"/>
      <c r="DE185" s="51"/>
      <c r="DF185" s="51"/>
      <c r="DG185" s="51"/>
      <c r="DH185" s="51"/>
      <c r="DI185" s="51"/>
      <c r="DJ185" s="51"/>
      <c r="DK185" s="51"/>
      <c r="DL185" s="51"/>
      <c r="DM185" s="51"/>
      <c r="DN185" s="51"/>
      <c r="DO185" s="51"/>
      <c r="DP185" s="51"/>
      <c r="DQ185" s="51"/>
      <c r="DR185" s="51"/>
      <c r="DS185" s="51"/>
      <c r="DT185" s="51"/>
      <c r="DU185" s="51"/>
      <c r="DV185" s="51"/>
      <c r="DW185" s="51"/>
      <c r="DX185" s="51"/>
      <c r="DY185" s="51"/>
      <c r="DZ185" s="51"/>
      <c r="EA185" s="51"/>
      <c r="EB185" s="51"/>
      <c r="EC185" s="51"/>
      <c r="ED185" s="51"/>
      <c r="EE185" s="51"/>
      <c r="EF185" s="51"/>
      <c r="EG185" s="51"/>
      <c r="EH185" s="51"/>
      <c r="EI185" s="51"/>
      <c r="EJ185" s="51"/>
    </row>
    <row r="186" spans="3:140">
      <c r="C186" s="19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1"/>
      <c r="AI186" s="51"/>
      <c r="AJ186" s="51"/>
      <c r="AK186" s="51"/>
      <c r="AL186" s="51"/>
      <c r="AM186" s="51"/>
      <c r="AN186" s="51"/>
      <c r="AO186" s="51"/>
      <c r="AP186" s="51"/>
      <c r="AQ186" s="51"/>
      <c r="AR186" s="51"/>
      <c r="AS186" s="51"/>
      <c r="AT186" s="51"/>
      <c r="AU186" s="51"/>
      <c r="AV186" s="51"/>
      <c r="AW186" s="51"/>
      <c r="AX186" s="51"/>
      <c r="AY186" s="51"/>
      <c r="AZ186" s="51"/>
      <c r="BA186" s="51"/>
      <c r="BB186" s="51"/>
      <c r="BC186" s="51"/>
      <c r="BD186" s="51"/>
      <c r="BE186" s="51"/>
      <c r="BF186" s="51"/>
      <c r="BG186" s="51"/>
      <c r="BH186" s="51"/>
      <c r="BI186" s="51"/>
      <c r="BJ186" s="51"/>
      <c r="BK186" s="51"/>
      <c r="BL186" s="51"/>
      <c r="BM186" s="51"/>
      <c r="BN186" s="51"/>
      <c r="BO186" s="51"/>
      <c r="BP186" s="51"/>
      <c r="BQ186" s="51"/>
      <c r="BR186" s="51"/>
      <c r="BS186" s="51"/>
      <c r="BT186" s="51"/>
      <c r="BU186" s="51"/>
      <c r="BV186" s="51"/>
      <c r="BW186" s="51"/>
      <c r="BX186" s="51"/>
      <c r="BY186" s="51"/>
      <c r="BZ186" s="51"/>
      <c r="CA186" s="51"/>
      <c r="CB186" s="51"/>
      <c r="CC186" s="51"/>
      <c r="CD186" s="51"/>
      <c r="CE186" s="51"/>
      <c r="CF186" s="51"/>
      <c r="CG186" s="51"/>
      <c r="CH186" s="51"/>
      <c r="CI186" s="51"/>
      <c r="CJ186" s="51"/>
      <c r="CK186" s="51"/>
      <c r="CL186" s="51"/>
      <c r="CM186" s="51"/>
      <c r="CN186" s="51"/>
      <c r="CO186" s="51"/>
      <c r="CP186" s="51"/>
      <c r="CQ186" s="51"/>
      <c r="CR186" s="51"/>
      <c r="CS186" s="51"/>
      <c r="CT186" s="51"/>
      <c r="CU186" s="51"/>
      <c r="CV186" s="51"/>
      <c r="CW186" s="51"/>
      <c r="CX186" s="51"/>
      <c r="CY186" s="51"/>
      <c r="CZ186" s="51"/>
      <c r="DA186" s="51"/>
      <c r="DB186" s="51"/>
      <c r="DC186" s="51"/>
      <c r="DD186" s="51"/>
      <c r="DE186" s="51"/>
      <c r="DF186" s="51"/>
      <c r="DG186" s="51"/>
      <c r="DH186" s="51"/>
      <c r="DI186" s="51"/>
      <c r="DJ186" s="51"/>
      <c r="DK186" s="51"/>
      <c r="DL186" s="51"/>
      <c r="DM186" s="51"/>
      <c r="DN186" s="51"/>
      <c r="DO186" s="51"/>
      <c r="DP186" s="51"/>
      <c r="DQ186" s="51"/>
      <c r="DR186" s="51"/>
      <c r="DS186" s="51"/>
      <c r="DT186" s="51"/>
      <c r="DU186" s="51"/>
      <c r="DV186" s="51"/>
      <c r="DW186" s="51"/>
      <c r="DX186" s="51"/>
      <c r="DY186" s="51"/>
      <c r="DZ186" s="51"/>
      <c r="EA186" s="51"/>
      <c r="EB186" s="51"/>
      <c r="EC186" s="51"/>
      <c r="ED186" s="51"/>
      <c r="EE186" s="51"/>
      <c r="EF186" s="51"/>
      <c r="EG186" s="51"/>
      <c r="EH186" s="51"/>
      <c r="EI186" s="51"/>
      <c r="EJ186" s="51"/>
    </row>
    <row r="187" spans="3:140">
      <c r="C187" s="19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  <c r="AH187" s="51"/>
      <c r="AI187" s="51"/>
      <c r="AJ187" s="51"/>
      <c r="AK187" s="51"/>
      <c r="AL187" s="51"/>
      <c r="AM187" s="51"/>
      <c r="AN187" s="51"/>
      <c r="AO187" s="51"/>
      <c r="AP187" s="51"/>
      <c r="AQ187" s="51"/>
      <c r="AR187" s="51"/>
      <c r="AS187" s="51"/>
      <c r="AT187" s="51"/>
      <c r="AU187" s="51"/>
      <c r="AV187" s="51"/>
      <c r="AW187" s="51"/>
      <c r="AX187" s="51"/>
      <c r="AY187" s="51"/>
      <c r="AZ187" s="51"/>
      <c r="BA187" s="51"/>
      <c r="BB187" s="51"/>
      <c r="BC187" s="51"/>
      <c r="BD187" s="51"/>
      <c r="BE187" s="51"/>
      <c r="BF187" s="51"/>
      <c r="BG187" s="51"/>
      <c r="BH187" s="51"/>
      <c r="BI187" s="51"/>
      <c r="BJ187" s="51"/>
      <c r="BK187" s="51"/>
      <c r="BL187" s="51"/>
      <c r="BM187" s="51"/>
      <c r="BN187" s="51"/>
      <c r="BO187" s="51"/>
      <c r="BP187" s="51"/>
      <c r="BQ187" s="51"/>
      <c r="BR187" s="51"/>
      <c r="BS187" s="51"/>
      <c r="BT187" s="51"/>
      <c r="BU187" s="51"/>
      <c r="BV187" s="51"/>
      <c r="BW187" s="51"/>
      <c r="BX187" s="51"/>
      <c r="BY187" s="51"/>
      <c r="BZ187" s="51"/>
      <c r="CA187" s="51"/>
      <c r="CB187" s="51"/>
      <c r="CC187" s="51"/>
      <c r="CD187" s="51"/>
      <c r="CE187" s="51"/>
      <c r="CF187" s="51"/>
      <c r="CG187" s="51"/>
      <c r="CH187" s="51"/>
      <c r="CI187" s="51"/>
      <c r="CJ187" s="51"/>
      <c r="CK187" s="51"/>
      <c r="CL187" s="51"/>
      <c r="CM187" s="51"/>
      <c r="CN187" s="51"/>
      <c r="CO187" s="51"/>
      <c r="CP187" s="51"/>
      <c r="CQ187" s="51"/>
      <c r="CR187" s="51"/>
      <c r="CS187" s="51"/>
      <c r="CT187" s="51"/>
      <c r="CU187" s="51"/>
      <c r="CV187" s="51"/>
      <c r="CW187" s="51"/>
      <c r="CX187" s="51"/>
      <c r="CY187" s="51"/>
      <c r="CZ187" s="51"/>
      <c r="DA187" s="51"/>
      <c r="DB187" s="51"/>
      <c r="DC187" s="51"/>
      <c r="DD187" s="51"/>
      <c r="DE187" s="51"/>
      <c r="DF187" s="51"/>
      <c r="DG187" s="51"/>
      <c r="DH187" s="51"/>
      <c r="DI187" s="51"/>
      <c r="DJ187" s="51"/>
      <c r="DK187" s="51"/>
      <c r="DL187" s="51"/>
      <c r="DM187" s="51"/>
      <c r="DN187" s="51"/>
      <c r="DO187" s="51"/>
      <c r="DP187" s="51"/>
      <c r="DQ187" s="51"/>
      <c r="DR187" s="51"/>
      <c r="DS187" s="51"/>
      <c r="DT187" s="51"/>
      <c r="DU187" s="51"/>
      <c r="DV187" s="51"/>
      <c r="DW187" s="51"/>
      <c r="DX187" s="51"/>
      <c r="DY187" s="51"/>
      <c r="DZ187" s="51"/>
      <c r="EA187" s="51"/>
      <c r="EB187" s="51"/>
      <c r="EC187" s="51"/>
      <c r="ED187" s="51"/>
      <c r="EE187" s="51"/>
      <c r="EF187" s="51"/>
      <c r="EG187" s="51"/>
      <c r="EH187" s="51"/>
      <c r="EI187" s="51"/>
      <c r="EJ187" s="51"/>
    </row>
    <row r="188" spans="3:140">
      <c r="C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1"/>
      <c r="AI188" s="51"/>
      <c r="AJ188" s="51"/>
      <c r="AK188" s="51"/>
      <c r="AL188" s="51"/>
      <c r="AM188" s="51"/>
      <c r="AN188" s="51"/>
      <c r="AO188" s="51"/>
      <c r="AP188" s="51"/>
      <c r="AQ188" s="51"/>
      <c r="AR188" s="51"/>
      <c r="AS188" s="51"/>
      <c r="AT188" s="51"/>
      <c r="AU188" s="51"/>
      <c r="AV188" s="51"/>
      <c r="AW188" s="51"/>
      <c r="AX188" s="51"/>
      <c r="AY188" s="51"/>
      <c r="AZ188" s="51"/>
      <c r="BA188" s="51"/>
      <c r="BB188" s="51"/>
      <c r="BC188" s="51"/>
      <c r="BD188" s="51"/>
      <c r="BE188" s="51"/>
      <c r="BF188" s="51"/>
      <c r="BG188" s="51"/>
      <c r="BH188" s="51"/>
      <c r="BI188" s="51"/>
      <c r="BJ188" s="51"/>
      <c r="BK188" s="51"/>
      <c r="BL188" s="51"/>
      <c r="BM188" s="51"/>
      <c r="BN188" s="51"/>
      <c r="BO188" s="51"/>
      <c r="BP188" s="51"/>
      <c r="BQ188" s="51"/>
      <c r="BR188" s="51"/>
      <c r="BS188" s="51"/>
      <c r="BT188" s="51"/>
      <c r="BU188" s="51"/>
      <c r="BV188" s="51"/>
      <c r="BW188" s="51"/>
      <c r="BX188" s="51"/>
      <c r="BY188" s="51"/>
      <c r="BZ188" s="51"/>
      <c r="CA188" s="51"/>
      <c r="CB188" s="51"/>
      <c r="CC188" s="51"/>
      <c r="CD188" s="51"/>
      <c r="CE188" s="51"/>
      <c r="CF188" s="51"/>
      <c r="CG188" s="51"/>
      <c r="CH188" s="51"/>
      <c r="CI188" s="51"/>
      <c r="CJ188" s="51"/>
      <c r="CK188" s="51"/>
      <c r="CL188" s="51"/>
      <c r="CM188" s="51"/>
      <c r="CN188" s="51"/>
      <c r="CO188" s="51"/>
      <c r="CP188" s="51"/>
      <c r="CQ188" s="51"/>
      <c r="CR188" s="51"/>
      <c r="CS188" s="51"/>
      <c r="CT188" s="51"/>
      <c r="CU188" s="51"/>
      <c r="CV188" s="51"/>
      <c r="CW188" s="51"/>
      <c r="CX188" s="51"/>
      <c r="CY188" s="51"/>
      <c r="CZ188" s="51"/>
      <c r="DA188" s="51"/>
      <c r="DB188" s="51"/>
      <c r="DC188" s="51"/>
      <c r="DD188" s="51"/>
      <c r="DE188" s="51"/>
      <c r="DF188" s="51"/>
      <c r="DG188" s="51"/>
      <c r="DH188" s="51"/>
      <c r="DI188" s="51"/>
      <c r="DJ188" s="51"/>
      <c r="DK188" s="51"/>
      <c r="DL188" s="51"/>
      <c r="DM188" s="51"/>
      <c r="DN188" s="51"/>
      <c r="DO188" s="51"/>
      <c r="DP188" s="51"/>
      <c r="DQ188" s="51"/>
      <c r="DR188" s="51"/>
      <c r="DS188" s="51"/>
      <c r="DT188" s="51"/>
      <c r="DU188" s="51"/>
      <c r="DV188" s="51"/>
      <c r="DW188" s="51"/>
      <c r="DX188" s="51"/>
      <c r="DY188" s="51"/>
      <c r="DZ188" s="51"/>
      <c r="EA188" s="51"/>
      <c r="EB188" s="51"/>
      <c r="EC188" s="51"/>
      <c r="ED188" s="51"/>
      <c r="EE188" s="51"/>
      <c r="EF188" s="51"/>
      <c r="EG188" s="51"/>
      <c r="EH188" s="51"/>
      <c r="EI188" s="51"/>
      <c r="EJ188" s="51"/>
    </row>
    <row r="189" spans="3:140">
      <c r="C189" s="19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  <c r="AH189" s="51"/>
      <c r="AI189" s="51"/>
      <c r="AJ189" s="51"/>
      <c r="AK189" s="51"/>
      <c r="AL189" s="51"/>
      <c r="AM189" s="51"/>
      <c r="AN189" s="51"/>
      <c r="AO189" s="51"/>
      <c r="AP189" s="51"/>
      <c r="AQ189" s="51"/>
      <c r="AR189" s="51"/>
      <c r="AS189" s="51"/>
      <c r="AT189" s="51"/>
      <c r="AU189" s="51"/>
      <c r="AV189" s="51"/>
      <c r="AW189" s="51"/>
      <c r="AX189" s="51"/>
      <c r="AY189" s="51"/>
      <c r="AZ189" s="51"/>
      <c r="BA189" s="51"/>
      <c r="BB189" s="51"/>
      <c r="BC189" s="51"/>
      <c r="BD189" s="51"/>
      <c r="BE189" s="51"/>
      <c r="BF189" s="51"/>
      <c r="BG189" s="51"/>
      <c r="BH189" s="51"/>
      <c r="BI189" s="51"/>
      <c r="BJ189" s="51"/>
      <c r="BK189" s="51"/>
      <c r="BL189" s="51"/>
      <c r="BM189" s="51"/>
      <c r="BN189" s="51"/>
      <c r="BO189" s="51"/>
      <c r="BP189" s="51"/>
      <c r="BQ189" s="51"/>
      <c r="BR189" s="51"/>
      <c r="BS189" s="51"/>
      <c r="BT189" s="51"/>
      <c r="BU189" s="51"/>
      <c r="BV189" s="51"/>
      <c r="BW189" s="51"/>
      <c r="BX189" s="51"/>
      <c r="BY189" s="51"/>
      <c r="BZ189" s="51"/>
      <c r="CA189" s="51"/>
      <c r="CB189" s="51"/>
      <c r="CC189" s="51"/>
      <c r="CD189" s="51"/>
      <c r="CE189" s="51"/>
      <c r="CF189" s="51"/>
      <c r="CG189" s="51"/>
      <c r="CH189" s="51"/>
      <c r="CI189" s="51"/>
      <c r="CJ189" s="51"/>
      <c r="CK189" s="51"/>
      <c r="CL189" s="51"/>
      <c r="CM189" s="51"/>
      <c r="CN189" s="51"/>
      <c r="CO189" s="51"/>
      <c r="CP189" s="51"/>
      <c r="CQ189" s="51"/>
      <c r="CR189" s="51"/>
      <c r="CS189" s="51"/>
      <c r="CT189" s="51"/>
      <c r="CU189" s="51"/>
      <c r="CV189" s="51"/>
      <c r="CW189" s="51"/>
      <c r="CX189" s="51"/>
      <c r="CY189" s="51"/>
      <c r="CZ189" s="51"/>
      <c r="DA189" s="51"/>
      <c r="DB189" s="51"/>
      <c r="DC189" s="51"/>
      <c r="DD189" s="51"/>
      <c r="DE189" s="51"/>
      <c r="DF189" s="51"/>
      <c r="DG189" s="51"/>
      <c r="DH189" s="51"/>
      <c r="DI189" s="51"/>
      <c r="DJ189" s="51"/>
      <c r="DK189" s="51"/>
      <c r="DL189" s="51"/>
      <c r="DM189" s="51"/>
      <c r="DN189" s="51"/>
      <c r="DO189" s="51"/>
      <c r="DP189" s="51"/>
      <c r="DQ189" s="51"/>
      <c r="DR189" s="51"/>
      <c r="DS189" s="51"/>
      <c r="DT189" s="51"/>
      <c r="DU189" s="51"/>
      <c r="DV189" s="51"/>
      <c r="DW189" s="51"/>
      <c r="DX189" s="51"/>
      <c r="DY189" s="51"/>
      <c r="DZ189" s="51"/>
      <c r="EA189" s="51"/>
      <c r="EB189" s="51"/>
      <c r="EC189" s="51"/>
      <c r="ED189" s="51"/>
      <c r="EE189" s="51"/>
      <c r="EF189" s="51"/>
      <c r="EG189" s="51"/>
      <c r="EH189" s="51"/>
      <c r="EI189" s="51"/>
      <c r="EJ189" s="51"/>
    </row>
    <row r="190" spans="3:140">
      <c r="C190" s="19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1"/>
      <c r="AI190" s="51"/>
      <c r="AJ190" s="51"/>
      <c r="AK190" s="51"/>
      <c r="AL190" s="51"/>
      <c r="AM190" s="51"/>
      <c r="AN190" s="51"/>
      <c r="AO190" s="51"/>
      <c r="AP190" s="51"/>
      <c r="AQ190" s="51"/>
      <c r="AR190" s="51"/>
      <c r="AS190" s="51"/>
      <c r="AT190" s="51"/>
      <c r="AU190" s="51"/>
      <c r="AV190" s="51"/>
      <c r="AW190" s="51"/>
      <c r="AX190" s="51"/>
      <c r="AY190" s="51"/>
      <c r="AZ190" s="51"/>
      <c r="BA190" s="51"/>
      <c r="BB190" s="51"/>
      <c r="BC190" s="51"/>
      <c r="BD190" s="51"/>
      <c r="BE190" s="51"/>
      <c r="BF190" s="51"/>
      <c r="BG190" s="51"/>
      <c r="BH190" s="51"/>
      <c r="BI190" s="51"/>
      <c r="BJ190" s="51"/>
      <c r="BK190" s="51"/>
      <c r="BL190" s="51"/>
      <c r="BM190" s="51"/>
      <c r="BN190" s="51"/>
      <c r="BO190" s="51"/>
      <c r="BP190" s="51"/>
      <c r="BQ190" s="51"/>
      <c r="BR190" s="51"/>
      <c r="BS190" s="51"/>
      <c r="BT190" s="51"/>
      <c r="BU190" s="51"/>
      <c r="BV190" s="51"/>
      <c r="BW190" s="51"/>
      <c r="BX190" s="51"/>
      <c r="BY190" s="51"/>
      <c r="BZ190" s="51"/>
      <c r="CA190" s="51"/>
      <c r="CB190" s="51"/>
      <c r="CC190" s="51"/>
      <c r="CD190" s="51"/>
      <c r="CE190" s="51"/>
      <c r="CF190" s="51"/>
      <c r="CG190" s="51"/>
      <c r="CH190" s="51"/>
      <c r="CI190" s="51"/>
      <c r="CJ190" s="51"/>
      <c r="CK190" s="51"/>
      <c r="CL190" s="51"/>
      <c r="CM190" s="51"/>
      <c r="CN190" s="51"/>
      <c r="CO190" s="51"/>
      <c r="CP190" s="51"/>
      <c r="CQ190" s="51"/>
      <c r="CR190" s="51"/>
      <c r="CS190" s="51"/>
      <c r="CT190" s="51"/>
      <c r="CU190" s="51"/>
      <c r="CV190" s="51"/>
      <c r="CW190" s="51"/>
      <c r="CX190" s="51"/>
      <c r="CY190" s="51"/>
      <c r="CZ190" s="51"/>
      <c r="DA190" s="51"/>
      <c r="DB190" s="51"/>
      <c r="DC190" s="51"/>
      <c r="DD190" s="51"/>
      <c r="DE190" s="51"/>
      <c r="DF190" s="51"/>
      <c r="DG190" s="51"/>
      <c r="DH190" s="51"/>
      <c r="DI190" s="51"/>
      <c r="DJ190" s="51"/>
      <c r="DK190" s="51"/>
      <c r="DL190" s="51"/>
      <c r="DM190" s="51"/>
      <c r="DN190" s="51"/>
      <c r="DO190" s="51"/>
      <c r="DP190" s="51"/>
      <c r="DQ190" s="51"/>
      <c r="DR190" s="51"/>
      <c r="DS190" s="51"/>
      <c r="DT190" s="51"/>
      <c r="DU190" s="51"/>
      <c r="DV190" s="51"/>
      <c r="DW190" s="51"/>
      <c r="DX190" s="51"/>
      <c r="DY190" s="51"/>
      <c r="DZ190" s="51"/>
      <c r="EA190" s="51"/>
      <c r="EB190" s="51"/>
      <c r="EC190" s="51"/>
      <c r="ED190" s="51"/>
      <c r="EE190" s="51"/>
      <c r="EF190" s="51"/>
      <c r="EG190" s="51"/>
      <c r="EH190" s="51"/>
      <c r="EI190" s="51"/>
      <c r="EJ190" s="51"/>
    </row>
    <row r="191" spans="3:140">
      <c r="C191" s="19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1"/>
      <c r="AI191" s="51"/>
      <c r="AJ191" s="51"/>
      <c r="AK191" s="51"/>
      <c r="AL191" s="51"/>
      <c r="AM191" s="51"/>
      <c r="AN191" s="51"/>
      <c r="AO191" s="51"/>
      <c r="AP191" s="51"/>
      <c r="AQ191" s="51"/>
      <c r="AR191" s="51"/>
      <c r="AS191" s="51"/>
      <c r="AT191" s="51"/>
      <c r="AU191" s="51"/>
      <c r="AV191" s="51"/>
      <c r="AW191" s="51"/>
      <c r="AX191" s="51"/>
      <c r="AY191" s="51"/>
      <c r="AZ191" s="51"/>
      <c r="BA191" s="51"/>
      <c r="BB191" s="51"/>
      <c r="BC191" s="51"/>
      <c r="BD191" s="51"/>
      <c r="BE191" s="51"/>
      <c r="BF191" s="51"/>
      <c r="BG191" s="51"/>
      <c r="BH191" s="51"/>
      <c r="BI191" s="51"/>
      <c r="BJ191" s="51"/>
      <c r="BK191" s="51"/>
      <c r="BL191" s="51"/>
      <c r="BM191" s="51"/>
      <c r="BN191" s="51"/>
      <c r="BO191" s="51"/>
      <c r="BP191" s="51"/>
      <c r="BQ191" s="51"/>
      <c r="BR191" s="51"/>
      <c r="BS191" s="51"/>
      <c r="BT191" s="51"/>
      <c r="BU191" s="51"/>
      <c r="BV191" s="51"/>
      <c r="BW191" s="51"/>
      <c r="BX191" s="51"/>
      <c r="BY191" s="51"/>
      <c r="BZ191" s="51"/>
      <c r="CA191" s="51"/>
      <c r="CB191" s="51"/>
      <c r="CC191" s="51"/>
      <c r="CD191" s="51"/>
      <c r="CE191" s="51"/>
      <c r="CF191" s="51"/>
      <c r="CG191" s="51"/>
      <c r="CH191" s="51"/>
      <c r="CI191" s="51"/>
      <c r="CJ191" s="51"/>
      <c r="CK191" s="51"/>
      <c r="CL191" s="51"/>
      <c r="CM191" s="51"/>
      <c r="CN191" s="51"/>
      <c r="CO191" s="51"/>
      <c r="CP191" s="51"/>
      <c r="CQ191" s="51"/>
      <c r="CR191" s="51"/>
      <c r="CS191" s="51"/>
      <c r="CT191" s="51"/>
      <c r="CU191" s="51"/>
      <c r="CV191" s="51"/>
      <c r="CW191" s="51"/>
      <c r="CX191" s="51"/>
      <c r="CY191" s="51"/>
      <c r="CZ191" s="51"/>
      <c r="DA191" s="51"/>
      <c r="DB191" s="51"/>
      <c r="DC191" s="51"/>
      <c r="DD191" s="51"/>
      <c r="DE191" s="51"/>
      <c r="DF191" s="51"/>
      <c r="DG191" s="51"/>
      <c r="DH191" s="51"/>
      <c r="DI191" s="51"/>
      <c r="DJ191" s="51"/>
      <c r="DK191" s="51"/>
      <c r="DL191" s="51"/>
      <c r="DM191" s="51"/>
      <c r="DN191" s="51"/>
      <c r="DO191" s="51"/>
      <c r="DP191" s="51"/>
      <c r="DQ191" s="51"/>
      <c r="DR191" s="51"/>
      <c r="DS191" s="51"/>
      <c r="DT191" s="51"/>
      <c r="DU191" s="51"/>
      <c r="DV191" s="51"/>
      <c r="DW191" s="51"/>
      <c r="DX191" s="51"/>
      <c r="DY191" s="51"/>
      <c r="DZ191" s="51"/>
      <c r="EA191" s="51"/>
      <c r="EB191" s="51"/>
      <c r="EC191" s="51"/>
      <c r="ED191" s="51"/>
      <c r="EE191" s="51"/>
      <c r="EF191" s="51"/>
      <c r="EG191" s="51"/>
      <c r="EH191" s="51"/>
      <c r="EI191" s="51"/>
      <c r="EJ191" s="51"/>
    </row>
    <row r="192" spans="3:140">
      <c r="C192" s="19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1"/>
      <c r="AG192" s="51"/>
      <c r="AH192" s="51"/>
      <c r="AI192" s="51"/>
      <c r="AJ192" s="51"/>
      <c r="AK192" s="51"/>
      <c r="AL192" s="51"/>
      <c r="AM192" s="51"/>
      <c r="AN192" s="51"/>
      <c r="AO192" s="51"/>
      <c r="AP192" s="51"/>
      <c r="AQ192" s="51"/>
      <c r="AR192" s="51"/>
      <c r="AS192" s="51"/>
      <c r="AT192" s="51"/>
      <c r="AU192" s="51"/>
      <c r="AV192" s="51"/>
      <c r="AW192" s="51"/>
      <c r="AX192" s="51"/>
      <c r="AY192" s="51"/>
      <c r="AZ192" s="51"/>
      <c r="BA192" s="51"/>
      <c r="BB192" s="51"/>
      <c r="BC192" s="51"/>
      <c r="BD192" s="51"/>
      <c r="BE192" s="51"/>
      <c r="BF192" s="51"/>
      <c r="BG192" s="51"/>
      <c r="BH192" s="51"/>
      <c r="BI192" s="51"/>
      <c r="BJ192" s="51"/>
      <c r="BK192" s="51"/>
      <c r="BL192" s="51"/>
      <c r="BM192" s="51"/>
      <c r="BN192" s="51"/>
      <c r="BO192" s="51"/>
      <c r="BP192" s="51"/>
      <c r="BQ192" s="51"/>
      <c r="BR192" s="51"/>
      <c r="BS192" s="51"/>
      <c r="BT192" s="51"/>
      <c r="BU192" s="51"/>
      <c r="BV192" s="51"/>
      <c r="BW192" s="51"/>
      <c r="BX192" s="51"/>
      <c r="BY192" s="51"/>
      <c r="BZ192" s="51"/>
      <c r="CA192" s="51"/>
      <c r="CB192" s="51"/>
      <c r="CC192" s="51"/>
      <c r="CD192" s="51"/>
      <c r="CE192" s="51"/>
      <c r="CF192" s="51"/>
      <c r="CG192" s="51"/>
      <c r="CH192" s="51"/>
      <c r="CI192" s="51"/>
      <c r="CJ192" s="51"/>
      <c r="CK192" s="51"/>
      <c r="CL192" s="51"/>
      <c r="CM192" s="51"/>
      <c r="CN192" s="51"/>
      <c r="CO192" s="51"/>
      <c r="CP192" s="51"/>
      <c r="CQ192" s="51"/>
      <c r="CR192" s="51"/>
      <c r="CS192" s="51"/>
      <c r="CT192" s="51"/>
      <c r="CU192" s="51"/>
      <c r="CV192" s="51"/>
      <c r="CW192" s="51"/>
      <c r="CX192" s="51"/>
      <c r="CY192" s="51"/>
      <c r="CZ192" s="51"/>
      <c r="DA192" s="51"/>
      <c r="DB192" s="51"/>
      <c r="DC192" s="51"/>
      <c r="DD192" s="51"/>
      <c r="DE192" s="51"/>
      <c r="DF192" s="51"/>
      <c r="DG192" s="51"/>
      <c r="DH192" s="51"/>
      <c r="DI192" s="51"/>
      <c r="DJ192" s="51"/>
      <c r="DK192" s="51"/>
      <c r="DL192" s="51"/>
      <c r="DM192" s="51"/>
      <c r="DN192" s="51"/>
      <c r="DO192" s="51"/>
      <c r="DP192" s="51"/>
      <c r="DQ192" s="51"/>
      <c r="DR192" s="51"/>
      <c r="DS192" s="51"/>
      <c r="DT192" s="51"/>
      <c r="DU192" s="51"/>
      <c r="DV192" s="51"/>
      <c r="DW192" s="51"/>
      <c r="DX192" s="51"/>
      <c r="DY192" s="51"/>
      <c r="DZ192" s="51"/>
      <c r="EA192" s="51"/>
      <c r="EB192" s="51"/>
      <c r="EC192" s="51"/>
      <c r="ED192" s="51"/>
      <c r="EE192" s="51"/>
      <c r="EF192" s="51"/>
      <c r="EG192" s="51"/>
      <c r="EH192" s="51"/>
      <c r="EI192" s="51"/>
      <c r="EJ192" s="51"/>
    </row>
    <row r="193" spans="3:140">
      <c r="C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1"/>
      <c r="AG193" s="51"/>
      <c r="AH193" s="51"/>
      <c r="AI193" s="51"/>
      <c r="AJ193" s="51"/>
      <c r="AK193" s="51"/>
      <c r="AL193" s="51"/>
      <c r="AM193" s="51"/>
      <c r="AN193" s="51"/>
      <c r="AO193" s="51"/>
      <c r="AP193" s="51"/>
      <c r="AQ193" s="51"/>
      <c r="AR193" s="51"/>
      <c r="AS193" s="51"/>
      <c r="AT193" s="51"/>
      <c r="AU193" s="51"/>
      <c r="AV193" s="51"/>
      <c r="AW193" s="51"/>
      <c r="AX193" s="51"/>
      <c r="AY193" s="51"/>
      <c r="AZ193" s="51"/>
      <c r="BA193" s="51"/>
      <c r="BB193" s="51"/>
      <c r="BC193" s="51"/>
      <c r="BD193" s="51"/>
      <c r="BE193" s="51"/>
      <c r="BF193" s="51"/>
      <c r="BG193" s="51"/>
      <c r="BH193" s="51"/>
      <c r="BI193" s="51"/>
      <c r="BJ193" s="51"/>
      <c r="BK193" s="51"/>
      <c r="BL193" s="51"/>
      <c r="BM193" s="51"/>
      <c r="BN193" s="51"/>
      <c r="BO193" s="51"/>
      <c r="BP193" s="51"/>
      <c r="BQ193" s="51"/>
      <c r="BR193" s="51"/>
      <c r="BS193" s="51"/>
      <c r="BT193" s="51"/>
      <c r="BU193" s="51"/>
      <c r="BV193" s="51"/>
      <c r="BW193" s="51"/>
      <c r="BX193" s="51"/>
      <c r="BY193" s="51"/>
      <c r="BZ193" s="51"/>
      <c r="CA193" s="51"/>
      <c r="CB193" s="51"/>
      <c r="CC193" s="51"/>
      <c r="CD193" s="51"/>
      <c r="CE193" s="51"/>
      <c r="CF193" s="51"/>
      <c r="CG193" s="51"/>
      <c r="CH193" s="51"/>
      <c r="CI193" s="51"/>
      <c r="CJ193" s="51"/>
      <c r="CK193" s="51"/>
      <c r="CL193" s="51"/>
      <c r="CM193" s="51"/>
      <c r="CN193" s="51"/>
      <c r="CO193" s="51"/>
      <c r="CP193" s="51"/>
      <c r="CQ193" s="51"/>
      <c r="CR193" s="51"/>
      <c r="CS193" s="51"/>
      <c r="CT193" s="51"/>
      <c r="CU193" s="51"/>
      <c r="CV193" s="51"/>
      <c r="CW193" s="51"/>
      <c r="CX193" s="51"/>
      <c r="CY193" s="51"/>
      <c r="CZ193" s="51"/>
      <c r="DA193" s="51"/>
      <c r="DB193" s="51"/>
      <c r="DC193" s="51"/>
      <c r="DD193" s="51"/>
      <c r="DE193" s="51"/>
      <c r="DF193" s="51"/>
      <c r="DG193" s="51"/>
      <c r="DH193" s="51"/>
      <c r="DI193" s="51"/>
      <c r="DJ193" s="51"/>
      <c r="DK193" s="51"/>
      <c r="DL193" s="51"/>
      <c r="DM193" s="51"/>
      <c r="DN193" s="51"/>
      <c r="DO193" s="51"/>
      <c r="DP193" s="51"/>
      <c r="DQ193" s="51"/>
      <c r="DR193" s="51"/>
      <c r="DS193" s="51"/>
      <c r="DT193" s="51"/>
      <c r="DU193" s="51"/>
      <c r="DV193" s="51"/>
      <c r="DW193" s="51"/>
      <c r="DX193" s="51"/>
      <c r="DY193" s="51"/>
      <c r="DZ193" s="51"/>
      <c r="EA193" s="51"/>
      <c r="EB193" s="51"/>
      <c r="EC193" s="51"/>
      <c r="ED193" s="51"/>
      <c r="EE193" s="51"/>
      <c r="EF193" s="51"/>
      <c r="EG193" s="51"/>
      <c r="EH193" s="51"/>
      <c r="EI193" s="51"/>
      <c r="EJ193" s="51"/>
    </row>
    <row r="194" spans="3:140">
      <c r="C194" s="19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1"/>
      <c r="AI194" s="51"/>
      <c r="AJ194" s="51"/>
      <c r="AK194" s="51"/>
      <c r="AL194" s="51"/>
      <c r="AM194" s="51"/>
      <c r="AN194" s="51"/>
      <c r="AO194" s="51"/>
      <c r="AP194" s="51"/>
      <c r="AQ194" s="51"/>
      <c r="AR194" s="51"/>
      <c r="AS194" s="51"/>
      <c r="AT194" s="51"/>
      <c r="AU194" s="51"/>
      <c r="AV194" s="51"/>
      <c r="AW194" s="51"/>
      <c r="AX194" s="51"/>
      <c r="AY194" s="51"/>
      <c r="AZ194" s="51"/>
      <c r="BA194" s="51"/>
      <c r="BB194" s="51"/>
      <c r="BC194" s="51"/>
      <c r="BD194" s="51"/>
      <c r="BE194" s="51"/>
      <c r="BF194" s="51"/>
      <c r="BG194" s="51"/>
      <c r="BH194" s="51"/>
      <c r="BI194" s="51"/>
      <c r="BJ194" s="51"/>
      <c r="BK194" s="51"/>
      <c r="BL194" s="51"/>
      <c r="BM194" s="51"/>
      <c r="BN194" s="51"/>
      <c r="BO194" s="51"/>
      <c r="BP194" s="51"/>
      <c r="BQ194" s="51"/>
      <c r="BR194" s="51"/>
      <c r="BS194" s="51"/>
      <c r="BT194" s="51"/>
      <c r="BU194" s="51"/>
      <c r="BV194" s="51"/>
      <c r="BW194" s="51"/>
      <c r="BX194" s="51"/>
      <c r="BY194" s="51"/>
      <c r="BZ194" s="51"/>
      <c r="CA194" s="51"/>
      <c r="CB194" s="51"/>
      <c r="CC194" s="51"/>
      <c r="CD194" s="51"/>
      <c r="CE194" s="51"/>
      <c r="CF194" s="51"/>
      <c r="CG194" s="51"/>
      <c r="CH194" s="51"/>
      <c r="CI194" s="51"/>
      <c r="CJ194" s="51"/>
      <c r="CK194" s="51"/>
      <c r="CL194" s="51"/>
      <c r="CM194" s="51"/>
      <c r="CN194" s="51"/>
      <c r="CO194" s="51"/>
      <c r="CP194" s="51"/>
      <c r="CQ194" s="51"/>
      <c r="CR194" s="51"/>
      <c r="CS194" s="51"/>
      <c r="CT194" s="51"/>
      <c r="CU194" s="51"/>
      <c r="CV194" s="51"/>
      <c r="CW194" s="51"/>
      <c r="CX194" s="51"/>
      <c r="CY194" s="51"/>
      <c r="CZ194" s="51"/>
      <c r="DA194" s="51"/>
      <c r="DB194" s="51"/>
      <c r="DC194" s="51"/>
      <c r="DD194" s="51"/>
      <c r="DE194" s="51"/>
      <c r="DF194" s="51"/>
      <c r="DG194" s="51"/>
      <c r="DH194" s="51"/>
      <c r="DI194" s="51"/>
      <c r="DJ194" s="51"/>
      <c r="DK194" s="51"/>
      <c r="DL194" s="51"/>
      <c r="DM194" s="51"/>
      <c r="DN194" s="51"/>
      <c r="DO194" s="51"/>
      <c r="DP194" s="51"/>
      <c r="DQ194" s="51"/>
      <c r="DR194" s="51"/>
      <c r="DS194" s="51"/>
      <c r="DT194" s="51"/>
      <c r="DU194" s="51"/>
      <c r="DV194" s="51"/>
      <c r="DW194" s="51"/>
      <c r="DX194" s="51"/>
      <c r="DY194" s="51"/>
      <c r="DZ194" s="51"/>
      <c r="EA194" s="51"/>
      <c r="EB194" s="51"/>
      <c r="EC194" s="51"/>
      <c r="ED194" s="51"/>
      <c r="EE194" s="51"/>
      <c r="EF194" s="51"/>
      <c r="EG194" s="51"/>
      <c r="EH194" s="51"/>
      <c r="EI194" s="51"/>
      <c r="EJ194" s="51"/>
    </row>
    <row r="195" spans="3:140">
      <c r="C195" s="19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1"/>
      <c r="AI195" s="51"/>
      <c r="AJ195" s="51"/>
      <c r="AK195" s="51"/>
      <c r="AL195" s="51"/>
      <c r="AM195" s="51"/>
      <c r="AN195" s="51"/>
      <c r="AO195" s="51"/>
      <c r="AP195" s="51"/>
      <c r="AQ195" s="51"/>
      <c r="AR195" s="51"/>
      <c r="AS195" s="51"/>
      <c r="AT195" s="51"/>
      <c r="AU195" s="51"/>
      <c r="AV195" s="51"/>
      <c r="AW195" s="51"/>
      <c r="AX195" s="51"/>
      <c r="AY195" s="51"/>
      <c r="AZ195" s="51"/>
      <c r="BA195" s="51"/>
      <c r="BB195" s="51"/>
      <c r="BC195" s="51"/>
      <c r="BD195" s="51"/>
      <c r="BE195" s="51"/>
      <c r="BF195" s="51"/>
      <c r="BG195" s="51"/>
      <c r="BH195" s="51"/>
      <c r="BI195" s="51"/>
      <c r="BJ195" s="51"/>
      <c r="BK195" s="51"/>
      <c r="BL195" s="51"/>
      <c r="BM195" s="51"/>
      <c r="BN195" s="51"/>
      <c r="BO195" s="51"/>
      <c r="BP195" s="51"/>
      <c r="BQ195" s="51"/>
      <c r="BR195" s="51"/>
      <c r="BS195" s="51"/>
      <c r="BT195" s="51"/>
      <c r="BU195" s="51"/>
      <c r="BV195" s="51"/>
      <c r="BW195" s="51"/>
      <c r="BX195" s="51"/>
      <c r="BY195" s="51"/>
      <c r="BZ195" s="51"/>
      <c r="CA195" s="51"/>
      <c r="CB195" s="51"/>
      <c r="CC195" s="51"/>
      <c r="CD195" s="51"/>
      <c r="CE195" s="51"/>
      <c r="CF195" s="51"/>
      <c r="CG195" s="51"/>
      <c r="CH195" s="51"/>
      <c r="CI195" s="51"/>
      <c r="CJ195" s="51"/>
      <c r="CK195" s="51"/>
      <c r="CL195" s="51"/>
      <c r="CM195" s="51"/>
      <c r="CN195" s="51"/>
      <c r="CO195" s="51"/>
      <c r="CP195" s="51"/>
      <c r="CQ195" s="51"/>
      <c r="CR195" s="51"/>
      <c r="CS195" s="51"/>
      <c r="CT195" s="51"/>
      <c r="CU195" s="51"/>
      <c r="CV195" s="51"/>
      <c r="CW195" s="51"/>
      <c r="CX195" s="51"/>
      <c r="CY195" s="51"/>
      <c r="CZ195" s="51"/>
      <c r="DA195" s="51"/>
      <c r="DB195" s="51"/>
      <c r="DC195" s="51"/>
      <c r="DD195" s="51"/>
      <c r="DE195" s="51"/>
      <c r="DF195" s="51"/>
      <c r="DG195" s="51"/>
      <c r="DH195" s="51"/>
      <c r="DI195" s="51"/>
      <c r="DJ195" s="51"/>
      <c r="DK195" s="51"/>
      <c r="DL195" s="51"/>
      <c r="DM195" s="51"/>
      <c r="DN195" s="51"/>
      <c r="DO195" s="51"/>
      <c r="DP195" s="51"/>
      <c r="DQ195" s="51"/>
      <c r="DR195" s="51"/>
      <c r="DS195" s="51"/>
      <c r="DT195" s="51"/>
      <c r="DU195" s="51"/>
      <c r="DV195" s="51"/>
      <c r="DW195" s="51"/>
      <c r="DX195" s="51"/>
      <c r="DY195" s="51"/>
      <c r="DZ195" s="51"/>
      <c r="EA195" s="51"/>
      <c r="EB195" s="51"/>
      <c r="EC195" s="51"/>
      <c r="ED195" s="51"/>
      <c r="EE195" s="51"/>
      <c r="EF195" s="51"/>
      <c r="EG195" s="51"/>
      <c r="EH195" s="51"/>
      <c r="EI195" s="51"/>
      <c r="EJ195" s="51"/>
    </row>
    <row r="196" spans="3:140">
      <c r="C196" s="19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V196" s="51"/>
      <c r="W196" s="51"/>
      <c r="X196" s="51"/>
      <c r="Y196" s="51"/>
      <c r="Z196" s="51"/>
      <c r="AA196" s="51"/>
      <c r="AB196" s="51"/>
      <c r="AC196" s="51"/>
      <c r="AD196" s="51"/>
      <c r="AE196" s="51"/>
      <c r="AF196" s="51"/>
      <c r="AG196" s="51"/>
      <c r="AH196" s="51"/>
      <c r="AI196" s="51"/>
      <c r="AJ196" s="51"/>
      <c r="AK196" s="51"/>
      <c r="AL196" s="51"/>
      <c r="AM196" s="51"/>
      <c r="AN196" s="51"/>
      <c r="AO196" s="51"/>
      <c r="AP196" s="51"/>
      <c r="AQ196" s="51"/>
      <c r="AR196" s="51"/>
      <c r="AS196" s="51"/>
      <c r="AT196" s="51"/>
      <c r="AU196" s="51"/>
      <c r="AV196" s="51"/>
      <c r="AW196" s="51"/>
      <c r="AX196" s="51"/>
      <c r="AY196" s="51"/>
      <c r="AZ196" s="51"/>
      <c r="BA196" s="51"/>
      <c r="BB196" s="51"/>
      <c r="BC196" s="51"/>
      <c r="BD196" s="51"/>
      <c r="BE196" s="51"/>
      <c r="BF196" s="51"/>
      <c r="BG196" s="51"/>
      <c r="BH196" s="51"/>
      <c r="BI196" s="51"/>
      <c r="BJ196" s="51"/>
      <c r="BK196" s="51"/>
      <c r="BL196" s="51"/>
      <c r="BM196" s="51"/>
      <c r="BN196" s="51"/>
      <c r="BO196" s="51"/>
      <c r="BP196" s="51"/>
      <c r="BQ196" s="51"/>
      <c r="BR196" s="51"/>
      <c r="BS196" s="51"/>
      <c r="BT196" s="51"/>
      <c r="BU196" s="51"/>
      <c r="BV196" s="51"/>
      <c r="BW196" s="51"/>
      <c r="BX196" s="51"/>
      <c r="BY196" s="51"/>
      <c r="BZ196" s="51"/>
      <c r="CA196" s="51"/>
      <c r="CB196" s="51"/>
      <c r="CC196" s="51"/>
      <c r="CD196" s="51"/>
      <c r="CE196" s="51"/>
      <c r="CF196" s="51"/>
      <c r="CG196" s="51"/>
      <c r="CH196" s="51"/>
      <c r="CI196" s="51"/>
      <c r="CJ196" s="51"/>
      <c r="CK196" s="51"/>
      <c r="CL196" s="51"/>
      <c r="CM196" s="51"/>
      <c r="CN196" s="51"/>
      <c r="CO196" s="51"/>
      <c r="CP196" s="51"/>
      <c r="CQ196" s="51"/>
      <c r="CR196" s="51"/>
      <c r="CS196" s="51"/>
      <c r="CT196" s="51"/>
      <c r="CU196" s="51"/>
      <c r="CV196" s="51"/>
      <c r="CW196" s="51"/>
      <c r="CX196" s="51"/>
      <c r="CY196" s="51"/>
      <c r="CZ196" s="51"/>
      <c r="DA196" s="51"/>
      <c r="DB196" s="51"/>
      <c r="DC196" s="51"/>
      <c r="DD196" s="51"/>
      <c r="DE196" s="51"/>
      <c r="DF196" s="51"/>
      <c r="DG196" s="51"/>
      <c r="DH196" s="51"/>
      <c r="DI196" s="51"/>
      <c r="DJ196" s="51"/>
      <c r="DK196" s="51"/>
      <c r="DL196" s="51"/>
      <c r="DM196" s="51"/>
      <c r="DN196" s="51"/>
      <c r="DO196" s="51"/>
      <c r="DP196" s="51"/>
      <c r="DQ196" s="51"/>
      <c r="DR196" s="51"/>
      <c r="DS196" s="51"/>
      <c r="DT196" s="51"/>
      <c r="DU196" s="51"/>
      <c r="DV196" s="51"/>
      <c r="DW196" s="51"/>
      <c r="DX196" s="51"/>
      <c r="DY196" s="51"/>
      <c r="DZ196" s="51"/>
      <c r="EA196" s="51"/>
      <c r="EB196" s="51"/>
      <c r="EC196" s="51"/>
      <c r="ED196" s="51"/>
      <c r="EE196" s="51"/>
      <c r="EF196" s="51"/>
      <c r="EG196" s="51"/>
      <c r="EH196" s="51"/>
      <c r="EI196" s="51"/>
      <c r="EJ196" s="51"/>
    </row>
    <row r="197" spans="3:140">
      <c r="C197" s="19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V197" s="51"/>
      <c r="W197" s="51"/>
      <c r="X197" s="51"/>
      <c r="Y197" s="51"/>
      <c r="Z197" s="51"/>
      <c r="AA197" s="51"/>
      <c r="AB197" s="51"/>
      <c r="AC197" s="51"/>
      <c r="AD197" s="51"/>
      <c r="AE197" s="51"/>
      <c r="AF197" s="51"/>
      <c r="AG197" s="51"/>
      <c r="AH197" s="51"/>
      <c r="AI197" s="51"/>
      <c r="AJ197" s="51"/>
      <c r="AK197" s="51"/>
      <c r="AL197" s="51"/>
      <c r="AM197" s="51"/>
      <c r="AN197" s="51"/>
      <c r="AO197" s="51"/>
      <c r="AP197" s="51"/>
      <c r="AQ197" s="51"/>
      <c r="AR197" s="51"/>
      <c r="AS197" s="51"/>
      <c r="AT197" s="51"/>
      <c r="AU197" s="51"/>
      <c r="AV197" s="51"/>
      <c r="AW197" s="51"/>
      <c r="AX197" s="51"/>
      <c r="AY197" s="51"/>
      <c r="AZ197" s="51"/>
      <c r="BA197" s="51"/>
      <c r="BB197" s="51"/>
      <c r="BC197" s="51"/>
      <c r="BD197" s="51"/>
      <c r="BE197" s="51"/>
      <c r="BF197" s="51"/>
      <c r="BG197" s="51"/>
      <c r="BH197" s="51"/>
      <c r="BI197" s="51"/>
      <c r="BJ197" s="51"/>
      <c r="BK197" s="51"/>
      <c r="BL197" s="51"/>
      <c r="BM197" s="51"/>
      <c r="BN197" s="51"/>
      <c r="BO197" s="51"/>
      <c r="BP197" s="51"/>
      <c r="BQ197" s="51"/>
      <c r="BR197" s="51"/>
      <c r="BS197" s="51"/>
      <c r="BT197" s="51"/>
      <c r="BU197" s="51"/>
      <c r="BV197" s="51"/>
      <c r="BW197" s="51"/>
      <c r="BX197" s="51"/>
      <c r="BY197" s="51"/>
      <c r="BZ197" s="51"/>
      <c r="CA197" s="51"/>
      <c r="CB197" s="51"/>
      <c r="CC197" s="51"/>
      <c r="CD197" s="51"/>
      <c r="CE197" s="51"/>
      <c r="CF197" s="51"/>
      <c r="CG197" s="51"/>
      <c r="CH197" s="51"/>
      <c r="CI197" s="51"/>
      <c r="CJ197" s="51"/>
      <c r="CK197" s="51"/>
      <c r="CL197" s="51"/>
      <c r="CM197" s="51"/>
      <c r="CN197" s="51"/>
      <c r="CO197" s="51"/>
      <c r="CP197" s="51"/>
      <c r="CQ197" s="51"/>
      <c r="CR197" s="51"/>
      <c r="CS197" s="51"/>
      <c r="CT197" s="51"/>
      <c r="CU197" s="51"/>
      <c r="CV197" s="51"/>
      <c r="CW197" s="51"/>
      <c r="CX197" s="51"/>
      <c r="CY197" s="51"/>
      <c r="CZ197" s="51"/>
      <c r="DA197" s="51"/>
      <c r="DB197" s="51"/>
      <c r="DC197" s="51"/>
      <c r="DD197" s="51"/>
      <c r="DE197" s="51"/>
      <c r="DF197" s="51"/>
      <c r="DG197" s="51"/>
      <c r="DH197" s="51"/>
      <c r="DI197" s="51"/>
      <c r="DJ197" s="51"/>
      <c r="DK197" s="51"/>
      <c r="DL197" s="51"/>
      <c r="DM197" s="51"/>
      <c r="DN197" s="51"/>
      <c r="DO197" s="51"/>
      <c r="DP197" s="51"/>
      <c r="DQ197" s="51"/>
      <c r="DR197" s="51"/>
      <c r="DS197" s="51"/>
      <c r="DT197" s="51"/>
      <c r="DU197" s="51"/>
      <c r="DV197" s="51"/>
      <c r="DW197" s="51"/>
      <c r="DX197" s="51"/>
      <c r="DY197" s="51"/>
      <c r="DZ197" s="51"/>
      <c r="EA197" s="51"/>
      <c r="EB197" s="51"/>
      <c r="EC197" s="51"/>
      <c r="ED197" s="51"/>
      <c r="EE197" s="51"/>
      <c r="EF197" s="51"/>
      <c r="EG197" s="51"/>
      <c r="EH197" s="51"/>
      <c r="EI197" s="51"/>
      <c r="EJ197" s="51"/>
    </row>
    <row r="198" spans="3:140">
      <c r="C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/>
      <c r="AG198" s="51"/>
      <c r="AH198" s="51"/>
      <c r="AI198" s="51"/>
      <c r="AJ198" s="51"/>
      <c r="AK198" s="51"/>
      <c r="AL198" s="51"/>
      <c r="AM198" s="51"/>
      <c r="AN198" s="51"/>
      <c r="AO198" s="51"/>
      <c r="AP198" s="51"/>
      <c r="AQ198" s="51"/>
      <c r="AR198" s="51"/>
      <c r="AS198" s="51"/>
      <c r="AT198" s="51"/>
      <c r="AU198" s="51"/>
      <c r="AV198" s="51"/>
      <c r="AW198" s="51"/>
      <c r="AX198" s="51"/>
      <c r="AY198" s="51"/>
      <c r="AZ198" s="51"/>
      <c r="BA198" s="51"/>
      <c r="BB198" s="51"/>
      <c r="BC198" s="51"/>
      <c r="BD198" s="51"/>
      <c r="BE198" s="51"/>
      <c r="BF198" s="51"/>
      <c r="BG198" s="51"/>
      <c r="BH198" s="51"/>
      <c r="BI198" s="51"/>
      <c r="BJ198" s="51"/>
      <c r="BK198" s="51"/>
      <c r="BL198" s="51"/>
      <c r="BM198" s="51"/>
      <c r="BN198" s="51"/>
      <c r="BO198" s="51"/>
      <c r="BP198" s="51"/>
      <c r="BQ198" s="51"/>
      <c r="BR198" s="51"/>
      <c r="BS198" s="51"/>
      <c r="BT198" s="51"/>
      <c r="BU198" s="51"/>
      <c r="BV198" s="51"/>
      <c r="BW198" s="51"/>
      <c r="BX198" s="51"/>
      <c r="BY198" s="51"/>
      <c r="BZ198" s="51"/>
      <c r="CA198" s="51"/>
      <c r="CB198" s="51"/>
      <c r="CC198" s="51"/>
      <c r="CD198" s="51"/>
      <c r="CE198" s="51"/>
      <c r="CF198" s="51"/>
      <c r="CG198" s="51"/>
      <c r="CH198" s="51"/>
      <c r="CI198" s="51"/>
      <c r="CJ198" s="51"/>
      <c r="CK198" s="51"/>
      <c r="CL198" s="51"/>
      <c r="CM198" s="51"/>
      <c r="CN198" s="51"/>
      <c r="CO198" s="51"/>
      <c r="CP198" s="51"/>
      <c r="CQ198" s="51"/>
      <c r="CR198" s="51"/>
      <c r="CS198" s="51"/>
      <c r="CT198" s="51"/>
      <c r="CU198" s="51"/>
      <c r="CV198" s="51"/>
      <c r="CW198" s="51"/>
      <c r="CX198" s="51"/>
      <c r="CY198" s="51"/>
      <c r="CZ198" s="51"/>
      <c r="DA198" s="51"/>
      <c r="DB198" s="51"/>
      <c r="DC198" s="51"/>
      <c r="DD198" s="51"/>
      <c r="DE198" s="51"/>
      <c r="DF198" s="51"/>
      <c r="DG198" s="51"/>
      <c r="DH198" s="51"/>
      <c r="DI198" s="51"/>
      <c r="DJ198" s="51"/>
      <c r="DK198" s="51"/>
      <c r="DL198" s="51"/>
      <c r="DM198" s="51"/>
      <c r="DN198" s="51"/>
      <c r="DO198" s="51"/>
      <c r="DP198" s="51"/>
      <c r="DQ198" s="51"/>
      <c r="DR198" s="51"/>
      <c r="DS198" s="51"/>
      <c r="DT198" s="51"/>
      <c r="DU198" s="51"/>
      <c r="DV198" s="51"/>
      <c r="DW198" s="51"/>
      <c r="DX198" s="51"/>
      <c r="DY198" s="51"/>
      <c r="DZ198" s="51"/>
      <c r="EA198" s="51"/>
      <c r="EB198" s="51"/>
      <c r="EC198" s="51"/>
      <c r="ED198" s="51"/>
      <c r="EE198" s="51"/>
      <c r="EF198" s="51"/>
      <c r="EG198" s="51"/>
      <c r="EH198" s="51"/>
      <c r="EI198" s="51"/>
      <c r="EJ198" s="51"/>
    </row>
    <row r="199" spans="3:140">
      <c r="C199" s="19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1"/>
      <c r="AI199" s="51"/>
      <c r="AJ199" s="51"/>
      <c r="AK199" s="51"/>
      <c r="AL199" s="51"/>
      <c r="AM199" s="51"/>
      <c r="AN199" s="51"/>
      <c r="AO199" s="51"/>
      <c r="AP199" s="51"/>
      <c r="AQ199" s="51"/>
      <c r="AR199" s="51"/>
      <c r="AS199" s="51"/>
      <c r="AT199" s="51"/>
      <c r="AU199" s="51"/>
      <c r="AV199" s="51"/>
      <c r="AW199" s="51"/>
      <c r="AX199" s="51"/>
      <c r="AY199" s="51"/>
      <c r="AZ199" s="51"/>
      <c r="BA199" s="51"/>
      <c r="BB199" s="51"/>
      <c r="BC199" s="51"/>
      <c r="BD199" s="51"/>
      <c r="BE199" s="51"/>
      <c r="BF199" s="51"/>
      <c r="BG199" s="51"/>
      <c r="BH199" s="51"/>
      <c r="BI199" s="51"/>
      <c r="BJ199" s="51"/>
      <c r="BK199" s="51"/>
      <c r="BL199" s="51"/>
      <c r="BM199" s="51"/>
      <c r="BN199" s="51"/>
      <c r="BO199" s="51"/>
      <c r="BP199" s="51"/>
      <c r="BQ199" s="51"/>
      <c r="BR199" s="51"/>
      <c r="BS199" s="51"/>
      <c r="BT199" s="51"/>
      <c r="BU199" s="51"/>
      <c r="BV199" s="51"/>
      <c r="BW199" s="51"/>
      <c r="BX199" s="51"/>
      <c r="BY199" s="51"/>
      <c r="BZ199" s="51"/>
      <c r="CA199" s="51"/>
      <c r="CB199" s="51"/>
      <c r="CC199" s="51"/>
      <c r="CD199" s="51"/>
      <c r="CE199" s="51"/>
      <c r="CF199" s="51"/>
      <c r="CG199" s="51"/>
      <c r="CH199" s="51"/>
      <c r="CI199" s="51"/>
      <c r="CJ199" s="51"/>
      <c r="CK199" s="51"/>
      <c r="CL199" s="51"/>
      <c r="CM199" s="51"/>
      <c r="CN199" s="51"/>
      <c r="CO199" s="51"/>
      <c r="CP199" s="51"/>
      <c r="CQ199" s="51"/>
      <c r="CR199" s="51"/>
      <c r="CS199" s="51"/>
      <c r="CT199" s="51"/>
      <c r="CU199" s="51"/>
      <c r="CV199" s="51"/>
      <c r="CW199" s="51"/>
      <c r="CX199" s="51"/>
      <c r="CY199" s="51"/>
      <c r="CZ199" s="51"/>
      <c r="DA199" s="51"/>
      <c r="DB199" s="51"/>
      <c r="DC199" s="51"/>
      <c r="DD199" s="51"/>
      <c r="DE199" s="51"/>
      <c r="DF199" s="51"/>
      <c r="DG199" s="51"/>
      <c r="DH199" s="51"/>
      <c r="DI199" s="51"/>
      <c r="DJ199" s="51"/>
      <c r="DK199" s="51"/>
      <c r="DL199" s="51"/>
      <c r="DM199" s="51"/>
      <c r="DN199" s="51"/>
      <c r="DO199" s="51"/>
      <c r="DP199" s="51"/>
      <c r="DQ199" s="51"/>
      <c r="DR199" s="51"/>
      <c r="DS199" s="51"/>
      <c r="DT199" s="51"/>
      <c r="DU199" s="51"/>
      <c r="DV199" s="51"/>
      <c r="DW199" s="51"/>
      <c r="DX199" s="51"/>
      <c r="DY199" s="51"/>
      <c r="DZ199" s="51"/>
      <c r="EA199" s="51"/>
      <c r="EB199" s="51"/>
      <c r="EC199" s="51"/>
      <c r="ED199" s="51"/>
      <c r="EE199" s="51"/>
      <c r="EF199" s="51"/>
      <c r="EG199" s="51"/>
      <c r="EH199" s="51"/>
      <c r="EI199" s="51"/>
      <c r="EJ199" s="51"/>
    </row>
    <row r="200" spans="3:140">
      <c r="C200" s="19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1"/>
      <c r="AI200" s="51"/>
      <c r="AJ200" s="51"/>
      <c r="AK200" s="51"/>
      <c r="AL200" s="51"/>
      <c r="AM200" s="51"/>
      <c r="AN200" s="51"/>
      <c r="AO200" s="51"/>
      <c r="AP200" s="51"/>
      <c r="AQ200" s="51"/>
      <c r="AR200" s="51"/>
      <c r="AS200" s="51"/>
      <c r="AT200" s="51"/>
      <c r="AU200" s="51"/>
      <c r="AV200" s="51"/>
      <c r="AW200" s="51"/>
      <c r="AX200" s="51"/>
      <c r="AY200" s="51"/>
      <c r="AZ200" s="51"/>
      <c r="BA200" s="51"/>
      <c r="BB200" s="51"/>
      <c r="BC200" s="51"/>
      <c r="BD200" s="51"/>
      <c r="BE200" s="51"/>
      <c r="BF200" s="51"/>
      <c r="BG200" s="51"/>
      <c r="BH200" s="51"/>
      <c r="BI200" s="51"/>
      <c r="BJ200" s="51"/>
      <c r="BK200" s="51"/>
      <c r="BL200" s="51"/>
      <c r="BM200" s="51"/>
      <c r="BN200" s="51"/>
      <c r="BO200" s="51"/>
      <c r="BP200" s="51"/>
      <c r="BQ200" s="51"/>
      <c r="BR200" s="51"/>
      <c r="BS200" s="51"/>
      <c r="BT200" s="51"/>
      <c r="BU200" s="51"/>
      <c r="BV200" s="51"/>
      <c r="BW200" s="51"/>
      <c r="BX200" s="51"/>
      <c r="BY200" s="51"/>
      <c r="BZ200" s="51"/>
      <c r="CA200" s="51"/>
      <c r="CB200" s="51"/>
      <c r="CC200" s="51"/>
      <c r="CD200" s="51"/>
      <c r="CE200" s="51"/>
      <c r="CF200" s="51"/>
      <c r="CG200" s="51"/>
      <c r="CH200" s="51"/>
      <c r="CI200" s="51"/>
      <c r="CJ200" s="51"/>
      <c r="CK200" s="51"/>
      <c r="CL200" s="51"/>
      <c r="CM200" s="51"/>
      <c r="CN200" s="51"/>
      <c r="CO200" s="51"/>
      <c r="CP200" s="51"/>
      <c r="CQ200" s="51"/>
      <c r="CR200" s="51"/>
      <c r="CS200" s="51"/>
      <c r="CT200" s="51"/>
      <c r="CU200" s="51"/>
      <c r="CV200" s="51"/>
      <c r="CW200" s="51"/>
      <c r="CX200" s="51"/>
      <c r="CY200" s="51"/>
      <c r="CZ200" s="51"/>
      <c r="DA200" s="51"/>
      <c r="DB200" s="51"/>
      <c r="DC200" s="51"/>
      <c r="DD200" s="51"/>
      <c r="DE200" s="51"/>
      <c r="DF200" s="51"/>
      <c r="DG200" s="51"/>
      <c r="DH200" s="51"/>
      <c r="DI200" s="51"/>
      <c r="DJ200" s="51"/>
      <c r="DK200" s="51"/>
      <c r="DL200" s="51"/>
      <c r="DM200" s="51"/>
      <c r="DN200" s="51"/>
      <c r="DO200" s="51"/>
      <c r="DP200" s="51"/>
      <c r="DQ200" s="51"/>
      <c r="DR200" s="51"/>
      <c r="DS200" s="51"/>
      <c r="DT200" s="51"/>
      <c r="DU200" s="51"/>
      <c r="DV200" s="51"/>
      <c r="DW200" s="51"/>
      <c r="DX200" s="51"/>
      <c r="DY200" s="51"/>
      <c r="DZ200" s="51"/>
      <c r="EA200" s="51"/>
      <c r="EB200" s="51"/>
      <c r="EC200" s="51"/>
      <c r="ED200" s="51"/>
      <c r="EE200" s="51"/>
      <c r="EF200" s="51"/>
      <c r="EG200" s="51"/>
      <c r="EH200" s="51"/>
      <c r="EI200" s="51"/>
      <c r="EJ200" s="51"/>
    </row>
    <row r="201" spans="3:140">
      <c r="C201" s="19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1"/>
      <c r="AI201" s="51"/>
      <c r="AJ201" s="51"/>
      <c r="AK201" s="51"/>
      <c r="AL201" s="51"/>
      <c r="AM201" s="51"/>
      <c r="AN201" s="51"/>
      <c r="AO201" s="51"/>
      <c r="AP201" s="51"/>
      <c r="AQ201" s="51"/>
      <c r="AR201" s="51"/>
      <c r="AS201" s="51"/>
      <c r="AT201" s="51"/>
      <c r="AU201" s="51"/>
      <c r="AV201" s="51"/>
      <c r="AW201" s="51"/>
      <c r="AX201" s="51"/>
      <c r="AY201" s="51"/>
      <c r="AZ201" s="51"/>
      <c r="BA201" s="51"/>
      <c r="BB201" s="51"/>
      <c r="BC201" s="51"/>
      <c r="BD201" s="51"/>
      <c r="BE201" s="51"/>
      <c r="BF201" s="51"/>
      <c r="BG201" s="51"/>
      <c r="BH201" s="51"/>
      <c r="BI201" s="51"/>
      <c r="BJ201" s="51"/>
      <c r="BK201" s="51"/>
      <c r="BL201" s="51"/>
      <c r="BM201" s="51"/>
      <c r="BN201" s="51"/>
      <c r="BO201" s="51"/>
      <c r="BP201" s="51"/>
      <c r="BQ201" s="51"/>
      <c r="BR201" s="51"/>
      <c r="BS201" s="51"/>
      <c r="BT201" s="51"/>
      <c r="BU201" s="51"/>
      <c r="BV201" s="51"/>
      <c r="BW201" s="51"/>
      <c r="BX201" s="51"/>
      <c r="BY201" s="51"/>
      <c r="BZ201" s="51"/>
      <c r="CA201" s="51"/>
      <c r="CB201" s="51"/>
      <c r="CC201" s="51"/>
      <c r="CD201" s="51"/>
      <c r="CE201" s="51"/>
      <c r="CF201" s="51"/>
      <c r="CG201" s="51"/>
      <c r="CH201" s="51"/>
      <c r="CI201" s="51"/>
      <c r="CJ201" s="51"/>
      <c r="CK201" s="51"/>
      <c r="CL201" s="51"/>
      <c r="CM201" s="51"/>
      <c r="CN201" s="51"/>
      <c r="CO201" s="51"/>
      <c r="CP201" s="51"/>
      <c r="CQ201" s="51"/>
      <c r="CR201" s="51"/>
      <c r="CS201" s="51"/>
      <c r="CT201" s="51"/>
      <c r="CU201" s="51"/>
      <c r="CV201" s="51"/>
      <c r="CW201" s="51"/>
      <c r="CX201" s="51"/>
      <c r="CY201" s="51"/>
      <c r="CZ201" s="51"/>
      <c r="DA201" s="51"/>
      <c r="DB201" s="51"/>
      <c r="DC201" s="51"/>
      <c r="DD201" s="51"/>
      <c r="DE201" s="51"/>
      <c r="DF201" s="51"/>
      <c r="DG201" s="51"/>
      <c r="DH201" s="51"/>
      <c r="DI201" s="51"/>
      <c r="DJ201" s="51"/>
      <c r="DK201" s="51"/>
      <c r="DL201" s="51"/>
      <c r="DM201" s="51"/>
      <c r="DN201" s="51"/>
      <c r="DO201" s="51"/>
      <c r="DP201" s="51"/>
      <c r="DQ201" s="51"/>
      <c r="DR201" s="51"/>
      <c r="DS201" s="51"/>
      <c r="DT201" s="51"/>
      <c r="DU201" s="51"/>
      <c r="DV201" s="51"/>
      <c r="DW201" s="51"/>
      <c r="DX201" s="51"/>
      <c r="DY201" s="51"/>
      <c r="DZ201" s="51"/>
      <c r="EA201" s="51"/>
      <c r="EB201" s="51"/>
      <c r="EC201" s="51"/>
      <c r="ED201" s="51"/>
      <c r="EE201" s="51"/>
      <c r="EF201" s="51"/>
      <c r="EG201" s="51"/>
      <c r="EH201" s="51"/>
      <c r="EI201" s="51"/>
      <c r="EJ201" s="51"/>
    </row>
    <row r="202" spans="3:140">
      <c r="C202" s="19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1"/>
      <c r="AI202" s="51"/>
      <c r="AJ202" s="51"/>
      <c r="AK202" s="51"/>
      <c r="AL202" s="51"/>
      <c r="AM202" s="51"/>
      <c r="AN202" s="51"/>
      <c r="AO202" s="51"/>
      <c r="AP202" s="51"/>
      <c r="AQ202" s="51"/>
      <c r="AR202" s="51"/>
      <c r="AS202" s="51"/>
      <c r="AT202" s="51"/>
      <c r="AU202" s="51"/>
      <c r="AV202" s="51"/>
      <c r="AW202" s="51"/>
      <c r="AX202" s="51"/>
      <c r="AY202" s="51"/>
      <c r="AZ202" s="51"/>
      <c r="BA202" s="51"/>
      <c r="BB202" s="51"/>
      <c r="BC202" s="51"/>
      <c r="BD202" s="51"/>
      <c r="BE202" s="51"/>
      <c r="BF202" s="51"/>
      <c r="BG202" s="51"/>
      <c r="BH202" s="51"/>
      <c r="BI202" s="51"/>
      <c r="BJ202" s="51"/>
      <c r="BK202" s="51"/>
      <c r="BL202" s="51"/>
      <c r="BM202" s="51"/>
      <c r="BN202" s="51"/>
      <c r="BO202" s="51"/>
      <c r="BP202" s="51"/>
      <c r="BQ202" s="51"/>
      <c r="BR202" s="51"/>
      <c r="BS202" s="51"/>
      <c r="BT202" s="51"/>
      <c r="BU202" s="51"/>
      <c r="BV202" s="51"/>
      <c r="BW202" s="51"/>
      <c r="BX202" s="51"/>
      <c r="BY202" s="51"/>
      <c r="BZ202" s="51"/>
      <c r="CA202" s="51"/>
      <c r="CB202" s="51"/>
      <c r="CC202" s="51"/>
      <c r="CD202" s="51"/>
      <c r="CE202" s="51"/>
      <c r="CF202" s="51"/>
      <c r="CG202" s="51"/>
      <c r="CH202" s="51"/>
      <c r="CI202" s="51"/>
      <c r="CJ202" s="51"/>
      <c r="CK202" s="51"/>
      <c r="CL202" s="51"/>
      <c r="CM202" s="51"/>
      <c r="CN202" s="51"/>
      <c r="CO202" s="51"/>
      <c r="CP202" s="51"/>
      <c r="CQ202" s="51"/>
      <c r="CR202" s="51"/>
      <c r="CS202" s="51"/>
      <c r="CT202" s="51"/>
      <c r="CU202" s="51"/>
      <c r="CV202" s="51"/>
      <c r="CW202" s="51"/>
      <c r="CX202" s="51"/>
      <c r="CY202" s="51"/>
      <c r="CZ202" s="51"/>
      <c r="DA202" s="51"/>
      <c r="DB202" s="51"/>
      <c r="DC202" s="51"/>
      <c r="DD202" s="51"/>
      <c r="DE202" s="51"/>
      <c r="DF202" s="51"/>
      <c r="DG202" s="51"/>
      <c r="DH202" s="51"/>
      <c r="DI202" s="51"/>
      <c r="DJ202" s="51"/>
      <c r="DK202" s="51"/>
      <c r="DL202" s="51"/>
      <c r="DM202" s="51"/>
      <c r="DN202" s="51"/>
      <c r="DO202" s="51"/>
      <c r="DP202" s="51"/>
      <c r="DQ202" s="51"/>
      <c r="DR202" s="51"/>
      <c r="DS202" s="51"/>
      <c r="DT202" s="51"/>
      <c r="DU202" s="51"/>
      <c r="DV202" s="51"/>
      <c r="DW202" s="51"/>
      <c r="DX202" s="51"/>
      <c r="DY202" s="51"/>
      <c r="DZ202" s="51"/>
      <c r="EA202" s="51"/>
      <c r="EB202" s="51"/>
      <c r="EC202" s="51"/>
      <c r="ED202" s="51"/>
      <c r="EE202" s="51"/>
      <c r="EF202" s="51"/>
      <c r="EG202" s="51"/>
      <c r="EH202" s="51"/>
      <c r="EI202" s="51"/>
      <c r="EJ202" s="51"/>
    </row>
    <row r="203" spans="3:140">
      <c r="C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1"/>
      <c r="AI203" s="51"/>
      <c r="AJ203" s="51"/>
      <c r="AK203" s="51"/>
      <c r="AL203" s="51"/>
      <c r="AM203" s="51"/>
      <c r="AN203" s="51"/>
      <c r="AO203" s="51"/>
      <c r="AP203" s="51"/>
      <c r="AQ203" s="51"/>
      <c r="AR203" s="51"/>
      <c r="AS203" s="51"/>
      <c r="AT203" s="51"/>
      <c r="AU203" s="51"/>
      <c r="AV203" s="51"/>
      <c r="AW203" s="51"/>
      <c r="AX203" s="51"/>
      <c r="AY203" s="51"/>
      <c r="AZ203" s="51"/>
      <c r="BA203" s="51"/>
      <c r="BB203" s="51"/>
      <c r="BC203" s="51"/>
      <c r="BD203" s="51"/>
      <c r="BE203" s="51"/>
      <c r="BF203" s="51"/>
      <c r="BG203" s="51"/>
      <c r="BH203" s="51"/>
      <c r="BI203" s="51"/>
      <c r="BJ203" s="51"/>
      <c r="BK203" s="51"/>
      <c r="BL203" s="51"/>
      <c r="BM203" s="51"/>
      <c r="BN203" s="51"/>
      <c r="BO203" s="51"/>
      <c r="BP203" s="51"/>
      <c r="BQ203" s="51"/>
      <c r="BR203" s="51"/>
      <c r="BS203" s="51"/>
      <c r="BT203" s="51"/>
      <c r="BU203" s="51"/>
      <c r="BV203" s="51"/>
      <c r="BW203" s="51"/>
      <c r="BX203" s="51"/>
      <c r="BY203" s="51"/>
      <c r="BZ203" s="51"/>
      <c r="CA203" s="51"/>
      <c r="CB203" s="51"/>
      <c r="CC203" s="51"/>
      <c r="CD203" s="51"/>
      <c r="CE203" s="51"/>
      <c r="CF203" s="51"/>
      <c r="CG203" s="51"/>
      <c r="CH203" s="51"/>
      <c r="CI203" s="51"/>
      <c r="CJ203" s="51"/>
      <c r="CK203" s="51"/>
      <c r="CL203" s="51"/>
      <c r="CM203" s="51"/>
      <c r="CN203" s="51"/>
      <c r="CO203" s="51"/>
      <c r="CP203" s="51"/>
      <c r="CQ203" s="51"/>
      <c r="CR203" s="51"/>
      <c r="CS203" s="51"/>
      <c r="CT203" s="51"/>
      <c r="CU203" s="51"/>
      <c r="CV203" s="51"/>
      <c r="CW203" s="51"/>
      <c r="CX203" s="51"/>
      <c r="CY203" s="51"/>
      <c r="CZ203" s="51"/>
      <c r="DA203" s="51"/>
      <c r="DB203" s="51"/>
      <c r="DC203" s="51"/>
      <c r="DD203" s="51"/>
      <c r="DE203" s="51"/>
      <c r="DF203" s="51"/>
      <c r="DG203" s="51"/>
      <c r="DH203" s="51"/>
      <c r="DI203" s="51"/>
      <c r="DJ203" s="51"/>
      <c r="DK203" s="51"/>
      <c r="DL203" s="51"/>
      <c r="DM203" s="51"/>
      <c r="DN203" s="51"/>
      <c r="DO203" s="51"/>
      <c r="DP203" s="51"/>
      <c r="DQ203" s="51"/>
      <c r="DR203" s="51"/>
      <c r="DS203" s="51"/>
      <c r="DT203" s="51"/>
      <c r="DU203" s="51"/>
      <c r="DV203" s="51"/>
      <c r="DW203" s="51"/>
      <c r="DX203" s="51"/>
      <c r="DY203" s="51"/>
      <c r="DZ203" s="51"/>
      <c r="EA203" s="51"/>
      <c r="EB203" s="51"/>
      <c r="EC203" s="51"/>
      <c r="ED203" s="51"/>
      <c r="EE203" s="51"/>
      <c r="EF203" s="51"/>
      <c r="EG203" s="51"/>
      <c r="EH203" s="51"/>
      <c r="EI203" s="51"/>
      <c r="EJ203" s="51"/>
    </row>
    <row r="204" spans="3:140">
      <c r="C204" s="19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1"/>
      <c r="AI204" s="51"/>
      <c r="AJ204" s="51"/>
      <c r="AK204" s="51"/>
      <c r="AL204" s="51"/>
      <c r="AM204" s="51"/>
      <c r="AN204" s="51"/>
      <c r="AO204" s="51"/>
      <c r="AP204" s="51"/>
      <c r="AQ204" s="51"/>
      <c r="AR204" s="51"/>
      <c r="AS204" s="51"/>
      <c r="AT204" s="51"/>
      <c r="AU204" s="51"/>
      <c r="AV204" s="51"/>
      <c r="AW204" s="51"/>
      <c r="AX204" s="51"/>
      <c r="AY204" s="51"/>
      <c r="AZ204" s="51"/>
      <c r="BA204" s="51"/>
      <c r="BB204" s="51"/>
      <c r="BC204" s="51"/>
      <c r="BD204" s="51"/>
      <c r="BE204" s="51"/>
      <c r="BF204" s="51"/>
      <c r="BG204" s="51"/>
      <c r="BH204" s="51"/>
      <c r="BI204" s="51"/>
      <c r="BJ204" s="51"/>
      <c r="BK204" s="51"/>
      <c r="BL204" s="51"/>
      <c r="BM204" s="51"/>
      <c r="BN204" s="51"/>
      <c r="BO204" s="51"/>
      <c r="BP204" s="51"/>
      <c r="BQ204" s="51"/>
      <c r="BR204" s="51"/>
      <c r="BS204" s="51"/>
      <c r="BT204" s="51"/>
      <c r="BU204" s="51"/>
      <c r="BV204" s="51"/>
      <c r="BW204" s="51"/>
      <c r="BX204" s="51"/>
      <c r="BY204" s="51"/>
      <c r="BZ204" s="51"/>
      <c r="CA204" s="51"/>
      <c r="CB204" s="51"/>
      <c r="CC204" s="51"/>
      <c r="CD204" s="51"/>
      <c r="CE204" s="51"/>
      <c r="CF204" s="51"/>
      <c r="CG204" s="51"/>
      <c r="CH204" s="51"/>
      <c r="CI204" s="51"/>
      <c r="CJ204" s="51"/>
      <c r="CK204" s="51"/>
      <c r="CL204" s="51"/>
      <c r="CM204" s="51"/>
      <c r="CN204" s="51"/>
      <c r="CO204" s="51"/>
      <c r="CP204" s="51"/>
      <c r="CQ204" s="51"/>
      <c r="CR204" s="51"/>
      <c r="CS204" s="51"/>
      <c r="CT204" s="51"/>
      <c r="CU204" s="51"/>
      <c r="CV204" s="51"/>
      <c r="CW204" s="51"/>
      <c r="CX204" s="51"/>
      <c r="CY204" s="51"/>
      <c r="CZ204" s="51"/>
      <c r="DA204" s="51"/>
      <c r="DB204" s="51"/>
      <c r="DC204" s="51"/>
      <c r="DD204" s="51"/>
      <c r="DE204" s="51"/>
      <c r="DF204" s="51"/>
      <c r="DG204" s="51"/>
      <c r="DH204" s="51"/>
      <c r="DI204" s="51"/>
      <c r="DJ204" s="51"/>
      <c r="DK204" s="51"/>
      <c r="DL204" s="51"/>
      <c r="DM204" s="51"/>
      <c r="DN204" s="51"/>
      <c r="DO204" s="51"/>
      <c r="DP204" s="51"/>
      <c r="DQ204" s="51"/>
      <c r="DR204" s="51"/>
      <c r="DS204" s="51"/>
      <c r="DT204" s="51"/>
      <c r="DU204" s="51"/>
      <c r="DV204" s="51"/>
      <c r="DW204" s="51"/>
      <c r="DX204" s="51"/>
      <c r="DY204" s="51"/>
      <c r="DZ204" s="51"/>
      <c r="EA204" s="51"/>
      <c r="EB204" s="51"/>
      <c r="EC204" s="51"/>
      <c r="ED204" s="51"/>
      <c r="EE204" s="51"/>
      <c r="EF204" s="51"/>
      <c r="EG204" s="51"/>
      <c r="EH204" s="51"/>
      <c r="EI204" s="51"/>
      <c r="EJ204" s="51"/>
    </row>
    <row r="205" spans="3:140">
      <c r="C205" s="19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1"/>
      <c r="AI205" s="51"/>
      <c r="AJ205" s="51"/>
      <c r="AK205" s="51"/>
      <c r="AL205" s="51"/>
      <c r="AM205" s="51"/>
      <c r="AN205" s="51"/>
      <c r="AO205" s="51"/>
      <c r="AP205" s="51"/>
      <c r="AQ205" s="51"/>
      <c r="AR205" s="51"/>
      <c r="AS205" s="51"/>
      <c r="AT205" s="51"/>
      <c r="AU205" s="51"/>
      <c r="AV205" s="51"/>
      <c r="AW205" s="51"/>
      <c r="AX205" s="51"/>
      <c r="AY205" s="51"/>
      <c r="AZ205" s="51"/>
      <c r="BA205" s="51"/>
      <c r="BB205" s="51"/>
      <c r="BC205" s="51"/>
      <c r="BD205" s="51"/>
      <c r="BE205" s="51"/>
      <c r="BF205" s="51"/>
      <c r="BG205" s="51"/>
      <c r="BH205" s="51"/>
      <c r="BI205" s="51"/>
      <c r="BJ205" s="51"/>
      <c r="BK205" s="51"/>
      <c r="BL205" s="51"/>
      <c r="BM205" s="51"/>
      <c r="BN205" s="51"/>
      <c r="BO205" s="51"/>
      <c r="BP205" s="51"/>
      <c r="BQ205" s="51"/>
      <c r="BR205" s="51"/>
      <c r="BS205" s="51"/>
      <c r="BT205" s="51"/>
      <c r="BU205" s="51"/>
      <c r="BV205" s="51"/>
      <c r="BW205" s="51"/>
      <c r="BX205" s="51"/>
      <c r="BY205" s="51"/>
      <c r="BZ205" s="51"/>
      <c r="CA205" s="51"/>
      <c r="CB205" s="51"/>
      <c r="CC205" s="51"/>
      <c r="CD205" s="51"/>
      <c r="CE205" s="51"/>
      <c r="CF205" s="51"/>
      <c r="CG205" s="51"/>
      <c r="CH205" s="51"/>
      <c r="CI205" s="51"/>
      <c r="CJ205" s="51"/>
      <c r="CK205" s="51"/>
      <c r="CL205" s="51"/>
      <c r="CM205" s="51"/>
      <c r="CN205" s="51"/>
      <c r="CO205" s="51"/>
      <c r="CP205" s="51"/>
      <c r="CQ205" s="51"/>
      <c r="CR205" s="51"/>
      <c r="CS205" s="51"/>
      <c r="CT205" s="51"/>
      <c r="CU205" s="51"/>
      <c r="CV205" s="51"/>
      <c r="CW205" s="51"/>
      <c r="CX205" s="51"/>
      <c r="CY205" s="51"/>
      <c r="CZ205" s="51"/>
      <c r="DA205" s="51"/>
      <c r="DB205" s="51"/>
      <c r="DC205" s="51"/>
      <c r="DD205" s="51"/>
      <c r="DE205" s="51"/>
      <c r="DF205" s="51"/>
      <c r="DG205" s="51"/>
      <c r="DH205" s="51"/>
      <c r="DI205" s="51"/>
      <c r="DJ205" s="51"/>
      <c r="DK205" s="51"/>
      <c r="DL205" s="51"/>
      <c r="DM205" s="51"/>
      <c r="DN205" s="51"/>
      <c r="DO205" s="51"/>
      <c r="DP205" s="51"/>
      <c r="DQ205" s="51"/>
      <c r="DR205" s="51"/>
      <c r="DS205" s="51"/>
      <c r="DT205" s="51"/>
      <c r="DU205" s="51"/>
      <c r="DV205" s="51"/>
      <c r="DW205" s="51"/>
      <c r="DX205" s="51"/>
      <c r="DY205" s="51"/>
      <c r="DZ205" s="51"/>
      <c r="EA205" s="51"/>
      <c r="EB205" s="51"/>
      <c r="EC205" s="51"/>
      <c r="ED205" s="51"/>
      <c r="EE205" s="51"/>
      <c r="EF205" s="51"/>
      <c r="EG205" s="51"/>
      <c r="EH205" s="51"/>
      <c r="EI205" s="51"/>
      <c r="EJ205" s="51"/>
    </row>
    <row r="206" spans="3:140">
      <c r="C206" s="19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1"/>
      <c r="AI206" s="51"/>
      <c r="AJ206" s="51"/>
      <c r="AK206" s="51"/>
      <c r="AL206" s="51"/>
      <c r="AM206" s="51"/>
      <c r="AN206" s="51"/>
      <c r="AO206" s="51"/>
      <c r="AP206" s="51"/>
      <c r="AQ206" s="51"/>
      <c r="AR206" s="51"/>
      <c r="AS206" s="51"/>
      <c r="AT206" s="51"/>
      <c r="AU206" s="51"/>
      <c r="AV206" s="51"/>
      <c r="AW206" s="51"/>
      <c r="AX206" s="51"/>
      <c r="AY206" s="51"/>
      <c r="AZ206" s="51"/>
      <c r="BA206" s="51"/>
      <c r="BB206" s="51"/>
      <c r="BC206" s="51"/>
      <c r="BD206" s="51"/>
      <c r="BE206" s="51"/>
      <c r="BF206" s="51"/>
      <c r="BG206" s="51"/>
      <c r="BH206" s="51"/>
      <c r="BI206" s="51"/>
      <c r="BJ206" s="51"/>
      <c r="BK206" s="51"/>
      <c r="BL206" s="51"/>
      <c r="BM206" s="51"/>
      <c r="BN206" s="51"/>
      <c r="BO206" s="51"/>
      <c r="BP206" s="51"/>
      <c r="BQ206" s="51"/>
      <c r="BR206" s="51"/>
      <c r="BS206" s="51"/>
      <c r="BT206" s="51"/>
      <c r="BU206" s="51"/>
      <c r="BV206" s="51"/>
      <c r="BW206" s="51"/>
      <c r="BX206" s="51"/>
      <c r="BY206" s="51"/>
      <c r="BZ206" s="51"/>
      <c r="CA206" s="51"/>
      <c r="CB206" s="51"/>
      <c r="CC206" s="51"/>
      <c r="CD206" s="51"/>
      <c r="CE206" s="51"/>
      <c r="CF206" s="51"/>
      <c r="CG206" s="51"/>
      <c r="CH206" s="51"/>
      <c r="CI206" s="51"/>
      <c r="CJ206" s="51"/>
      <c r="CK206" s="51"/>
      <c r="CL206" s="51"/>
      <c r="CM206" s="51"/>
      <c r="CN206" s="51"/>
      <c r="CO206" s="51"/>
      <c r="CP206" s="51"/>
      <c r="CQ206" s="51"/>
      <c r="CR206" s="51"/>
      <c r="CS206" s="51"/>
      <c r="CT206" s="51"/>
      <c r="CU206" s="51"/>
      <c r="CV206" s="51"/>
      <c r="CW206" s="51"/>
      <c r="CX206" s="51"/>
      <c r="CY206" s="51"/>
      <c r="CZ206" s="51"/>
      <c r="DA206" s="51"/>
      <c r="DB206" s="51"/>
      <c r="DC206" s="51"/>
      <c r="DD206" s="51"/>
      <c r="DE206" s="51"/>
      <c r="DF206" s="51"/>
      <c r="DG206" s="51"/>
      <c r="DH206" s="51"/>
      <c r="DI206" s="51"/>
      <c r="DJ206" s="51"/>
      <c r="DK206" s="51"/>
      <c r="DL206" s="51"/>
      <c r="DM206" s="51"/>
      <c r="DN206" s="51"/>
      <c r="DO206" s="51"/>
      <c r="DP206" s="51"/>
      <c r="DQ206" s="51"/>
      <c r="DR206" s="51"/>
      <c r="DS206" s="51"/>
      <c r="DT206" s="51"/>
      <c r="DU206" s="51"/>
      <c r="DV206" s="51"/>
      <c r="DW206" s="51"/>
      <c r="DX206" s="51"/>
      <c r="DY206" s="51"/>
      <c r="DZ206" s="51"/>
      <c r="EA206" s="51"/>
      <c r="EB206" s="51"/>
      <c r="EC206" s="51"/>
      <c r="ED206" s="51"/>
      <c r="EE206" s="51"/>
      <c r="EF206" s="51"/>
      <c r="EG206" s="51"/>
      <c r="EH206" s="51"/>
      <c r="EI206" s="51"/>
      <c r="EJ206" s="51"/>
    </row>
    <row r="207" spans="3:140">
      <c r="C207" s="19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1"/>
      <c r="AI207" s="51"/>
      <c r="AJ207" s="51"/>
      <c r="AK207" s="51"/>
      <c r="AL207" s="51"/>
      <c r="AM207" s="51"/>
      <c r="AN207" s="51"/>
      <c r="AO207" s="51"/>
      <c r="AP207" s="51"/>
      <c r="AQ207" s="51"/>
      <c r="AR207" s="51"/>
      <c r="AS207" s="51"/>
      <c r="AT207" s="51"/>
      <c r="AU207" s="51"/>
      <c r="AV207" s="51"/>
      <c r="AW207" s="51"/>
      <c r="AX207" s="51"/>
      <c r="AY207" s="51"/>
      <c r="AZ207" s="51"/>
      <c r="BA207" s="51"/>
      <c r="BB207" s="51"/>
      <c r="BC207" s="51"/>
      <c r="BD207" s="51"/>
      <c r="BE207" s="51"/>
      <c r="BF207" s="51"/>
      <c r="BG207" s="51"/>
      <c r="BH207" s="51"/>
      <c r="BI207" s="51"/>
      <c r="BJ207" s="51"/>
      <c r="BK207" s="51"/>
      <c r="BL207" s="51"/>
      <c r="BM207" s="51"/>
      <c r="BN207" s="51"/>
      <c r="BO207" s="51"/>
      <c r="BP207" s="51"/>
      <c r="BQ207" s="51"/>
      <c r="BR207" s="51"/>
      <c r="BS207" s="51"/>
      <c r="BT207" s="51"/>
      <c r="BU207" s="51"/>
      <c r="BV207" s="51"/>
      <c r="BW207" s="51"/>
      <c r="BX207" s="51"/>
      <c r="BY207" s="51"/>
      <c r="BZ207" s="51"/>
      <c r="CA207" s="51"/>
      <c r="CB207" s="51"/>
      <c r="CC207" s="51"/>
      <c r="CD207" s="51"/>
      <c r="CE207" s="51"/>
      <c r="CF207" s="51"/>
      <c r="CG207" s="51"/>
      <c r="CH207" s="51"/>
      <c r="CI207" s="51"/>
      <c r="CJ207" s="51"/>
      <c r="CK207" s="51"/>
      <c r="CL207" s="51"/>
      <c r="CM207" s="51"/>
      <c r="CN207" s="51"/>
      <c r="CO207" s="51"/>
      <c r="CP207" s="51"/>
      <c r="CQ207" s="51"/>
      <c r="CR207" s="51"/>
      <c r="CS207" s="51"/>
      <c r="CT207" s="51"/>
      <c r="CU207" s="51"/>
      <c r="CV207" s="51"/>
      <c r="CW207" s="51"/>
      <c r="CX207" s="51"/>
      <c r="CY207" s="51"/>
      <c r="CZ207" s="51"/>
      <c r="DA207" s="51"/>
      <c r="DB207" s="51"/>
      <c r="DC207" s="51"/>
      <c r="DD207" s="51"/>
      <c r="DE207" s="51"/>
      <c r="DF207" s="51"/>
      <c r="DG207" s="51"/>
      <c r="DH207" s="51"/>
      <c r="DI207" s="51"/>
      <c r="DJ207" s="51"/>
      <c r="DK207" s="51"/>
      <c r="DL207" s="51"/>
      <c r="DM207" s="51"/>
      <c r="DN207" s="51"/>
      <c r="DO207" s="51"/>
      <c r="DP207" s="51"/>
      <c r="DQ207" s="51"/>
      <c r="DR207" s="51"/>
      <c r="DS207" s="51"/>
      <c r="DT207" s="51"/>
      <c r="DU207" s="51"/>
      <c r="DV207" s="51"/>
      <c r="DW207" s="51"/>
      <c r="DX207" s="51"/>
      <c r="DY207" s="51"/>
      <c r="DZ207" s="51"/>
      <c r="EA207" s="51"/>
      <c r="EB207" s="51"/>
      <c r="EC207" s="51"/>
      <c r="ED207" s="51"/>
      <c r="EE207" s="51"/>
      <c r="EF207" s="51"/>
      <c r="EG207" s="51"/>
      <c r="EH207" s="51"/>
      <c r="EI207" s="51"/>
      <c r="EJ207" s="51"/>
    </row>
    <row r="208" spans="3:140">
      <c r="C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1"/>
      <c r="AI208" s="51"/>
      <c r="AJ208" s="51"/>
      <c r="AK208" s="51"/>
      <c r="AL208" s="51"/>
      <c r="AM208" s="51"/>
      <c r="AN208" s="51"/>
      <c r="AO208" s="51"/>
      <c r="AP208" s="51"/>
      <c r="AQ208" s="51"/>
      <c r="AR208" s="51"/>
      <c r="AS208" s="51"/>
      <c r="AT208" s="51"/>
      <c r="AU208" s="51"/>
      <c r="AV208" s="51"/>
      <c r="AW208" s="51"/>
      <c r="AX208" s="51"/>
      <c r="AY208" s="51"/>
      <c r="AZ208" s="51"/>
      <c r="BA208" s="51"/>
      <c r="BB208" s="51"/>
      <c r="BC208" s="51"/>
      <c r="BD208" s="51"/>
      <c r="BE208" s="51"/>
      <c r="BF208" s="51"/>
      <c r="BG208" s="51"/>
      <c r="BH208" s="51"/>
      <c r="BI208" s="51"/>
      <c r="BJ208" s="51"/>
      <c r="BK208" s="51"/>
      <c r="BL208" s="51"/>
      <c r="BM208" s="51"/>
      <c r="BN208" s="51"/>
      <c r="BO208" s="51"/>
      <c r="BP208" s="51"/>
      <c r="BQ208" s="51"/>
      <c r="BR208" s="51"/>
      <c r="BS208" s="51"/>
      <c r="BT208" s="51"/>
      <c r="BU208" s="51"/>
      <c r="BV208" s="51"/>
      <c r="BW208" s="51"/>
      <c r="BX208" s="51"/>
      <c r="BY208" s="51"/>
      <c r="BZ208" s="51"/>
      <c r="CA208" s="51"/>
      <c r="CB208" s="51"/>
      <c r="CC208" s="51"/>
      <c r="CD208" s="51"/>
      <c r="CE208" s="51"/>
      <c r="CF208" s="51"/>
      <c r="CG208" s="51"/>
      <c r="CH208" s="51"/>
      <c r="CI208" s="51"/>
      <c r="CJ208" s="51"/>
      <c r="CK208" s="51"/>
      <c r="CL208" s="51"/>
      <c r="CM208" s="51"/>
      <c r="CN208" s="51"/>
      <c r="CO208" s="51"/>
      <c r="CP208" s="51"/>
      <c r="CQ208" s="51"/>
      <c r="CR208" s="51"/>
      <c r="CS208" s="51"/>
      <c r="CT208" s="51"/>
      <c r="CU208" s="51"/>
      <c r="CV208" s="51"/>
      <c r="CW208" s="51"/>
      <c r="CX208" s="51"/>
      <c r="CY208" s="51"/>
      <c r="CZ208" s="51"/>
      <c r="DA208" s="51"/>
      <c r="DB208" s="51"/>
      <c r="DC208" s="51"/>
      <c r="DD208" s="51"/>
      <c r="DE208" s="51"/>
      <c r="DF208" s="51"/>
      <c r="DG208" s="51"/>
      <c r="DH208" s="51"/>
      <c r="DI208" s="51"/>
      <c r="DJ208" s="51"/>
      <c r="DK208" s="51"/>
      <c r="DL208" s="51"/>
      <c r="DM208" s="51"/>
      <c r="DN208" s="51"/>
      <c r="DO208" s="51"/>
      <c r="DP208" s="51"/>
      <c r="DQ208" s="51"/>
      <c r="DR208" s="51"/>
      <c r="DS208" s="51"/>
      <c r="DT208" s="51"/>
      <c r="DU208" s="51"/>
      <c r="DV208" s="51"/>
      <c r="DW208" s="51"/>
      <c r="DX208" s="51"/>
      <c r="DY208" s="51"/>
      <c r="DZ208" s="51"/>
      <c r="EA208" s="51"/>
      <c r="EB208" s="51"/>
      <c r="EC208" s="51"/>
      <c r="ED208" s="51"/>
      <c r="EE208" s="51"/>
      <c r="EF208" s="51"/>
      <c r="EG208" s="51"/>
      <c r="EH208" s="51"/>
      <c r="EI208" s="51"/>
      <c r="EJ208" s="51"/>
    </row>
    <row r="209" spans="3:140">
      <c r="C209" s="19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1"/>
      <c r="AI209" s="51"/>
      <c r="AJ209" s="51"/>
      <c r="AK209" s="51"/>
      <c r="AL209" s="51"/>
      <c r="AM209" s="51"/>
      <c r="AN209" s="51"/>
      <c r="AO209" s="51"/>
      <c r="AP209" s="51"/>
      <c r="AQ209" s="51"/>
      <c r="AR209" s="51"/>
      <c r="AS209" s="51"/>
      <c r="AT209" s="51"/>
      <c r="AU209" s="51"/>
      <c r="AV209" s="51"/>
      <c r="AW209" s="51"/>
      <c r="AX209" s="51"/>
      <c r="AY209" s="51"/>
      <c r="AZ209" s="51"/>
      <c r="BA209" s="51"/>
      <c r="BB209" s="51"/>
      <c r="BC209" s="51"/>
      <c r="BD209" s="51"/>
      <c r="BE209" s="51"/>
      <c r="BF209" s="51"/>
      <c r="BG209" s="51"/>
      <c r="BH209" s="51"/>
      <c r="BI209" s="51"/>
      <c r="BJ209" s="51"/>
      <c r="BK209" s="51"/>
      <c r="BL209" s="51"/>
      <c r="BM209" s="51"/>
      <c r="BN209" s="51"/>
      <c r="BO209" s="51"/>
      <c r="BP209" s="51"/>
      <c r="BQ209" s="51"/>
      <c r="BR209" s="51"/>
      <c r="BS209" s="51"/>
      <c r="BT209" s="51"/>
      <c r="BU209" s="51"/>
      <c r="BV209" s="51"/>
      <c r="BW209" s="51"/>
      <c r="BX209" s="51"/>
      <c r="BY209" s="51"/>
      <c r="BZ209" s="51"/>
      <c r="CA209" s="51"/>
      <c r="CB209" s="51"/>
      <c r="CC209" s="51"/>
      <c r="CD209" s="51"/>
      <c r="CE209" s="51"/>
      <c r="CF209" s="51"/>
      <c r="CG209" s="51"/>
      <c r="CH209" s="51"/>
      <c r="CI209" s="51"/>
      <c r="CJ209" s="51"/>
      <c r="CK209" s="51"/>
      <c r="CL209" s="51"/>
      <c r="CM209" s="51"/>
      <c r="CN209" s="51"/>
      <c r="CO209" s="51"/>
      <c r="CP209" s="51"/>
      <c r="CQ209" s="51"/>
      <c r="CR209" s="51"/>
      <c r="CS209" s="51"/>
      <c r="CT209" s="51"/>
      <c r="CU209" s="51"/>
      <c r="CV209" s="51"/>
      <c r="CW209" s="51"/>
      <c r="CX209" s="51"/>
      <c r="CY209" s="51"/>
      <c r="CZ209" s="51"/>
      <c r="DA209" s="51"/>
      <c r="DB209" s="51"/>
      <c r="DC209" s="51"/>
      <c r="DD209" s="51"/>
      <c r="DE209" s="51"/>
      <c r="DF209" s="51"/>
      <c r="DG209" s="51"/>
      <c r="DH209" s="51"/>
      <c r="DI209" s="51"/>
      <c r="DJ209" s="51"/>
      <c r="DK209" s="51"/>
      <c r="DL209" s="51"/>
      <c r="DM209" s="51"/>
      <c r="DN209" s="51"/>
      <c r="DO209" s="51"/>
      <c r="DP209" s="51"/>
      <c r="DQ209" s="51"/>
      <c r="DR209" s="51"/>
      <c r="DS209" s="51"/>
      <c r="DT209" s="51"/>
      <c r="DU209" s="51"/>
      <c r="DV209" s="51"/>
      <c r="DW209" s="51"/>
      <c r="DX209" s="51"/>
      <c r="DY209" s="51"/>
      <c r="DZ209" s="51"/>
      <c r="EA209" s="51"/>
      <c r="EB209" s="51"/>
      <c r="EC209" s="51"/>
      <c r="ED209" s="51"/>
      <c r="EE209" s="51"/>
      <c r="EF209" s="51"/>
      <c r="EG209" s="51"/>
      <c r="EH209" s="51"/>
      <c r="EI209" s="51"/>
      <c r="EJ209" s="51"/>
    </row>
    <row r="210" spans="3:140">
      <c r="C210" s="19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</row>
    <row r="211" spans="3:140">
      <c r="C211" s="19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</row>
    <row r="212" spans="3:140">
      <c r="C212" s="19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</row>
    <row r="213" spans="3:140">
      <c r="C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</row>
    <row r="214" spans="3:140">
      <c r="C214" s="19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</row>
    <row r="215" spans="3:140">
      <c r="C215" s="19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</row>
    <row r="216" spans="3:140">
      <c r="C216" s="19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</row>
    <row r="217" spans="3:140">
      <c r="C217" s="19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</row>
    <row r="218" spans="3:140">
      <c r="C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</row>
    <row r="219" spans="3:140">
      <c r="C219" s="19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</row>
    <row r="220" spans="3:140">
      <c r="C220" s="19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</row>
    <row r="221" spans="3:140">
      <c r="C221" s="19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</row>
    <row r="222" spans="3:140">
      <c r="C222" s="19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</row>
    <row r="223" spans="3:140">
      <c r="C223" s="1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</row>
    <row r="224" spans="3:140">
      <c r="C224" s="19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</row>
    <row r="225" spans="3:15">
      <c r="C225" s="19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</row>
    <row r="226" spans="3:15">
      <c r="C226" s="19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</row>
    <row r="227" spans="3:15">
      <c r="C227" s="19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</row>
    <row r="228" spans="3:15">
      <c r="C228" s="1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</row>
    <row r="229" spans="3:15">
      <c r="C229" s="19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</row>
    <row r="230" spans="3:15">
      <c r="C230" s="19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</row>
    <row r="231" spans="3:15">
      <c r="C231" s="19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</row>
    <row r="232" spans="3:15">
      <c r="C232" s="19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</row>
    <row r="233" spans="3:15">
      <c r="C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</row>
    <row r="234" spans="3:15">
      <c r="C234" s="19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</row>
    <row r="235" spans="3:15">
      <c r="C235" s="19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</row>
    <row r="236" spans="3:15"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</row>
    <row r="237" spans="3:15"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</row>
    <row r="238" spans="3:15"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</row>
    <row r="239" spans="3:15"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</row>
    <row r="240" spans="3:15"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</row>
    <row r="241" spans="3:15"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</row>
    <row r="242" spans="3:15"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</row>
    <row r="243" spans="3:15"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</row>
    <row r="244" spans="3:15"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</row>
    <row r="245" spans="3:15"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</row>
    <row r="246" spans="3:15"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</row>
    <row r="247" spans="3:15"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</row>
    <row r="248" spans="3:15"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</row>
    <row r="249" spans="3:15"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</row>
    <row r="250" spans="3:15"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</row>
    <row r="251" spans="3:15"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</row>
    <row r="252" spans="3:15"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</row>
    <row r="253" spans="3:15"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</row>
    <row r="254" spans="3:15"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</row>
    <row r="255" spans="3:15"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</row>
    <row r="256" spans="3:15"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</row>
    <row r="257" spans="3:15"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</row>
    <row r="258" spans="3:15"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</row>
    <row r="259" spans="3:15"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</row>
    <row r="260" spans="3:15"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</row>
    <row r="261" spans="3:15"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</row>
    <row r="262" spans="3:15"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</row>
    <row r="263" spans="3:15"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</row>
    <row r="264" spans="3:15"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</row>
    <row r="265" spans="3:15"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</row>
    <row r="266" spans="3:15"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</row>
    <row r="267" spans="3:15"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</row>
    <row r="268" spans="3:15"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</row>
    <row r="269" spans="3:15"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</row>
    <row r="270" spans="3:15"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</row>
    <row r="271" spans="3:15"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</row>
    <row r="272" spans="3:15"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</row>
    <row r="273" spans="3:15"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</row>
    <row r="274" spans="3:15"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</row>
    <row r="275" spans="3:15"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</row>
    <row r="276" spans="3:15"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</row>
    <row r="277" spans="3:15"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</row>
    <row r="278" spans="3:15"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</row>
    <row r="279" spans="3:15"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</row>
    <row r="280" spans="3:15"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</row>
    <row r="281" spans="3:15"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</row>
    <row r="282" spans="3:15"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</row>
    <row r="283" spans="3:15"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</row>
    <row r="284" spans="3:15"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</row>
    <row r="285" spans="3:15"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</row>
    <row r="286" spans="3:15"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</row>
    <row r="287" spans="3:15"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</row>
    <row r="288" spans="3:15"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</row>
    <row r="289" spans="3:15"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</row>
    <row r="290" spans="3:15"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</row>
    <row r="291" spans="3:15"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</row>
    <row r="292" spans="3:15"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</row>
    <row r="293" spans="3:15"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</row>
    <row r="294" spans="3:15"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</row>
    <row r="295" spans="3:15"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</row>
    <row r="296" spans="3:15"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</row>
    <row r="297" spans="3:15"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</row>
    <row r="298" spans="3:15"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</row>
    <row r="299" spans="3:15"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</row>
    <row r="300" spans="3:15"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</row>
    <row r="301" spans="3:15"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</row>
    <row r="302" spans="3:15"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</row>
    <row r="303" spans="3:15"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</row>
    <row r="304" spans="3:15"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</row>
    <row r="305" spans="3:15"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</row>
    <row r="306" spans="3:15"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</row>
    <row r="307" spans="3:15"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</row>
    <row r="308" spans="3:15"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</row>
    <row r="309" spans="3:15"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</row>
    <row r="310" spans="3:15"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</row>
    <row r="311" spans="3:15"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</row>
    <row r="312" spans="3:15"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</row>
    <row r="313" spans="3:15"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</row>
    <row r="314" spans="3:15"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</row>
    <row r="315" spans="3:15"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</row>
    <row r="316" spans="3:15"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</row>
    <row r="317" spans="3:15"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</row>
    <row r="318" spans="3:15"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</row>
    <row r="319" spans="3:15"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</row>
    <row r="320" spans="3:15"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</row>
    <row r="321" spans="3:15"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</row>
    <row r="322" spans="3:15"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</row>
    <row r="323" spans="3:15"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</row>
    <row r="324" spans="3:15"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</row>
    <row r="325" spans="3:15"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</row>
    <row r="326" spans="3:15"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</row>
    <row r="327" spans="3:15"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</row>
    <row r="328" spans="3:15"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</row>
    <row r="329" spans="3:15"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</row>
    <row r="330" spans="3:15"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</row>
    <row r="331" spans="3:15"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</row>
    <row r="332" spans="3:15"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</row>
    <row r="333" spans="3:15"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</row>
    <row r="334" spans="3:15"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</row>
    <row r="335" spans="3:15"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</row>
    <row r="336" spans="3:15"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</row>
    <row r="337" spans="3:15"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</row>
    <row r="338" spans="3:15"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</row>
    <row r="339" spans="3:15"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</row>
    <row r="340" spans="3:15"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</row>
    <row r="341" spans="3:15"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</row>
    <row r="342" spans="3:15"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</row>
    <row r="343" spans="3:15"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</row>
    <row r="344" spans="3:15"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</row>
    <row r="345" spans="3:15"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</row>
    <row r="346" spans="3:15"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</row>
    <row r="347" spans="3:15"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</row>
    <row r="348" spans="3:15"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</row>
    <row r="349" spans="3:15"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</row>
    <row r="350" spans="3:15"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</row>
    <row r="351" spans="3:15"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</row>
    <row r="352" spans="3:15"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</row>
    <row r="353" spans="3:15"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</row>
    <row r="354" spans="3:15"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</row>
    <row r="355" spans="3:15"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</row>
    <row r="356" spans="3:15"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</row>
    <row r="357" spans="3:15"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</row>
    <row r="358" spans="3:15"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</row>
    <row r="359" spans="3:15"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</row>
    <row r="360" spans="3:15"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</row>
    <row r="361" spans="3:15"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</row>
    <row r="362" spans="3:15"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</row>
    <row r="363" spans="3:15"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</row>
    <row r="364" spans="3:15"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</row>
    <row r="365" spans="3:15"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</row>
    <row r="366" spans="3:15"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</row>
    <row r="367" spans="3:15"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</row>
    <row r="368" spans="3:15"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</row>
    <row r="369" spans="3:15"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</row>
    <row r="370" spans="3:15"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</row>
    <row r="371" spans="3:15"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</row>
    <row r="372" spans="3:15"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</row>
    <row r="373" spans="3:15"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</row>
    <row r="374" spans="3:15"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</row>
    <row r="375" spans="3:15"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</row>
    <row r="376" spans="3:15"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</row>
    <row r="377" spans="3:15"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</row>
    <row r="378" spans="3:15"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</row>
    <row r="379" spans="3:15"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</row>
    <row r="380" spans="3:15"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</row>
    <row r="381" spans="3:15"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</row>
    <row r="382" spans="3:15"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</row>
    <row r="383" spans="3:15"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</row>
    <row r="384" spans="3:15"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</row>
    <row r="385" spans="3:15"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</row>
    <row r="386" spans="3:15"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</row>
    <row r="387" spans="3:15"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</row>
    <row r="388" spans="3:15"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</row>
    <row r="389" spans="3:15"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</row>
    <row r="390" spans="3:15"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</row>
    <row r="391" spans="3:15"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</row>
    <row r="392" spans="3:15"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</row>
    <row r="393" spans="3:15"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</row>
    <row r="394" spans="3:15"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</row>
    <row r="395" spans="3:15"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</row>
    <row r="396" spans="3:15"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</row>
    <row r="397" spans="3:15"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</row>
    <row r="398" spans="3:15"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</row>
    <row r="399" spans="3:15"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</row>
    <row r="400" spans="3:15"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</row>
    <row r="401" spans="3:15"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</row>
    <row r="402" spans="3:15"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</row>
    <row r="403" spans="3:15"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</row>
    <row r="404" spans="3:15"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</row>
    <row r="405" spans="3:15"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</row>
    <row r="406" spans="3:15"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</row>
    <row r="407" spans="3:15"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</row>
    <row r="408" spans="3:15"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</row>
    <row r="409" spans="3:15"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</row>
    <row r="410" spans="3:15"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</row>
    <row r="411" spans="3:15"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</row>
    <row r="412" spans="3:15"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</row>
    <row r="413" spans="3:15"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</row>
    <row r="414" spans="3:15"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</row>
    <row r="415" spans="3:15"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</row>
    <row r="416" spans="3:15"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</row>
    <row r="417" spans="3:15"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</row>
    <row r="418" spans="3:15"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</row>
    <row r="419" spans="3:15"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</row>
    <row r="420" spans="3:15"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</row>
    <row r="421" spans="3:15"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</row>
    <row r="422" spans="3:15"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</row>
    <row r="423" spans="3:15"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</row>
    <row r="424" spans="3:15"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</row>
    <row r="425" spans="3:15"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</row>
    <row r="426" spans="3:15"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</row>
    <row r="427" spans="3:15"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</row>
    <row r="428" spans="3:15"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</row>
    <row r="429" spans="3:15"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</row>
    <row r="430" spans="3:15"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</row>
    <row r="431" spans="3:15"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</row>
    <row r="432" spans="3:15"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</row>
    <row r="433" spans="3:15"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</row>
    <row r="434" spans="3:15"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</row>
    <row r="435" spans="3:15"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</row>
    <row r="436" spans="3:15"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</row>
    <row r="437" spans="3:15"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</row>
    <row r="438" spans="3:15"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</row>
    <row r="439" spans="3:15"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</row>
    <row r="440" spans="3:15"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</row>
    <row r="441" spans="3:15"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</row>
    <row r="442" spans="3:15"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</row>
    <row r="443" spans="3:15"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</row>
    <row r="444" spans="3:15"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</row>
    <row r="445" spans="3:15"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</row>
    <row r="446" spans="3:15"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</row>
    <row r="447" spans="3:15"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</row>
    <row r="448" spans="3:15"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</row>
    <row r="449" spans="3:15"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</row>
    <row r="450" spans="3:15"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</row>
    <row r="451" spans="3:15"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</row>
    <row r="452" spans="3:15"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</row>
    <row r="453" spans="3:15"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</row>
    <row r="454" spans="3:15"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</row>
    <row r="455" spans="3:15"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</row>
    <row r="456" spans="3:15"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</row>
    <row r="457" spans="3:15"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</row>
    <row r="458" spans="3:15"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</row>
    <row r="459" spans="3:15"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</row>
    <row r="460" spans="3:15"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</row>
    <row r="461" spans="3:15"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</row>
    <row r="462" spans="3:15"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</row>
    <row r="463" spans="3:15"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</row>
    <row r="464" spans="3:15"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</row>
    <row r="465" spans="3:15"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</row>
    <row r="466" spans="3:15"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</row>
    <row r="467" spans="3:15"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</row>
    <row r="468" spans="3:15"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</row>
    <row r="469" spans="3:15"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</row>
    <row r="470" spans="3:15"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</row>
    <row r="471" spans="3:15"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</row>
    <row r="472" spans="3:15"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</row>
    <row r="473" spans="3:15"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</row>
    <row r="474" spans="3:15"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</row>
    <row r="475" spans="3:15"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</row>
    <row r="476" spans="3:15"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</row>
    <row r="477" spans="3:15"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</row>
    <row r="478" spans="3:15"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</row>
    <row r="479" spans="3:15"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</row>
    <row r="480" spans="3:15"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</row>
    <row r="481" spans="3:15"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</row>
    <row r="482" spans="3:15"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</row>
    <row r="483" spans="3:15"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</row>
    <row r="484" spans="3:15"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</row>
    <row r="485" spans="3:15"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</row>
    <row r="486" spans="3:15"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</row>
    <row r="487" spans="3:15"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</row>
    <row r="488" spans="3:15"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</row>
    <row r="489" spans="3:15"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</row>
    <row r="490" spans="3:15"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</row>
    <row r="491" spans="3:15"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</row>
    <row r="492" spans="3:15"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</row>
    <row r="493" spans="3:15"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</row>
    <row r="494" spans="3:15"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</row>
    <row r="495" spans="3:15"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</row>
    <row r="496" spans="3:15"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</row>
    <row r="497" spans="3:15"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</row>
    <row r="498" spans="3:15"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</row>
    <row r="499" spans="3:15"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</row>
    <row r="500" spans="3:15"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</row>
    <row r="501" spans="3:15"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</row>
    <row r="502" spans="3:15"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</row>
    <row r="503" spans="3:15"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</row>
    <row r="504" spans="3:15"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</row>
    <row r="505" spans="3:15"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</row>
    <row r="506" spans="3:15"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</row>
    <row r="507" spans="3:15"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</row>
    <row r="508" spans="3:15"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</row>
    <row r="509" spans="3:15"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</row>
    <row r="510" spans="3:15"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</row>
    <row r="511" spans="3:15"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</row>
    <row r="512" spans="3:15"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</row>
    <row r="513" spans="3:15"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</row>
    <row r="514" spans="3:15"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</row>
    <row r="515" spans="3:15"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</row>
    <row r="516" spans="3:15"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</row>
    <row r="517" spans="3:15"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</row>
    <row r="518" spans="3:15"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</row>
    <row r="519" spans="3:15"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</row>
    <row r="520" spans="3:15"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</row>
    <row r="521" spans="3:15"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</row>
    <row r="522" spans="3:15"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</row>
    <row r="523" spans="3:15"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</row>
    <row r="524" spans="3:15"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</row>
    <row r="525" spans="3:15"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</row>
    <row r="526" spans="3:15"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</row>
    <row r="527" spans="3:15"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</row>
    <row r="528" spans="3:15"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</row>
    <row r="529" spans="3:15"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</row>
    <row r="530" spans="3:15"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</row>
    <row r="531" spans="3:15"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</row>
    <row r="532" spans="3:15"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</row>
    <row r="533" spans="3:15"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</row>
    <row r="534" spans="3:15"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</row>
    <row r="535" spans="3:15"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</row>
    <row r="536" spans="3:15"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</row>
    <row r="537" spans="3:15"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</row>
    <row r="538" spans="3:15"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</row>
    <row r="539" spans="3:15"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</row>
    <row r="540" spans="3:15"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</row>
    <row r="541" spans="3:15"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</row>
    <row r="542" spans="3:15"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</row>
    <row r="543" spans="3:15"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</row>
    <row r="544" spans="3:15"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</row>
    <row r="545" spans="3:15"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</row>
    <row r="546" spans="3:15"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</row>
    <row r="547" spans="3:15"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</row>
    <row r="548" spans="3:15"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</row>
    <row r="549" spans="3:15"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</row>
    <row r="550" spans="3:15"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</row>
    <row r="551" spans="3:15"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</row>
    <row r="552" spans="3:15"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</row>
    <row r="553" spans="3:15"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</row>
    <row r="554" spans="3:15"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</row>
    <row r="555" spans="3:15"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</row>
    <row r="556" spans="3:15"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</row>
    <row r="557" spans="3:15"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</row>
    <row r="558" spans="3:15"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</row>
    <row r="559" spans="3:15"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</row>
    <row r="560" spans="3:15"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</row>
    <row r="561" spans="3:15"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</row>
    <row r="562" spans="3:15"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</row>
    <row r="563" spans="3:15"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</row>
    <row r="564" spans="3:15"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</row>
    <row r="565" spans="3:15"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</row>
    <row r="566" spans="3:15"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</row>
    <row r="567" spans="3:15"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</row>
    <row r="568" spans="3:15"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</row>
    <row r="569" spans="3:15"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</row>
    <row r="570" spans="3:15"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</row>
    <row r="571" spans="3:15"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</row>
    <row r="572" spans="3:15"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</row>
    <row r="573" spans="3:15"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</row>
    <row r="574" spans="3:15"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</row>
    <row r="575" spans="3:15"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</row>
    <row r="576" spans="3:15"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</row>
    <row r="577" spans="3:15"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</row>
    <row r="578" spans="3:15"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</row>
    <row r="579" spans="3:15"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</row>
    <row r="580" spans="3:15"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</row>
    <row r="581" spans="3:15"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</row>
    <row r="582" spans="3:15"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</row>
    <row r="583" spans="3:15"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</row>
    <row r="584" spans="3:15"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</row>
    <row r="585" spans="3:15"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</row>
    <row r="586" spans="3:15"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</row>
    <row r="587" spans="3:15"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</row>
    <row r="588" spans="3:15"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</row>
    <row r="589" spans="3:15"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</row>
    <row r="590" spans="3:15"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</row>
    <row r="591" spans="3:15"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</row>
    <row r="592" spans="3:15"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</row>
    <row r="593" spans="3:15"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</row>
    <row r="594" spans="3:15"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</row>
    <row r="595" spans="3:15"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</row>
    <row r="596" spans="3:15"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</row>
    <row r="597" spans="3:15"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</row>
    <row r="598" spans="3:15"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</row>
    <row r="599" spans="3:15"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</row>
    <row r="600" spans="3:15"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</row>
    <row r="601" spans="3:15"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</row>
    <row r="602" spans="3:15"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</row>
    <row r="603" spans="3:15"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</row>
    <row r="604" spans="3:15"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</row>
    <row r="605" spans="3:15"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</row>
    <row r="606" spans="3:15"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</row>
    <row r="607" spans="3:15"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</row>
    <row r="608" spans="3:15"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</row>
    <row r="609" spans="3:15"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</row>
    <row r="610" spans="3:15"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</row>
    <row r="611" spans="3:15"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</row>
    <row r="612" spans="3:15"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</row>
    <row r="613" spans="3:15"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</row>
    <row r="614" spans="3:15"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</row>
    <row r="615" spans="3:15"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</row>
    <row r="616" spans="3:15"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</row>
    <row r="617" spans="3:15"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</row>
    <row r="618" spans="3:15"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</row>
    <row r="619" spans="3:15"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</row>
    <row r="620" spans="3:15"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</row>
    <row r="621" spans="3:15"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</row>
    <row r="622" spans="3:15"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</row>
    <row r="623" spans="3:15"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</row>
    <row r="624" spans="3:15"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</row>
    <row r="625" spans="3:15"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</row>
    <row r="626" spans="3:15"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</row>
    <row r="627" spans="3:15"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</row>
    <row r="628" spans="3:15"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</row>
    <row r="629" spans="3:15"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</row>
    <row r="630" spans="3:15"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</row>
    <row r="631" spans="3:15"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</row>
    <row r="632" spans="3:15"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</row>
    <row r="633" spans="3:15"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</row>
    <row r="634" spans="3:15"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</row>
    <row r="635" spans="3:15"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</row>
    <row r="636" spans="3:15"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</row>
    <row r="637" spans="3:15"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</row>
    <row r="638" spans="3:15"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</row>
    <row r="639" spans="3:15"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</row>
    <row r="640" spans="3:15"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</row>
    <row r="641" spans="3:15"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</row>
    <row r="642" spans="3:15"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</row>
    <row r="643" spans="3:15"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</row>
    <row r="644" spans="3:15"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</row>
    <row r="645" spans="3:15"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</row>
    <row r="646" spans="3:15"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</row>
    <row r="647" spans="3:15"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</row>
    <row r="648" spans="3:15"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</row>
    <row r="649" spans="3:15"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</row>
    <row r="650" spans="3:15"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</row>
    <row r="651" spans="3:15"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</row>
    <row r="652" spans="3:15"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</row>
    <row r="653" spans="3:15"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</row>
    <row r="654" spans="3:15"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</row>
    <row r="655" spans="3:15"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</row>
    <row r="656" spans="3:15"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</row>
    <row r="657" spans="3:15"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</row>
    <row r="658" spans="3:15"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</row>
    <row r="659" spans="3:15"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</row>
    <row r="660" spans="3:15"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</row>
    <row r="661" spans="3:15"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</row>
    <row r="662" spans="3:15"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</row>
    <row r="663" spans="3:15"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</row>
    <row r="664" spans="3:15"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</row>
    <row r="665" spans="3:15"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</row>
    <row r="666" spans="3:15"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</row>
    <row r="667" spans="3:15"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</row>
    <row r="668" spans="3:15"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</row>
    <row r="669" spans="3:15"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</row>
    <row r="670" spans="3:15"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</row>
    <row r="671" spans="3:15"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</row>
    <row r="672" spans="3:15"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</row>
    <row r="673" spans="3:15"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</row>
    <row r="674" spans="3:15"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</row>
    <row r="675" spans="3:15"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</row>
    <row r="676" spans="3:15"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</row>
    <row r="677" spans="3:15"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</row>
    <row r="678" spans="3:15"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</row>
    <row r="679" spans="3:15"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</row>
    <row r="680" spans="3:15"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</row>
    <row r="681" spans="3:15"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</row>
    <row r="682" spans="3:15"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</row>
    <row r="683" spans="3:15"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</row>
    <row r="684" spans="3:15"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</row>
    <row r="685" spans="3:15"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</row>
    <row r="686" spans="3:15"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</row>
    <row r="687" spans="3:15"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</row>
    <row r="688" spans="3:15"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</row>
    <row r="689" spans="3:15"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</row>
    <row r="690" spans="3:15"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</row>
    <row r="691" spans="3:15"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</row>
    <row r="692" spans="3:15"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</row>
    <row r="693" spans="3:15"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</row>
    <row r="694" spans="3:15"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</row>
    <row r="695" spans="3:15"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</row>
    <row r="696" spans="3:15"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</row>
    <row r="697" spans="3:15"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</row>
    <row r="698" spans="3:15"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</row>
    <row r="699" spans="3:15"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</row>
    <row r="700" spans="3:15"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</row>
    <row r="701" spans="3:15"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</row>
    <row r="702" spans="3:15"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</row>
    <row r="703" spans="3:15"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</row>
    <row r="704" spans="3:15"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</row>
    <row r="705" spans="3:15"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</row>
    <row r="706" spans="3:15"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</row>
    <row r="707" spans="3:15"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</row>
    <row r="708" spans="3:15"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</row>
    <row r="709" spans="3:15"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</row>
    <row r="710" spans="3:15"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</row>
    <row r="711" spans="3:15"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</row>
    <row r="712" spans="3:15"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</row>
    <row r="713" spans="3:15"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</row>
    <row r="714" spans="3:15"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</row>
    <row r="715" spans="3:15"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</row>
    <row r="716" spans="3:15"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</row>
    <row r="717" spans="3:15"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</row>
    <row r="718" spans="3:15"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</row>
    <row r="719" spans="3:15"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</row>
    <row r="720" spans="3:15"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</row>
    <row r="721" spans="3:15"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</row>
    <row r="722" spans="3:15"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</row>
    <row r="723" spans="3:15"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</row>
    <row r="724" spans="3:15"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</row>
    <row r="725" spans="3:15"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</row>
    <row r="726" spans="3:15"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</row>
    <row r="727" spans="3:15"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</row>
    <row r="728" spans="3:15"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</row>
    <row r="729" spans="3:15"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</row>
    <row r="730" spans="3:15"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</row>
    <row r="731" spans="3:15"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</row>
    <row r="732" spans="3:15"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</row>
    <row r="733" spans="3:15"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</row>
    <row r="734" spans="3:15"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</row>
    <row r="735" spans="3:15"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</row>
    <row r="736" spans="3:15"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</row>
    <row r="737" spans="3:15"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</row>
    <row r="738" spans="3:15"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</row>
    <row r="739" spans="3:15"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</row>
    <row r="740" spans="3:15"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</row>
    <row r="741" spans="3:15"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</row>
    <row r="742" spans="3:15"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</row>
    <row r="743" spans="3:15"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</row>
    <row r="744" spans="3:15"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</row>
    <row r="745" spans="3:15"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</row>
    <row r="746" spans="3:15"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</row>
    <row r="747" spans="3:15"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</row>
    <row r="748" spans="3:15"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</row>
    <row r="749" spans="3:15"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</row>
    <row r="750" spans="3:15"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</row>
    <row r="751" spans="3:15"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</row>
    <row r="752" spans="3:15"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</row>
    <row r="753" spans="3:15"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</row>
    <row r="754" spans="3:15"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</row>
    <row r="755" spans="3:15"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</row>
    <row r="756" spans="3:15"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</row>
    <row r="757" spans="3:15"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</row>
    <row r="758" spans="3:15"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</row>
    <row r="759" spans="3:15"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</row>
    <row r="760" spans="3:15"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</row>
    <row r="761" spans="3:15"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</row>
    <row r="762" spans="3:15"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</row>
    <row r="763" spans="3:15"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</row>
    <row r="764" spans="3:15"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</row>
    <row r="765" spans="3:15"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</row>
    <row r="766" spans="3:15"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</row>
    <row r="767" spans="3:15"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</row>
    <row r="768" spans="3:15"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</row>
    <row r="769" spans="3:15"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</row>
    <row r="770" spans="3:15"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</row>
    <row r="771" spans="3:15"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</row>
    <row r="772" spans="3:15"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</row>
    <row r="773" spans="3:15"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</row>
    <row r="774" spans="3:15"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</row>
    <row r="775" spans="3:15"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</row>
    <row r="776" spans="3:15"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</row>
  </sheetData>
  <sheetProtection formatCells="0" formatColumns="0" formatRows="0" sort="0" autoFilter="0" pivotTables="0"/>
  <mergeCells count="33">
    <mergeCell ref="D15:E15"/>
    <mergeCell ref="F15:G15"/>
    <mergeCell ref="T15:U15"/>
    <mergeCell ref="R15:S15"/>
    <mergeCell ref="P15:Q15"/>
    <mergeCell ref="N15:O15"/>
    <mergeCell ref="L15:M15"/>
    <mergeCell ref="J15:K15"/>
    <mergeCell ref="H15:I15"/>
    <mergeCell ref="F18:G18"/>
    <mergeCell ref="H18:I18"/>
    <mergeCell ref="J18:K18"/>
    <mergeCell ref="D18:E18"/>
    <mergeCell ref="C18:C19"/>
    <mergeCell ref="V18:W18"/>
    <mergeCell ref="I8:K8"/>
    <mergeCell ref="H9:L9"/>
    <mergeCell ref="P18:Q18"/>
    <mergeCell ref="R18:S18"/>
    <mergeCell ref="T18:U18"/>
    <mergeCell ref="L18:M18"/>
    <mergeCell ref="N18:O18"/>
    <mergeCell ref="N17:O17"/>
    <mergeCell ref="P17:Q17"/>
    <mergeCell ref="S7:Y8"/>
    <mergeCell ref="S9:Y11"/>
    <mergeCell ref="X15:Y15"/>
    <mergeCell ref="R16:S17"/>
    <mergeCell ref="Z15:AA15"/>
    <mergeCell ref="AB15:AC15"/>
    <mergeCell ref="X18:Y18"/>
    <mergeCell ref="Z18:AA18"/>
    <mergeCell ref="AB18:AC18"/>
  </mergeCells>
  <pageMargins left="0.70866141732283472" right="0.70866141732283472" top="0.99" bottom="0.74803149606299213" header="0.31496062992125984" footer="0.31496062992125984"/>
  <pageSetup scale="26" orientation="portrait" r:id="rId1"/>
  <rowBreaks count="1" manualBreakCount="1">
    <brk id="113" max="16383" man="1"/>
  </rowBreaks>
  <colBreaks count="1" manualBreakCount="1">
    <brk id="28" max="167" man="1"/>
  </colBreaks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II887"/>
  <sheetViews>
    <sheetView workbookViewId="0">
      <pane ySplit="19" topLeftCell="A20" activePane="bottomLeft" state="frozen"/>
      <selection activeCell="D1" sqref="D1"/>
      <selection pane="bottomLeft" activeCell="E1" sqref="E1:P1048576"/>
    </sheetView>
  </sheetViews>
  <sheetFormatPr defaultRowHeight="13.5"/>
  <cols>
    <col min="1" max="1" width="0" hidden="1" customWidth="1"/>
    <col min="2" max="2" width="10.42578125" hidden="1" customWidth="1"/>
    <col min="3" max="3" width="9.140625" hidden="1" customWidth="1"/>
    <col min="4" max="4" width="37.42578125" customWidth="1"/>
    <col min="5" max="16" width="9.7109375" hidden="1" customWidth="1"/>
    <col min="17" max="17" width="9.7109375" style="51" customWidth="1"/>
    <col min="18" max="22" width="9.7109375" customWidth="1"/>
    <col min="23" max="24" width="9.7109375" hidden="1" customWidth="1"/>
    <col min="25" max="25" width="8.140625" bestFit="1" customWidth="1"/>
    <col min="26" max="28" width="10.7109375" customWidth="1"/>
    <col min="29" max="29" width="8.140625" bestFit="1" customWidth="1"/>
    <col min="30" max="32" width="10.7109375" customWidth="1"/>
    <col min="33" max="34" width="10.7109375" hidden="1" customWidth="1"/>
    <col min="35" max="51" width="10.7109375" customWidth="1"/>
    <col min="52" max="52" width="13.85546875" style="13" customWidth="1"/>
    <col min="53" max="54" width="48.28515625" customWidth="1"/>
    <col min="55" max="130" width="9.140625" customWidth="1"/>
    <col min="131" max="131" width="12.7109375" customWidth="1"/>
    <col min="132" max="132" width="11.85546875" customWidth="1"/>
    <col min="133" max="138" width="9.140625" customWidth="1"/>
    <col min="139" max="139" width="9.140625" hidden="1" customWidth="1"/>
    <col min="140" max="140" width="10" hidden="1" customWidth="1"/>
    <col min="141" max="145" width="9.140625" hidden="1" customWidth="1"/>
    <col min="146" max="179" width="9.140625" customWidth="1"/>
    <col min="181" max="181" width="11" bestFit="1" customWidth="1"/>
    <col min="182" max="182" width="17.42578125" bestFit="1" customWidth="1"/>
    <col min="184" max="186" width="9.140625" hidden="1" customWidth="1"/>
    <col min="187" max="187" width="17.42578125" style="14" hidden="1" customWidth="1"/>
    <col min="188" max="188" width="9.140625" hidden="1" customWidth="1"/>
    <col min="189" max="189" width="11.5703125" hidden="1" customWidth="1"/>
    <col min="190" max="191" width="9.140625" hidden="1" customWidth="1"/>
    <col min="192" max="202" width="0" hidden="1" customWidth="1"/>
    <col min="205" max="205" width="0" hidden="1" customWidth="1"/>
  </cols>
  <sheetData>
    <row r="1" spans="1:243">
      <c r="A1" s="72"/>
      <c r="B1" s="72"/>
      <c r="C1" s="72">
        <v>0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5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</row>
    <row r="2" spans="1:243" ht="15" customHeight="1">
      <c r="A2" s="72"/>
      <c r="B2" s="72"/>
      <c r="C2" s="72"/>
      <c r="D2" s="212"/>
      <c r="E2" s="213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922"/>
      <c r="R2" s="214"/>
      <c r="S2" s="214"/>
      <c r="T2" s="214"/>
      <c r="U2" s="214"/>
      <c r="V2" s="214"/>
      <c r="W2" s="215"/>
      <c r="X2" s="216"/>
      <c r="Y2" s="216"/>
      <c r="Z2" s="216"/>
      <c r="AA2" s="216"/>
      <c r="AB2" s="216"/>
      <c r="AC2" s="216"/>
      <c r="AD2" s="216"/>
      <c r="AE2" s="216"/>
      <c r="AF2" s="216"/>
      <c r="AG2" s="216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</row>
    <row r="3" spans="1:243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213"/>
      <c r="Q3" s="923"/>
      <c r="R3" s="72"/>
      <c r="S3" s="72"/>
      <c r="T3" s="72"/>
      <c r="U3" s="72"/>
      <c r="V3" s="72"/>
      <c r="W3" s="217"/>
      <c r="X3" s="217"/>
      <c r="Y3" s="217"/>
      <c r="Z3" s="217"/>
      <c r="AA3" s="217"/>
      <c r="AB3" s="217"/>
      <c r="AC3" s="217"/>
      <c r="AD3" s="217"/>
      <c r="AE3" s="217"/>
      <c r="AF3" s="217"/>
      <c r="AG3" s="217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GE3" s="16"/>
    </row>
    <row r="4" spans="1:243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213"/>
      <c r="Q4" s="916"/>
      <c r="R4" s="72"/>
      <c r="S4" s="72"/>
      <c r="T4" s="72"/>
      <c r="U4" s="72"/>
      <c r="V4" s="72"/>
      <c r="W4" s="217"/>
      <c r="X4" s="217"/>
      <c r="Y4" s="217"/>
      <c r="Z4" s="217"/>
      <c r="AA4" s="217"/>
      <c r="AB4" s="217"/>
      <c r="AC4" s="217"/>
      <c r="AD4" s="217"/>
      <c r="AE4" s="217"/>
      <c r="AF4" s="217"/>
      <c r="AG4" s="217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244"/>
      <c r="AW4" s="244"/>
      <c r="AX4" s="244"/>
      <c r="AY4" s="244"/>
      <c r="AZ4" s="50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245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</row>
    <row r="5" spans="1:243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213"/>
      <c r="Q5" s="923"/>
      <c r="R5" s="872"/>
      <c r="S5" s="872"/>
      <c r="T5" s="872"/>
      <c r="U5" s="872"/>
      <c r="V5" s="872"/>
      <c r="W5" s="872"/>
      <c r="X5" s="872"/>
      <c r="Y5" s="217"/>
      <c r="Z5" s="217"/>
      <c r="AA5" s="217"/>
      <c r="AB5" s="217"/>
      <c r="AC5" s="217"/>
      <c r="AD5" s="217"/>
      <c r="AE5" s="217"/>
      <c r="AF5" s="217"/>
      <c r="AG5" s="217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244"/>
      <c r="AW5" s="244"/>
      <c r="AX5" s="244"/>
      <c r="AY5" s="244"/>
      <c r="AZ5" s="50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245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</row>
    <row r="6" spans="1:243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213"/>
      <c r="P6" s="213"/>
      <c r="Q6" s="924"/>
      <c r="R6" s="872"/>
      <c r="S6" s="872"/>
      <c r="T6" s="872"/>
      <c r="U6" s="872"/>
      <c r="V6" s="872"/>
      <c r="W6" s="872"/>
      <c r="X6" s="872"/>
      <c r="Y6" s="217"/>
      <c r="Z6" s="217"/>
      <c r="AA6" s="217"/>
      <c r="AB6" s="217"/>
      <c r="AC6" s="217"/>
      <c r="AD6" s="217"/>
      <c r="AE6" s="217"/>
      <c r="AF6" s="217"/>
      <c r="AG6" s="217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244"/>
      <c r="AW6" s="244"/>
      <c r="AX6" s="244"/>
      <c r="AY6" s="244"/>
      <c r="AZ6" s="50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245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</row>
    <row r="7" spans="1:243" ht="15">
      <c r="A7" s="72"/>
      <c r="B7" s="72"/>
      <c r="C7" s="72"/>
      <c r="D7" s="72"/>
      <c r="E7" s="72"/>
      <c r="F7" s="72"/>
      <c r="G7" s="72"/>
      <c r="H7" s="72"/>
      <c r="I7" s="72"/>
      <c r="J7" s="1152" t="str">
        <f>IF(MasterSheet!$A$1=1, MasterSheet!C5,MasterSheet!B5)</f>
        <v>CRNA GORA</v>
      </c>
      <c r="K7" s="1152"/>
      <c r="L7" s="1152"/>
      <c r="M7" s="76"/>
      <c r="N7" s="71"/>
      <c r="O7" s="72"/>
      <c r="P7" s="213"/>
      <c r="Q7" s="923"/>
      <c r="R7" s="872"/>
      <c r="S7" s="872"/>
      <c r="T7" s="1224" t="s">
        <v>421</v>
      </c>
      <c r="U7" s="1224"/>
      <c r="V7" s="1224"/>
      <c r="W7" s="1224"/>
      <c r="X7" s="1224"/>
      <c r="Y7" s="1224"/>
      <c r="Z7" s="1224"/>
      <c r="AA7" s="217"/>
      <c r="AB7" s="217"/>
      <c r="AC7" s="217"/>
      <c r="AD7" s="217"/>
      <c r="AE7" s="217"/>
      <c r="AF7" s="217"/>
      <c r="AG7" s="217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244"/>
      <c r="AW7" s="244"/>
      <c r="AX7" s="244"/>
      <c r="AY7" s="244"/>
      <c r="AZ7" s="50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245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</row>
    <row r="8" spans="1:243" ht="15">
      <c r="A8" s="72"/>
      <c r="B8" s="72"/>
      <c r="C8" s="72"/>
      <c r="D8" s="72"/>
      <c r="E8" s="72"/>
      <c r="F8" s="72"/>
      <c r="G8" s="72"/>
      <c r="H8" s="72"/>
      <c r="I8" s="1152" t="str">
        <f>IF(MasterSheet!$A$1=1,MasterSheet!C6,MasterSheet!B6)</f>
        <v>MINISTARSTVO FINANSIJA</v>
      </c>
      <c r="J8" s="1152"/>
      <c r="K8" s="1152"/>
      <c r="L8" s="1152"/>
      <c r="M8" s="1152"/>
      <c r="N8" s="76"/>
      <c r="O8" s="72"/>
      <c r="P8" s="213"/>
      <c r="Q8" s="923"/>
      <c r="R8" s="872"/>
      <c r="S8" s="872"/>
      <c r="T8" s="872"/>
      <c r="U8" s="872"/>
      <c r="V8" s="872"/>
      <c r="W8" s="872"/>
      <c r="X8" s="872"/>
      <c r="Y8" s="217"/>
      <c r="Z8" s="217"/>
      <c r="AA8" s="217"/>
      <c r="AB8" s="217"/>
      <c r="AC8" s="217"/>
      <c r="AD8" s="217"/>
      <c r="AE8" s="217"/>
      <c r="AF8" s="217"/>
      <c r="AG8" s="217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244"/>
      <c r="AW8" s="244"/>
      <c r="AX8" s="244"/>
      <c r="AY8" s="244"/>
      <c r="AZ8" s="50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245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</row>
    <row r="9" spans="1:243" ht="15">
      <c r="A9" s="72"/>
      <c r="B9" s="72"/>
      <c r="C9" s="72"/>
      <c r="D9" s="213"/>
      <c r="E9" s="72"/>
      <c r="F9" s="72"/>
      <c r="G9" s="72"/>
      <c r="H9" s="72"/>
      <c r="I9" s="72"/>
      <c r="J9" s="71"/>
      <c r="K9" s="71"/>
      <c r="L9" s="71"/>
      <c r="M9" s="71"/>
      <c r="N9" s="71"/>
      <c r="O9" s="72"/>
      <c r="P9" s="72"/>
      <c r="Q9" s="916"/>
      <c r="R9" s="873"/>
      <c r="S9" s="873"/>
      <c r="T9" s="1196" t="s">
        <v>422</v>
      </c>
      <c r="U9" s="1197"/>
      <c r="V9" s="1197"/>
      <c r="W9" s="1197"/>
      <c r="X9" s="1197"/>
      <c r="Y9" s="1198"/>
      <c r="Z9" s="217"/>
      <c r="AA9" s="217"/>
      <c r="AB9" s="217"/>
      <c r="AC9" s="217"/>
      <c r="AD9" s="217"/>
      <c r="AE9" s="217"/>
      <c r="AF9" s="217"/>
      <c r="AG9" s="217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244"/>
      <c r="AW9" s="244"/>
      <c r="AX9" s="244"/>
      <c r="AY9" s="244"/>
      <c r="AZ9" s="50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245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</row>
    <row r="10" spans="1:243" ht="13.5" customHeigh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924"/>
      <c r="R10" s="872"/>
      <c r="S10" s="872"/>
      <c r="T10" s="872"/>
      <c r="U10" s="872"/>
      <c r="V10" s="872"/>
      <c r="W10" s="872"/>
      <c r="X10" s="872"/>
      <c r="Y10" s="217"/>
      <c r="Z10" s="217"/>
      <c r="AA10" s="217"/>
      <c r="AB10" s="217"/>
      <c r="AC10" s="217"/>
      <c r="AD10" s="217"/>
      <c r="AE10" s="217"/>
      <c r="AF10" s="217"/>
      <c r="AG10" s="217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244"/>
      <c r="AW10" s="244"/>
      <c r="AX10" s="244"/>
      <c r="AY10" s="244"/>
      <c r="AZ10" s="50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245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</row>
    <row r="11" spans="1:243">
      <c r="A11" s="72"/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916"/>
      <c r="R11" s="872"/>
      <c r="S11" s="872"/>
      <c r="T11" s="872"/>
      <c r="U11" s="872"/>
      <c r="V11" s="872"/>
      <c r="W11" s="872"/>
      <c r="X11" s="872"/>
      <c r="Y11" s="217"/>
      <c r="Z11" s="217"/>
      <c r="AA11" s="217"/>
      <c r="AB11" s="217"/>
      <c r="AC11" s="217"/>
      <c r="AD11" s="217"/>
      <c r="AE11" s="217"/>
      <c r="AF11" s="217"/>
      <c r="AG11" s="217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244"/>
      <c r="AW11" s="244"/>
      <c r="AX11" s="244"/>
      <c r="AY11" s="244"/>
      <c r="AZ11" s="50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245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</row>
    <row r="12" spans="1:243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916"/>
      <c r="R12" s="705"/>
      <c r="S12" s="705"/>
      <c r="T12" s="705"/>
      <c r="U12" s="705"/>
      <c r="V12" s="705"/>
      <c r="W12" s="705"/>
      <c r="X12" s="705"/>
      <c r="Y12" s="217"/>
      <c r="Z12" s="217"/>
      <c r="AA12" s="217"/>
      <c r="AB12" s="217"/>
      <c r="AC12" s="217"/>
      <c r="AD12" s="217"/>
      <c r="AE12" s="217"/>
      <c r="AF12" s="217"/>
      <c r="AG12" s="217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244"/>
      <c r="AW12" s="244"/>
      <c r="AX12" s="244"/>
      <c r="AY12" s="244"/>
      <c r="AZ12" s="50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245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</row>
    <row r="13" spans="1:243">
      <c r="A13" s="72"/>
      <c r="B13" s="72"/>
      <c r="C13" s="72"/>
      <c r="D13" s="72"/>
      <c r="E13" s="631"/>
      <c r="F13" s="631"/>
      <c r="G13" s="712"/>
      <c r="H13" s="631"/>
      <c r="I13" s="631"/>
      <c r="J13" s="631"/>
      <c r="K13" s="631"/>
      <c r="L13" s="631"/>
      <c r="M13" s="631"/>
      <c r="N13" s="631"/>
      <c r="O13" s="631"/>
      <c r="P13" s="631"/>
      <c r="Q13" s="964"/>
      <c r="R13" s="631"/>
      <c r="S13" s="631"/>
      <c r="T13" s="631"/>
      <c r="U13" s="631"/>
      <c r="V13" s="631"/>
      <c r="W13" s="631"/>
      <c r="X13" s="631"/>
      <c r="Y13" s="217"/>
      <c r="Z13" s="217"/>
      <c r="AA13" s="217"/>
      <c r="AB13" s="217"/>
      <c r="AC13" s="217"/>
      <c r="AD13" s="217"/>
      <c r="AE13" s="217"/>
      <c r="AF13" s="217"/>
      <c r="AG13" s="217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244"/>
      <c r="AW13" s="244"/>
      <c r="AX13" s="244"/>
      <c r="AY13" s="244"/>
      <c r="AZ13" s="50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245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</row>
    <row r="14" spans="1:243" ht="14.25" thickBo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52"/>
      <c r="R14" s="72"/>
      <c r="S14" s="72"/>
      <c r="T14" s="72"/>
      <c r="U14" s="72"/>
      <c r="V14" s="72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244"/>
      <c r="AW14" s="244"/>
      <c r="AX14" s="244"/>
      <c r="AY14" s="244"/>
      <c r="AZ14" s="50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245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</row>
    <row r="15" spans="1:243" ht="16.5" customHeight="1" thickTop="1" thickBot="1">
      <c r="A15" s="72"/>
      <c r="B15" s="72"/>
      <c r="C15" s="72"/>
      <c r="D15" s="211" t="str">
        <f>'Cental Budget_int'!D15</f>
        <v>BDP (u mil. €)</v>
      </c>
      <c r="E15" s="1235">
        <f>'Cental Budget_int'!E15</f>
        <v>2148900000</v>
      </c>
      <c r="F15" s="1235">
        <f>'Cental Budget_int'!F15</f>
        <v>0</v>
      </c>
      <c r="G15" s="1234">
        <f>'Cental Budget_int'!G15</f>
        <v>2680500000</v>
      </c>
      <c r="H15" s="1234">
        <f>'Cental Budget_int'!H15</f>
        <v>0</v>
      </c>
      <c r="I15" s="1234">
        <f>'Cental Budget_int'!I15</f>
        <v>3085600000</v>
      </c>
      <c r="J15" s="1234">
        <f>'Cental Budget_int'!J15</f>
        <v>0</v>
      </c>
      <c r="K15" s="1234">
        <f>'Cental Budget_int'!K15</f>
        <v>2981000000</v>
      </c>
      <c r="L15" s="1234">
        <f>'Cental Budget_int'!L15</f>
        <v>0</v>
      </c>
      <c r="M15" s="1234">
        <f>'Cental Budget_int'!M15</f>
        <v>3104000000</v>
      </c>
      <c r="N15" s="1234">
        <f>'Cental Budget_int'!N15</f>
        <v>0</v>
      </c>
      <c r="O15" s="1234">
        <f>'Cental Budget_int'!O15</f>
        <v>3234000000</v>
      </c>
      <c r="P15" s="1234">
        <f>'Cental Budget_int'!P15</f>
        <v>0</v>
      </c>
      <c r="Q15" s="1226">
        <f>'Cental Budget_int'!Q15</f>
        <v>3149000000</v>
      </c>
      <c r="R15" s="1226">
        <f>'Cental Budget_int'!R15</f>
        <v>0</v>
      </c>
      <c r="S15" s="1225">
        <f>'Cental Budget_int'!S15</f>
        <v>3517000000</v>
      </c>
      <c r="T15" s="1225">
        <f>'Cental Budget_int'!T15</f>
        <v>0</v>
      </c>
      <c r="U15" s="1225">
        <f>'Cental Budget_int'!U15</f>
        <v>3517000000</v>
      </c>
      <c r="V15" s="1225">
        <f>'Cental Budget_int'!V15</f>
        <v>0</v>
      </c>
      <c r="W15" s="837"/>
      <c r="X15" s="837"/>
      <c r="Y15" s="1225">
        <f>'Cental Budget_int'!Y15</f>
        <v>3735000000</v>
      </c>
      <c r="Z15" s="1225">
        <f>'Cental Budget_int'!Z15</f>
        <v>0</v>
      </c>
      <c r="AA15" s="1225">
        <f>'Cental Budget_int'!AA15</f>
        <v>3982000000</v>
      </c>
      <c r="AB15" s="1225">
        <f>'Cental Budget_int'!AB15</f>
        <v>0</v>
      </c>
      <c r="AC15" s="1225">
        <f>'Cental Budget_int'!AC15</f>
        <v>4265000000</v>
      </c>
      <c r="AD15" s="1225">
        <f>'Cental Budget_int'!AD15</f>
        <v>0</v>
      </c>
      <c r="AE15" s="218"/>
      <c r="AF15" s="218"/>
      <c r="AG15" s="218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50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245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</row>
    <row r="16" spans="1:243" ht="16.5" customHeight="1" thickTop="1">
      <c r="A16" s="72"/>
      <c r="B16" s="72"/>
      <c r="C16" s="72"/>
      <c r="D16" s="237"/>
      <c r="E16" s="238"/>
      <c r="F16" s="238"/>
      <c r="G16" s="235"/>
      <c r="H16" s="235"/>
      <c r="I16" s="235"/>
      <c r="J16" s="235"/>
      <c r="K16" s="235"/>
      <c r="L16" s="235"/>
      <c r="M16" s="235"/>
      <c r="N16" s="235"/>
      <c r="O16" s="235"/>
      <c r="P16" s="235"/>
      <c r="Q16" s="1227"/>
      <c r="R16" s="1227"/>
      <c r="S16" s="1229" t="str">
        <f>IF(MasterSheet!$A$1=1,MasterSheet!$O$67,MasterSheet!O68)</f>
        <v>Plan prema Zakonu o Budžetu za 2013. godinu</v>
      </c>
      <c r="T16" s="1229"/>
      <c r="U16" s="236"/>
      <c r="V16" s="236"/>
      <c r="W16" s="838"/>
      <c r="X16" s="838"/>
      <c r="Y16" s="236"/>
      <c r="Z16" s="236"/>
      <c r="AA16" s="218"/>
      <c r="AB16" s="218"/>
      <c r="AC16" s="218"/>
      <c r="AD16" s="218"/>
      <c r="AE16" s="218"/>
      <c r="AF16" s="218"/>
      <c r="AG16" s="218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50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245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</row>
    <row r="17" spans="1:243" ht="12" customHeight="1" thickBot="1">
      <c r="A17" s="72"/>
      <c r="B17" s="72"/>
      <c r="C17" s="219"/>
      <c r="D17" s="1163"/>
      <c r="E17" s="1163"/>
      <c r="F17" s="1163"/>
      <c r="G17" s="220"/>
      <c r="H17" s="220"/>
      <c r="I17" s="220"/>
      <c r="J17" s="220"/>
      <c r="K17" s="220"/>
      <c r="L17" s="220"/>
      <c r="M17" s="220"/>
      <c r="N17" s="220"/>
      <c r="O17" s="1140"/>
      <c r="P17" s="1140"/>
      <c r="Q17" s="1228" t="s">
        <v>407</v>
      </c>
      <c r="R17" s="1228"/>
      <c r="S17" s="1230"/>
      <c r="T17" s="1230"/>
      <c r="U17" s="839"/>
      <c r="V17" s="839"/>
      <c r="W17" s="840"/>
      <c r="X17" s="840"/>
      <c r="Y17" s="839"/>
      <c r="Z17" s="839"/>
      <c r="AA17" s="839"/>
      <c r="AB17" s="839"/>
      <c r="AC17" s="220"/>
      <c r="AD17" s="220"/>
      <c r="AE17" s="220"/>
      <c r="AF17" s="220"/>
      <c r="AG17" s="220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50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245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</row>
    <row r="18" spans="1:243" ht="17.25" customHeight="1" thickTop="1">
      <c r="A18" s="72"/>
      <c r="B18" s="72"/>
      <c r="C18" s="219"/>
      <c r="D18" s="1160" t="str">
        <f>IF(MasterSheet!$A$1=1,MasterSheet!B258,MasterSheet!B257)</f>
        <v>Javna potrošnja</v>
      </c>
      <c r="E18" s="1231">
        <v>2006</v>
      </c>
      <c r="F18" s="1231"/>
      <c r="G18" s="1231">
        <v>2007</v>
      </c>
      <c r="H18" s="1231"/>
      <c r="I18" s="1231">
        <v>2008</v>
      </c>
      <c r="J18" s="1231"/>
      <c r="K18" s="1231">
        <v>2009</v>
      </c>
      <c r="L18" s="1231"/>
      <c r="M18" s="1231">
        <v>2010</v>
      </c>
      <c r="N18" s="1231"/>
      <c r="O18" s="1231">
        <v>2011</v>
      </c>
      <c r="P18" s="1231"/>
      <c r="Q18" s="1233" t="s">
        <v>406</v>
      </c>
      <c r="R18" s="1233"/>
      <c r="S18" s="1231">
        <v>2013</v>
      </c>
      <c r="T18" s="1231"/>
      <c r="U18" s="1162" t="s">
        <v>424</v>
      </c>
      <c r="V18" s="1162"/>
      <c r="W18" s="1232" t="s">
        <v>420</v>
      </c>
      <c r="X18" s="1232"/>
      <c r="Y18" s="1162">
        <v>2014</v>
      </c>
      <c r="Z18" s="1162"/>
      <c r="AA18" s="1162">
        <v>2015</v>
      </c>
      <c r="AB18" s="1162"/>
      <c r="AC18" s="1162">
        <v>2016</v>
      </c>
      <c r="AD18" s="1162"/>
      <c r="AE18" s="220"/>
      <c r="AF18" s="220"/>
      <c r="AG18" s="220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50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245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</row>
    <row r="19" spans="1:243" ht="16.5" customHeight="1" thickBot="1">
      <c r="A19" s="72"/>
      <c r="B19" s="72"/>
      <c r="C19" s="72"/>
      <c r="D19" s="1161"/>
      <c r="E19" s="912" t="str">
        <f>IF(MasterSheet!$A$1=1,MasterSheet!C258,MasterSheet!C257)</f>
        <v>mil. €</v>
      </c>
      <c r="F19" s="913" t="str">
        <f>IF(MasterSheet!$A$1=1,MasterSheet!D258,MasterSheet!D257)</f>
        <v xml:space="preserve"> % BDP</v>
      </c>
      <c r="G19" s="912" t="str">
        <f>IF(MasterSheet!$A$1=1,MasterSheet!E258,MasterSheet!E257)</f>
        <v>mil. €</v>
      </c>
      <c r="H19" s="913" t="str">
        <f>IF(MasterSheet!$A$1=1,MasterSheet!F258,MasterSheet!F257)</f>
        <v xml:space="preserve"> % BDP</v>
      </c>
      <c r="I19" s="912" t="str">
        <f>IF(MasterSheet!$A$1=1,MasterSheet!G258,MasterSheet!G257)</f>
        <v>mil. €</v>
      </c>
      <c r="J19" s="913" t="str">
        <f>IF(MasterSheet!$A$1=1,MasterSheet!H258,MasterSheet!H257)</f>
        <v xml:space="preserve"> % BDP</v>
      </c>
      <c r="K19" s="914" t="str">
        <f>IF(MasterSheet!$A$1=1,MasterSheet!I258,MasterSheet!I257)</f>
        <v>mil. €</v>
      </c>
      <c r="L19" s="914" t="str">
        <f>IF(MasterSheet!$A$1=1,MasterSheet!J258,MasterSheet!J257)</f>
        <v xml:space="preserve"> % BDP</v>
      </c>
      <c r="M19" s="912" t="str">
        <f>IF(MasterSheet!$A$1=1,MasterSheet!K258,MasterSheet!K257)</f>
        <v>mil. €</v>
      </c>
      <c r="N19" s="913" t="str">
        <f>IF(MasterSheet!$A$1=1,MasterSheet!L258,MasterSheet!L257)</f>
        <v xml:space="preserve"> % BDP</v>
      </c>
      <c r="O19" s="912" t="str">
        <f>IF(MasterSheet!$A$1=1,MasterSheet!M258,MasterSheet!M257)</f>
        <v>mil. €</v>
      </c>
      <c r="P19" s="913" t="str">
        <f>IF(MasterSheet!$A$1=1,MasterSheet!N258,MasterSheet!N257)</f>
        <v xml:space="preserve"> % BDP</v>
      </c>
      <c r="Q19" s="912" t="str">
        <f>IF(MasterSheet!$A$1=1,MasterSheet!O258,MasterSheet!O257)</f>
        <v>mil. €</v>
      </c>
      <c r="R19" s="913" t="str">
        <f>IF(MasterSheet!$A$1=1,MasterSheet!P258,MasterSheet!P257)</f>
        <v xml:space="preserve"> % BDP</v>
      </c>
      <c r="S19" s="912" t="str">
        <f>IF(MasterSheet!$A$1=1,MasterSheet!Q258,MasterSheet!Q257)</f>
        <v>mil. €</v>
      </c>
      <c r="T19" s="913" t="str">
        <f>IF(MasterSheet!$A$1=1,MasterSheet!R258,MasterSheet!R257)</f>
        <v xml:space="preserve"> % BDP</v>
      </c>
      <c r="U19" s="313" t="str">
        <f>IF(MasterSheet!$A$1=1,MasterSheet!S258,MasterSheet!S257)</f>
        <v>mil. €</v>
      </c>
      <c r="V19" s="304" t="str">
        <f>IF(MasterSheet!$A$1=1,MasterSheet!T258,MasterSheet!T257)</f>
        <v xml:space="preserve"> % BDP</v>
      </c>
      <c r="W19" s="841" t="str">
        <f>IF(MasterSheet!$A$1=1,MasterSheet!U258,MasterSheet!U257)</f>
        <v>mil. €</v>
      </c>
      <c r="X19" s="842" t="str">
        <f>IF(MasterSheet!$A$1=1,MasterSheet!V258,MasterSheet!V257)</f>
        <v xml:space="preserve"> % BDP</v>
      </c>
      <c r="Y19" s="313" t="str">
        <f>IF(MasterSheet!$A$1=1,MasterSheet!S258,MasterSheet!S257)</f>
        <v>mil. €</v>
      </c>
      <c r="Z19" s="304" t="str">
        <f>IF(MasterSheet!$A$1=1,MasterSheet!T258,MasterSheet!T257)</f>
        <v xml:space="preserve"> % BDP</v>
      </c>
      <c r="AA19" s="313" t="str">
        <f>IF(MasterSheet!$A$1=1,MasterSheet!U258,MasterSheet!U257)</f>
        <v>mil. €</v>
      </c>
      <c r="AB19" s="304" t="str">
        <f>IF(MasterSheet!$A$1=1,MasterSheet!V258,MasterSheet!V257)</f>
        <v xml:space="preserve"> % BDP</v>
      </c>
      <c r="AC19" s="313" t="s">
        <v>266</v>
      </c>
      <c r="AD19" s="304" t="s">
        <v>154</v>
      </c>
      <c r="AE19" s="221"/>
      <c r="AF19" s="221"/>
      <c r="AG19" s="221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50"/>
      <c r="BA19" s="1159"/>
      <c r="BB19" s="1157"/>
      <c r="BC19" s="1157"/>
      <c r="BD19" s="1157"/>
      <c r="BE19" s="1157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245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</row>
    <row r="20" spans="1:243" ht="15" customHeight="1" thickTop="1" thickBot="1">
      <c r="A20" s="72"/>
      <c r="B20" s="72"/>
      <c r="C20" s="72"/>
      <c r="D20" s="240" t="str">
        <f>IF(MasterSheet!$A$1=1,MasterSheet!C259,MasterSheet!B259)</f>
        <v>Izvorni prihodi</v>
      </c>
      <c r="E20" s="314">
        <f>+E21+E30+E35+E36+E37+E38</f>
        <v>977481729.04999959</v>
      </c>
      <c r="F20" s="305">
        <f>+E20/$E$15*100</f>
        <v>45.48753916189677</v>
      </c>
      <c r="G20" s="314">
        <f>+G21+G30+G35+G36+G37+G38</f>
        <v>1327453741.4199998</v>
      </c>
      <c r="H20" s="305">
        <f t="shared" ref="H20:H51" si="0">+G20/$G$15*100</f>
        <v>49.522616728968472</v>
      </c>
      <c r="I20" s="314">
        <f>+I21+I30+I35+I36+I37+I38</f>
        <v>1544436557.4989567</v>
      </c>
      <c r="J20" s="305">
        <f t="shared" ref="J20:J51" si="1">+I20/$I$15*100</f>
        <v>50.053038550005077</v>
      </c>
      <c r="K20" s="314">
        <f>+K21+K30+K35+K36+K37+K38</f>
        <v>1352965211.8900003</v>
      </c>
      <c r="L20" s="305">
        <f t="shared" ref="L20:L51" si="2">+K20/$K$15*100</f>
        <v>45.386286879906088</v>
      </c>
      <c r="M20" s="314">
        <f>+M21+M30+M35+M36+M37+M38</f>
        <v>1314326020.6084619</v>
      </c>
      <c r="N20" s="305">
        <f t="shared" ref="N20:N51" si="3">+M20/$M$15*100</f>
        <v>42.342977468056112</v>
      </c>
      <c r="O20" s="314">
        <f>+O21+O30+O35+O36+O37+O38</f>
        <v>1285074777.05</v>
      </c>
      <c r="P20" s="305">
        <f t="shared" ref="P20:P51" si="4">+O20/$O$15*100</f>
        <v>39.736387663883733</v>
      </c>
      <c r="Q20" s="314">
        <f>+Q21+Q30+Q35+Q36+Q37+Q38</f>
        <v>1299907599.1833332</v>
      </c>
      <c r="R20" s="322">
        <f>+Q20/$Q$15*100</f>
        <v>41.280012676511056</v>
      </c>
      <c r="S20" s="314">
        <f>+S21+S30+S35+S36+S37+S38</f>
        <v>1294096453.708262</v>
      </c>
      <c r="T20" s="322">
        <f>+S20/$S$15*100</f>
        <v>36.795463568617059</v>
      </c>
      <c r="U20" s="314">
        <f>+U21+U30+U35+U36+U37+U38</f>
        <v>1320048211.4556689</v>
      </c>
      <c r="V20" s="322">
        <f>+U20/$S$15*100</f>
        <v>37.533358301270084</v>
      </c>
      <c r="W20" s="843">
        <f>+U20-S20</f>
        <v>25951757.74740696</v>
      </c>
      <c r="X20" s="844">
        <f>+V20-T20</f>
        <v>0.73789473265302519</v>
      </c>
      <c r="Y20" s="314">
        <f>+Y21+Y30+Y35+Y36+Y37+Y38</f>
        <v>1342758592.4059317</v>
      </c>
      <c r="Z20" s="322">
        <f>+Y20/$Y$15*100</f>
        <v>35.950698591858945</v>
      </c>
      <c r="AA20" s="314">
        <f>+AA21+AA30+AA35+AA36+AA37+AA38</f>
        <v>1380822062.9893918</v>
      </c>
      <c r="AB20" s="511">
        <f>+AA20/$AA$15*100</f>
        <v>34.676596257895326</v>
      </c>
      <c r="AC20" s="314">
        <f>+AC21+AC30+AC35+AC36+AC37+AC38</f>
        <v>1430243243.6117048</v>
      </c>
      <c r="AD20" s="511">
        <f>+AC20/$AC$15*100</f>
        <v>33.534425407073968</v>
      </c>
      <c r="AE20" s="222"/>
      <c r="AF20" s="222"/>
      <c r="AG20" s="222"/>
      <c r="AH20" s="44"/>
      <c r="AI20" s="44">
        <f>Q20/O20*100-100</f>
        <v>1.1542380566665003</v>
      </c>
      <c r="AJ20" s="316">
        <f>Q20-O20</f>
        <v>14832822.133333206</v>
      </c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50"/>
      <c r="BA20" s="246"/>
      <c r="BB20" s="247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248"/>
      <c r="FV20" s="4"/>
      <c r="FW20" s="4"/>
      <c r="FX20" s="4"/>
      <c r="FY20" s="4"/>
      <c r="FZ20" s="4"/>
      <c r="GA20" s="4"/>
      <c r="GB20" s="4"/>
      <c r="GC20" s="4"/>
      <c r="GD20" s="4"/>
      <c r="GE20" s="245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</row>
    <row r="21" spans="1:243" ht="15" customHeight="1" thickTop="1">
      <c r="A21" s="72"/>
      <c r="B21" s="72"/>
      <c r="C21" s="72"/>
      <c r="D21" s="268" t="str">
        <f>IF(MasterSheet!$A$1=1,MasterSheet!C260,MasterSheet!B260)</f>
        <v>Porezi</v>
      </c>
      <c r="E21" s="315">
        <f>SUM(E22:E29)</f>
        <v>554531683.49999976</v>
      </c>
      <c r="F21" s="306">
        <f t="shared" ref="F21:F51" si="5">+E21/$E$15*100</f>
        <v>25.805374075108183</v>
      </c>
      <c r="G21" s="315">
        <f>SUM(G22:G29)</f>
        <v>782936478.57999992</v>
      </c>
      <c r="H21" s="306">
        <f t="shared" si="0"/>
        <v>29.208598342846482</v>
      </c>
      <c r="I21" s="315">
        <f>SUM(I22:I29)</f>
        <v>926395935.53392506</v>
      </c>
      <c r="J21" s="306">
        <f t="shared" si="1"/>
        <v>30.023202473876232</v>
      </c>
      <c r="K21" s="315">
        <f>SUM(K22:K29)</f>
        <v>795656504.49000013</v>
      </c>
      <c r="L21" s="306">
        <f t="shared" si="2"/>
        <v>26.690926014424694</v>
      </c>
      <c r="M21" s="315">
        <f>SUM(M22:M29)</f>
        <v>757228561.60846162</v>
      </c>
      <c r="N21" s="306">
        <f t="shared" si="3"/>
        <v>24.395250051818994</v>
      </c>
      <c r="O21" s="315">
        <f>SUM(O22:O29)</f>
        <v>794524489.61999989</v>
      </c>
      <c r="P21" s="306">
        <f t="shared" si="4"/>
        <v>24.567856821892388</v>
      </c>
      <c r="Q21" s="925">
        <f>SUM(Q22:Q29)</f>
        <v>785991110.5333333</v>
      </c>
      <c r="R21" s="323">
        <f t="shared" ref="R21:R51" si="6">+Q21/$Q$15*100</f>
        <v>24.96002256377686</v>
      </c>
      <c r="S21" s="315">
        <f>SUM(S22:S29)</f>
        <v>773225358.93309283</v>
      </c>
      <c r="T21" s="323">
        <f t="shared" ref="T21:T84" si="7">+S21/$S$15*100</f>
        <v>21.985367043875257</v>
      </c>
      <c r="U21" s="315">
        <f>SUM(U22:U29)</f>
        <v>806405768.00627339</v>
      </c>
      <c r="V21" s="323">
        <f t="shared" ref="V21:V73" si="8">+U21/$S$15*100</f>
        <v>22.928796360712919</v>
      </c>
      <c r="W21" s="845">
        <f t="shared" ref="W21:X84" si="9">+U21-S21</f>
        <v>33180409.073180556</v>
      </c>
      <c r="X21" s="846">
        <f t="shared" si="9"/>
        <v>0.94342931683766196</v>
      </c>
      <c r="Y21" s="315">
        <f>SUM(Y22:Y29)</f>
        <v>824283611.41313565</v>
      </c>
      <c r="Z21" s="323">
        <f t="shared" ref="Z21:Z84" si="10">+Y21/$Y$15*100</f>
        <v>22.069172996335627</v>
      </c>
      <c r="AA21" s="315">
        <f>SUM(AA22:AA29)</f>
        <v>847837745.91949022</v>
      </c>
      <c r="AB21" s="512">
        <f t="shared" ref="AB21:AB84" si="11">+AA21/$AA$15*100</f>
        <v>21.291756552473387</v>
      </c>
      <c r="AC21" s="315">
        <f>SUM(AC22:AC29)</f>
        <v>879050583.14091682</v>
      </c>
      <c r="AD21" s="512">
        <f t="shared" ref="AD21:AD84" si="12">+AC21/$AC$15*100</f>
        <v>20.610799135777651</v>
      </c>
      <c r="AE21" s="222"/>
      <c r="AF21" s="222"/>
      <c r="AG21" s="222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50"/>
      <c r="BA21" s="249"/>
      <c r="BB21" s="247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250"/>
      <c r="GA21" s="4"/>
      <c r="GB21" s="4"/>
      <c r="GC21" s="4"/>
      <c r="GD21" s="4"/>
      <c r="GE21" s="245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</row>
    <row r="22" spans="1:243" ht="15" customHeight="1">
      <c r="A22" s="72"/>
      <c r="B22" s="72"/>
      <c r="C22" s="72"/>
      <c r="D22" s="269" t="str">
        <f>IF(MasterSheet!$A$1=1,MasterSheet!C261,MasterSheet!B261)</f>
        <v>Porez na dohodak fizičkih lica</v>
      </c>
      <c r="E22" s="316">
        <f>+'Cental Budget_int'!E22+'Local Government_int'!D22</f>
        <v>93019533.179999962</v>
      </c>
      <c r="F22" s="307">
        <f t="shared" si="5"/>
        <v>4.3287046014239827</v>
      </c>
      <c r="G22" s="316">
        <f>+'Cental Budget_int'!G22+'Local Government_int'!F22</f>
        <v>108097319.60000001</v>
      </c>
      <c r="H22" s="307">
        <f t="shared" si="0"/>
        <v>4.0327296996828954</v>
      </c>
      <c r="I22" s="316">
        <f>+'Cental Budget_int'!I22+'Local Government_int'!H22</f>
        <v>141669118.97468352</v>
      </c>
      <c r="J22" s="307">
        <f t="shared" si="1"/>
        <v>4.5912989037685872</v>
      </c>
      <c r="K22" s="316">
        <f>+'Cental Budget_int'!K22+'Local Government_int'!J22</f>
        <v>121370552.31</v>
      </c>
      <c r="L22" s="307">
        <f t="shared" si="2"/>
        <v>4.0714710603824225</v>
      </c>
      <c r="M22" s="316">
        <f>+'Cental Budget_int'!M22+'Local Government_int'!L22</f>
        <v>115069139.70512819</v>
      </c>
      <c r="N22" s="307">
        <f t="shared" si="3"/>
        <v>3.7071243461703673</v>
      </c>
      <c r="O22" s="316">
        <f>+'Cental Budget_int'!O22+'Local Government_int'!N22</f>
        <v>113227848.49200001</v>
      </c>
      <c r="P22" s="307">
        <f t="shared" si="4"/>
        <v>3.5011703306122453</v>
      </c>
      <c r="Q22" s="926">
        <f>+'Cental Budget_int'!Q22+'Local Government_int'!P22</f>
        <v>109682444.37333333</v>
      </c>
      <c r="R22" s="324">
        <f t="shared" si="6"/>
        <v>3.4830881033132215</v>
      </c>
      <c r="S22" s="316">
        <f>+'Cental Budget_int'!S22+'Local Government_int'!R22</f>
        <v>115040828.27923852</v>
      </c>
      <c r="T22" s="324">
        <f t="shared" si="7"/>
        <v>3.2709931270753065</v>
      </c>
      <c r="U22" s="316">
        <f>+'Cental Budget_int'!U22+'Local Government_int'!T22</f>
        <v>116647624.52941288</v>
      </c>
      <c r="V22" s="324">
        <f t="shared" si="8"/>
        <v>3.3166796852264113</v>
      </c>
      <c r="W22" s="847">
        <f t="shared" si="9"/>
        <v>1606796.2501743585</v>
      </c>
      <c r="X22" s="848">
        <f t="shared" si="9"/>
        <v>4.5686558151104784E-2</v>
      </c>
      <c r="Y22" s="316">
        <f>+'Cental Budget_int'!Y22+'Local Government_int'!X22</f>
        <v>112567427.08403407</v>
      </c>
      <c r="Z22" s="324">
        <f t="shared" si="10"/>
        <v>3.0138534694520502</v>
      </c>
      <c r="AA22" s="316">
        <f>+'Cental Budget_int'!AA22+'Local Government_int'!Z22</f>
        <v>115494868.79649869</v>
      </c>
      <c r="AB22" s="513">
        <f t="shared" si="11"/>
        <v>2.9004236262305043</v>
      </c>
      <c r="AC22" s="316">
        <f>+'Cental Budget_int'!AC22+'Local Government_int'!AB22</f>
        <v>119102178.28249551</v>
      </c>
      <c r="AD22" s="513">
        <f t="shared" si="12"/>
        <v>2.7925481426141974</v>
      </c>
      <c r="AE22" s="223"/>
      <c r="AF22" s="223"/>
      <c r="AG22" s="223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50"/>
      <c r="BA22" s="251"/>
      <c r="BB22" s="251"/>
      <c r="BC22" s="4"/>
      <c r="BD22" s="252"/>
      <c r="BE22" s="252"/>
      <c r="BF22" s="252"/>
      <c r="BG22" s="252"/>
      <c r="BH22" s="252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245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</row>
    <row r="23" spans="1:243" ht="15" customHeight="1">
      <c r="A23" s="72"/>
      <c r="B23" s="72"/>
      <c r="C23" s="72"/>
      <c r="D23" s="269" t="str">
        <f>IF(MasterSheet!$A$1=1,MasterSheet!C262,MasterSheet!B262)</f>
        <v>Porez na dobit pravnih lica</v>
      </c>
      <c r="E23" s="316">
        <f>+'Cental Budget_int'!E23</f>
        <v>12681282.079999981</v>
      </c>
      <c r="F23" s="307">
        <f t="shared" si="5"/>
        <v>0.59012899995346368</v>
      </c>
      <c r="G23" s="316">
        <f>+'Cental Budget_int'!G23</f>
        <v>39076661.670000002</v>
      </c>
      <c r="H23" s="307">
        <f t="shared" si="0"/>
        <v>1.457812410744264</v>
      </c>
      <c r="I23" s="316">
        <f>+'Cental Budget_int'!I23</f>
        <v>62803344.119999997</v>
      </c>
      <c r="J23" s="307">
        <f t="shared" si="1"/>
        <v>2.035368943479388</v>
      </c>
      <c r="K23" s="316">
        <f>+'Cental Budget_int'!K23</f>
        <v>54738222.979999997</v>
      </c>
      <c r="L23" s="307">
        <f t="shared" si="2"/>
        <v>1.8362369332438777</v>
      </c>
      <c r="M23" s="316">
        <f>+'Cental Budget_int'!M23</f>
        <v>20270971.710000001</v>
      </c>
      <c r="N23" s="307">
        <f t="shared" si="3"/>
        <v>0.65305965560567014</v>
      </c>
      <c r="O23" s="316">
        <f>+'Cental Budget_int'!O23</f>
        <v>36101185.260000005</v>
      </c>
      <c r="P23" s="307">
        <f t="shared" si="4"/>
        <v>1.1163013376623379</v>
      </c>
      <c r="Q23" s="926">
        <f>+'Cental Budget_int'!Q23</f>
        <v>64016557.520000003</v>
      </c>
      <c r="R23" s="324">
        <f t="shared" si="6"/>
        <v>2.0329170377897743</v>
      </c>
      <c r="S23" s="316">
        <f>+'Cental Budget_int'!S23</f>
        <v>41932967.183892116</v>
      </c>
      <c r="T23" s="324">
        <f t="shared" si="7"/>
        <v>1.1922936361641205</v>
      </c>
      <c r="U23" s="316">
        <f>+'Cental Budget_int'!U23</f>
        <v>41387054.245600007</v>
      </c>
      <c r="V23" s="324">
        <f t="shared" si="8"/>
        <v>1.1767715167927213</v>
      </c>
      <c r="W23" s="847">
        <f t="shared" si="9"/>
        <v>-545912.93829210848</v>
      </c>
      <c r="X23" s="848">
        <f t="shared" si="9"/>
        <v>-1.5522119371399246E-2</v>
      </c>
      <c r="Y23" s="316">
        <f>+'Cental Budget_int'!Y23</f>
        <v>42628665.872968011</v>
      </c>
      <c r="Z23" s="324">
        <f t="shared" si="10"/>
        <v>1.1413297422481394</v>
      </c>
      <c r="AA23" s="316">
        <f>+'Cental Budget_int'!AA23</f>
        <v>43907525.84915705</v>
      </c>
      <c r="AB23" s="513">
        <f t="shared" si="11"/>
        <v>1.1026500715509053</v>
      </c>
      <c r="AC23" s="316">
        <f>+'Cental Budget_int'!AC23</f>
        <v>45663826.883123331</v>
      </c>
      <c r="AD23" s="513">
        <f t="shared" si="12"/>
        <v>1.0706641707649081</v>
      </c>
      <c r="AE23" s="223"/>
      <c r="AF23" s="223"/>
      <c r="AG23" s="223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50"/>
      <c r="BA23" s="251"/>
      <c r="BB23" s="251"/>
      <c r="BC23" s="4"/>
      <c r="BD23" s="252"/>
      <c r="BE23" s="252"/>
      <c r="BF23" s="252"/>
      <c r="BG23" s="252"/>
      <c r="BH23" s="252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250"/>
      <c r="GA23" s="4"/>
      <c r="GB23" s="4"/>
      <c r="GC23" s="4"/>
      <c r="GD23" s="4"/>
      <c r="GE23" s="245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</row>
    <row r="24" spans="1:243" ht="15" customHeight="1">
      <c r="A24" s="72"/>
      <c r="B24" s="72"/>
      <c r="C24" s="72"/>
      <c r="D24" s="269" t="str">
        <f>IF(MasterSheet!$A$1=1,MasterSheet!C263,MasterSheet!B263)</f>
        <v>Porez na promet nepokretnosti</v>
      </c>
      <c r="E24" s="316">
        <f>+'Cental Budget_int'!E24+'Local Government_int'!D24</f>
        <v>24870004.329999998</v>
      </c>
      <c r="F24" s="307">
        <f t="shared" si="5"/>
        <v>1.1573365130997253</v>
      </c>
      <c r="G24" s="316">
        <f>+'Cental Budget_int'!G24+'Local Government_int'!F24</f>
        <v>40206747.170000002</v>
      </c>
      <c r="H24" s="307">
        <f t="shared" si="0"/>
        <v>1.4999719145681778</v>
      </c>
      <c r="I24" s="316">
        <f>+'Cental Budget_int'!I24+'Local Government_int'!H24</f>
        <v>38094437.466666669</v>
      </c>
      <c r="J24" s="307">
        <f t="shared" si="1"/>
        <v>1.2345876804079166</v>
      </c>
      <c r="K24" s="316">
        <f>+'Cental Budget_int'!K24+'Local Government_int'!J24</f>
        <v>19797902.189999998</v>
      </c>
      <c r="L24" s="307">
        <f t="shared" si="2"/>
        <v>0.66413626937269366</v>
      </c>
      <c r="M24" s="316">
        <f>+'Cental Budget_int'!M24+'Local Government_int'!L24</f>
        <v>16461436.933333334</v>
      </c>
      <c r="N24" s="307">
        <f t="shared" si="3"/>
        <v>0.53032979810996561</v>
      </c>
      <c r="O24" s="316">
        <f>+'Cental Budget_int'!O24+'Local Government_int'!N24</f>
        <v>15656686.157999998</v>
      </c>
      <c r="P24" s="307">
        <f t="shared" si="4"/>
        <v>0.48412758682745821</v>
      </c>
      <c r="Q24" s="926">
        <f>+'Cental Budget_int'!Q24+'Local Government_int'!P24</f>
        <v>14414493.999999998</v>
      </c>
      <c r="R24" s="324">
        <f t="shared" si="6"/>
        <v>0.45774830104795167</v>
      </c>
      <c r="S24" s="316">
        <f>+'Cental Budget_int'!S24+'Local Government_int'!R24</f>
        <v>15218890.598464902</v>
      </c>
      <c r="T24" s="324">
        <f t="shared" si="7"/>
        <v>0.43272364510847033</v>
      </c>
      <c r="U24" s="316">
        <f>+'Cental Budget_int'!U24+'Local Government_int'!T24</f>
        <v>15455634.451390781</v>
      </c>
      <c r="V24" s="324">
        <f t="shared" si="8"/>
        <v>0.43945505974952459</v>
      </c>
      <c r="W24" s="847">
        <f t="shared" si="9"/>
        <v>236743.85292587802</v>
      </c>
      <c r="X24" s="848">
        <f t="shared" si="9"/>
        <v>6.7314146410542564E-3</v>
      </c>
      <c r="Y24" s="316">
        <f>+'Cental Budget_int'!Y24+'Local Government_int'!X24</f>
        <v>15702315.896981642</v>
      </c>
      <c r="Z24" s="324">
        <f t="shared" si="10"/>
        <v>0.42041006417621529</v>
      </c>
      <c r="AA24" s="316">
        <f>+'Cental Budget_int'!AA24+'Local Government_int'!Z24</f>
        <v>16006480.19497671</v>
      </c>
      <c r="AB24" s="513">
        <f t="shared" si="11"/>
        <v>0.40197087380654717</v>
      </c>
      <c r="AC24" s="316">
        <f>+'Cental Budget_int'!AC24+'Local Government_int'!AB24</f>
        <v>16053275.858751249</v>
      </c>
      <c r="AD24" s="513">
        <f t="shared" si="12"/>
        <v>0.37639568250296013</v>
      </c>
      <c r="AE24" s="223"/>
      <c r="AF24" s="223"/>
      <c r="AG24" s="223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50"/>
      <c r="BA24" s="251"/>
      <c r="BB24" s="251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245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</row>
    <row r="25" spans="1:243" ht="15" customHeight="1">
      <c r="A25" s="72"/>
      <c r="B25" s="72"/>
      <c r="C25" s="72"/>
      <c r="D25" s="269" t="str">
        <f>IF(MasterSheet!$A$1=1,MasterSheet!C264,MasterSheet!B264)</f>
        <v>Porez na dodatu vrijednost</v>
      </c>
      <c r="E25" s="316">
        <f>+'Cental Budget_int'!E25</f>
        <v>273156637.07999986</v>
      </c>
      <c r="F25" s="307">
        <f t="shared" si="5"/>
        <v>12.711463403601837</v>
      </c>
      <c r="G25" s="316">
        <f>+'Cental Budget_int'!G25</f>
        <v>393174255.16000003</v>
      </c>
      <c r="H25" s="307">
        <f t="shared" si="0"/>
        <v>14.667944605857116</v>
      </c>
      <c r="I25" s="316">
        <f>+'Cental Budget_int'!I25</f>
        <v>440064484.29000002</v>
      </c>
      <c r="J25" s="307">
        <f t="shared" si="1"/>
        <v>14.26187724559243</v>
      </c>
      <c r="K25" s="316">
        <f>+'Cental Budget_int'!K25</f>
        <v>370776941.73000002</v>
      </c>
      <c r="L25" s="307">
        <f t="shared" si="2"/>
        <v>12.438005425360618</v>
      </c>
      <c r="M25" s="316">
        <f>+'Cental Budget_int'!M25</f>
        <v>364177041.45999998</v>
      </c>
      <c r="N25" s="307">
        <f t="shared" si="3"/>
        <v>11.732507778994844</v>
      </c>
      <c r="O25" s="316">
        <f>+'Cental Budget_int'!O25</f>
        <v>392235880.90999997</v>
      </c>
      <c r="P25" s="307">
        <f t="shared" si="4"/>
        <v>12.12850590321583</v>
      </c>
      <c r="Q25" s="926">
        <f>+'Cental Budget_int'!Q25</f>
        <v>354714031.35000002</v>
      </c>
      <c r="R25" s="324">
        <f t="shared" si="6"/>
        <v>11.264338880597016</v>
      </c>
      <c r="S25" s="316">
        <f>+'Cental Budget_int'!S25</f>
        <v>373045631.00580901</v>
      </c>
      <c r="T25" s="324">
        <f t="shared" si="7"/>
        <v>10.606927239289424</v>
      </c>
      <c r="U25" s="316">
        <f>+'Cental Budget_int'!U25</f>
        <v>405808311.97700006</v>
      </c>
      <c r="V25" s="324">
        <f t="shared" si="8"/>
        <v>11.538479157719648</v>
      </c>
      <c r="W25" s="847">
        <f t="shared" si="9"/>
        <v>32762680.971191049</v>
      </c>
      <c r="X25" s="848">
        <f t="shared" si="9"/>
        <v>0.93155191843022322</v>
      </c>
      <c r="Y25" s="316">
        <f>+'Cental Budget_int'!Y25</f>
        <v>417982561.33631009</v>
      </c>
      <c r="Z25" s="324">
        <f t="shared" si="10"/>
        <v>11.190965497625438</v>
      </c>
      <c r="AA25" s="316">
        <f>+'Cental Budget_int'!AA25</f>
        <v>430522038.17639941</v>
      </c>
      <c r="AB25" s="513">
        <f t="shared" si="11"/>
        <v>10.811703620703149</v>
      </c>
      <c r="AC25" s="316">
        <f>+'Cental Budget_int'!AC25</f>
        <v>447742919.70345539</v>
      </c>
      <c r="AD25" s="513">
        <f t="shared" si="12"/>
        <v>10.498075491288521</v>
      </c>
      <c r="AE25" s="223"/>
      <c r="AF25" s="223"/>
      <c r="AG25" s="223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50"/>
      <c r="BA25" s="251"/>
      <c r="BB25" s="251"/>
      <c r="BC25" s="4"/>
      <c r="BD25" s="1158"/>
      <c r="BE25" s="1157"/>
      <c r="BF25" s="1157"/>
      <c r="BG25" s="1157"/>
      <c r="BH25" s="1157"/>
      <c r="BI25" s="1157"/>
      <c r="BJ25" s="1157"/>
      <c r="BK25" s="1157"/>
      <c r="BL25" s="1157"/>
      <c r="BM25" s="1157"/>
      <c r="BN25" s="1157"/>
      <c r="BO25" s="1157"/>
      <c r="BP25" s="1156"/>
      <c r="BQ25" s="1157"/>
      <c r="BR25" s="1157"/>
      <c r="BS25" s="1157"/>
      <c r="BT25" s="1157"/>
      <c r="BU25" s="1157"/>
      <c r="BV25" s="1157"/>
      <c r="BW25" s="1157"/>
      <c r="BX25" s="1157"/>
      <c r="BY25" s="1157"/>
      <c r="BZ25" s="1157"/>
      <c r="CA25" s="1157"/>
      <c r="CB25" s="253"/>
      <c r="CC25" s="1156"/>
      <c r="CD25" s="1157"/>
      <c r="CE25" s="1157"/>
      <c r="CF25" s="1157"/>
      <c r="CG25" s="1157"/>
      <c r="CH25" s="1157"/>
      <c r="CI25" s="1157"/>
      <c r="CJ25" s="1157"/>
      <c r="CK25" s="1157"/>
      <c r="CL25" s="1157"/>
      <c r="CM25" s="1157"/>
      <c r="CN25" s="1157"/>
      <c r="CO25" s="1156"/>
      <c r="CP25" s="1157"/>
      <c r="CQ25" s="1157"/>
      <c r="CR25" s="1157"/>
      <c r="CS25" s="1157"/>
      <c r="CT25" s="1157"/>
      <c r="CU25" s="1157"/>
      <c r="CV25" s="1157"/>
      <c r="CW25" s="1157"/>
      <c r="CX25" s="1157"/>
      <c r="CY25" s="1157"/>
      <c r="CZ25" s="1157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50"/>
      <c r="GA25" s="4"/>
      <c r="GB25" s="4"/>
      <c r="GC25" s="4"/>
      <c r="GD25" s="4"/>
      <c r="GE25" s="245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</row>
    <row r="26" spans="1:243" ht="15" customHeight="1">
      <c r="A26" s="72"/>
      <c r="B26" s="72"/>
      <c r="C26" s="72"/>
      <c r="D26" s="269" t="str">
        <f>IF(MasterSheet!$A$1=1,MasterSheet!C265,MasterSheet!B265)</f>
        <v>Akcize</v>
      </c>
      <c r="E26" s="316">
        <f>+'Cental Budget_int'!E26</f>
        <v>72376242.179999948</v>
      </c>
      <c r="F26" s="307">
        <f t="shared" si="5"/>
        <v>3.3680600390897646</v>
      </c>
      <c r="G26" s="316">
        <f>+'Cental Budget_int'!G26</f>
        <v>94538367.25</v>
      </c>
      <c r="H26" s="307">
        <f t="shared" si="0"/>
        <v>3.526893014362992</v>
      </c>
      <c r="I26" s="316">
        <f>+'Cental Budget_int'!I26</f>
        <v>120303864.65000001</v>
      </c>
      <c r="J26" s="307">
        <f t="shared" si="1"/>
        <v>3.8988807573891631</v>
      </c>
      <c r="K26" s="316">
        <f>+'Cental Budget_int'!K26</f>
        <v>128684864.44</v>
      </c>
      <c r="L26" s="307">
        <f t="shared" si="2"/>
        <v>4.3168354391143904</v>
      </c>
      <c r="M26" s="316">
        <f>+'Cental Budget_int'!M26</f>
        <v>134261371.03</v>
      </c>
      <c r="N26" s="307">
        <f t="shared" si="3"/>
        <v>4.3254307677190722</v>
      </c>
      <c r="O26" s="316">
        <f>+'Cental Budget_int'!O26</f>
        <v>143379590.77000001</v>
      </c>
      <c r="P26" s="307">
        <f t="shared" si="4"/>
        <v>4.4335062081014227</v>
      </c>
      <c r="Q26" s="926">
        <f>+'Cental Budget_int'!Q26</f>
        <v>151766097.75999999</v>
      </c>
      <c r="R26" s="324">
        <f t="shared" si="6"/>
        <v>4.8195013578913937</v>
      </c>
      <c r="S26" s="316">
        <f>+'Cental Budget_int'!S26</f>
        <v>157448789.82527599</v>
      </c>
      <c r="T26" s="324">
        <f t="shared" si="7"/>
        <v>4.47679243176787</v>
      </c>
      <c r="U26" s="316">
        <f>+'Cental Budget_int'!U26</f>
        <v>157610250.20399997</v>
      </c>
      <c r="V26" s="324">
        <f t="shared" si="8"/>
        <v>4.4813832870059702</v>
      </c>
      <c r="W26" s="847">
        <f t="shared" si="9"/>
        <v>161460.378723979</v>
      </c>
      <c r="X26" s="848">
        <f t="shared" si="9"/>
        <v>4.590855238100211E-3</v>
      </c>
      <c r="Y26" s="316">
        <f>+'Cental Budget_int'!Y26</f>
        <v>164398557.71011996</v>
      </c>
      <c r="Z26" s="324">
        <f t="shared" si="10"/>
        <v>4.4015678101772409</v>
      </c>
      <c r="AA26" s="316">
        <f>+'Cental Budget_int'!AA26</f>
        <v>169330514.44142357</v>
      </c>
      <c r="AB26" s="513">
        <f t="shared" si="11"/>
        <v>4.2523986549830122</v>
      </c>
      <c r="AC26" s="316">
        <f>+'Cental Budget_int'!AC26</f>
        <v>176103735.01908052</v>
      </c>
      <c r="AD26" s="513">
        <f t="shared" si="12"/>
        <v>4.1290441973993088</v>
      </c>
      <c r="AE26" s="223"/>
      <c r="AF26" s="223"/>
      <c r="AG26" s="223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50"/>
      <c r="BA26" s="251"/>
      <c r="BB26" s="251"/>
      <c r="BC26" s="4"/>
      <c r="BD26" s="1158"/>
      <c r="BE26" s="1157"/>
      <c r="BF26" s="1157"/>
      <c r="BG26" s="1157"/>
      <c r="BH26" s="1157"/>
      <c r="BI26" s="1157"/>
      <c r="BJ26" s="1157"/>
      <c r="BK26" s="1157"/>
      <c r="BL26" s="1157"/>
      <c r="BM26" s="1157"/>
      <c r="BN26" s="1157"/>
      <c r="BO26" s="1157"/>
      <c r="BP26" s="1156"/>
      <c r="BQ26" s="1157"/>
      <c r="BR26" s="1157"/>
      <c r="BS26" s="1157"/>
      <c r="BT26" s="1157"/>
      <c r="BU26" s="1157"/>
      <c r="BV26" s="1157"/>
      <c r="BW26" s="1157"/>
      <c r="BX26" s="1157"/>
      <c r="BY26" s="1157"/>
      <c r="BZ26" s="1157"/>
      <c r="CA26" s="1157"/>
      <c r="CB26" s="253"/>
      <c r="CC26" s="1156"/>
      <c r="CD26" s="1157"/>
      <c r="CE26" s="1157"/>
      <c r="CF26" s="1157"/>
      <c r="CG26" s="1157"/>
      <c r="CH26" s="1157"/>
      <c r="CI26" s="1157"/>
      <c r="CJ26" s="1157"/>
      <c r="CK26" s="1157"/>
      <c r="CL26" s="1157"/>
      <c r="CM26" s="1157"/>
      <c r="CN26" s="1157"/>
      <c r="CO26" s="1156"/>
      <c r="CP26" s="1157"/>
      <c r="CQ26" s="1157"/>
      <c r="CR26" s="1157"/>
      <c r="CS26" s="1157"/>
      <c r="CT26" s="1157"/>
      <c r="CU26" s="1157"/>
      <c r="CV26" s="1157"/>
      <c r="CW26" s="1157"/>
      <c r="CX26" s="1157"/>
      <c r="CY26" s="1157"/>
      <c r="CZ26" s="1157"/>
      <c r="DA26" s="253"/>
      <c r="DB26" s="253"/>
      <c r="DC26" s="253"/>
      <c r="DD26" s="253"/>
      <c r="DE26" s="253"/>
      <c r="DF26" s="253"/>
      <c r="DG26" s="253"/>
      <c r="DH26" s="253"/>
      <c r="DI26" s="253"/>
      <c r="DJ26" s="253"/>
      <c r="DK26" s="253"/>
      <c r="DL26" s="253"/>
      <c r="DM26" s="1156"/>
      <c r="DN26" s="1157"/>
      <c r="DO26" s="1157"/>
      <c r="DP26" s="1157"/>
      <c r="DQ26" s="1157"/>
      <c r="DR26" s="1157"/>
      <c r="DS26" s="1157"/>
      <c r="DT26" s="1157"/>
      <c r="DU26" s="1157"/>
      <c r="DV26" s="1157"/>
      <c r="DW26" s="1157"/>
      <c r="DX26" s="1157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254"/>
      <c r="GA26" s="4"/>
      <c r="GB26" s="4"/>
      <c r="GC26" s="4"/>
      <c r="GD26" s="4"/>
      <c r="GE26" s="245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</row>
    <row r="27" spans="1:243" ht="15" customHeight="1">
      <c r="A27" s="72"/>
      <c r="B27" s="72"/>
      <c r="C27" s="72"/>
      <c r="D27" s="269" t="str">
        <f>IF(MasterSheet!$A$1=1,MasterSheet!C266,MasterSheet!B266)</f>
        <v>Porez na međunarodnu trgovinu i transakcije</v>
      </c>
      <c r="E27" s="316">
        <f>+'Cental Budget_int'!E27</f>
        <v>56766223.619999953</v>
      </c>
      <c r="F27" s="307">
        <f t="shared" si="5"/>
        <v>2.6416410079575572</v>
      </c>
      <c r="G27" s="316">
        <f>+'Cental Budget_int'!G27</f>
        <v>68495722.040000007</v>
      </c>
      <c r="H27" s="307">
        <f t="shared" si="0"/>
        <v>2.5553337825032645</v>
      </c>
      <c r="I27" s="316">
        <f>+'Cental Budget_int'!I27</f>
        <v>72926890</v>
      </c>
      <c r="J27" s="307">
        <f t="shared" si="1"/>
        <v>2.3634589707026183</v>
      </c>
      <c r="K27" s="316">
        <f>+'Cental Budget_int'!K27</f>
        <v>49121124.340000004</v>
      </c>
      <c r="L27" s="307">
        <f t="shared" si="2"/>
        <v>1.6478069218383093</v>
      </c>
      <c r="M27" s="316">
        <f>+'Cental Budget_int'!M27</f>
        <v>50811537.57</v>
      </c>
      <c r="N27" s="307">
        <f t="shared" si="3"/>
        <v>1.6369696382087628</v>
      </c>
      <c r="O27" s="316">
        <f>+'Cental Budget_int'!O27</f>
        <v>45327985.280000009</v>
      </c>
      <c r="P27" s="307">
        <f t="shared" si="4"/>
        <v>1.4016074607297468</v>
      </c>
      <c r="Q27" s="926">
        <f>+'Cental Budget_int'!Q27</f>
        <v>28965025.329999998</v>
      </c>
      <c r="R27" s="324">
        <f t="shared" si="6"/>
        <v>0.91981661892664335</v>
      </c>
      <c r="S27" s="316">
        <f>+'Cental Budget_int'!S27</f>
        <v>31189932.243369091</v>
      </c>
      <c r="T27" s="324">
        <f t="shared" si="7"/>
        <v>0.88683344450864632</v>
      </c>
      <c r="U27" s="316">
        <f>+'Cental Budget_int'!U27</f>
        <v>29544325.836599998</v>
      </c>
      <c r="V27" s="324">
        <f t="shared" si="8"/>
        <v>0.84004338460619854</v>
      </c>
      <c r="W27" s="847">
        <f t="shared" si="9"/>
        <v>-1645606.4067690931</v>
      </c>
      <c r="X27" s="848">
        <f t="shared" si="9"/>
        <v>-4.6790059902447778E-2</v>
      </c>
      <c r="Y27" s="316">
        <f>+'Cental Budget_int'!Y27</f>
        <v>30430655.611697998</v>
      </c>
      <c r="Z27" s="324">
        <f t="shared" si="10"/>
        <v>0.81474312213381528</v>
      </c>
      <c r="AA27" s="316">
        <f>+'Cental Budget_int'!AA27</f>
        <v>31191422.001990445</v>
      </c>
      <c r="AB27" s="513">
        <f t="shared" si="11"/>
        <v>0.78331044706153807</v>
      </c>
      <c r="AC27" s="316">
        <f>+'Cental Budget_int'!AC27</f>
        <v>32127164.662050158</v>
      </c>
      <c r="AD27" s="513">
        <f t="shared" si="12"/>
        <v>0.75327466968464618</v>
      </c>
      <c r="AE27" s="223"/>
      <c r="AF27" s="223"/>
      <c r="AG27" s="223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50"/>
      <c r="BA27" s="251"/>
      <c r="BB27" s="251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245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</row>
    <row r="28" spans="1:243" ht="15" customHeight="1">
      <c r="A28" s="72"/>
      <c r="B28" s="72"/>
      <c r="C28" s="72"/>
      <c r="D28" s="269" t="str">
        <f>IF(MasterSheet!$A$1=1,MasterSheet!C267,MasterSheet!B267)</f>
        <v>Lokalni porezi</v>
      </c>
      <c r="E28" s="317">
        <f>+'Local Government_int'!D26</f>
        <v>17125994.16</v>
      </c>
      <c r="F28" s="307">
        <f t="shared" si="5"/>
        <v>0.79696561775792263</v>
      </c>
      <c r="G28" s="317">
        <f>+'Local Government_int'!F26</f>
        <v>32608096.789999999</v>
      </c>
      <c r="H28" s="307">
        <f t="shared" si="0"/>
        <v>1.2164930718149598</v>
      </c>
      <c r="I28" s="317">
        <f>+'Local Government_int'!H26</f>
        <v>42004203.132574901</v>
      </c>
      <c r="J28" s="307">
        <f t="shared" si="1"/>
        <v>1.3612977421757486</v>
      </c>
      <c r="K28" s="317">
        <f>+'Local Government_int'!J26</f>
        <v>42246040.649999999</v>
      </c>
      <c r="L28" s="307">
        <f t="shared" si="2"/>
        <v>1.4171768081180811</v>
      </c>
      <c r="M28" s="317">
        <f>+'Local Government_int'!L26</f>
        <v>44590000</v>
      </c>
      <c r="N28" s="307">
        <f t="shared" si="3"/>
        <v>1.4365335051546393</v>
      </c>
      <c r="O28" s="317">
        <f>+'Local Government_int'!N26</f>
        <v>44446728.650000006</v>
      </c>
      <c r="P28" s="307">
        <f t="shared" si="4"/>
        <v>1.3743577195423624</v>
      </c>
      <c r="Q28" s="927">
        <f>+'Local Government_int'!P26</f>
        <v>50963320.149999999</v>
      </c>
      <c r="R28" s="324">
        <f t="shared" si="6"/>
        <v>1.6183969561765641</v>
      </c>
      <c r="S28" s="317">
        <f>+'Local Government_int'!R26</f>
        <v>34939254.213990003</v>
      </c>
      <c r="T28" s="324">
        <f t="shared" si="7"/>
        <v>0.99343913033807218</v>
      </c>
      <c r="U28" s="317">
        <f>+'Local Government_int'!T26</f>
        <v>35638039.298269801</v>
      </c>
      <c r="V28" s="324">
        <f t="shared" si="8"/>
        <v>1.0133079129448337</v>
      </c>
      <c r="W28" s="849">
        <f t="shared" si="9"/>
        <v>698785.08427979797</v>
      </c>
      <c r="X28" s="848">
        <f t="shared" si="9"/>
        <v>1.9868782606761504E-2</v>
      </c>
      <c r="Y28" s="317">
        <f>+'Local Government_int'!X26</f>
        <v>36172609.887743846</v>
      </c>
      <c r="Z28" s="324">
        <f t="shared" si="10"/>
        <v>0.96847683769059822</v>
      </c>
      <c r="AA28" s="317">
        <f>+'Local Government_int'!Z26</f>
        <v>36896062.08549872</v>
      </c>
      <c r="AB28" s="513">
        <f t="shared" si="11"/>
        <v>0.92657112218731097</v>
      </c>
      <c r="AC28" s="317">
        <f>+'Local Government_int'!AB26</f>
        <v>37633983.327208698</v>
      </c>
      <c r="AD28" s="513">
        <f t="shared" si="12"/>
        <v>0.88239116828156372</v>
      </c>
      <c r="AE28" s="223"/>
      <c r="AF28" s="223"/>
      <c r="AG28" s="223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50"/>
      <c r="BA28" s="251"/>
      <c r="BB28" s="251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245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</row>
    <row r="29" spans="1:243" ht="15" customHeight="1">
      <c r="A29" s="72"/>
      <c r="B29" s="72"/>
      <c r="C29" s="72"/>
      <c r="D29" s="269" t="str">
        <f>IF(MasterSheet!$A$1=1,MasterSheet!C268,MasterSheet!B268)</f>
        <v>Ostali republički porezi</v>
      </c>
      <c r="E29" s="316">
        <f>+'Cental Budget_int'!E28</f>
        <v>4535766.87</v>
      </c>
      <c r="F29" s="307">
        <f t="shared" si="5"/>
        <v>0.21107389222392853</v>
      </c>
      <c r="G29" s="316">
        <f>+'Cental Budget_int'!G28</f>
        <v>6739308.9000000004</v>
      </c>
      <c r="H29" s="307">
        <f t="shared" si="0"/>
        <v>0.25141984331281481</v>
      </c>
      <c r="I29" s="316">
        <f>+'Cental Budget_int'!I28</f>
        <v>8529592.9000000004</v>
      </c>
      <c r="J29" s="307">
        <f t="shared" si="1"/>
        <v>0.27643223036038372</v>
      </c>
      <c r="K29" s="316">
        <f>+'Cental Budget_int'!K28</f>
        <v>8920855.8499999996</v>
      </c>
      <c r="L29" s="307">
        <f t="shared" si="2"/>
        <v>0.29925715699429722</v>
      </c>
      <c r="M29" s="316">
        <f>+'Cental Budget_int'!M28</f>
        <v>11587063.199999999</v>
      </c>
      <c r="N29" s="307">
        <f t="shared" si="3"/>
        <v>0.37329456185567006</v>
      </c>
      <c r="O29" s="316">
        <f>+'Cental Budget_int'!O28</f>
        <v>4148584.0999999996</v>
      </c>
      <c r="P29" s="307">
        <f t="shared" si="4"/>
        <v>0.12828027520098947</v>
      </c>
      <c r="Q29" s="926">
        <f>+'Cental Budget_int'!Q28+'Local Government_int'!P29</f>
        <v>11469140.050000001</v>
      </c>
      <c r="R29" s="324">
        <f t="shared" si="6"/>
        <v>0.36421530803429664</v>
      </c>
      <c r="S29" s="316">
        <f>+'Cental Budget_int'!S28</f>
        <v>4409065.5830532741</v>
      </c>
      <c r="T29" s="324">
        <f t="shared" si="7"/>
        <v>0.12536438962335156</v>
      </c>
      <c r="U29" s="316">
        <f>+'Cental Budget_int'!U28</f>
        <v>4314527.4639999997</v>
      </c>
      <c r="V29" s="324">
        <f t="shared" si="8"/>
        <v>0.12267635666761445</v>
      </c>
      <c r="W29" s="847">
        <f t="shared" si="9"/>
        <v>-94538.119053274393</v>
      </c>
      <c r="X29" s="848">
        <f t="shared" si="9"/>
        <v>-2.6880329557371074E-3</v>
      </c>
      <c r="Y29" s="316">
        <f>+'Cental Budget_int'!Y28</f>
        <v>4400818.0132799996</v>
      </c>
      <c r="Z29" s="324">
        <f t="shared" si="10"/>
        <v>0.1178264528321285</v>
      </c>
      <c r="AA29" s="316">
        <f>+'Cental Budget_int'!AA28</f>
        <v>4488834.3735456001</v>
      </c>
      <c r="AB29" s="513">
        <f t="shared" si="11"/>
        <v>0.11272813595041688</v>
      </c>
      <c r="AC29" s="316">
        <f>+'Cental Budget_int'!AC28</f>
        <v>4623499.4047519686</v>
      </c>
      <c r="AD29" s="513">
        <f t="shared" si="12"/>
        <v>0.10840561324154674</v>
      </c>
      <c r="AE29" s="223"/>
      <c r="AF29" s="223"/>
      <c r="AG29" s="223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50"/>
      <c r="BA29" s="251"/>
      <c r="BB29" s="251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245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</row>
    <row r="30" spans="1:243" ht="15" customHeight="1">
      <c r="A30" s="72"/>
      <c r="B30" s="72"/>
      <c r="C30" s="72"/>
      <c r="D30" s="270" t="str">
        <f>IF(MasterSheet!$A$1=1,MasterSheet!C269,MasterSheet!B269)</f>
        <v>Doprinosi</v>
      </c>
      <c r="E30" s="318">
        <f>SUM(E31:E34)</f>
        <v>255157132.13</v>
      </c>
      <c r="F30" s="308">
        <f t="shared" si="5"/>
        <v>11.873848579738471</v>
      </c>
      <c r="G30" s="318">
        <f>SUM(G31:G34)</f>
        <v>306787808.32999998</v>
      </c>
      <c r="H30" s="308">
        <f t="shared" si="0"/>
        <v>11.445170987875395</v>
      </c>
      <c r="I30" s="318">
        <f>SUM(I31:I34)</f>
        <v>339912631.83999997</v>
      </c>
      <c r="J30" s="308">
        <f t="shared" si="1"/>
        <v>11.016095146486906</v>
      </c>
      <c r="K30" s="318">
        <f>SUM(K31:K34)</f>
        <v>307544352.32999998</v>
      </c>
      <c r="L30" s="308">
        <f t="shared" si="2"/>
        <v>10.316818259979872</v>
      </c>
      <c r="M30" s="318">
        <f>SUM(M31:M34)</f>
        <v>379756996.48000008</v>
      </c>
      <c r="N30" s="308">
        <f t="shared" si="3"/>
        <v>12.234439319587631</v>
      </c>
      <c r="O30" s="318">
        <f>SUM(O31:O34)</f>
        <v>353577453.33000004</v>
      </c>
      <c r="P30" s="308">
        <f t="shared" si="4"/>
        <v>10.933130900742116</v>
      </c>
      <c r="Q30" s="928">
        <f>SUM(Q31:Q34)</f>
        <v>362250409.59999996</v>
      </c>
      <c r="R30" s="325">
        <f t="shared" si="6"/>
        <v>11.503664960304857</v>
      </c>
      <c r="S30" s="336">
        <f>SUM(S31:S34)</f>
        <v>384217730.43822622</v>
      </c>
      <c r="T30" s="325">
        <f t="shared" si="7"/>
        <v>10.924587160597845</v>
      </c>
      <c r="U30" s="336">
        <f>SUM(U31:U34)</f>
        <v>376795417.792</v>
      </c>
      <c r="V30" s="325">
        <f t="shared" si="8"/>
        <v>10.713546141370486</v>
      </c>
      <c r="W30" s="850">
        <f t="shared" si="9"/>
        <v>-7422312.6462262273</v>
      </c>
      <c r="X30" s="851">
        <f t="shared" si="9"/>
        <v>-0.21104101922735907</v>
      </c>
      <c r="Y30" s="336">
        <f>SUM(Y31:Y34)</f>
        <v>388099280.32576001</v>
      </c>
      <c r="Z30" s="325">
        <f t="shared" si="10"/>
        <v>10.39087765263079</v>
      </c>
      <c r="AA30" s="336">
        <f>SUM(AA31:AA34)</f>
        <v>399742258.73553282</v>
      </c>
      <c r="AB30" s="514">
        <f t="shared" si="11"/>
        <v>10.038730756793893</v>
      </c>
      <c r="AC30" s="336">
        <f>SUM(AC31:AC34)</f>
        <v>413733237.79127651</v>
      </c>
      <c r="AD30" s="514">
        <f t="shared" si="12"/>
        <v>9.7006620818587699</v>
      </c>
      <c r="AE30" s="222"/>
      <c r="AF30" s="222"/>
      <c r="AG30" s="222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50"/>
      <c r="BA30" s="249"/>
      <c r="BB30" s="249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255"/>
      <c r="EB30" s="255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245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</row>
    <row r="31" spans="1:243" ht="15" customHeight="1">
      <c r="A31" s="72"/>
      <c r="B31" s="72"/>
      <c r="C31" s="72"/>
      <c r="D31" s="269" t="str">
        <f>IF(MasterSheet!$A$1=1,MasterSheet!C270,MasterSheet!B270)</f>
        <v>Doprinosi za penzijsko i invalidsko osiguranje</v>
      </c>
      <c r="E31" s="316">
        <f>+'Cental Budget_int'!E30</f>
        <v>138179769.16</v>
      </c>
      <c r="F31" s="307">
        <f t="shared" si="5"/>
        <v>6.4302559058122766</v>
      </c>
      <c r="G31" s="316">
        <f>+'Cental Budget_int'!G30</f>
        <v>173517241.65000001</v>
      </c>
      <c r="H31" s="307">
        <f t="shared" si="0"/>
        <v>6.473316233911584</v>
      </c>
      <c r="I31" s="316">
        <f>+'Cental Budget_int'!I30</f>
        <v>213850904.31999999</v>
      </c>
      <c r="J31" s="307">
        <f t="shared" si="1"/>
        <v>6.9306100700025919</v>
      </c>
      <c r="K31" s="316">
        <f>+'Cental Budget_int'!K30</f>
        <v>199510659.24000001</v>
      </c>
      <c r="L31" s="307">
        <f t="shared" si="2"/>
        <v>6.6927426782958737</v>
      </c>
      <c r="M31" s="316">
        <f>+'Cental Budget_int'!M30</f>
        <v>233496116.37</v>
      </c>
      <c r="N31" s="307">
        <f t="shared" si="3"/>
        <v>7.5224264294458765</v>
      </c>
      <c r="O31" s="316">
        <f>+'Cental Budget_int'!O30</f>
        <v>213452220.68000001</v>
      </c>
      <c r="P31" s="307">
        <f t="shared" si="4"/>
        <v>6.6002541954236245</v>
      </c>
      <c r="Q31" s="926">
        <f>+'Cental Budget_int'!Q30</f>
        <v>216501675.27000001</v>
      </c>
      <c r="R31" s="324">
        <f t="shared" si="6"/>
        <v>6.8752516757700857</v>
      </c>
      <c r="S31" s="316">
        <f>+'Cental Budget_int'!S30</f>
        <v>226849483.25081635</v>
      </c>
      <c r="T31" s="324">
        <f t="shared" si="7"/>
        <v>6.4500848237366029</v>
      </c>
      <c r="U31" s="316">
        <f>+'Cental Budget_int'!U30</f>
        <v>224831708.77540001</v>
      </c>
      <c r="V31" s="324">
        <f t="shared" si="8"/>
        <v>6.3927127886096109</v>
      </c>
      <c r="W31" s="847">
        <f t="shared" si="9"/>
        <v>-2017774.4754163325</v>
      </c>
      <c r="X31" s="848">
        <f t="shared" si="9"/>
        <v>-5.737203512699196E-2</v>
      </c>
      <c r="Y31" s="316">
        <f>+'Cental Budget_int'!Y30</f>
        <v>231576660.03866202</v>
      </c>
      <c r="Z31" s="324">
        <f t="shared" si="10"/>
        <v>6.2001783142881397</v>
      </c>
      <c r="AA31" s="316">
        <f>+'Cental Budget_int'!AA30</f>
        <v>238523959.83982188</v>
      </c>
      <c r="AB31" s="513">
        <f t="shared" si="11"/>
        <v>5.9900542400758887</v>
      </c>
      <c r="AC31" s="316">
        <f>+'Cental Budget_int'!AC30</f>
        <v>246872298.43421564</v>
      </c>
      <c r="AD31" s="513">
        <f t="shared" si="12"/>
        <v>5.7883305611773892</v>
      </c>
      <c r="AE31" s="223"/>
      <c r="AF31" s="223"/>
      <c r="AG31" s="223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50"/>
      <c r="BA31" s="251"/>
      <c r="BB31" s="251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255"/>
      <c r="EB31" s="255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245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</row>
    <row r="32" spans="1:243" ht="15" customHeight="1">
      <c r="A32" s="72"/>
      <c r="B32" s="72"/>
      <c r="C32" s="72"/>
      <c r="D32" s="269" t="str">
        <f>IF(MasterSheet!$A$1=1,MasterSheet!C271,MasterSheet!B271)</f>
        <v>Doprinosi za zdravstveno osiguranje</v>
      </c>
      <c r="E32" s="316">
        <f>+'Cental Budget_int'!E31</f>
        <v>110592983</v>
      </c>
      <c r="F32" s="307">
        <f t="shared" si="5"/>
        <v>5.1464927637395883</v>
      </c>
      <c r="G32" s="316">
        <f>+'Cental Budget_int'!G31</f>
        <v>125446267</v>
      </c>
      <c r="H32" s="307">
        <f t="shared" si="0"/>
        <v>4.6799577317664616</v>
      </c>
      <c r="I32" s="316">
        <f>+'Cental Budget_int'!I31</f>
        <v>115860488.59999999</v>
      </c>
      <c r="J32" s="307">
        <f t="shared" si="1"/>
        <v>3.7548771260046667</v>
      </c>
      <c r="K32" s="316">
        <f>+'Cental Budget_int'!K31</f>
        <v>97587762.519999996</v>
      </c>
      <c r="L32" s="307">
        <f t="shared" si="2"/>
        <v>3.2736585883931566</v>
      </c>
      <c r="M32" s="316">
        <f>+'Cental Budget_int'!M31</f>
        <v>129895634.22</v>
      </c>
      <c r="N32" s="307">
        <f t="shared" si="3"/>
        <v>4.1847820302835048</v>
      </c>
      <c r="O32" s="316">
        <f>+'Cental Budget_int'!O31</f>
        <v>120890439.24000001</v>
      </c>
      <c r="P32" s="307">
        <f t="shared" si="4"/>
        <v>3.7381088200371062</v>
      </c>
      <c r="Q32" s="926">
        <f>+'Cental Budget_int'!Q31</f>
        <v>125738855</v>
      </c>
      <c r="R32" s="324">
        <f t="shared" si="6"/>
        <v>3.9929772943791679</v>
      </c>
      <c r="S32" s="316">
        <f>+'Cental Budget_int'!S31</f>
        <v>133924915.28862785</v>
      </c>
      <c r="T32" s="324">
        <f t="shared" si="7"/>
        <v>3.8079304887298222</v>
      </c>
      <c r="U32" s="316">
        <f>+'Cental Budget_int'!U31</f>
        <v>128553632.10000001</v>
      </c>
      <c r="V32" s="324">
        <f t="shared" si="8"/>
        <v>3.6552070543076485</v>
      </c>
      <c r="W32" s="847">
        <f t="shared" si="9"/>
        <v>-5371283.1886278391</v>
      </c>
      <c r="X32" s="848">
        <f t="shared" si="9"/>
        <v>-0.15272343442217373</v>
      </c>
      <c r="Y32" s="316">
        <f>+'Cental Budget_int'!Y31</f>
        <v>132410241.06300001</v>
      </c>
      <c r="Z32" s="324">
        <f t="shared" si="10"/>
        <v>3.5451202426506025</v>
      </c>
      <c r="AA32" s="316">
        <f>+'Cental Budget_int'!AA31</f>
        <v>136382548.29489002</v>
      </c>
      <c r="AB32" s="513">
        <f t="shared" si="11"/>
        <v>3.4249760998214467</v>
      </c>
      <c r="AC32" s="316">
        <f>+'Cental Budget_int'!AC31</f>
        <v>141155937.48521116</v>
      </c>
      <c r="AD32" s="513">
        <f t="shared" si="12"/>
        <v>3.3096351110248805</v>
      </c>
      <c r="AE32" s="223"/>
      <c r="AF32" s="223"/>
      <c r="AG32" s="223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50"/>
      <c r="BA32" s="251"/>
      <c r="BB32" s="251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255"/>
      <c r="EB32" s="255"/>
      <c r="EC32" s="4"/>
      <c r="ED32" s="4"/>
      <c r="EE32" s="4"/>
      <c r="EF32" s="4"/>
      <c r="EG32" s="4"/>
      <c r="EH32" s="4"/>
      <c r="EI32" s="4"/>
      <c r="EJ32" s="256"/>
      <c r="EK32" s="256"/>
      <c r="EL32" s="256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245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</row>
    <row r="33" spans="1:243" ht="15" customHeight="1">
      <c r="A33" s="72"/>
      <c r="B33" s="72"/>
      <c r="C33" s="72"/>
      <c r="D33" s="269" t="str">
        <f>IF(MasterSheet!$A$1=1,MasterSheet!C272,MasterSheet!B272)</f>
        <v>Doprinosi za osiguranje od nezaposlenosti</v>
      </c>
      <c r="E33" s="316">
        <f>+'Cental Budget_int'!E32</f>
        <v>6384379.9699999997</v>
      </c>
      <c r="F33" s="307">
        <f t="shared" si="5"/>
        <v>0.29709991018660709</v>
      </c>
      <c r="G33" s="316">
        <f>+'Cental Budget_int'!G32</f>
        <v>7824299.6800000006</v>
      </c>
      <c r="H33" s="307">
        <f t="shared" si="0"/>
        <v>0.29189702219735131</v>
      </c>
      <c r="I33" s="316">
        <f>+'Cental Budget_int'!I32</f>
        <v>10201238.92</v>
      </c>
      <c r="J33" s="307">
        <f t="shared" si="1"/>
        <v>0.33060795047964742</v>
      </c>
      <c r="K33" s="316">
        <f>+'Cental Budget_int'!K32</f>
        <v>10445930.57</v>
      </c>
      <c r="L33" s="307">
        <f t="shared" si="2"/>
        <v>0.35041699329084197</v>
      </c>
      <c r="M33" s="316">
        <f>+'Cental Budget_int'!M32</f>
        <v>10149691.789999999</v>
      </c>
      <c r="N33" s="307">
        <f t="shared" si="3"/>
        <v>0.32698749323453608</v>
      </c>
      <c r="O33" s="316">
        <f>+'Cental Budget_int'!O32</f>
        <v>10764704.380000001</v>
      </c>
      <c r="P33" s="307">
        <f t="shared" si="4"/>
        <v>0.33286037043908479</v>
      </c>
      <c r="Q33" s="926">
        <f>+'Cental Budget_int'!Q32</f>
        <v>9987592.2599999998</v>
      </c>
      <c r="R33" s="324">
        <f t="shared" si="6"/>
        <v>0.31716710892346772</v>
      </c>
      <c r="S33" s="316">
        <f>+'Cental Budget_int'!S32</f>
        <v>11220074.127307795</v>
      </c>
      <c r="T33" s="324">
        <f t="shared" si="7"/>
        <v>0.31902400134511788</v>
      </c>
      <c r="U33" s="316">
        <f>+'Cental Budget_int'!U32</f>
        <v>11187344.1052</v>
      </c>
      <c r="V33" s="324">
        <f t="shared" si="8"/>
        <v>0.31809337802672732</v>
      </c>
      <c r="W33" s="847">
        <f t="shared" si="9"/>
        <v>-32730.022107794881</v>
      </c>
      <c r="X33" s="848">
        <f t="shared" si="9"/>
        <v>-9.3062331839055545E-4</v>
      </c>
      <c r="Y33" s="316">
        <f>+'Cental Budget_int'!Y32</f>
        <v>11522964.428356001</v>
      </c>
      <c r="Z33" s="324">
        <f t="shared" si="10"/>
        <v>0.30851310383817943</v>
      </c>
      <c r="AA33" s="316">
        <f>+'Cental Budget_int'!AA32</f>
        <v>11868653.361206682</v>
      </c>
      <c r="AB33" s="513">
        <f t="shared" si="11"/>
        <v>0.2980575931995651</v>
      </c>
      <c r="AC33" s="316">
        <f>+'Cental Budget_int'!AC32</f>
        <v>12284056.228848916</v>
      </c>
      <c r="AD33" s="513">
        <f t="shared" si="12"/>
        <v>0.28802007570571903</v>
      </c>
      <c r="AE33" s="223"/>
      <c r="AF33" s="223"/>
      <c r="AG33" s="223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50"/>
      <c r="BA33" s="251"/>
      <c r="BB33" s="251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255"/>
      <c r="EB33" s="255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245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</row>
    <row r="34" spans="1:243" ht="15" customHeight="1">
      <c r="A34" s="72"/>
      <c r="B34" s="72"/>
      <c r="C34" s="72"/>
      <c r="D34" s="269" t="str">
        <f>IF(MasterSheet!$A$1=1,MasterSheet!C273,MasterSheet!B273)</f>
        <v>Ostali doprinosi</v>
      </c>
      <c r="E34" s="316">
        <f>+'Cental Budget_int'!E33</f>
        <v>0</v>
      </c>
      <c r="F34" s="307">
        <f t="shared" si="5"/>
        <v>0</v>
      </c>
      <c r="G34" s="316">
        <f>+'Cental Budget_int'!G33</f>
        <v>0</v>
      </c>
      <c r="H34" s="307">
        <f t="shared" si="0"/>
        <v>0</v>
      </c>
      <c r="I34" s="316">
        <f>+'Cental Budget_int'!I33</f>
        <v>0</v>
      </c>
      <c r="J34" s="307">
        <f t="shared" si="1"/>
        <v>0</v>
      </c>
      <c r="K34" s="316">
        <f>+'Cental Budget_int'!K33</f>
        <v>0</v>
      </c>
      <c r="L34" s="307">
        <f t="shared" si="2"/>
        <v>0</v>
      </c>
      <c r="M34" s="316">
        <f>+'Cental Budget_int'!M33</f>
        <v>6215554.0999999996</v>
      </c>
      <c r="N34" s="307">
        <f t="shared" si="3"/>
        <v>0.20024336662371134</v>
      </c>
      <c r="O34" s="316">
        <f>+'Cental Budget_int'!O33</f>
        <v>8470089.0300000012</v>
      </c>
      <c r="P34" s="307">
        <f t="shared" si="4"/>
        <v>0.26190751484230057</v>
      </c>
      <c r="Q34" s="926">
        <f>+'Cental Budget_int'!Q33</f>
        <v>10022287.07</v>
      </c>
      <c r="R34" s="324">
        <f t="shared" si="6"/>
        <v>0.3182688812321372</v>
      </c>
      <c r="S34" s="316">
        <f>+'Cental Budget_int'!S33</f>
        <v>12223257.771474268</v>
      </c>
      <c r="T34" s="324">
        <f t="shared" si="7"/>
        <v>0.34754784678630274</v>
      </c>
      <c r="U34" s="316">
        <f>+'Cental Budget_int'!U33</f>
        <v>12222732.8114</v>
      </c>
      <c r="V34" s="324">
        <f t="shared" si="8"/>
        <v>0.34753292042649986</v>
      </c>
      <c r="W34" s="847">
        <f t="shared" si="9"/>
        <v>-524.96007426828146</v>
      </c>
      <c r="X34" s="848">
        <f t="shared" si="9"/>
        <v>-1.4926359802880373E-5</v>
      </c>
      <c r="Y34" s="316">
        <f>+'Cental Budget_int'!Y33</f>
        <v>12589414.795742</v>
      </c>
      <c r="Z34" s="324">
        <f t="shared" si="10"/>
        <v>0.33706599185386882</v>
      </c>
      <c r="AA34" s="316">
        <f>+'Cental Budget_int'!AA33</f>
        <v>12967097.239614259</v>
      </c>
      <c r="AB34" s="513">
        <f t="shared" si="11"/>
        <v>0.32564282369699293</v>
      </c>
      <c r="AC34" s="316">
        <f>+'Cental Budget_int'!AC33</f>
        <v>13420945.643000757</v>
      </c>
      <c r="AD34" s="513">
        <f t="shared" si="12"/>
        <v>0.31467633395077976</v>
      </c>
      <c r="AE34" s="223"/>
      <c r="AF34" s="223"/>
      <c r="AG34" s="223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50"/>
      <c r="BA34" s="251"/>
      <c r="BB34" s="251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255"/>
      <c r="EB34" s="255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245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</row>
    <row r="35" spans="1:243" ht="15" customHeight="1">
      <c r="A35" s="72"/>
      <c r="B35" s="72"/>
      <c r="C35" s="72"/>
      <c r="D35" s="270" t="str">
        <f>IF(MasterSheet!$A$1=1,MasterSheet!C274,MasterSheet!B274)</f>
        <v>Takse</v>
      </c>
      <c r="E35" s="318">
        <f>+'Cental Budget_int'!E34+'Local Government_int'!D35</f>
        <v>29294505.049999993</v>
      </c>
      <c r="F35" s="308">
        <f t="shared" si="5"/>
        <v>1.3632325864395733</v>
      </c>
      <c r="G35" s="318">
        <f>+'Cental Budget_int'!G34+'Local Government_int'!F35</f>
        <v>33768971.5</v>
      </c>
      <c r="H35" s="308">
        <f t="shared" si="0"/>
        <v>1.2598012124603619</v>
      </c>
      <c r="I35" s="318">
        <f>+'Cental Budget_int'!I34+'Local Government_int'!H35</f>
        <v>36088945.276364855</v>
      </c>
      <c r="J35" s="308">
        <f t="shared" si="1"/>
        <v>1.1695924707144432</v>
      </c>
      <c r="K35" s="318">
        <f>+'Cental Budget_int'!K34+'Local Government_int'!J35</f>
        <v>29028413.729999997</v>
      </c>
      <c r="L35" s="308">
        <f t="shared" si="2"/>
        <v>0.97378107111707468</v>
      </c>
      <c r="M35" s="318">
        <f>+'Cental Budget_int'!M34+'Local Government_int'!L35</f>
        <v>26284226.239999998</v>
      </c>
      <c r="N35" s="308">
        <f t="shared" si="3"/>
        <v>0.84678563917525773</v>
      </c>
      <c r="O35" s="318">
        <f>+'Cental Budget_int'!O34+'Local Government_int'!N35</f>
        <v>21981102.689999998</v>
      </c>
      <c r="P35" s="308">
        <f t="shared" si="4"/>
        <v>0.67968777643784783</v>
      </c>
      <c r="Q35" s="756">
        <f>+'Cental Budget_int'!Q34+'Local Government_int'!P35</f>
        <v>23495943.529999997</v>
      </c>
      <c r="R35" s="325">
        <f t="shared" si="6"/>
        <v>0.74613983899650671</v>
      </c>
      <c r="S35" s="318">
        <f>+'Cental Budget_int'!S34+'Local Government_int'!R35</f>
        <v>35622133.837911315</v>
      </c>
      <c r="T35" s="325">
        <f t="shared" si="7"/>
        <v>1.0128556678393892</v>
      </c>
      <c r="U35" s="318">
        <f>+'Cental Budget_int'!U34+'Local Government_int'!T35</f>
        <v>32371928.444389198</v>
      </c>
      <c r="V35" s="325">
        <f t="shared" si="8"/>
        <v>0.92044152528829115</v>
      </c>
      <c r="W35" s="852">
        <f t="shared" si="9"/>
        <v>-3250205.3935221173</v>
      </c>
      <c r="X35" s="851">
        <f t="shared" si="9"/>
        <v>-9.2414142551098033E-2</v>
      </c>
      <c r="Y35" s="318">
        <f>+'Cental Budget_int'!Y34+'Local Government_int'!X35</f>
        <v>21173550.023312636</v>
      </c>
      <c r="Z35" s="325">
        <f t="shared" si="10"/>
        <v>0.5668955829534843</v>
      </c>
      <c r="AA35" s="318">
        <f>+'Cental Budget_int'!AA34+'Local Government_int'!Z35</f>
        <v>21694908.718802843</v>
      </c>
      <c r="AB35" s="514">
        <f t="shared" si="11"/>
        <v>0.54482442789560126</v>
      </c>
      <c r="AC35" s="318">
        <f>+'Cental Budget_int'!AC34+'Local Government_int'!AB35</f>
        <v>22247302.2399543</v>
      </c>
      <c r="AD35" s="514">
        <f t="shared" si="12"/>
        <v>0.52162490597782651</v>
      </c>
      <c r="AE35" s="222"/>
      <c r="AF35" s="222"/>
      <c r="AG35" s="222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50"/>
      <c r="BA35" s="249"/>
      <c r="BB35" s="249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257"/>
      <c r="EB35" s="257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245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</row>
    <row r="36" spans="1:243" ht="15" customHeight="1">
      <c r="A36" s="72"/>
      <c r="B36" s="72"/>
      <c r="C36" s="72"/>
      <c r="D36" s="270" t="str">
        <f>IF(MasterSheet!$A$1=1,MasterSheet!C275,MasterSheet!B275)</f>
        <v>Naknade</v>
      </c>
      <c r="E36" s="318">
        <f>+'Cental Budget_int'!E39+'Local Government_int'!D41</f>
        <v>57987858.799999997</v>
      </c>
      <c r="F36" s="308">
        <f t="shared" si="5"/>
        <v>2.6984903345897897</v>
      </c>
      <c r="G36" s="318">
        <f>+'Cental Budget_int'!G39+'Local Government_int'!F41</f>
        <v>122742901.39999999</v>
      </c>
      <c r="H36" s="308">
        <f t="shared" si="0"/>
        <v>4.579104696884909</v>
      </c>
      <c r="I36" s="318">
        <f>+'Cental Budget_int'!I39+'Local Government_int'!H41</f>
        <v>165758732.32866684</v>
      </c>
      <c r="J36" s="308">
        <f t="shared" si="1"/>
        <v>5.3720097332339529</v>
      </c>
      <c r="K36" s="318">
        <f>+'Cental Budget_int'!K39+'Local Government_int'!J41</f>
        <v>105581036.48</v>
      </c>
      <c r="L36" s="308">
        <f t="shared" si="2"/>
        <v>3.541799278094599</v>
      </c>
      <c r="M36" s="318">
        <f>+'Cental Budget_int'!M39+'Local Government_int'!L41</f>
        <v>101998633.47</v>
      </c>
      <c r="N36" s="308">
        <f t="shared" si="3"/>
        <v>3.2860384494201034</v>
      </c>
      <c r="O36" s="318">
        <f>+'Cental Budget_int'!O39+'Local Government_int'!N41</f>
        <v>72573801.449999988</v>
      </c>
      <c r="P36" s="308">
        <f t="shared" si="4"/>
        <v>2.2440878617810758</v>
      </c>
      <c r="Q36" s="756">
        <f>+'Cental Budget_int'!Q39+'Local Government_int'!P41</f>
        <v>73746965.810000002</v>
      </c>
      <c r="R36" s="325">
        <f t="shared" si="6"/>
        <v>2.3419169834868212</v>
      </c>
      <c r="S36" s="318">
        <f>+'Cental Budget_int'!S39+'Local Government_int'!R41</f>
        <v>54156638.432866134</v>
      </c>
      <c r="T36" s="325">
        <f t="shared" si="7"/>
        <v>1.5398532394900806</v>
      </c>
      <c r="U36" s="318">
        <f>+'Cental Budget_int'!U39+'Local Government_int'!T41</f>
        <v>55464861.370465204</v>
      </c>
      <c r="V36" s="325">
        <f t="shared" si="8"/>
        <v>1.5770503659501052</v>
      </c>
      <c r="W36" s="852">
        <f t="shared" si="9"/>
        <v>1308222.9375990704</v>
      </c>
      <c r="X36" s="851">
        <f t="shared" si="9"/>
        <v>3.7197126460024599E-2</v>
      </c>
      <c r="Y36" s="318">
        <f>+'Cental Budget_int'!Y39+'Local Government_int'!X41</f>
        <v>59036219.564661324</v>
      </c>
      <c r="Z36" s="325">
        <f t="shared" si="10"/>
        <v>1.580621675091334</v>
      </c>
      <c r="AA36" s="318">
        <f>+'Cental Budget_int'!AA39+'Local Government_int'!Z41</f>
        <v>60247070.259526715</v>
      </c>
      <c r="AB36" s="514">
        <f t="shared" si="11"/>
        <v>1.5129851898424589</v>
      </c>
      <c r="AC36" s="318">
        <f>+'Cental Budget_int'!AC39+'Local Government_int'!AB41</f>
        <v>62653902.319594219</v>
      </c>
      <c r="AD36" s="514">
        <f t="shared" si="12"/>
        <v>1.4690246733785279</v>
      </c>
      <c r="AE36" s="222"/>
      <c r="AF36" s="222"/>
      <c r="AG36" s="222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50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245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</row>
    <row r="37" spans="1:243" ht="15" customHeight="1">
      <c r="A37" s="72"/>
      <c r="B37" s="72"/>
      <c r="C37" s="72"/>
      <c r="D37" s="270" t="str">
        <f>IF(MasterSheet!$A$1=1,MasterSheet!C276,MasterSheet!B276)</f>
        <v>Ostali prihodi</v>
      </c>
      <c r="E37" s="318">
        <f>+'Cental Budget_int'!E46+'Local Government_int'!D51</f>
        <v>68172708.409999996</v>
      </c>
      <c r="F37" s="308">
        <f t="shared" si="5"/>
        <v>3.1724467592721859</v>
      </c>
      <c r="G37" s="318">
        <f>+'Cental Budget_int'!G46+'Local Government_int'!F51</f>
        <v>70976416.00999999</v>
      </c>
      <c r="H37" s="308">
        <f t="shared" si="0"/>
        <v>2.6478797243051666</v>
      </c>
      <c r="I37" s="318">
        <f>+'Cental Budget_int'!I46+'Local Government_int'!H51</f>
        <v>67281484.739999995</v>
      </c>
      <c r="J37" s="308">
        <f t="shared" si="1"/>
        <v>2.1804992461757844</v>
      </c>
      <c r="K37" s="318">
        <f>+'Cental Budget_int'!K46+'Local Government_int'!J51</f>
        <v>60342355.939999998</v>
      </c>
      <c r="L37" s="308">
        <f t="shared" si="2"/>
        <v>2.0242320006709158</v>
      </c>
      <c r="M37" s="318">
        <f>+'Cental Budget_int'!M46+'Local Government_int'!L51</f>
        <v>44088288.899999999</v>
      </c>
      <c r="N37" s="308">
        <f t="shared" si="3"/>
        <v>1.4203701320876287</v>
      </c>
      <c r="O37" s="318">
        <f>+'Cental Budget_int'!O46+'Local Government_int'!N51</f>
        <v>37411485.980000004</v>
      </c>
      <c r="P37" s="308">
        <f t="shared" si="4"/>
        <v>1.1568177482993198</v>
      </c>
      <c r="Q37" s="756">
        <f>+'Cental Budget_int'!Q46+'Local Government_int'!P51</f>
        <v>48924367.209999993</v>
      </c>
      <c r="R37" s="325">
        <f t="shared" si="6"/>
        <v>1.5536477361067003</v>
      </c>
      <c r="S37" s="318">
        <f>+'Cental Budget_int'!S46+'Local Government_int'!R51</f>
        <v>42065532.058023013</v>
      </c>
      <c r="T37" s="325">
        <f t="shared" si="7"/>
        <v>1.1960628961621556</v>
      </c>
      <c r="U37" s="318">
        <f>+'Cental Budget_int'!U46+'Local Government_int'!T51</f>
        <v>43318975.255041204</v>
      </c>
      <c r="V37" s="325">
        <f t="shared" si="8"/>
        <v>1.2317024525175209</v>
      </c>
      <c r="W37" s="852">
        <f t="shared" si="9"/>
        <v>1253443.1970181912</v>
      </c>
      <c r="X37" s="851">
        <f t="shared" si="9"/>
        <v>3.5639556355365309E-2</v>
      </c>
      <c r="Y37" s="318">
        <f>+'Cental Budget_int'!Y46+'Local Government_int'!X51</f>
        <v>44332388.976874903</v>
      </c>
      <c r="Z37" s="325">
        <f t="shared" si="10"/>
        <v>1.1869448186579625</v>
      </c>
      <c r="AA37" s="318">
        <f>+'Cental Budget_int'!AA46+'Local Government_int'!Z51</f>
        <v>45320698.701296762</v>
      </c>
      <c r="AB37" s="514">
        <f t="shared" si="11"/>
        <v>1.1381390934529574</v>
      </c>
      <c r="AC37" s="318">
        <f>+'Cental Budget_int'!AC46+'Local Government_int'!AB51</f>
        <v>46399456.045578629</v>
      </c>
      <c r="AD37" s="514">
        <f t="shared" si="12"/>
        <v>1.087912216777928</v>
      </c>
      <c r="AE37" s="222"/>
      <c r="AF37" s="222"/>
      <c r="AG37" s="222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50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245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</row>
    <row r="38" spans="1:243" ht="15" customHeight="1" thickBot="1">
      <c r="A38" s="72"/>
      <c r="B38" s="72"/>
      <c r="C38" s="72"/>
      <c r="D38" s="270" t="str">
        <f>IF(MasterSheet!$A$1=1,MasterSheet!C277,MasterSheet!B277)</f>
        <v>Primici od otplate kredita i sredstva prenijeta iz prethodne godine</v>
      </c>
      <c r="E38" s="318">
        <f>+'Cental Budget_int'!E51</f>
        <v>12337841.16</v>
      </c>
      <c r="F38" s="308">
        <f t="shared" si="5"/>
        <v>0.57414682674856898</v>
      </c>
      <c r="G38" s="318">
        <f>+'Cental Budget_int'!G51</f>
        <v>10241165.600000001</v>
      </c>
      <c r="H38" s="308">
        <f t="shared" si="0"/>
        <v>0.38206176459615748</v>
      </c>
      <c r="I38" s="318">
        <f>+'Cental Budget_int'!I51</f>
        <v>8998827.7799999993</v>
      </c>
      <c r="J38" s="308">
        <f t="shared" si="1"/>
        <v>0.29163947951775987</v>
      </c>
      <c r="K38" s="318">
        <f>+'Cental Budget_int'!K51</f>
        <v>54812548.920000002</v>
      </c>
      <c r="L38" s="308">
        <f t="shared" si="2"/>
        <v>1.83873025561892</v>
      </c>
      <c r="M38" s="318">
        <f>+'Cental Budget_int'!M51</f>
        <v>4969313.91</v>
      </c>
      <c r="N38" s="308">
        <f t="shared" si="3"/>
        <v>0.16009387596649485</v>
      </c>
      <c r="O38" s="318">
        <f>+'Cental Budget_int'!O51</f>
        <v>5006443.9800000004</v>
      </c>
      <c r="P38" s="308">
        <f t="shared" si="4"/>
        <v>0.15480655473098331</v>
      </c>
      <c r="Q38" s="756">
        <f>+'Cental Budget_int'!Q51</f>
        <v>5498802.5</v>
      </c>
      <c r="R38" s="325">
        <f t="shared" si="6"/>
        <v>0.17462059383931408</v>
      </c>
      <c r="S38" s="318">
        <f>+'Cental Budget_int'!S51</f>
        <v>4809060.008142584</v>
      </c>
      <c r="T38" s="325">
        <f t="shared" si="7"/>
        <v>0.13673756065233392</v>
      </c>
      <c r="U38" s="318">
        <f>+'Cental Budget_int'!U51</f>
        <v>5691260.5874999994</v>
      </c>
      <c r="V38" s="325">
        <f t="shared" si="8"/>
        <v>0.16182145543076484</v>
      </c>
      <c r="W38" s="852">
        <f t="shared" si="9"/>
        <v>882200.57935741544</v>
      </c>
      <c r="X38" s="851">
        <f t="shared" si="9"/>
        <v>2.5083894778430926E-2</v>
      </c>
      <c r="Y38" s="318">
        <f>+'Cental Budget_int'!Y51</f>
        <v>5833542.1021874985</v>
      </c>
      <c r="Z38" s="325">
        <f t="shared" si="10"/>
        <v>0.15618586618975899</v>
      </c>
      <c r="AA38" s="318">
        <f>+'Cental Budget_int'!AA51</f>
        <v>5979380.654742185</v>
      </c>
      <c r="AB38" s="514">
        <f t="shared" si="11"/>
        <v>0.15016023743702123</v>
      </c>
      <c r="AC38" s="318">
        <f>+'Cental Budget_int'!AC51</f>
        <v>6158762.0743844509</v>
      </c>
      <c r="AD38" s="514">
        <f t="shared" si="12"/>
        <v>0.14440239330326968</v>
      </c>
      <c r="AE38" s="222"/>
      <c r="AF38" s="222"/>
      <c r="AG38" s="222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50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245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</row>
    <row r="39" spans="1:243" ht="15" customHeight="1" thickTop="1" thickBot="1">
      <c r="A39" s="72"/>
      <c r="B39" s="72"/>
      <c r="C39" s="72"/>
      <c r="D39" s="242" t="str">
        <f>IF(MasterSheet!$A$1=1,MasterSheet!C278,MasterSheet!B278)</f>
        <v>Javna potrošnja</v>
      </c>
      <c r="E39" s="314">
        <f>+E41+E56+E62+E67+E70+E73+E75+E74</f>
        <v>910212188.03980005</v>
      </c>
      <c r="F39" s="305">
        <f>+E39/$E$15*100</f>
        <v>42.35712169201917</v>
      </c>
      <c r="G39" s="314">
        <f>+G41+G56+G62+G67+G70+G73+G75+G74</f>
        <v>1159264720.2100003</v>
      </c>
      <c r="H39" s="305">
        <f t="shared" si="0"/>
        <v>43.248077605297532</v>
      </c>
      <c r="I39" s="314">
        <f>+I41+I56+I62+I67+I70+I73+I75+I74</f>
        <v>1556503812.6515002</v>
      </c>
      <c r="J39" s="305">
        <f t="shared" si="1"/>
        <v>50.444121488575973</v>
      </c>
      <c r="K39" s="314">
        <f>+K41+K56+K62+K67+K70+K73+K75+K74</f>
        <v>1524040454.7744999</v>
      </c>
      <c r="L39" s="305">
        <f t="shared" si="2"/>
        <v>51.125141052482384</v>
      </c>
      <c r="M39" s="314">
        <f>+M41+M56+M62+M67+M70+M73+M75+M74</f>
        <v>1465411017.2600002</v>
      </c>
      <c r="N39" s="305">
        <f t="shared" si="3"/>
        <v>47.210406483891759</v>
      </c>
      <c r="O39" s="713">
        <f>+O41+O56+O62+O67+O70+O73+O75+O74</f>
        <v>1461252402.3000002</v>
      </c>
      <c r="P39" s="305">
        <f t="shared" si="4"/>
        <v>45.184056966604828</v>
      </c>
      <c r="Q39" s="713">
        <f>+Q41+Q56+Q62+Q67+Q70+Q73+Q75+Q74</f>
        <v>1464759466.8200002</v>
      </c>
      <c r="R39" s="322">
        <f t="shared" si="6"/>
        <v>46.515067221975237</v>
      </c>
      <c r="S39" s="713">
        <f>+S41+S56+S62+S67+S70+S73+S75+S74</f>
        <v>1375765242.6159902</v>
      </c>
      <c r="T39" s="322">
        <f t="shared" si="7"/>
        <v>39.117578692521754</v>
      </c>
      <c r="U39" s="713">
        <f>+U41+U56+U62+U67+U70+U73+U75+U74</f>
        <v>1386043216.7285099</v>
      </c>
      <c r="V39" s="322">
        <f t="shared" si="8"/>
        <v>39.409815659042081</v>
      </c>
      <c r="W39" s="853">
        <f t="shared" si="9"/>
        <v>10277974.112519741</v>
      </c>
      <c r="X39" s="844">
        <f t="shared" si="9"/>
        <v>0.29223696652032771</v>
      </c>
      <c r="Y39" s="713">
        <f>+Y41+Y56+Y62+Y67+Y70+Y73+Y75+Y74</f>
        <v>1380370542.9236758</v>
      </c>
      <c r="Z39" s="322">
        <f t="shared" si="10"/>
        <v>36.957711992601759</v>
      </c>
      <c r="AA39" s="713">
        <f>+AA41+AA56+AA62+AA67+AA70+AA73+AA75+AA74</f>
        <v>1411793072.6405263</v>
      </c>
      <c r="AB39" s="511">
        <f t="shared" si="11"/>
        <v>35.454371487707839</v>
      </c>
      <c r="AC39" s="713">
        <f>+AC41+AC56+AC62+AC67+AC70+AC73+AC75+AC74</f>
        <v>1455083507.4691427</v>
      </c>
      <c r="AD39" s="511">
        <f t="shared" si="12"/>
        <v>34.116846599510964</v>
      </c>
      <c r="AE39" s="222"/>
      <c r="AF39" s="222"/>
      <c r="AG39" s="222"/>
      <c r="AH39" s="222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50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245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</row>
    <row r="40" spans="1:243" ht="15" customHeight="1" thickTop="1" thickBot="1">
      <c r="A40" s="72"/>
      <c r="B40" s="72"/>
      <c r="C40" s="72"/>
      <c r="D40" s="242" t="str">
        <f>IF(MasterSheet!$A$1=1,MasterSheet!C279,MasterSheet!B279)</f>
        <v>Tekuća javna potrošnja</v>
      </c>
      <c r="E40" s="314">
        <f>+E39-E67</f>
        <v>853300704.37980008</v>
      </c>
      <c r="F40" s="305">
        <f t="shared" si="5"/>
        <v>39.708720944660065</v>
      </c>
      <c r="G40" s="314">
        <f>+G39-G67</f>
        <v>972002830.49000025</v>
      </c>
      <c r="H40" s="305">
        <f t="shared" si="0"/>
        <v>36.26199703376237</v>
      </c>
      <c r="I40" s="314">
        <f>+I39-I67</f>
        <v>1320781906.2115002</v>
      </c>
      <c r="J40" s="305">
        <f t="shared" si="1"/>
        <v>42.804702690287144</v>
      </c>
      <c r="K40" s="314">
        <f>+K39-K67</f>
        <v>1299340598.1345</v>
      </c>
      <c r="L40" s="305">
        <f t="shared" si="2"/>
        <v>43.587406847853075</v>
      </c>
      <c r="M40" s="314">
        <f>+M39-M67</f>
        <v>1319010648.4500003</v>
      </c>
      <c r="N40" s="305">
        <f t="shared" si="3"/>
        <v>42.493899756765472</v>
      </c>
      <c r="O40" s="314">
        <f>+O39-O67</f>
        <v>1342667539.8400002</v>
      </c>
      <c r="P40" s="305">
        <f t="shared" si="4"/>
        <v>41.51723994557824</v>
      </c>
      <c r="Q40" s="314">
        <f>+Q39-Q67</f>
        <v>1357704788.4700003</v>
      </c>
      <c r="R40" s="322">
        <f t="shared" si="6"/>
        <v>43.115426753572571</v>
      </c>
      <c r="S40" s="314">
        <f>+S39-S67</f>
        <v>1280126242.6159902</v>
      </c>
      <c r="T40" s="322">
        <f t="shared" si="7"/>
        <v>36.398244032299978</v>
      </c>
      <c r="U40" s="314">
        <f>+U39-U67</f>
        <v>1288404216.7285099</v>
      </c>
      <c r="V40" s="322">
        <f t="shared" si="8"/>
        <v>36.633614351109181</v>
      </c>
      <c r="W40" s="843">
        <f t="shared" si="9"/>
        <v>8277974.1125197411</v>
      </c>
      <c r="X40" s="844">
        <f t="shared" si="9"/>
        <v>0.23537031880920267</v>
      </c>
      <c r="Y40" s="314">
        <f>+Y39-Y67</f>
        <v>1278370542.9236758</v>
      </c>
      <c r="Z40" s="322">
        <f t="shared" si="10"/>
        <v>34.226788297822644</v>
      </c>
      <c r="AA40" s="314">
        <f>+AA39-AA67</f>
        <v>1303713072.6405263</v>
      </c>
      <c r="AB40" s="511">
        <f t="shared" si="11"/>
        <v>32.740157524875094</v>
      </c>
      <c r="AC40" s="314">
        <f>+AC39-AC67</f>
        <v>1344201507.4691427</v>
      </c>
      <c r="AD40" s="511">
        <f t="shared" si="12"/>
        <v>31.517034172781777</v>
      </c>
      <c r="AE40" s="222"/>
      <c r="AF40" s="222"/>
      <c r="AG40" s="222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50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245"/>
      <c r="GF40" s="4"/>
      <c r="GG40" s="258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</row>
    <row r="41" spans="1:243" ht="15" customHeight="1" thickTop="1">
      <c r="A41" s="72"/>
      <c r="B41" s="72"/>
      <c r="C41" s="72"/>
      <c r="D41" s="273" t="str">
        <f>IF(MasterSheet!$A$1=1,MasterSheet!C280,MasterSheet!B280)</f>
        <v>Tekući izdaci</v>
      </c>
      <c r="E41" s="315">
        <f>+E42+E48+E49+E51+E52+E53+E54+E50+E55</f>
        <v>485516128.15979993</v>
      </c>
      <c r="F41" s="306">
        <f t="shared" si="5"/>
        <v>22.593705065838332</v>
      </c>
      <c r="G41" s="315">
        <f>+G42+G48+G49+G51+G52+G53+G54+G50+G55</f>
        <v>565255092.01000011</v>
      </c>
      <c r="H41" s="306">
        <f t="shared" si="0"/>
        <v>21.087673643350126</v>
      </c>
      <c r="I41" s="315">
        <f>+I42+I48+I49+I51+I52+I53+I54+I50+I55</f>
        <v>650119031.29149997</v>
      </c>
      <c r="J41" s="306">
        <f t="shared" si="1"/>
        <v>21.069452660471217</v>
      </c>
      <c r="K41" s="315">
        <f>+K42+K48+K49+K51+K52+K53+K54+K50+K55</f>
        <v>587536977.26449978</v>
      </c>
      <c r="L41" s="306">
        <f t="shared" si="2"/>
        <v>19.709392058520621</v>
      </c>
      <c r="M41" s="315">
        <f>+M42+M48+M49+M51+M52+M53+M54+M50+M55</f>
        <v>609707642.16000009</v>
      </c>
      <c r="N41" s="306">
        <f t="shared" si="3"/>
        <v>19.642643110824746</v>
      </c>
      <c r="O41" s="315">
        <f>+O42+O48+O49+O51+O52+O53+O54+O50+O55</f>
        <v>697551106.44000006</v>
      </c>
      <c r="P41" s="306">
        <f t="shared" si="4"/>
        <v>21.569298282003714</v>
      </c>
      <c r="Q41" s="925">
        <f>+Q42+Q48+Q49+Q51+Q52+Q53+Q54+Q50+Q55</f>
        <v>729677209.30000019</v>
      </c>
      <c r="R41" s="323">
        <f t="shared" si="6"/>
        <v>23.171711949825347</v>
      </c>
      <c r="S41" s="315">
        <f>+S42+S48+S49+S51+S52+S53+S54+S50+S55</f>
        <v>646271110.3450501</v>
      </c>
      <c r="T41" s="323">
        <f t="shared" si="7"/>
        <v>18.375635778932331</v>
      </c>
      <c r="U41" s="315">
        <f>+U42+U48+U49+U51+U52+U53+U54+U50+U55</f>
        <v>656143571.71035111</v>
      </c>
      <c r="V41" s="323">
        <f t="shared" si="8"/>
        <v>18.656342670183427</v>
      </c>
      <c r="W41" s="845">
        <f t="shared" si="9"/>
        <v>9872461.365301013</v>
      </c>
      <c r="X41" s="846">
        <f t="shared" si="9"/>
        <v>0.28070689125109638</v>
      </c>
      <c r="Y41" s="315">
        <f>+Y42+Y48+Y49+Y51+Y52+Y53+Y54+Y50+Y55</f>
        <v>702873248.1816119</v>
      </c>
      <c r="Z41" s="323">
        <f t="shared" si="10"/>
        <v>18.818560861622807</v>
      </c>
      <c r="AA41" s="315">
        <f>+AA42+AA48+AA49+AA51+AA52+AA53+AA54+AA50+AA55</f>
        <v>710164735.16133511</v>
      </c>
      <c r="AB41" s="512">
        <f t="shared" si="11"/>
        <v>17.834373057793449</v>
      </c>
      <c r="AC41" s="315">
        <f>+AC42+AC48+AC49+AC51+AC52+AC53+AC54+AC50+AC55</f>
        <v>731606662.05480957</v>
      </c>
      <c r="AD41" s="512">
        <f t="shared" si="12"/>
        <v>17.153731818401162</v>
      </c>
      <c r="AE41" s="222"/>
      <c r="AF41" s="222"/>
      <c r="AG41" s="222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50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245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</row>
    <row r="42" spans="1:243" s="51" customFormat="1" ht="15" customHeight="1">
      <c r="A42" s="752"/>
      <c r="B42" s="752"/>
      <c r="C42" s="752"/>
      <c r="D42" s="917" t="str">
        <f>IF(MasterSheet!$A$1=1,MasterSheet!C281,MasterSheet!B281)</f>
        <v>Bruto zarade i doprinosi na teret poslodavca</v>
      </c>
      <c r="E42" s="756">
        <f>SUM(E43:E47)</f>
        <v>234529247.03979999</v>
      </c>
      <c r="F42" s="919">
        <f t="shared" si="5"/>
        <v>10.913920938145097</v>
      </c>
      <c r="G42" s="756">
        <f>SUM(G43:G47)</f>
        <v>287827732.79000002</v>
      </c>
      <c r="H42" s="919">
        <f t="shared" si="0"/>
        <v>10.737837447864205</v>
      </c>
      <c r="I42" s="756">
        <f>SUM(I43:I47)</f>
        <v>315099713.81999999</v>
      </c>
      <c r="J42" s="919">
        <f t="shared" si="1"/>
        <v>10.211943019834067</v>
      </c>
      <c r="K42" s="756">
        <f>SUM(K43:K47)</f>
        <v>299693656.73449975</v>
      </c>
      <c r="L42" s="919">
        <f t="shared" si="2"/>
        <v>10.05346047415296</v>
      </c>
      <c r="M42" s="756">
        <f>SUM(M43:M47)+'Local Government_int'!L61</f>
        <v>316422646.70999998</v>
      </c>
      <c r="N42" s="919">
        <f t="shared" si="3"/>
        <v>10.194028566688143</v>
      </c>
      <c r="O42" s="756">
        <f>SUM(O43:O47)</f>
        <v>403943773.61999995</v>
      </c>
      <c r="P42" s="919">
        <f t="shared" si="4"/>
        <v>12.490531033395175</v>
      </c>
      <c r="Q42" s="756">
        <f>SUM(Q43:Q47)</f>
        <v>407752568.57000005</v>
      </c>
      <c r="R42" s="920">
        <f t="shared" si="6"/>
        <v>12.948636664655448</v>
      </c>
      <c r="S42" s="756">
        <f>SUM(S43:S47)</f>
        <v>397570601.86375004</v>
      </c>
      <c r="T42" s="920">
        <f t="shared" si="7"/>
        <v>11.3042536782414</v>
      </c>
      <c r="U42" s="756">
        <f>SUM(U43:U47)</f>
        <v>398079441.66602498</v>
      </c>
      <c r="V42" s="920">
        <f t="shared" si="8"/>
        <v>11.318721685130081</v>
      </c>
      <c r="W42" s="756">
        <f t="shared" si="9"/>
        <v>508839.8022749424</v>
      </c>
      <c r="X42" s="920">
        <f t="shared" si="9"/>
        <v>1.4468006888680662E-2</v>
      </c>
      <c r="Y42" s="756">
        <f>SUM(Y43:Y47)</f>
        <v>397235565.92312491</v>
      </c>
      <c r="Z42" s="920">
        <f t="shared" si="10"/>
        <v>10.63549038616131</v>
      </c>
      <c r="AA42" s="756">
        <f>SUM(AA43:AA47)</f>
        <v>397644099.41197181</v>
      </c>
      <c r="AB42" s="921">
        <f t="shared" si="11"/>
        <v>9.9860396637863342</v>
      </c>
      <c r="AC42" s="756">
        <f>SUM(AC43:AC47)</f>
        <v>398196981.40021122</v>
      </c>
      <c r="AD42" s="921">
        <f t="shared" si="12"/>
        <v>9.336388778434026</v>
      </c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50"/>
      <c r="BA42" s="916"/>
      <c r="BB42" s="916"/>
      <c r="BC42" s="916"/>
      <c r="BD42" s="916"/>
      <c r="BE42" s="916"/>
      <c r="BF42" s="916"/>
      <c r="BG42" s="916"/>
      <c r="BH42" s="916"/>
      <c r="BI42" s="916"/>
      <c r="BJ42" s="916"/>
      <c r="BK42" s="916"/>
      <c r="BL42" s="916"/>
      <c r="BM42" s="916"/>
      <c r="BN42" s="916"/>
      <c r="BO42" s="916"/>
      <c r="BP42" s="916"/>
      <c r="BQ42" s="916"/>
      <c r="BR42" s="916"/>
      <c r="BS42" s="916"/>
      <c r="BT42" s="916"/>
      <c r="BU42" s="916"/>
      <c r="BV42" s="916"/>
      <c r="BW42" s="916"/>
      <c r="BX42" s="916"/>
      <c r="BY42" s="916"/>
      <c r="BZ42" s="916"/>
      <c r="CA42" s="916"/>
      <c r="CB42" s="916"/>
      <c r="CC42" s="916"/>
      <c r="CD42" s="916"/>
      <c r="CE42" s="916"/>
      <c r="CF42" s="916"/>
      <c r="CG42" s="916"/>
      <c r="CH42" s="916"/>
      <c r="CI42" s="916"/>
      <c r="CJ42" s="916"/>
      <c r="CK42" s="916"/>
      <c r="CL42" s="916"/>
      <c r="CM42" s="916"/>
      <c r="CN42" s="916"/>
      <c r="CO42" s="916"/>
      <c r="CP42" s="916"/>
      <c r="CQ42" s="916"/>
      <c r="CR42" s="916"/>
      <c r="CS42" s="916"/>
      <c r="CT42" s="916"/>
      <c r="CU42" s="916"/>
      <c r="CV42" s="916"/>
      <c r="CW42" s="916"/>
      <c r="CX42" s="916"/>
      <c r="CY42" s="916"/>
      <c r="CZ42" s="916"/>
      <c r="DA42" s="916"/>
      <c r="DB42" s="916"/>
      <c r="DC42" s="916"/>
      <c r="DD42" s="916"/>
      <c r="DE42" s="916"/>
      <c r="DF42" s="916"/>
      <c r="DG42" s="916"/>
      <c r="DH42" s="916"/>
      <c r="DI42" s="916"/>
      <c r="DJ42" s="916"/>
      <c r="DK42" s="916"/>
      <c r="DL42" s="916"/>
      <c r="DM42" s="916"/>
      <c r="DN42" s="916"/>
      <c r="DO42" s="916"/>
      <c r="DP42" s="916"/>
      <c r="DQ42" s="916"/>
      <c r="DR42" s="916"/>
      <c r="DS42" s="916"/>
      <c r="DT42" s="916"/>
      <c r="DU42" s="916"/>
      <c r="DV42" s="916"/>
      <c r="DW42" s="916"/>
      <c r="DX42" s="916"/>
      <c r="DY42" s="916"/>
      <c r="DZ42" s="916"/>
      <c r="EA42" s="916"/>
      <c r="EB42" s="916"/>
      <c r="EC42" s="916"/>
      <c r="ED42" s="916"/>
      <c r="EE42" s="916"/>
      <c r="EF42" s="916"/>
      <c r="EG42" s="916"/>
      <c r="EH42" s="916"/>
      <c r="EI42" s="916"/>
      <c r="EJ42" s="916"/>
      <c r="EK42" s="916"/>
      <c r="EL42" s="916"/>
      <c r="EM42" s="916"/>
      <c r="EN42" s="916"/>
      <c r="EO42" s="916"/>
      <c r="EP42" s="916"/>
      <c r="EQ42" s="916"/>
      <c r="ER42" s="916"/>
      <c r="ES42" s="916"/>
      <c r="ET42" s="916"/>
      <c r="EU42" s="916"/>
      <c r="EV42" s="916"/>
      <c r="EW42" s="916"/>
      <c r="EX42" s="916"/>
      <c r="EY42" s="916"/>
      <c r="EZ42" s="916"/>
      <c r="FA42" s="916"/>
      <c r="FB42" s="916"/>
      <c r="FC42" s="916"/>
      <c r="FD42" s="916"/>
      <c r="FE42" s="916"/>
      <c r="FF42" s="916"/>
      <c r="FG42" s="916"/>
      <c r="FH42" s="916"/>
      <c r="FI42" s="916"/>
      <c r="FJ42" s="916"/>
      <c r="FK42" s="916"/>
      <c r="FL42" s="916"/>
      <c r="FM42" s="916"/>
      <c r="FN42" s="916"/>
      <c r="FO42" s="916"/>
      <c r="FP42" s="916"/>
      <c r="FQ42" s="916"/>
      <c r="FR42" s="916"/>
      <c r="FS42" s="916"/>
      <c r="FT42" s="916"/>
      <c r="FU42" s="916"/>
      <c r="FV42" s="916"/>
      <c r="FW42" s="916"/>
      <c r="FX42" s="916"/>
      <c r="FY42" s="916"/>
      <c r="FZ42" s="916"/>
      <c r="GA42" s="916"/>
      <c r="GB42" s="916"/>
      <c r="GC42" s="916"/>
      <c r="GD42" s="916"/>
      <c r="GE42" s="245"/>
      <c r="GF42" s="916"/>
      <c r="GG42" s="916"/>
      <c r="GH42" s="916"/>
      <c r="GI42" s="916"/>
      <c r="GJ42" s="916"/>
      <c r="GK42" s="916"/>
      <c r="GL42" s="916"/>
      <c r="GM42" s="916"/>
      <c r="GN42" s="916"/>
      <c r="GO42" s="916"/>
      <c r="GP42" s="916"/>
      <c r="GQ42" s="916"/>
      <c r="GR42" s="916"/>
      <c r="GS42" s="916"/>
      <c r="GT42" s="916"/>
      <c r="GU42" s="916"/>
      <c r="GV42" s="916"/>
      <c r="GW42" s="916"/>
      <c r="GX42" s="916"/>
      <c r="GY42" s="916"/>
      <c r="GZ42" s="916"/>
      <c r="HA42" s="916"/>
      <c r="HB42" s="916"/>
      <c r="HC42" s="916"/>
      <c r="HD42" s="916"/>
      <c r="HE42" s="916"/>
      <c r="HF42" s="916"/>
      <c r="HG42" s="916"/>
      <c r="HH42" s="916"/>
      <c r="HI42" s="916"/>
      <c r="HJ42" s="916"/>
      <c r="HK42" s="916"/>
      <c r="HL42" s="916"/>
      <c r="HM42" s="916"/>
      <c r="HN42" s="916"/>
      <c r="HO42" s="916"/>
      <c r="HP42" s="916"/>
      <c r="HQ42" s="916"/>
      <c r="HR42" s="916"/>
      <c r="HS42" s="916"/>
      <c r="HT42" s="916"/>
      <c r="HU42" s="916"/>
      <c r="HV42" s="916"/>
      <c r="HW42" s="916"/>
      <c r="HX42" s="916"/>
      <c r="HY42" s="916"/>
      <c r="HZ42" s="916"/>
      <c r="IA42" s="916"/>
      <c r="IB42" s="916"/>
      <c r="IC42" s="916"/>
      <c r="ID42" s="916"/>
      <c r="IE42" s="916"/>
      <c r="IF42" s="916"/>
      <c r="IG42" s="916"/>
      <c r="IH42" s="916"/>
      <c r="II42" s="916"/>
    </row>
    <row r="43" spans="1:243" ht="15" customHeight="1">
      <c r="A43" s="72"/>
      <c r="B43" s="72"/>
      <c r="C43" s="72"/>
      <c r="D43" s="271" t="str">
        <f>IF(MasterSheet!$A$1=1,MasterSheet!C282,MasterSheet!B282)</f>
        <v>Neto zarade</v>
      </c>
      <c r="E43" s="316">
        <f>+'Cental Budget_int'!E56+'Local Government_int'!D62</f>
        <v>134916451.19</v>
      </c>
      <c r="F43" s="307">
        <f t="shared" si="5"/>
        <v>6.2783959788729113</v>
      </c>
      <c r="G43" s="316">
        <f>+'Cental Budget_int'!G56+'Local Government_int'!F62</f>
        <v>166140744.63000003</v>
      </c>
      <c r="H43" s="307">
        <f t="shared" si="0"/>
        <v>6.1981251494124239</v>
      </c>
      <c r="I43" s="316">
        <f>+'Cental Budget_int'!I56+'Local Government_int'!H62</f>
        <v>183073055.25</v>
      </c>
      <c r="J43" s="307">
        <f t="shared" si="1"/>
        <v>5.9331428328364018</v>
      </c>
      <c r="K43" s="316">
        <f>+'Cental Budget_int'!K56+'Local Government_int'!J62+'Local Government_int'!J61</f>
        <v>189706127.33193398</v>
      </c>
      <c r="L43" s="307">
        <f t="shared" si="2"/>
        <v>6.3638419098267018</v>
      </c>
      <c r="M43" s="316">
        <f>+'Cental Budget_int'!M56+'Local Government_int'!L62</f>
        <v>165721016.36000001</v>
      </c>
      <c r="N43" s="307">
        <f t="shared" si="3"/>
        <v>5.3389502693298976</v>
      </c>
      <c r="O43" s="316">
        <f>+'Cental Budget_int'!O56+'Local Government_int'!N62</f>
        <v>246910327.53999999</v>
      </c>
      <c r="P43" s="307">
        <f t="shared" si="4"/>
        <v>7.6348276914038333</v>
      </c>
      <c r="Q43" s="926">
        <f>+'Cental Budget_int'!Q56+'Local Government_int'!P62</f>
        <v>248679560.72000003</v>
      </c>
      <c r="R43" s="324">
        <f t="shared" si="6"/>
        <v>7.8970962438869492</v>
      </c>
      <c r="S43" s="316">
        <f>+'Cental Budget_int'!S56+'Local Government_int'!R62</f>
        <v>241271854.66</v>
      </c>
      <c r="T43" s="324">
        <f t="shared" si="7"/>
        <v>6.860160780779073</v>
      </c>
      <c r="U43" s="316">
        <f>+'Cental Budget_int'!U56+'Local Government_int'!T62</f>
        <v>241667320.53640002</v>
      </c>
      <c r="V43" s="324">
        <f t="shared" si="8"/>
        <v>6.8714051901165769</v>
      </c>
      <c r="W43" s="847">
        <f t="shared" si="9"/>
        <v>395465.8764000237</v>
      </c>
      <c r="X43" s="848">
        <f t="shared" si="9"/>
        <v>1.1244409337503924E-2</v>
      </c>
      <c r="Y43" s="316">
        <f>+'Cental Budget_int'!Y56+'Local Government_int'!X62</f>
        <v>241968506.88624737</v>
      </c>
      <c r="Z43" s="324">
        <f t="shared" si="10"/>
        <v>6.4784071455487906</v>
      </c>
      <c r="AA43" s="316">
        <f>+'Cental Budget_int'!AA56+'Local Government_int'!Z62</f>
        <v>242283506.88624737</v>
      </c>
      <c r="AB43" s="513">
        <f t="shared" si="11"/>
        <v>6.0844677771533746</v>
      </c>
      <c r="AC43" s="316">
        <f>+'Cental Budget_int'!AC56+'Local Government_int'!AB62</f>
        <v>242709806.88624737</v>
      </c>
      <c r="AD43" s="513">
        <f t="shared" si="12"/>
        <v>5.690734041881532</v>
      </c>
      <c r="AE43" s="223"/>
      <c r="AF43" s="223"/>
      <c r="AG43" s="223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50"/>
      <c r="BA43" s="259"/>
      <c r="BB43" s="259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260"/>
      <c r="EL43" s="260"/>
      <c r="EM43" s="260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245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</row>
    <row r="44" spans="1:243" ht="15" customHeight="1">
      <c r="A44" s="72"/>
      <c r="B44" s="72"/>
      <c r="C44" s="72"/>
      <c r="D44" s="271" t="str">
        <f>IF(MasterSheet!$A$1=1,MasterSheet!C283,MasterSheet!B283)</f>
        <v>Porez na zarade</v>
      </c>
      <c r="E44" s="316">
        <f>+'Cental Budget_int'!E57+'Local Government_int'!D63</f>
        <v>27412477.509999998</v>
      </c>
      <c r="F44" s="307">
        <f t="shared" si="5"/>
        <v>1.2756516129182371</v>
      </c>
      <c r="G44" s="316">
        <f>+'Cental Budget_int'!G57+'Local Government_int'!F63</f>
        <v>30275620.010000002</v>
      </c>
      <c r="H44" s="307">
        <f t="shared" si="0"/>
        <v>1.1294765905614625</v>
      </c>
      <c r="I44" s="316">
        <f>+'Cental Budget_int'!I57+'Local Government_int'!H63</f>
        <v>33546755.710000001</v>
      </c>
      <c r="J44" s="307">
        <f t="shared" si="1"/>
        <v>1.0872036462924553</v>
      </c>
      <c r="K44" s="316">
        <f>+'Cental Budget_int'!K57+'Local Government_int'!J63</f>
        <v>27786106.092939563</v>
      </c>
      <c r="L44" s="307">
        <f t="shared" si="2"/>
        <v>0.93210688000468167</v>
      </c>
      <c r="M44" s="316">
        <f>+'Cental Budget_int'!M57+'Local Government_int'!L63</f>
        <v>22646761.260000002</v>
      </c>
      <c r="N44" s="307">
        <f t="shared" si="3"/>
        <v>0.72959926739690728</v>
      </c>
      <c r="O44" s="316">
        <f>+'Cental Budget_int'!O57+'Local Government_int'!N63</f>
        <v>30624320.870000001</v>
      </c>
      <c r="P44" s="307">
        <f t="shared" si="4"/>
        <v>0.94694869727891162</v>
      </c>
      <c r="Q44" s="926">
        <f>+'Cental Budget_int'!Q57+'Local Government_int'!P63</f>
        <v>30921648.549999997</v>
      </c>
      <c r="R44" s="324">
        <f t="shared" si="6"/>
        <v>0.98195136710066666</v>
      </c>
      <c r="S44" s="316">
        <f>+'Cental Budget_int'!S57+'Local Government_int'!R63</f>
        <v>31123661.967500001</v>
      </c>
      <c r="T44" s="324">
        <f t="shared" si="7"/>
        <v>0.8849491602928633</v>
      </c>
      <c r="U44" s="316">
        <f>+'Cental Budget_int'!U57+'Local Government_int'!T63</f>
        <v>31147626.028250001</v>
      </c>
      <c r="V44" s="324">
        <f t="shared" si="8"/>
        <v>0.88563053819306226</v>
      </c>
      <c r="W44" s="847">
        <f t="shared" si="9"/>
        <v>23964.060750000179</v>
      </c>
      <c r="X44" s="848">
        <f t="shared" si="9"/>
        <v>6.8137790019895395E-4</v>
      </c>
      <c r="Y44" s="316">
        <f>+'Cental Budget_int'!Y57+'Local Government_int'!X63</f>
        <v>31079196.887593091</v>
      </c>
      <c r="Z44" s="324">
        <f t="shared" si="10"/>
        <v>0.8321070117160132</v>
      </c>
      <c r="AA44" s="316">
        <f>+'Cental Budget_int'!AA57+'Local Government_int'!Z63</f>
        <v>31098967.237711843</v>
      </c>
      <c r="AB44" s="513">
        <f t="shared" si="11"/>
        <v>0.78098862977679162</v>
      </c>
      <c r="AC44" s="316">
        <f>+'Cental Budget_int'!AC57+'Local Government_int'!AB63</f>
        <v>31125723.111539219</v>
      </c>
      <c r="AD44" s="513">
        <f t="shared" si="12"/>
        <v>0.72979421129048583</v>
      </c>
      <c r="AE44" s="223"/>
      <c r="AF44" s="223"/>
      <c r="AG44" s="223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50"/>
      <c r="BA44" s="259"/>
      <c r="BB44" s="259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2"/>
      <c r="EE44" s="4"/>
      <c r="EF44" s="4"/>
      <c r="EG44" s="4"/>
      <c r="EH44" s="4"/>
      <c r="EI44" s="4"/>
      <c r="EJ44" s="4"/>
      <c r="EK44" s="260"/>
      <c r="EL44" s="260"/>
      <c r="EM44" s="260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245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</row>
    <row r="45" spans="1:243" ht="15" customHeight="1">
      <c r="A45" s="72"/>
      <c r="B45" s="72"/>
      <c r="C45" s="72"/>
      <c r="D45" s="271" t="str">
        <f>IF(MasterSheet!$A$1=1,MasterSheet!C284,MasterSheet!B284)</f>
        <v>Doprinosi na teret zaposlenog</v>
      </c>
      <c r="E45" s="316">
        <f>+'Cental Budget_int'!E58+'Local Government_int'!D64</f>
        <v>35241527.969999999</v>
      </c>
      <c r="F45" s="307">
        <f t="shared" si="5"/>
        <v>1.6399798952952671</v>
      </c>
      <c r="G45" s="316">
        <f>+'Cental Budget_int'!G58+'Local Government_int'!F64</f>
        <v>45211241.74000001</v>
      </c>
      <c r="H45" s="307">
        <f t="shared" si="0"/>
        <v>1.6866719544861037</v>
      </c>
      <c r="I45" s="316">
        <f>+'Cental Budget_int'!I58+'Local Government_int'!H64</f>
        <v>47856829.879999995</v>
      </c>
      <c r="J45" s="307">
        <f t="shared" si="1"/>
        <v>1.550973226600985</v>
      </c>
      <c r="K45" s="316">
        <f>+'Cental Budget_int'!K58+'Local Government_int'!J64</f>
        <v>39675992.256736048</v>
      </c>
      <c r="L45" s="307">
        <f t="shared" si="2"/>
        <v>1.33096250441919</v>
      </c>
      <c r="M45" s="316">
        <f>+'Cental Budget_int'!M58+'Local Government_int'!L64</f>
        <v>59935832.810000002</v>
      </c>
      <c r="N45" s="307">
        <f t="shared" si="3"/>
        <v>1.9309224487757732</v>
      </c>
      <c r="O45" s="316">
        <f>+'Cental Budget_int'!O58+'Local Government_int'!N64</f>
        <v>79769891.689999998</v>
      </c>
      <c r="P45" s="307">
        <f t="shared" si="4"/>
        <v>2.4666014746444032</v>
      </c>
      <c r="Q45" s="926">
        <f>+'Cental Budget_int'!Q58+'Local Government_int'!P64</f>
        <v>81032368.249999985</v>
      </c>
      <c r="R45" s="324">
        <f t="shared" si="6"/>
        <v>2.5732730469990468</v>
      </c>
      <c r="S45" s="316">
        <f>+'Cental Budget_int'!S58+'Local Government_int'!R64</f>
        <v>78874828.403750002</v>
      </c>
      <c r="T45" s="324">
        <f t="shared" si="7"/>
        <v>2.2426735400554452</v>
      </c>
      <c r="U45" s="316">
        <f>+'Cental Budget_int'!U58+'Local Government_int'!T64</f>
        <v>78932354.917025</v>
      </c>
      <c r="V45" s="324">
        <f t="shared" si="8"/>
        <v>2.2443092100376743</v>
      </c>
      <c r="W45" s="847">
        <f t="shared" si="9"/>
        <v>57526.513274997473</v>
      </c>
      <c r="X45" s="848">
        <f t="shared" si="9"/>
        <v>1.6356699822290821E-3</v>
      </c>
      <c r="Y45" s="316">
        <f>+'Cental Budget_int'!Y58+'Local Government_int'!X64</f>
        <v>78385286.790798694</v>
      </c>
      <c r="Z45" s="324">
        <f t="shared" si="10"/>
        <v>2.0986689903828299</v>
      </c>
      <c r="AA45" s="316">
        <f>+'Cental Budget_int'!AA58+'Local Government_int'!Z64</f>
        <v>78432746.164250568</v>
      </c>
      <c r="AB45" s="513">
        <f t="shared" si="11"/>
        <v>1.9696822241147807</v>
      </c>
      <c r="AC45" s="316">
        <f>+'Cental Budget_int'!AC58+'Local Government_int'!AB64</f>
        <v>78496974.516322106</v>
      </c>
      <c r="AD45" s="513">
        <f t="shared" si="12"/>
        <v>1.8404917823287716</v>
      </c>
      <c r="AE45" s="223"/>
      <c r="AF45" s="223"/>
      <c r="AG45" s="223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50"/>
      <c r="BA45" s="259"/>
      <c r="BB45" s="259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260"/>
      <c r="EL45" s="260"/>
      <c r="EM45" s="260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245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</row>
    <row r="46" spans="1:243" ht="15" customHeight="1">
      <c r="A46" s="72"/>
      <c r="B46" s="72"/>
      <c r="C46" s="72"/>
      <c r="D46" s="271" t="str">
        <f>IF(MasterSheet!$A$1=1,MasterSheet!C285,MasterSheet!B285)</f>
        <v>Doprinosi na teret poslodavca</v>
      </c>
      <c r="E46" s="316">
        <f>+'Cental Budget_int'!E59+'Local Government_int'!D65</f>
        <v>32666770.049799997</v>
      </c>
      <c r="F46" s="307">
        <f t="shared" si="5"/>
        <v>1.52016241099167</v>
      </c>
      <c r="G46" s="316">
        <f>+'Cental Budget_int'!G59+'Local Government_int'!F65</f>
        <v>41792523.730000004</v>
      </c>
      <c r="H46" s="307">
        <f t="shared" si="0"/>
        <v>1.5591316444693157</v>
      </c>
      <c r="I46" s="316">
        <f>+'Cental Budget_int'!I59+'Local Government_int'!H65</f>
        <v>45905782.490000002</v>
      </c>
      <c r="J46" s="307">
        <f t="shared" si="1"/>
        <v>1.4877424970832254</v>
      </c>
      <c r="K46" s="316">
        <f>+'Cental Budget_int'!K59+'Local Government_int'!J65</f>
        <v>38622888.658217676</v>
      </c>
      <c r="L46" s="307">
        <f t="shared" si="2"/>
        <v>1.2956353122515154</v>
      </c>
      <c r="M46" s="316">
        <f>+'Cental Budget_int'!M59+'Local Government_int'!L65</f>
        <v>32139632.719999999</v>
      </c>
      <c r="N46" s="307">
        <f t="shared" si="3"/>
        <v>1.0354263118556699</v>
      </c>
      <c r="O46" s="316">
        <f>+'Cental Budget_int'!O59+'Local Government_int'!N65</f>
        <v>42311333.369999997</v>
      </c>
      <c r="P46" s="307">
        <f t="shared" si="4"/>
        <v>1.3083281808905378</v>
      </c>
      <c r="Q46" s="926">
        <f>+'Cental Budget_int'!Q59+'Local Government_int'!P65</f>
        <v>42714348.300000004</v>
      </c>
      <c r="R46" s="324">
        <f t="shared" si="6"/>
        <v>1.3564416735471581</v>
      </c>
      <c r="S46" s="316">
        <f>+'Cental Budget_int'!S59+'Local Government_int'!R65</f>
        <v>41779242.094999999</v>
      </c>
      <c r="T46" s="324">
        <f t="shared" si="7"/>
        <v>1.1879227209269263</v>
      </c>
      <c r="U46" s="316">
        <f>+'Cental Budget_int'!U59+'Local Government_int'!T65</f>
        <v>41806839.3059</v>
      </c>
      <c r="V46" s="324">
        <f t="shared" si="8"/>
        <v>1.1887074013619561</v>
      </c>
      <c r="W46" s="847">
        <f t="shared" si="9"/>
        <v>27597.210900001228</v>
      </c>
      <c r="X46" s="848">
        <f t="shared" si="9"/>
        <v>7.8468043502977203E-4</v>
      </c>
      <c r="Y46" s="316">
        <f>+'Cental Budget_int'!Y59+'Local Government_int'!X65</f>
        <v>41234766.063550301</v>
      </c>
      <c r="Z46" s="324">
        <f t="shared" si="10"/>
        <v>1.1040098008982677</v>
      </c>
      <c r="AA46" s="316">
        <f>+'Cental Budget_int'!AA59+'Local Government_int'!Z65</f>
        <v>41257533.762542799</v>
      </c>
      <c r="AB46" s="513">
        <f t="shared" si="11"/>
        <v>1.0361007976530083</v>
      </c>
      <c r="AC46" s="316">
        <f>+'Cental Budget_int'!AC59+'Local Government_int'!AB65</f>
        <v>41288346.048512653</v>
      </c>
      <c r="AD46" s="513">
        <f t="shared" si="12"/>
        <v>0.96807376432620529</v>
      </c>
      <c r="AE46" s="223"/>
      <c r="AF46" s="223"/>
      <c r="AG46" s="223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50"/>
      <c r="BA46" s="259"/>
      <c r="BB46" s="259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260"/>
      <c r="EL46" s="260"/>
      <c r="EM46" s="260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245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</row>
    <row r="47" spans="1:243" ht="15" customHeight="1">
      <c r="A47" s="72"/>
      <c r="B47" s="72"/>
      <c r="C47" s="72"/>
      <c r="D47" s="271" t="str">
        <f>IF(MasterSheet!$A$1=1,MasterSheet!C286,MasterSheet!B286)</f>
        <v>Opštinski prirez</v>
      </c>
      <c r="E47" s="316">
        <f>+'Cental Budget_int'!E60+'Local Government_int'!D66</f>
        <v>4292020.32</v>
      </c>
      <c r="F47" s="307">
        <f t="shared" si="5"/>
        <v>0.19973104006701103</v>
      </c>
      <c r="G47" s="316">
        <f>+'Cental Budget_int'!G60+'Local Government_int'!F66</f>
        <v>4407602.68</v>
      </c>
      <c r="H47" s="307">
        <f t="shared" si="0"/>
        <v>0.16443210893490021</v>
      </c>
      <c r="I47" s="316">
        <f>+'Cental Budget_int'!I60+'Local Government_int'!H66</f>
        <v>4717290.49</v>
      </c>
      <c r="J47" s="307">
        <f t="shared" si="1"/>
        <v>0.15288081702100079</v>
      </c>
      <c r="K47" s="316">
        <f>+'Cental Budget_int'!K60+'Local Government_int'!J66</f>
        <v>3902542.3946725391</v>
      </c>
      <c r="L47" s="307">
        <f t="shared" si="2"/>
        <v>0.13091386765087348</v>
      </c>
      <c r="M47" s="316">
        <f>+'Cental Budget_int'!M60+'Local Government_int'!L66</f>
        <v>3219403.56</v>
      </c>
      <c r="N47" s="307">
        <f t="shared" si="3"/>
        <v>0.10371789819587629</v>
      </c>
      <c r="O47" s="316">
        <f>+'Cental Budget_int'!O60+'Local Government_int'!N66</f>
        <v>4327900.1500000004</v>
      </c>
      <c r="P47" s="307">
        <f t="shared" si="4"/>
        <v>0.1338249891774892</v>
      </c>
      <c r="Q47" s="926">
        <f>+'Cental Budget_int'!Q60+'Local Government_int'!P66</f>
        <v>4404642.75</v>
      </c>
      <c r="R47" s="324">
        <f t="shared" si="6"/>
        <v>0.13987433312162592</v>
      </c>
      <c r="S47" s="316">
        <f>+'Cental Budget_int'!S60+'Local Government_int'!R66</f>
        <v>4521014.7375000007</v>
      </c>
      <c r="T47" s="324">
        <f t="shared" si="7"/>
        <v>0.12854747618709128</v>
      </c>
      <c r="U47" s="316">
        <f>+'Cental Budget_int'!U60+'Local Government_int'!T66</f>
        <v>4525300.8784500007</v>
      </c>
      <c r="V47" s="324">
        <f t="shared" si="8"/>
        <v>0.12866934542081321</v>
      </c>
      <c r="W47" s="847">
        <f t="shared" si="9"/>
        <v>4286.1409499999136</v>
      </c>
      <c r="X47" s="848">
        <f t="shared" si="9"/>
        <v>1.2186923372192737E-4</v>
      </c>
      <c r="Y47" s="316">
        <f>+'Cental Budget_int'!Y60+'Local Government_int'!X66</f>
        <v>4567809.2949355207</v>
      </c>
      <c r="Z47" s="324">
        <f t="shared" si="10"/>
        <v>0.12229743761540884</v>
      </c>
      <c r="AA47" s="316">
        <f>+'Cental Budget_int'!AA60+'Local Government_int'!Z66</f>
        <v>4571345.3612192711</v>
      </c>
      <c r="AB47" s="513">
        <f t="shared" si="11"/>
        <v>0.11480023508837948</v>
      </c>
      <c r="AC47" s="316">
        <f>+'Cental Budget_int'!AC60+'Local Government_int'!AB66</f>
        <v>4576130.8375899456</v>
      </c>
      <c r="AD47" s="513">
        <f t="shared" si="12"/>
        <v>0.10729497860703273</v>
      </c>
      <c r="AE47" s="223"/>
      <c r="AF47" s="223"/>
      <c r="AG47" s="223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50"/>
      <c r="BA47" s="259"/>
      <c r="BB47" s="259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245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</row>
    <row r="48" spans="1:243" ht="15" customHeight="1">
      <c r="A48" s="72"/>
      <c r="B48" s="72"/>
      <c r="C48" s="72"/>
      <c r="D48" s="272" t="str">
        <f>IF(MasterSheet!$A$1=1,MasterSheet!C287,MasterSheet!B287)</f>
        <v>Ostala lična primanja</v>
      </c>
      <c r="E48" s="318">
        <f>+'Cental Budget_int'!E61+'Local Government_int'!D67</f>
        <v>19829561.809999999</v>
      </c>
      <c r="F48" s="308">
        <f t="shared" si="5"/>
        <v>0.92277731909348959</v>
      </c>
      <c r="G48" s="318">
        <f>+'Cental Budget_int'!G61+'Local Government_int'!F67</f>
        <v>33667814.479999997</v>
      </c>
      <c r="H48" s="308">
        <f t="shared" si="0"/>
        <v>1.2560274008580488</v>
      </c>
      <c r="I48" s="318">
        <f>+'Cental Budget_int'!I61+'Local Government_int'!H67</f>
        <v>28819351.150000002</v>
      </c>
      <c r="J48" s="308">
        <f t="shared" si="1"/>
        <v>0.93399504634430908</v>
      </c>
      <c r="K48" s="318">
        <f>+'Cental Budget_int'!K61+'Local Government_int'!J67</f>
        <v>27672695.609999999</v>
      </c>
      <c r="L48" s="308">
        <f t="shared" si="2"/>
        <v>0.92830243575981219</v>
      </c>
      <c r="M48" s="318">
        <f>+'Cental Budget_int'!M61+'Local Government_int'!L67</f>
        <v>24555767.040000003</v>
      </c>
      <c r="N48" s="308">
        <f t="shared" si="3"/>
        <v>0.79110074226804128</v>
      </c>
      <c r="O48" s="318">
        <f>+'Cental Budget_int'!O61+'Local Government_int'!N67</f>
        <v>20176987.59</v>
      </c>
      <c r="P48" s="308">
        <f t="shared" si="4"/>
        <v>0.62390190445269011</v>
      </c>
      <c r="Q48" s="756">
        <f>+'Cental Budget_int'!Q61+'Local Government_int'!P67</f>
        <v>13271350.060000001</v>
      </c>
      <c r="R48" s="325">
        <f t="shared" si="6"/>
        <v>0.42144649285487457</v>
      </c>
      <c r="S48" s="318">
        <f>+'Cental Budget_int'!S61+'Local Government_int'!R67</f>
        <v>13282295.5625</v>
      </c>
      <c r="T48" s="325">
        <f t="shared" si="7"/>
        <v>0.37765981127381293</v>
      </c>
      <c r="U48" s="318">
        <f>+'Cental Budget_int'!U61+'Local Government_int'!T67</f>
        <v>13838395.425550001</v>
      </c>
      <c r="V48" s="325">
        <f t="shared" si="8"/>
        <v>0.39347157877594541</v>
      </c>
      <c r="W48" s="852">
        <f t="shared" si="9"/>
        <v>556099.86305000074</v>
      </c>
      <c r="X48" s="851">
        <f t="shared" si="9"/>
        <v>1.5811767502132479E-2</v>
      </c>
      <c r="Y48" s="318">
        <f>+'Cental Budget_int'!Y61+'Local Government_int'!X67</f>
        <v>12152669.707125001</v>
      </c>
      <c r="Z48" s="325">
        <f t="shared" si="10"/>
        <v>0.32537268292168675</v>
      </c>
      <c r="AA48" s="318">
        <f>+'Cental Budget_int'!AA61+'Local Government_int'!Z67</f>
        <v>11467546.442235002</v>
      </c>
      <c r="AB48" s="514">
        <f t="shared" si="11"/>
        <v>0.2879845917186088</v>
      </c>
      <c r="AC48" s="318">
        <f>+'Cental Budget_int'!AC61+'Local Government_int'!AB67</f>
        <v>11484679.600162001</v>
      </c>
      <c r="AD48" s="514">
        <f t="shared" si="12"/>
        <v>0.26927736459934354</v>
      </c>
      <c r="AE48" s="223"/>
      <c r="AF48" s="223"/>
      <c r="AG48" s="223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50"/>
      <c r="BA48" s="160"/>
      <c r="BB48" s="160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245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</row>
    <row r="49" spans="1:243" ht="15" customHeight="1">
      <c r="A49" s="72"/>
      <c r="B49" s="72"/>
      <c r="C49" s="72"/>
      <c r="D49" s="272" t="str">
        <f>IF(MasterSheet!$A$1=1,MasterSheet!C288,MasterSheet!B288)</f>
        <v>Rashodi za materijal i usluge</v>
      </c>
      <c r="E49" s="318">
        <f>+'Cental Budget_int'!E62+'Local Government_int'!D68</f>
        <v>127227787.62</v>
      </c>
      <c r="F49" s="308">
        <f t="shared" si="5"/>
        <v>5.9206006617339106</v>
      </c>
      <c r="G49" s="318">
        <f>+'Cental Budget_int'!G62+'Local Government_int'!F68</f>
        <v>158458815.82000002</v>
      </c>
      <c r="H49" s="308">
        <f t="shared" si="0"/>
        <v>5.9115394821861598</v>
      </c>
      <c r="I49" s="318">
        <f>+'Cental Budget_int'!I62+'Local Government_int'!H68</f>
        <v>137718934.25</v>
      </c>
      <c r="J49" s="308">
        <f t="shared" si="1"/>
        <v>4.4632789165802444</v>
      </c>
      <c r="K49" s="318">
        <f>+'Cental Budget_int'!K62+'Local Government_int'!J68</f>
        <v>129954349.67999999</v>
      </c>
      <c r="L49" s="308">
        <f t="shared" si="2"/>
        <v>4.3594213243877888</v>
      </c>
      <c r="M49" s="318">
        <f>+'Cental Budget_int'!M62+'Local Government_int'!L68</f>
        <v>130523384.09</v>
      </c>
      <c r="N49" s="308">
        <f t="shared" si="3"/>
        <v>4.2050059307345364</v>
      </c>
      <c r="O49" s="318">
        <f>+'Cental Budget_int'!O62+'Local Government_int'!N68</f>
        <v>119842683.82999998</v>
      </c>
      <c r="P49" s="308">
        <f t="shared" si="4"/>
        <v>3.7057106935683355</v>
      </c>
      <c r="Q49" s="756">
        <f>+'Cental Budget_int'!Q62+'Local Government_int'!P68</f>
        <v>167223306.44999999</v>
      </c>
      <c r="R49" s="325">
        <f t="shared" si="6"/>
        <v>5.3103622245157194</v>
      </c>
      <c r="S49" s="318">
        <f>+'Cental Budget_int'!S62+'Local Government_int'!R68</f>
        <v>96656483.638300002</v>
      </c>
      <c r="T49" s="325">
        <f t="shared" si="7"/>
        <v>2.7482651020272959</v>
      </c>
      <c r="U49" s="318">
        <f>+'Cental Budget_int'!U62+'Local Government_int'!T68</f>
        <v>98449932.359866008</v>
      </c>
      <c r="V49" s="325">
        <f t="shared" si="8"/>
        <v>2.7992588103459202</v>
      </c>
      <c r="W49" s="852">
        <f t="shared" si="9"/>
        <v>1793448.7215660065</v>
      </c>
      <c r="X49" s="851">
        <f t="shared" si="9"/>
        <v>5.0993708318624265E-2</v>
      </c>
      <c r="Y49" s="318">
        <f>+'Cental Budget_int'!Y62+'Local Government_int'!X68</f>
        <v>141096711.974664</v>
      </c>
      <c r="Z49" s="325">
        <f t="shared" si="10"/>
        <v>3.7776897449709237</v>
      </c>
      <c r="AA49" s="318">
        <f>+'Cental Budget_int'!AA62+'Local Government_int'!Z68</f>
        <v>132725334.07807109</v>
      </c>
      <c r="AB49" s="514">
        <f t="shared" si="11"/>
        <v>3.3331324479676314</v>
      </c>
      <c r="AC49" s="318">
        <f>+'Cental Budget_int'!AC62+'Local Government_int'!AB68</f>
        <v>133551384.61584821</v>
      </c>
      <c r="AD49" s="514">
        <f t="shared" si="12"/>
        <v>3.1313337541816697</v>
      </c>
      <c r="AE49" s="223"/>
      <c r="AF49" s="223"/>
      <c r="AG49" s="223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50"/>
      <c r="BA49" s="160"/>
      <c r="BB49" s="160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245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</row>
    <row r="50" spans="1:243" ht="15" customHeight="1">
      <c r="A50" s="72"/>
      <c r="B50" s="72"/>
      <c r="C50" s="72"/>
      <c r="D50" s="272" t="str">
        <f>IF(MasterSheet!$A$1=1,MasterSheet!C289,MasterSheet!B289)</f>
        <v>Tekuće održavanje</v>
      </c>
      <c r="E50" s="318">
        <f>+'Cental Budget_int'!E63+'Local Government_int'!D69</f>
        <v>25094049.890000001</v>
      </c>
      <c r="F50" s="308">
        <f t="shared" si="5"/>
        <v>1.1677625710828796</v>
      </c>
      <c r="G50" s="318">
        <f>+'Cental Budget_int'!G63+'Local Government_int'!F69</f>
        <v>30124521.010000005</v>
      </c>
      <c r="H50" s="308">
        <f t="shared" si="0"/>
        <v>1.1238396198470437</v>
      </c>
      <c r="I50" s="318">
        <f>+'Cental Budget_int'!I63+'Local Government_int'!H69</f>
        <v>29890496.960000001</v>
      </c>
      <c r="J50" s="308">
        <f t="shared" si="1"/>
        <v>0.96870939071817475</v>
      </c>
      <c r="K50" s="318">
        <f>+'Cental Budget_int'!K63+'Local Government_int'!J69</f>
        <v>9992826.3900000006</v>
      </c>
      <c r="L50" s="308">
        <f t="shared" si="2"/>
        <v>0.33521725561891985</v>
      </c>
      <c r="M50" s="318">
        <f>+'Cental Budget_int'!M63+'Local Government_int'!L69</f>
        <v>32845189.850000001</v>
      </c>
      <c r="N50" s="308">
        <f t="shared" si="3"/>
        <v>1.0581568894974227</v>
      </c>
      <c r="O50" s="318">
        <f>+'Cental Budget_int'!O63+'Local Government_int'!N69</f>
        <v>28163758.149999999</v>
      </c>
      <c r="P50" s="308">
        <f t="shared" si="4"/>
        <v>0.87086450680272098</v>
      </c>
      <c r="Q50" s="756">
        <f>+'Cental Budget_int'!Q63+'Local Government_int'!P69</f>
        <v>27394609.409999996</v>
      </c>
      <c r="R50" s="325">
        <f t="shared" si="6"/>
        <v>0.86994631343283568</v>
      </c>
      <c r="S50" s="318">
        <f>+'Cental Budget_int'!S63+'Local Government_int'!R69</f>
        <v>25164558.760000002</v>
      </c>
      <c r="T50" s="325">
        <f t="shared" si="7"/>
        <v>0.71551204890531706</v>
      </c>
      <c r="U50" s="318">
        <f>+'Cental Budget_int'!U63+'Local Government_int'!T69</f>
        <v>25258516.334200002</v>
      </c>
      <c r="V50" s="325">
        <f t="shared" si="8"/>
        <v>0.71818357504122832</v>
      </c>
      <c r="W50" s="852">
        <f t="shared" si="9"/>
        <v>93957.574200000614</v>
      </c>
      <c r="X50" s="851">
        <f t="shared" si="9"/>
        <v>2.6715261359112619E-3</v>
      </c>
      <c r="Y50" s="318">
        <f>+'Cental Budget_int'!Y63+'Local Government_int'!X69</f>
        <v>26288613.980500001</v>
      </c>
      <c r="Z50" s="325">
        <f t="shared" si="10"/>
        <v>0.70384508649263722</v>
      </c>
      <c r="AA50" s="318">
        <f>+'Cental Budget_int'!AA63+'Local Government_int'!Z69</f>
        <v>25966099.926725</v>
      </c>
      <c r="AB50" s="514">
        <f t="shared" si="11"/>
        <v>0.65208688916938728</v>
      </c>
      <c r="AC50" s="318">
        <f>+'Cental Budget_int'!AC63+'Local Government_int'!AB69</f>
        <v>26266748.927020252</v>
      </c>
      <c r="AD50" s="514">
        <f t="shared" si="12"/>
        <v>0.61586750121970113</v>
      </c>
      <c r="AE50" s="223"/>
      <c r="AF50" s="223"/>
      <c r="AG50" s="223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50"/>
      <c r="BA50" s="160"/>
      <c r="BB50" s="160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250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245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</row>
    <row r="51" spans="1:243" ht="15" customHeight="1">
      <c r="A51" s="72"/>
      <c r="B51" s="72"/>
      <c r="C51" s="72"/>
      <c r="D51" s="272" t="str">
        <f>IF(MasterSheet!$A$1=1,MasterSheet!C290,MasterSheet!B290)</f>
        <v>Kamate</v>
      </c>
      <c r="E51" s="318">
        <f>+'Cental Budget_int'!E64+'Local Government_int'!D70</f>
        <v>23854663.5</v>
      </c>
      <c r="F51" s="308">
        <f t="shared" si="5"/>
        <v>1.1100871841407232</v>
      </c>
      <c r="G51" s="318">
        <f>+'Cental Budget_int'!G64+'Local Government_int'!F70</f>
        <v>27935103.170000002</v>
      </c>
      <c r="H51" s="308">
        <f t="shared" si="0"/>
        <v>1.0421601630292856</v>
      </c>
      <c r="I51" s="318">
        <f>+'Cental Budget_int'!I64+'Local Government_int'!H70</f>
        <v>23805692.059999999</v>
      </c>
      <c r="J51" s="308">
        <f t="shared" si="1"/>
        <v>0.77150933562354151</v>
      </c>
      <c r="K51" s="318">
        <f>+'Cental Budget_int'!K64+'Local Government_int'!J70</f>
        <v>25522738.039999999</v>
      </c>
      <c r="L51" s="308">
        <f t="shared" si="2"/>
        <v>0.85618041060046957</v>
      </c>
      <c r="M51" s="318">
        <f>+'Cental Budget_int'!M64+'Local Government_int'!L70</f>
        <v>31406278.469999999</v>
      </c>
      <c r="N51" s="308">
        <f t="shared" si="3"/>
        <v>1.0118002084407216</v>
      </c>
      <c r="O51" s="318">
        <f>+'Cental Budget_int'!O64+'Local Government_int'!N70</f>
        <v>47603265.710000001</v>
      </c>
      <c r="P51" s="308">
        <f t="shared" si="4"/>
        <v>1.4719624523809525</v>
      </c>
      <c r="Q51" s="756">
        <f>+'Cental Budget_int'!Q64+'Local Government_int'!P70</f>
        <v>59720316.740000002</v>
      </c>
      <c r="R51" s="325">
        <f t="shared" si="6"/>
        <v>1.8964851298825025</v>
      </c>
      <c r="S51" s="318">
        <f>+'Cental Budget_int'!S64+'Local Government_int'!R70</f>
        <v>74323562.745000005</v>
      </c>
      <c r="T51" s="325">
        <f t="shared" si="7"/>
        <v>2.1132659296275236</v>
      </c>
      <c r="U51" s="318">
        <f>+'Cental Budget_int'!U64+'Local Government_int'!T70</f>
        <v>74401961.8539</v>
      </c>
      <c r="V51" s="325">
        <f t="shared" si="8"/>
        <v>2.1154950768808645</v>
      </c>
      <c r="W51" s="852">
        <f t="shared" si="9"/>
        <v>78399.108899995685</v>
      </c>
      <c r="X51" s="851">
        <f t="shared" si="9"/>
        <v>2.2291472533408907E-3</v>
      </c>
      <c r="Y51" s="318">
        <f>+'Cental Budget_int'!Y64+'Local Government_int'!X70</f>
        <v>89782684.966647908</v>
      </c>
      <c r="Z51" s="325">
        <f t="shared" si="10"/>
        <v>2.4038202132971325</v>
      </c>
      <c r="AA51" s="318">
        <f>+'Cental Budget_int'!AA64+'Local Government_int'!Z70</f>
        <v>106967457.30710591</v>
      </c>
      <c r="AB51" s="514">
        <f t="shared" si="11"/>
        <v>2.686274668686738</v>
      </c>
      <c r="AC51" s="318">
        <f>+'Cental Budget_int'!AC64+'Local Government_int'!AB70</f>
        <v>126507457.30710591</v>
      </c>
      <c r="AD51" s="514">
        <f t="shared" si="12"/>
        <v>2.9661771936015455</v>
      </c>
      <c r="AE51" s="223"/>
      <c r="AF51" s="223"/>
      <c r="AG51" s="223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50"/>
      <c r="BA51" s="160"/>
      <c r="BB51" s="160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245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</row>
    <row r="52" spans="1:243" ht="15" customHeight="1">
      <c r="A52" s="72"/>
      <c r="B52" s="72"/>
      <c r="C52" s="72"/>
      <c r="D52" s="272" t="str">
        <f>IF(MasterSheet!$A$1=1,MasterSheet!C291,MasterSheet!B291)</f>
        <v>Renta</v>
      </c>
      <c r="E52" s="318">
        <f>+'Cental Budget_int'!E65+'Local Government_int'!D71</f>
        <v>3086664.4299999997</v>
      </c>
      <c r="F52" s="308">
        <f t="shared" ref="F52:F83" si="13">+E52/$E$15*100</f>
        <v>0.1436392773046675</v>
      </c>
      <c r="G52" s="318">
        <f>+'Cental Budget_int'!G65+'Local Government_int'!F71</f>
        <v>5609104.4100000001</v>
      </c>
      <c r="H52" s="308">
        <f t="shared" ref="H52:H83" si="14">+G52/$G$15*100</f>
        <v>0.20925590039171799</v>
      </c>
      <c r="I52" s="318">
        <f>+'Cental Budget_int'!I65+'Local Government_int'!H71</f>
        <v>9174277.0500000007</v>
      </c>
      <c r="J52" s="308">
        <f t="shared" ref="J52:J83" si="15">+I52/$I$15*100</f>
        <v>0.29732554608504025</v>
      </c>
      <c r="K52" s="318">
        <f>+'Cental Budget_int'!K65+'Local Government_int'!J71</f>
        <v>8768055.8200000003</v>
      </c>
      <c r="L52" s="308">
        <f t="shared" ref="L52:L82" si="16">+K52/$K$15*100</f>
        <v>0.29413135927541095</v>
      </c>
      <c r="M52" s="318">
        <f>+'Cental Budget_int'!M65+'Local Government_int'!L71</f>
        <v>8585830.7100000009</v>
      </c>
      <c r="N52" s="308">
        <f t="shared" ref="N52:N83" si="17">+M52/$M$15*100</f>
        <v>0.27660537081185571</v>
      </c>
      <c r="O52" s="318">
        <f>+'Cental Budget_int'!O65+'Local Government_int'!N71</f>
        <v>7707257.9000000004</v>
      </c>
      <c r="P52" s="308">
        <f t="shared" ref="P52:P83" si="18">+O52/$O$15*100</f>
        <v>0.23831966295609153</v>
      </c>
      <c r="Q52" s="756">
        <f>+'Cental Budget_int'!Q65+'Local Government_int'!P71</f>
        <v>7427422.7800000003</v>
      </c>
      <c r="R52" s="325">
        <f t="shared" ref="R52:R83" si="19">+Q52/$Q$15*100</f>
        <v>0.23586607748491586</v>
      </c>
      <c r="S52" s="318">
        <f>+'Cental Budget_int'!S65+'Local Government_int'!R71</f>
        <v>8237492.2550000008</v>
      </c>
      <c r="T52" s="325">
        <f t="shared" si="7"/>
        <v>0.23421928504407169</v>
      </c>
      <c r="U52" s="318">
        <f>+'Cental Budget_int'!U65+'Local Government_int'!T71</f>
        <v>8244727.3121000007</v>
      </c>
      <c r="V52" s="325">
        <f t="shared" si="8"/>
        <v>0.23442500176570946</v>
      </c>
      <c r="W52" s="852">
        <f t="shared" si="9"/>
        <v>7235.0570999998599</v>
      </c>
      <c r="X52" s="851">
        <f t="shared" si="9"/>
        <v>2.0571672163777199E-4</v>
      </c>
      <c r="Y52" s="318">
        <f>+'Cental Budget_int'!Y65+'Local Government_int'!X71</f>
        <v>8345667.5405000001</v>
      </c>
      <c r="Z52" s="325">
        <f t="shared" si="10"/>
        <v>0.22344491406961178</v>
      </c>
      <c r="AA52" s="318">
        <f>+'Cental Budget_int'!AA65+'Local Government_int'!Z71</f>
        <v>8355615.7440125002</v>
      </c>
      <c r="AB52" s="514">
        <f t="shared" si="11"/>
        <v>0.20983464952316674</v>
      </c>
      <c r="AC52" s="318">
        <f>+'Cental Budget_int'!AC65+'Local Government_int'!AB71</f>
        <v>8395354.4410124999</v>
      </c>
      <c r="AD52" s="514">
        <f t="shared" si="12"/>
        <v>0.19684301151260256</v>
      </c>
      <c r="AE52" s="223"/>
      <c r="AF52" s="223"/>
      <c r="AG52" s="223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50"/>
      <c r="BA52" s="160"/>
      <c r="BB52" s="160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261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245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</row>
    <row r="53" spans="1:243" ht="15" customHeight="1">
      <c r="A53" s="72"/>
      <c r="B53" s="72"/>
      <c r="C53" s="72"/>
      <c r="D53" s="272" t="str">
        <f>IF(MasterSheet!$A$1=1,MasterSheet!C292,MasterSheet!B292)</f>
        <v>Subvencije</v>
      </c>
      <c r="E53" s="318">
        <f>+'Cental Budget_int'!E66+'Local Government_int'!D72</f>
        <v>6607753.2799999993</v>
      </c>
      <c r="F53" s="308">
        <f t="shared" si="13"/>
        <v>0.30749468472241609</v>
      </c>
      <c r="G53" s="318">
        <f>+'Cental Budget_int'!G66+'Local Government_int'!F72</f>
        <v>13869941.18</v>
      </c>
      <c r="H53" s="308">
        <f t="shared" si="14"/>
        <v>0.51743858160790901</v>
      </c>
      <c r="I53" s="318">
        <f>+'Cental Budget_int'!I66+'Local Government_int'!H72</f>
        <v>20139971.149999999</v>
      </c>
      <c r="J53" s="308">
        <f t="shared" si="15"/>
        <v>0.65270842461757839</v>
      </c>
      <c r="K53" s="318">
        <f>+'Cental Budget_int'!K66+'Local Government_int'!J72</f>
        <v>50956109.699999996</v>
      </c>
      <c r="L53" s="308">
        <f t="shared" si="16"/>
        <v>1.7093629553840992</v>
      </c>
      <c r="M53" s="318">
        <f>+'Cental Budget_int'!M66+'Local Government_int'!L72</f>
        <v>39785362.68</v>
      </c>
      <c r="N53" s="308">
        <f t="shared" si="17"/>
        <v>1.2817449317010308</v>
      </c>
      <c r="O53" s="318">
        <f>+'Cental Budget_int'!O66+'Local Government_int'!N72</f>
        <v>46353356.520000003</v>
      </c>
      <c r="P53" s="308">
        <f t="shared" si="18"/>
        <v>1.433313435992579</v>
      </c>
      <c r="Q53" s="756">
        <f>+'Cental Budget_int'!Q66+'Local Government_int'!P72</f>
        <v>26607621.800000001</v>
      </c>
      <c r="R53" s="325">
        <f t="shared" si="19"/>
        <v>0.84495464591933955</v>
      </c>
      <c r="S53" s="318">
        <f>+'Cental Budget_int'!S66+'Local Government_int'!R72</f>
        <v>14931490.1335</v>
      </c>
      <c r="T53" s="325">
        <f t="shared" si="7"/>
        <v>0.42455189461188508</v>
      </c>
      <c r="U53" s="318">
        <f>+'Cental Budget_int'!U66+'Local Government_int'!T72</f>
        <v>15945519.936170001</v>
      </c>
      <c r="V53" s="325">
        <f t="shared" si="8"/>
        <v>0.45338413239038955</v>
      </c>
      <c r="W53" s="852">
        <f t="shared" si="9"/>
        <v>1014029.8026700001</v>
      </c>
      <c r="X53" s="851">
        <f t="shared" si="9"/>
        <v>2.8832237778504466E-2</v>
      </c>
      <c r="Y53" s="318">
        <f>+'Cental Budget_int'!Y66+'Local Government_int'!X72</f>
        <v>12521639.146850001</v>
      </c>
      <c r="Z53" s="325">
        <f t="shared" si="10"/>
        <v>0.33525138278045519</v>
      </c>
      <c r="AA53" s="318">
        <f>+'Cental Budget_int'!AA66+'Local Government_int'!Z72</f>
        <v>11953430.12552125</v>
      </c>
      <c r="AB53" s="514">
        <f t="shared" si="11"/>
        <v>0.30018659280565674</v>
      </c>
      <c r="AC53" s="318">
        <f>+'Cental Budget_int'!AC66+'Local Government_int'!AB72</f>
        <v>12029242.625521248</v>
      </c>
      <c r="AD53" s="514">
        <f t="shared" si="12"/>
        <v>0.28204554807787219</v>
      </c>
      <c r="AE53" s="223"/>
      <c r="AF53" s="223"/>
      <c r="AG53" s="223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50"/>
      <c r="BA53" s="160"/>
      <c r="BB53" s="160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245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</row>
    <row r="54" spans="1:243" ht="15" customHeight="1">
      <c r="A54" s="72"/>
      <c r="B54" s="72"/>
      <c r="C54" s="72"/>
      <c r="D54" s="272" t="str">
        <f>IF(MasterSheet!$A$1=1,MasterSheet!C293,MasterSheet!B293)</f>
        <v>Ostali izdaci</v>
      </c>
      <c r="E54" s="318">
        <f>+'Cental Budget_int'!E67+'Local Government_int'!D73</f>
        <v>5144565.45</v>
      </c>
      <c r="F54" s="308">
        <f t="shared" si="13"/>
        <v>0.23940460002792127</v>
      </c>
      <c r="G54" s="318">
        <f>+'Cental Budget_int'!G67+'Local Government_int'!F73</f>
        <v>7762059.1499999994</v>
      </c>
      <c r="H54" s="308">
        <f t="shared" si="14"/>
        <v>0.28957504756575264</v>
      </c>
      <c r="I54" s="318">
        <f>+'Cental Budget_int'!I67+'Local Government_int'!H73</f>
        <v>10304571.941500001</v>
      </c>
      <c r="J54" s="308">
        <f t="shared" si="15"/>
        <v>0.33395682983860514</v>
      </c>
      <c r="K54" s="318">
        <f>+'Cental Budget_int'!K67+'Local Government_int'!J73</f>
        <v>8465091.3699999992</v>
      </c>
      <c r="L54" s="308">
        <f t="shared" si="16"/>
        <v>0.28396817745722908</v>
      </c>
      <c r="M54" s="318">
        <f>+'Cental Budget_int'!M67+'Local Government_int'!L73</f>
        <v>6211302.6600000001</v>
      </c>
      <c r="N54" s="308">
        <f t="shared" si="17"/>
        <v>0.20010640012886599</v>
      </c>
      <c r="O54" s="318">
        <f>+'Cental Budget_int'!O67+'Local Government_int'!N73</f>
        <v>6749030.8300000001</v>
      </c>
      <c r="P54" s="308">
        <f t="shared" si="18"/>
        <v>0.20868988342609771</v>
      </c>
      <c r="Q54" s="756">
        <f>+'Cental Budget_int'!Q67+'Local Government_int'!P73</f>
        <v>6888973.7100000009</v>
      </c>
      <c r="R54" s="325">
        <f t="shared" si="19"/>
        <v>0.21876702794537953</v>
      </c>
      <c r="S54" s="318">
        <f>+'Cental Budget_int'!S67+'Local Government_int'!R73</f>
        <v>6784477.5370000014</v>
      </c>
      <c r="T54" s="325">
        <f t="shared" si="7"/>
        <v>0.19290524700028439</v>
      </c>
      <c r="U54" s="318">
        <f>+'Cental Budget_int'!U67+'Local Government_int'!T73</f>
        <v>6804928.9725400014</v>
      </c>
      <c r="V54" s="325">
        <f t="shared" si="8"/>
        <v>0.19348674929030427</v>
      </c>
      <c r="W54" s="852">
        <f t="shared" si="9"/>
        <v>20451.435539999977</v>
      </c>
      <c r="X54" s="851">
        <f t="shared" si="9"/>
        <v>5.8150229001988074E-4</v>
      </c>
      <c r="Y54" s="318">
        <f>+'Cental Budget_int'!Y67+'Local Government_int'!X73</f>
        <v>7596424.1347000003</v>
      </c>
      <c r="Z54" s="325">
        <f t="shared" si="10"/>
        <v>0.20338484965729586</v>
      </c>
      <c r="AA54" s="318">
        <f>+'Cental Budget_int'!AA67+'Local Government_int'!Z73</f>
        <v>7624544.8585674996</v>
      </c>
      <c r="AB54" s="514">
        <f t="shared" si="11"/>
        <v>0.19147526013479407</v>
      </c>
      <c r="AC54" s="318">
        <f>+'Cental Budget_int'!AC67+'Local Government_int'!AB73</f>
        <v>7676902.8344674986</v>
      </c>
      <c r="AD54" s="514">
        <f t="shared" si="12"/>
        <v>0.17999772179290735</v>
      </c>
      <c r="AE54" s="223"/>
      <c r="AF54" s="223"/>
      <c r="AG54" s="223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50"/>
      <c r="BA54" s="160"/>
      <c r="BB54" s="160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245"/>
      <c r="GF54" s="4"/>
      <c r="GG54" s="50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</row>
    <row r="55" spans="1:243" s="51" customFormat="1" ht="15" customHeight="1">
      <c r="A55" s="752"/>
      <c r="B55" s="752"/>
      <c r="C55" s="752"/>
      <c r="D55" s="917" t="str">
        <f>IF(MasterSheet!$A$1=1,MasterSheet!C294,MasterSheet!B294)</f>
        <v>Kapitalni izdaci Tekućeg budžeta i Državnih fondova</v>
      </c>
      <c r="E55" s="918">
        <f>+'Cental Budget_int'!E68</f>
        <v>40141835.139999993</v>
      </c>
      <c r="F55" s="919">
        <f t="shared" si="13"/>
        <v>1.8680178295872305</v>
      </c>
      <c r="G55" s="918">
        <f>+'Cental Budget_int'!G68</f>
        <v>0</v>
      </c>
      <c r="H55" s="919">
        <f t="shared" si="14"/>
        <v>0</v>
      </c>
      <c r="I55" s="918">
        <f>+'Cental Budget_int'!I68</f>
        <v>75166022.909999996</v>
      </c>
      <c r="J55" s="919">
        <f t="shared" si="15"/>
        <v>2.4360261508296603</v>
      </c>
      <c r="K55" s="918">
        <f>+'Cental Budget_int'!K68</f>
        <v>26511453.920000002</v>
      </c>
      <c r="L55" s="919">
        <f t="shared" si="16"/>
        <v>0.88934766588393155</v>
      </c>
      <c r="M55" s="918">
        <f>+'Cental Budget_int'!M68</f>
        <v>19371879.949999999</v>
      </c>
      <c r="N55" s="919">
        <f t="shared" si="17"/>
        <v>0.62409407055412369</v>
      </c>
      <c r="O55" s="918">
        <f>+'Cental Budget_int'!O68</f>
        <v>17010992.290000129</v>
      </c>
      <c r="P55" s="919">
        <f t="shared" si="18"/>
        <v>0.52600470902907015</v>
      </c>
      <c r="Q55" s="918">
        <f>+'Cental Budget_int'!Q68</f>
        <v>13391039.780000195</v>
      </c>
      <c r="R55" s="920">
        <f t="shared" si="19"/>
        <v>0.42524737313433458</v>
      </c>
      <c r="S55" s="918">
        <f>+'Cental Budget_int'!S68</f>
        <v>9320147.8499999996</v>
      </c>
      <c r="T55" s="920">
        <f t="shared" si="7"/>
        <v>0.26500278220073925</v>
      </c>
      <c r="U55" s="918">
        <f>+'Cental Budget_int'!U68</f>
        <v>15120147.85</v>
      </c>
      <c r="V55" s="920">
        <f t="shared" si="8"/>
        <v>0.42991606056297976</v>
      </c>
      <c r="W55" s="918">
        <f t="shared" si="9"/>
        <v>5800000</v>
      </c>
      <c r="X55" s="920">
        <f t="shared" si="9"/>
        <v>0.16491327836224051</v>
      </c>
      <c r="Y55" s="918">
        <f>+'Cental Budget_int'!Y68</f>
        <v>7853270.8074999992</v>
      </c>
      <c r="Z55" s="920">
        <f t="shared" si="10"/>
        <v>0.21026160127175364</v>
      </c>
      <c r="AA55" s="918">
        <f>+'Cental Budget_int'!AA68</f>
        <v>7460607.2671249993</v>
      </c>
      <c r="AB55" s="921">
        <f t="shared" si="11"/>
        <v>0.18735829400113008</v>
      </c>
      <c r="AC55" s="918">
        <f>+'Cental Budget_int'!AC68</f>
        <v>7497910.3034606231</v>
      </c>
      <c r="AD55" s="921">
        <f t="shared" si="12"/>
        <v>0.17580094498149176</v>
      </c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50"/>
      <c r="BA55" s="160"/>
      <c r="BB55" s="160"/>
      <c r="BC55" s="916"/>
      <c r="BD55" s="916"/>
      <c r="BE55" s="916"/>
      <c r="BF55" s="916"/>
      <c r="BG55" s="916"/>
      <c r="BH55" s="916"/>
      <c r="BI55" s="916"/>
      <c r="BJ55" s="916"/>
      <c r="BK55" s="916"/>
      <c r="BL55" s="916"/>
      <c r="BM55" s="916"/>
      <c r="BN55" s="916"/>
      <c r="BO55" s="916"/>
      <c r="BP55" s="916"/>
      <c r="BQ55" s="916"/>
      <c r="BR55" s="916"/>
      <c r="BS55" s="916"/>
      <c r="BT55" s="916"/>
      <c r="BU55" s="916"/>
      <c r="BV55" s="916"/>
      <c r="BW55" s="916"/>
      <c r="BX55" s="916"/>
      <c r="BY55" s="916"/>
      <c r="BZ55" s="916"/>
      <c r="CA55" s="916"/>
      <c r="CB55" s="916"/>
      <c r="CC55" s="916"/>
      <c r="CD55" s="916"/>
      <c r="CE55" s="916"/>
      <c r="CF55" s="916"/>
      <c r="CG55" s="916"/>
      <c r="CH55" s="916"/>
      <c r="CI55" s="916"/>
      <c r="CJ55" s="916"/>
      <c r="CK55" s="916"/>
      <c r="CL55" s="916"/>
      <c r="CM55" s="916"/>
      <c r="CN55" s="916"/>
      <c r="CO55" s="916"/>
      <c r="CP55" s="916"/>
      <c r="CQ55" s="916"/>
      <c r="CR55" s="916"/>
      <c r="CS55" s="916"/>
      <c r="CT55" s="916"/>
      <c r="CU55" s="916"/>
      <c r="CV55" s="916"/>
      <c r="CW55" s="916"/>
      <c r="CX55" s="916"/>
      <c r="CY55" s="916"/>
      <c r="CZ55" s="916"/>
      <c r="DA55" s="916"/>
      <c r="DB55" s="916"/>
      <c r="DC55" s="916"/>
      <c r="DD55" s="916"/>
      <c r="DE55" s="916"/>
      <c r="DF55" s="916"/>
      <c r="DG55" s="916"/>
      <c r="DH55" s="916"/>
      <c r="DI55" s="916"/>
      <c r="DJ55" s="916"/>
      <c r="DK55" s="916"/>
      <c r="DL55" s="916"/>
      <c r="DM55" s="916"/>
      <c r="DN55" s="916"/>
      <c r="DO55" s="916"/>
      <c r="DP55" s="916"/>
      <c r="DQ55" s="916"/>
      <c r="DR55" s="916"/>
      <c r="DS55" s="916"/>
      <c r="DT55" s="916"/>
      <c r="DU55" s="916"/>
      <c r="DV55" s="916"/>
      <c r="DW55" s="916"/>
      <c r="DX55" s="916"/>
      <c r="DY55" s="916"/>
      <c r="DZ55" s="916"/>
      <c r="EA55" s="916"/>
      <c r="EB55" s="916"/>
      <c r="EC55" s="916"/>
      <c r="ED55" s="916"/>
      <c r="EE55" s="916"/>
      <c r="EF55" s="916"/>
      <c r="EG55" s="916"/>
      <c r="EH55" s="916"/>
      <c r="EI55" s="916"/>
      <c r="EJ55" s="916"/>
      <c r="EK55" s="916"/>
      <c r="EL55" s="916"/>
      <c r="EM55" s="916"/>
      <c r="EN55" s="916"/>
      <c r="EO55" s="916"/>
      <c r="EP55" s="916"/>
      <c r="EQ55" s="916"/>
      <c r="ER55" s="916"/>
      <c r="ES55" s="916"/>
      <c r="ET55" s="916"/>
      <c r="EU55" s="916"/>
      <c r="EV55" s="916"/>
      <c r="EW55" s="916"/>
      <c r="EX55" s="916"/>
      <c r="EY55" s="916"/>
      <c r="EZ55" s="916"/>
      <c r="FA55" s="916"/>
      <c r="FB55" s="916"/>
      <c r="FC55" s="916"/>
      <c r="FD55" s="916"/>
      <c r="FE55" s="916"/>
      <c r="FF55" s="916"/>
      <c r="FG55" s="916"/>
      <c r="FH55" s="916"/>
      <c r="FI55" s="916"/>
      <c r="FJ55" s="916"/>
      <c r="FK55" s="916"/>
      <c r="FL55" s="916"/>
      <c r="FM55" s="916"/>
      <c r="FN55" s="916"/>
      <c r="FO55" s="916"/>
      <c r="FP55" s="916"/>
      <c r="FQ55" s="916"/>
      <c r="FR55" s="916"/>
      <c r="FS55" s="916"/>
      <c r="FT55" s="916"/>
      <c r="FU55" s="916"/>
      <c r="FV55" s="916"/>
      <c r="FW55" s="916"/>
      <c r="FX55" s="916"/>
      <c r="FY55" s="916"/>
      <c r="FZ55" s="916"/>
      <c r="GA55" s="916"/>
      <c r="GB55" s="916"/>
      <c r="GC55" s="916"/>
      <c r="GD55" s="916"/>
      <c r="GE55" s="245"/>
      <c r="GF55" s="916"/>
      <c r="GG55" s="50"/>
      <c r="GH55" s="916"/>
      <c r="GI55" s="916"/>
      <c r="GJ55" s="916"/>
      <c r="GK55" s="916"/>
      <c r="GL55" s="916"/>
      <c r="GM55" s="916"/>
      <c r="GN55" s="916"/>
      <c r="GO55" s="916"/>
      <c r="GP55" s="916"/>
      <c r="GQ55" s="916"/>
      <c r="GR55" s="916"/>
      <c r="GS55" s="916"/>
      <c r="GT55" s="916"/>
      <c r="GU55" s="916"/>
      <c r="GV55" s="916"/>
      <c r="GW55" s="916"/>
      <c r="GX55" s="916"/>
      <c r="GY55" s="916"/>
      <c r="GZ55" s="916"/>
      <c r="HA55" s="916"/>
      <c r="HB55" s="916"/>
      <c r="HC55" s="916"/>
      <c r="HD55" s="916"/>
      <c r="HE55" s="916"/>
      <c r="HF55" s="916"/>
      <c r="HG55" s="916"/>
      <c r="HH55" s="916"/>
      <c r="HI55" s="916"/>
      <c r="HJ55" s="916"/>
      <c r="HK55" s="916"/>
      <c r="HL55" s="916"/>
      <c r="HM55" s="916"/>
      <c r="HN55" s="916"/>
      <c r="HO55" s="916"/>
      <c r="HP55" s="916"/>
      <c r="HQ55" s="916"/>
      <c r="HR55" s="916"/>
      <c r="HS55" s="916"/>
      <c r="HT55" s="916"/>
      <c r="HU55" s="916"/>
      <c r="HV55" s="916"/>
      <c r="HW55" s="916"/>
      <c r="HX55" s="916"/>
      <c r="HY55" s="916"/>
      <c r="HZ55" s="916"/>
      <c r="IA55" s="916"/>
      <c r="IB55" s="916"/>
      <c r="IC55" s="916"/>
      <c r="ID55" s="916"/>
      <c r="IE55" s="916"/>
      <c r="IF55" s="916"/>
      <c r="IG55" s="916"/>
      <c r="IH55" s="916"/>
      <c r="II55" s="916"/>
    </row>
    <row r="56" spans="1:243" ht="15" customHeight="1">
      <c r="A56" s="72"/>
      <c r="B56" s="72"/>
      <c r="C56" s="72"/>
      <c r="D56" s="272" t="str">
        <f>IF(MasterSheet!$A$1=1,MasterSheet!C295,MasterSheet!B295)</f>
        <v>Transferi za socijalnu zaštitu</v>
      </c>
      <c r="E56" s="318">
        <f>SUM(E57:E61)</f>
        <v>260053753.81</v>
      </c>
      <c r="F56" s="308">
        <f t="shared" si="13"/>
        <v>12.101715008143701</v>
      </c>
      <c r="G56" s="318">
        <f>SUM(G57:G61)</f>
        <v>298776100.27000004</v>
      </c>
      <c r="H56" s="308">
        <f t="shared" si="14"/>
        <v>11.146282420070884</v>
      </c>
      <c r="I56" s="318">
        <f>SUM(I57:I61)</f>
        <v>350415078.49000001</v>
      </c>
      <c r="J56" s="308">
        <f t="shared" si="15"/>
        <v>11.356464820132226</v>
      </c>
      <c r="K56" s="318">
        <f>SUM(K57:K61)</f>
        <v>413071406.82000005</v>
      </c>
      <c r="L56" s="308">
        <f t="shared" si="16"/>
        <v>13.85680666957397</v>
      </c>
      <c r="M56" s="318">
        <f>SUM(M57:M61)</f>
        <v>423588492.50000012</v>
      </c>
      <c r="N56" s="308">
        <f t="shared" si="17"/>
        <v>13.646536485180416</v>
      </c>
      <c r="O56" s="318">
        <f>SUM(O57:O61)</f>
        <v>455524083.13999999</v>
      </c>
      <c r="P56" s="308">
        <f t="shared" si="18"/>
        <v>14.085469484848485</v>
      </c>
      <c r="Q56" s="756">
        <f>SUM(Q57:Q61)</f>
        <v>482086881.83999997</v>
      </c>
      <c r="R56" s="325">
        <f t="shared" si="19"/>
        <v>15.30920552048269</v>
      </c>
      <c r="S56" s="318">
        <f>SUM(S57:S61)</f>
        <v>498262405.93500006</v>
      </c>
      <c r="T56" s="325">
        <f t="shared" si="7"/>
        <v>14.167256352999718</v>
      </c>
      <c r="U56" s="318">
        <f>SUM(U57:U61)</f>
        <v>492270199.51170003</v>
      </c>
      <c r="V56" s="325">
        <f t="shared" si="8"/>
        <v>13.996878007156669</v>
      </c>
      <c r="W56" s="852">
        <f t="shared" si="9"/>
        <v>-5992206.4233000278</v>
      </c>
      <c r="X56" s="851">
        <f t="shared" si="9"/>
        <v>-0.17037834584304967</v>
      </c>
      <c r="Y56" s="318">
        <f>SUM(Y57:Y61)</f>
        <v>503179392.43650001</v>
      </c>
      <c r="Z56" s="325">
        <f t="shared" si="10"/>
        <v>13.472005152248997</v>
      </c>
      <c r="AA56" s="318">
        <f>SUM(AA57:AA61)</f>
        <v>520369475.76891005</v>
      </c>
      <c r="AB56" s="514">
        <f t="shared" si="11"/>
        <v>13.068043088119289</v>
      </c>
      <c r="AC56" s="318">
        <f>SUM(AC57:AC61)</f>
        <v>537892854.9549644</v>
      </c>
      <c r="AD56" s="514">
        <f t="shared" si="12"/>
        <v>12.611790268580641</v>
      </c>
      <c r="AE56" s="222"/>
      <c r="AF56" s="222"/>
      <c r="AG56" s="222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50"/>
      <c r="BA56" s="249"/>
      <c r="BB56" s="249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248"/>
      <c r="FV56" s="4"/>
      <c r="FW56" s="4"/>
      <c r="FX56" s="4"/>
      <c r="FY56" s="4"/>
      <c r="FZ56" s="4"/>
      <c r="GA56" s="4"/>
      <c r="GB56" s="4"/>
      <c r="GC56" s="4"/>
      <c r="GD56" s="4"/>
      <c r="GE56" s="245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</row>
    <row r="57" spans="1:243" ht="15" customHeight="1">
      <c r="A57" s="72"/>
      <c r="B57" s="72"/>
      <c r="C57" s="72"/>
      <c r="D57" s="271" t="str">
        <f>IF(MasterSheet!$A$1=1,MasterSheet!C296,MasterSheet!B296)</f>
        <v>Prava iz oblasti socijalne zaštite</v>
      </c>
      <c r="E57" s="316">
        <f>+'Cental Budget_int'!E70+'Local Government_int'!D75</f>
        <v>34330192.07</v>
      </c>
      <c r="F57" s="307">
        <f t="shared" si="13"/>
        <v>1.597570481176416</v>
      </c>
      <c r="G57" s="316">
        <f>+'Cental Budget_int'!G70+'Local Government_int'!F75</f>
        <v>39383527.090000004</v>
      </c>
      <c r="H57" s="307">
        <f t="shared" si="14"/>
        <v>1.4692604771497857</v>
      </c>
      <c r="I57" s="316">
        <f>+'Cental Budget_int'!I70+'Local Government_int'!H75</f>
        <v>45905462.160000004</v>
      </c>
      <c r="J57" s="307">
        <f t="shared" si="15"/>
        <v>1.4877321156339125</v>
      </c>
      <c r="K57" s="316">
        <f>+'Cental Budget_int'!K70+'Local Government_int'!J75</f>
        <v>47456540.350000001</v>
      </c>
      <c r="L57" s="307">
        <f t="shared" si="16"/>
        <v>1.5919671368668231</v>
      </c>
      <c r="M57" s="316">
        <f>+'Cental Budget_int'!M70+'Local Government_int'!L75</f>
        <v>51591720.359999999</v>
      </c>
      <c r="N57" s="307">
        <f t="shared" si="17"/>
        <v>1.6621043930412371</v>
      </c>
      <c r="O57" s="316">
        <f>+'Cental Budget_int'!O70+'Local Government_int'!N75</f>
        <v>60092767.540000007</v>
      </c>
      <c r="P57" s="307">
        <f t="shared" si="18"/>
        <v>1.858156077303649</v>
      </c>
      <c r="Q57" s="926">
        <f>+'Cental Budget_int'!Q70+'Local Government_int'!P75</f>
        <v>65641911.829999998</v>
      </c>
      <c r="R57" s="324">
        <f t="shared" si="19"/>
        <v>2.0845319730073038</v>
      </c>
      <c r="S57" s="316">
        <f>+'Cental Budget_int'!S70+'Local Government_int'!R75</f>
        <v>61398678.835000001</v>
      </c>
      <c r="T57" s="324">
        <f t="shared" si="7"/>
        <v>1.7457685196189936</v>
      </c>
      <c r="U57" s="316">
        <f>+'Cental Budget_int'!U70+'Local Government_int'!T75</f>
        <v>67406472.411699995</v>
      </c>
      <c r="V57" s="324">
        <f t="shared" si="8"/>
        <v>1.91659006004265</v>
      </c>
      <c r="W57" s="847">
        <f t="shared" si="9"/>
        <v>6007793.5766999945</v>
      </c>
      <c r="X57" s="848">
        <f t="shared" si="9"/>
        <v>0.17082154042365638</v>
      </c>
      <c r="Y57" s="316">
        <f>+'Cental Budget_int'!Y70+'Local Government_int'!X75</f>
        <v>62284518.252499998</v>
      </c>
      <c r="Z57" s="324">
        <f t="shared" si="10"/>
        <v>1.667590850133869</v>
      </c>
      <c r="AA57" s="316">
        <f>+'Cental Budget_int'!AA70+'Local Government_int'!Z75</f>
        <v>63296208.617550001</v>
      </c>
      <c r="AB57" s="513">
        <f t="shared" si="11"/>
        <v>1.5895582274623306</v>
      </c>
      <c r="AC57" s="316">
        <f>+'Cental Budget_int'!AC70+'Local Government_int'!AB75</f>
        <v>63629708.617549993</v>
      </c>
      <c r="AD57" s="513">
        <f t="shared" si="12"/>
        <v>1.4919040707514652</v>
      </c>
      <c r="AE57" s="223"/>
      <c r="AF57" s="223"/>
      <c r="AG57" s="223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50"/>
      <c r="BA57" s="160"/>
      <c r="BB57" s="160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245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</row>
    <row r="58" spans="1:243" ht="15" customHeight="1">
      <c r="A58" s="72"/>
      <c r="B58" s="72"/>
      <c r="C58" s="72"/>
      <c r="D58" s="271" t="str">
        <f>IF(MasterSheet!$A$1=1,MasterSheet!C297,MasterSheet!B297)</f>
        <v>Sredstva za tehnološke viškove</v>
      </c>
      <c r="E58" s="316">
        <f>+'Cental Budget_int'!E71+'Local Government_int'!D76</f>
        <v>9827053.3399999999</v>
      </c>
      <c r="F58" s="307">
        <f t="shared" si="13"/>
        <v>0.45730621899576529</v>
      </c>
      <c r="G58" s="316">
        <f>+'Cental Budget_int'!G71+'Local Government_int'!F76</f>
        <v>11489125.32</v>
      </c>
      <c r="H58" s="307">
        <f t="shared" si="14"/>
        <v>0.42861873978735315</v>
      </c>
      <c r="I58" s="316">
        <f>+'Cental Budget_int'!I71+'Local Government_int'!H76</f>
        <v>30282109.969999999</v>
      </c>
      <c r="J58" s="307">
        <f t="shared" si="15"/>
        <v>0.98140102313974587</v>
      </c>
      <c r="K58" s="316">
        <f>+'Cental Budget_int'!K71+'Local Government_int'!J76</f>
        <v>19963527.059999999</v>
      </c>
      <c r="L58" s="307">
        <f t="shared" si="16"/>
        <v>0.66969228648104651</v>
      </c>
      <c r="M58" s="316">
        <f>+'Cental Budget_int'!M71+'Local Government_int'!L76</f>
        <v>20513795.120000001</v>
      </c>
      <c r="N58" s="307">
        <f t="shared" si="17"/>
        <v>0.66088257474226808</v>
      </c>
      <c r="O58" s="316">
        <f>+'Cental Budget_int'!O71+'Local Government_int'!N76</f>
        <v>17323007.039999999</v>
      </c>
      <c r="P58" s="307">
        <f t="shared" si="18"/>
        <v>0.5356526604823747</v>
      </c>
      <c r="Q58" s="926">
        <f>+'Cental Budget_int'!Q71+'Local Government_int'!P76</f>
        <v>16130418.140000001</v>
      </c>
      <c r="R58" s="324">
        <f t="shared" si="19"/>
        <v>0.51223938202604002</v>
      </c>
      <c r="S58" s="316">
        <f>+'Cental Budget_int'!S71+'Local Government_int'!R76</f>
        <v>15360050</v>
      </c>
      <c r="T58" s="324">
        <f t="shared" si="7"/>
        <v>0.43673727608757468</v>
      </c>
      <c r="U58" s="316">
        <f>+'Cental Budget_int'!U71+'Local Government_int'!T76</f>
        <v>15360050</v>
      </c>
      <c r="V58" s="324">
        <f t="shared" si="8"/>
        <v>0.43673727608757468</v>
      </c>
      <c r="W58" s="847">
        <f t="shared" si="9"/>
        <v>0</v>
      </c>
      <c r="X58" s="848">
        <f t="shared" si="9"/>
        <v>0</v>
      </c>
      <c r="Y58" s="316">
        <f>+'Cental Budget_int'!Y71+'Local Government_int'!X76</f>
        <v>15360050</v>
      </c>
      <c r="Z58" s="324">
        <f t="shared" si="10"/>
        <v>0.41124631860776439</v>
      </c>
      <c r="AA58" s="316">
        <f>+'Cental Budget_int'!AA71+'Local Government_int'!Z76</f>
        <v>15360050</v>
      </c>
      <c r="AB58" s="513">
        <f t="shared" si="11"/>
        <v>0.38573706680060271</v>
      </c>
      <c r="AC58" s="316">
        <f>+'Cental Budget_int'!AC71+'Local Government_int'!AB76</f>
        <v>15513650.5</v>
      </c>
      <c r="AD58" s="513">
        <f t="shared" si="12"/>
        <v>0.36374327080890972</v>
      </c>
      <c r="AE58" s="223"/>
      <c r="AF58" s="223"/>
      <c r="AG58" s="223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50"/>
      <c r="BA58" s="160"/>
      <c r="BB58" s="160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245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</row>
    <row r="59" spans="1:243" ht="15" customHeight="1">
      <c r="A59" s="72"/>
      <c r="B59" s="72"/>
      <c r="C59" s="72"/>
      <c r="D59" s="271" t="str">
        <f>IF(MasterSheet!$A$1=1,MasterSheet!C298,MasterSheet!B298)</f>
        <v>Prava iz oblasti penzijskog i invalidskog osiguranja</v>
      </c>
      <c r="E59" s="316">
        <f>+'Cental Budget_int'!E72+'Local Government_int'!D77</f>
        <v>199416686.40000001</v>
      </c>
      <c r="F59" s="307">
        <f t="shared" si="13"/>
        <v>9.2799425938852451</v>
      </c>
      <c r="G59" s="316">
        <f>+'Cental Budget_int'!G72+'Local Government_int'!F77</f>
        <v>228365332.86000001</v>
      </c>
      <c r="H59" s="307">
        <f t="shared" si="14"/>
        <v>8.5195050498041418</v>
      </c>
      <c r="I59" s="316">
        <f>+'Cental Budget_int'!I72+'Local Government_int'!H77</f>
        <v>250935783.35999998</v>
      </c>
      <c r="J59" s="307">
        <f t="shared" si="15"/>
        <v>8.1324793673839775</v>
      </c>
      <c r="K59" s="316">
        <f>+'Cental Budget_int'!K72+'Local Government_int'!J77</f>
        <v>323500545.41000003</v>
      </c>
      <c r="L59" s="307">
        <f t="shared" si="16"/>
        <v>10.852081362294532</v>
      </c>
      <c r="M59" s="316">
        <f>+'Cental Budget_int'!M72+'Local Government_int'!L77</f>
        <v>330972340.54000008</v>
      </c>
      <c r="N59" s="307">
        <f t="shared" si="17"/>
        <v>10.66276870296392</v>
      </c>
      <c r="O59" s="316">
        <f>+'Cental Budget_int'!O72+'Local Government_int'!N77</f>
        <v>356875323.42000002</v>
      </c>
      <c r="P59" s="307">
        <f t="shared" si="18"/>
        <v>11.035105857142858</v>
      </c>
      <c r="Q59" s="926">
        <f>+'Cental Budget_int'!Q72+'Local Government_int'!P77</f>
        <v>378962096.58999997</v>
      </c>
      <c r="R59" s="324">
        <f t="shared" si="19"/>
        <v>12.034363181644967</v>
      </c>
      <c r="S59" s="316">
        <f>+'Cental Budget_int'!S72+'Local Government_int'!R77</f>
        <v>400903677.10000002</v>
      </c>
      <c r="T59" s="324">
        <f t="shared" si="7"/>
        <v>11.399024085868639</v>
      </c>
      <c r="U59" s="316">
        <f>+'Cental Budget_int'!U72+'Local Government_int'!T77</f>
        <v>388903677.10000002</v>
      </c>
      <c r="V59" s="324">
        <f t="shared" si="8"/>
        <v>11.057824199601935</v>
      </c>
      <c r="W59" s="847">
        <f t="shared" si="9"/>
        <v>-12000000</v>
      </c>
      <c r="X59" s="848">
        <f t="shared" si="9"/>
        <v>-0.34119988626670406</v>
      </c>
      <c r="Y59" s="316">
        <f>+'Cental Budget_int'!Y72+'Local Government_int'!X77</f>
        <v>404459824.18400002</v>
      </c>
      <c r="Z59" s="324">
        <f t="shared" si="10"/>
        <v>10.828910955394914</v>
      </c>
      <c r="AA59" s="316">
        <f>+'Cental Budget_int'!AA72+'Local Government_int'!Z77</f>
        <v>420638217.15136003</v>
      </c>
      <c r="AB59" s="513">
        <f t="shared" si="11"/>
        <v>10.563491138909093</v>
      </c>
      <c r="AC59" s="316">
        <f>+'Cental Budget_int'!AC72+'Local Government_int'!AB77</f>
        <v>437463745.83741444</v>
      </c>
      <c r="AD59" s="513">
        <f t="shared" si="12"/>
        <v>10.257063208380176</v>
      </c>
      <c r="AE59" s="223"/>
      <c r="AF59" s="223"/>
      <c r="AG59" s="223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50"/>
      <c r="BA59" s="160"/>
      <c r="BB59" s="160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245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</row>
    <row r="60" spans="1:243" ht="15" customHeight="1">
      <c r="A60" s="72"/>
      <c r="B60" s="72"/>
      <c r="C60" s="72"/>
      <c r="D60" s="271" t="str">
        <f>IF(MasterSheet!$A$1=1,MasterSheet!C299,MasterSheet!B299)</f>
        <v>Ostala prava iz oblasti zdravstvene zaštite</v>
      </c>
      <c r="E60" s="316">
        <f>+'Cental Budget_int'!E73+'Local Government_int'!D78</f>
        <v>10828245</v>
      </c>
      <c r="F60" s="307">
        <f t="shared" si="13"/>
        <v>0.50389711014937877</v>
      </c>
      <c r="G60" s="316">
        <f>+'Cental Budget_int'!G73+'Local Government_int'!F78</f>
        <v>12762198</v>
      </c>
      <c r="H60" s="307">
        <f t="shared" si="14"/>
        <v>0.47611259093452718</v>
      </c>
      <c r="I60" s="316">
        <f>+'Cental Budget_int'!I73+'Local Government_int'!H78</f>
        <v>15724080</v>
      </c>
      <c r="J60" s="307">
        <f t="shared" si="15"/>
        <v>0.50959554057557688</v>
      </c>
      <c r="K60" s="316">
        <f>+'Cental Budget_int'!K73+'Local Government_int'!J78</f>
        <v>14442818</v>
      </c>
      <c r="L60" s="307">
        <f t="shared" si="16"/>
        <v>0.48449573968466958</v>
      </c>
      <c r="M60" s="316">
        <f>+'Cental Budget_int'!M73+'Local Government_int'!L78</f>
        <v>12638749.91</v>
      </c>
      <c r="N60" s="307">
        <f t="shared" si="17"/>
        <v>0.40717622132731957</v>
      </c>
      <c r="O60" s="316">
        <f>+'Cental Budget_int'!O73+'Local Government_int'!N78</f>
        <v>12978814.83</v>
      </c>
      <c r="P60" s="307">
        <f t="shared" si="18"/>
        <v>0.40132389703153987</v>
      </c>
      <c r="Q60" s="926">
        <f>+'Cental Budget_int'!Q73+'Local Government_int'!P78</f>
        <v>13497405.869999999</v>
      </c>
      <c r="R60" s="324">
        <f t="shared" si="19"/>
        <v>0.42862514671324226</v>
      </c>
      <c r="S60" s="316">
        <f>+'Cental Budget_int'!S73+'Local Government_int'!R78</f>
        <v>13600000</v>
      </c>
      <c r="T60" s="324">
        <f t="shared" si="7"/>
        <v>0.38669320443559851</v>
      </c>
      <c r="U60" s="316">
        <f>+'Cental Budget_int'!U73+'Local Government_int'!T78</f>
        <v>13600000</v>
      </c>
      <c r="V60" s="324">
        <f t="shared" si="8"/>
        <v>0.38669320443559851</v>
      </c>
      <c r="W60" s="847">
        <f t="shared" si="9"/>
        <v>0</v>
      </c>
      <c r="X60" s="848">
        <f t="shared" si="9"/>
        <v>0</v>
      </c>
      <c r="Y60" s="316">
        <f>+'Cental Budget_int'!Y73+'Local Government_int'!X78</f>
        <v>13800000</v>
      </c>
      <c r="Z60" s="324">
        <f t="shared" si="10"/>
        <v>0.36947791164658633</v>
      </c>
      <c r="AA60" s="316">
        <f>+'Cental Budget_int'!AA73+'Local Government_int'!Z78</f>
        <v>13800000</v>
      </c>
      <c r="AB60" s="513">
        <f t="shared" si="11"/>
        <v>0.34655951783023603</v>
      </c>
      <c r="AC60" s="316">
        <f>+'Cental Budget_int'!AC73+'Local Government_int'!AB78</f>
        <v>13938000</v>
      </c>
      <c r="AD60" s="513">
        <f t="shared" si="12"/>
        <v>0.32679953106682302</v>
      </c>
      <c r="AE60" s="223"/>
      <c r="AF60" s="223"/>
      <c r="AG60" s="223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50"/>
      <c r="BA60" s="160"/>
      <c r="BB60" s="160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245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</row>
    <row r="61" spans="1:243" ht="15" customHeight="1">
      <c r="A61" s="72"/>
      <c r="B61" s="72"/>
      <c r="C61" s="72"/>
      <c r="D61" s="271" t="str">
        <f>IF(MasterSheet!$A$1=1,MasterSheet!C300,MasterSheet!B300)</f>
        <v>Ostala prava iz oblasti zdravstvenog osiguranja</v>
      </c>
      <c r="E61" s="316">
        <f>+'Cental Budget_int'!E74+'Local Government_int'!D79</f>
        <v>5651577</v>
      </c>
      <c r="F61" s="307">
        <f t="shared" si="13"/>
        <v>0.26299860393689795</v>
      </c>
      <c r="G61" s="316">
        <f>+'Cental Budget_int'!G74+'Local Government_int'!F79</f>
        <v>6775917</v>
      </c>
      <c r="H61" s="307">
        <f t="shared" si="14"/>
        <v>0.25278556239507555</v>
      </c>
      <c r="I61" s="316">
        <f>+'Cental Budget_int'!I74+'Local Government_int'!H79</f>
        <v>7567643</v>
      </c>
      <c r="J61" s="307">
        <f t="shared" si="15"/>
        <v>0.24525677339901478</v>
      </c>
      <c r="K61" s="316">
        <f>+'Cental Budget_int'!K74+'Local Government_int'!J79</f>
        <v>7707976</v>
      </c>
      <c r="L61" s="307">
        <f t="shared" si="16"/>
        <v>0.258570144246897</v>
      </c>
      <c r="M61" s="316">
        <f>+'Cental Budget_int'!M74+'Local Government_int'!L79</f>
        <v>7871886.5700000003</v>
      </c>
      <c r="N61" s="307">
        <f t="shared" si="17"/>
        <v>0.25360459310567013</v>
      </c>
      <c r="O61" s="316">
        <f>+'Cental Budget_int'!O74+'Local Government_int'!N79</f>
        <v>8254170.3099999996</v>
      </c>
      <c r="P61" s="307">
        <f t="shared" si="18"/>
        <v>0.25523099288806428</v>
      </c>
      <c r="Q61" s="926">
        <f>+'Cental Budget_int'!Q74+'Local Government_int'!P79</f>
        <v>7855049.4100000001</v>
      </c>
      <c r="R61" s="324">
        <f t="shared" si="19"/>
        <v>0.24944583709114004</v>
      </c>
      <c r="S61" s="316">
        <f>+'Cental Budget_int'!S74+'Local Government_int'!R79</f>
        <v>7000000</v>
      </c>
      <c r="T61" s="324">
        <f t="shared" si="7"/>
        <v>0.199033266988911</v>
      </c>
      <c r="U61" s="316">
        <f>+'Cental Budget_int'!U74+'Local Government_int'!T79</f>
        <v>7000000</v>
      </c>
      <c r="V61" s="324">
        <f t="shared" si="8"/>
        <v>0.199033266988911</v>
      </c>
      <c r="W61" s="847">
        <f t="shared" si="9"/>
        <v>0</v>
      </c>
      <c r="X61" s="848">
        <f t="shared" si="9"/>
        <v>0</v>
      </c>
      <c r="Y61" s="316">
        <f>+'Cental Budget_int'!Y74+'Local Government_int'!X79</f>
        <v>7275000</v>
      </c>
      <c r="Z61" s="324">
        <f t="shared" si="10"/>
        <v>0.19477911646586346</v>
      </c>
      <c r="AA61" s="316">
        <f>+'Cental Budget_int'!AA74+'Local Government_int'!Z79</f>
        <v>7275000</v>
      </c>
      <c r="AB61" s="513">
        <f t="shared" si="11"/>
        <v>0.18269713711702662</v>
      </c>
      <c r="AC61" s="316">
        <f>+'Cental Budget_int'!AC74+'Local Government_int'!AB79</f>
        <v>7347750</v>
      </c>
      <c r="AD61" s="513">
        <f t="shared" si="12"/>
        <v>0.17228018757327079</v>
      </c>
      <c r="AE61" s="223"/>
      <c r="AF61" s="223"/>
      <c r="AG61" s="223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50"/>
      <c r="BA61" s="160"/>
      <c r="BB61" s="160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245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</row>
    <row r="62" spans="1:243" ht="15" customHeight="1">
      <c r="A62" s="72"/>
      <c r="B62" s="72"/>
      <c r="C62" s="72"/>
      <c r="D62" s="272" t="str">
        <f>IF(MasterSheet!$A$1=1,MasterSheet!C301,MasterSheet!B301)</f>
        <v>Transferi instit. pojed. NVO i javnom sektoru</v>
      </c>
      <c r="E62" s="318">
        <f>SUM(E63:E66)</f>
        <v>58051126.109999999</v>
      </c>
      <c r="F62" s="308">
        <f t="shared" si="13"/>
        <v>2.7014345064916934</v>
      </c>
      <c r="G62" s="318">
        <f>SUM(G63:G66)</f>
        <v>81160839.179999992</v>
      </c>
      <c r="H62" s="308">
        <f t="shared" si="14"/>
        <v>3.0278246289871289</v>
      </c>
      <c r="I62" s="318">
        <f>SUM(I63:I66)</f>
        <v>237546077.30000001</v>
      </c>
      <c r="J62" s="308">
        <f t="shared" si="15"/>
        <v>7.6985376361161526</v>
      </c>
      <c r="K62" s="318">
        <f>SUM(K63:K66)</f>
        <v>235061743.41</v>
      </c>
      <c r="L62" s="308">
        <f>+K62/$K$15*100</f>
        <v>7.8853318822542775</v>
      </c>
      <c r="M62" s="318">
        <f>SUM(M63:M66)</f>
        <v>203065334.32000002</v>
      </c>
      <c r="N62" s="308">
        <f t="shared" si="17"/>
        <v>6.542053296391753</v>
      </c>
      <c r="O62" s="318">
        <f>SUM(O63:O66)</f>
        <v>112817813.70999999</v>
      </c>
      <c r="P62" s="308">
        <f t="shared" si="18"/>
        <v>3.4884914567099563</v>
      </c>
      <c r="Q62" s="756">
        <f>SUM(Q63:Q66)</f>
        <v>63605735.049999997</v>
      </c>
      <c r="R62" s="325">
        <f t="shared" si="19"/>
        <v>2.0198709129882504</v>
      </c>
      <c r="S62" s="318">
        <f>SUM(S63:S66)</f>
        <v>121006737.80294</v>
      </c>
      <c r="T62" s="325">
        <f t="shared" si="7"/>
        <v>3.4406237646556725</v>
      </c>
      <c r="U62" s="318">
        <f>SUM(U63:U66)</f>
        <v>125194258.59439881</v>
      </c>
      <c r="V62" s="325">
        <f t="shared" si="8"/>
        <v>3.5596888994711064</v>
      </c>
      <c r="W62" s="852">
        <f t="shared" si="9"/>
        <v>4187520.7914588153</v>
      </c>
      <c r="X62" s="851">
        <f t="shared" si="9"/>
        <v>0.1190651348154339</v>
      </c>
      <c r="Y62" s="318">
        <f>SUM(Y63:Y66)</f>
        <v>56906991.457264006</v>
      </c>
      <c r="Z62" s="325">
        <f t="shared" si="10"/>
        <v>1.5236142291101473</v>
      </c>
      <c r="AA62" s="318">
        <f>SUM(AA63:AA66)</f>
        <v>57567292.538427308</v>
      </c>
      <c r="AB62" s="514">
        <f t="shared" si="11"/>
        <v>1.4456879090514141</v>
      </c>
      <c r="AC62" s="318">
        <f>SUM(AC63:AC66)</f>
        <v>58969747.749936961</v>
      </c>
      <c r="AD62" s="514">
        <f t="shared" si="12"/>
        <v>1.3826435580290026</v>
      </c>
      <c r="AE62" s="222"/>
      <c r="AF62" s="222"/>
      <c r="AG62" s="222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50"/>
      <c r="BA62" s="249"/>
      <c r="BB62" s="249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248"/>
      <c r="FV62" s="4"/>
      <c r="FW62" s="248"/>
      <c r="FX62" s="4"/>
      <c r="FY62" s="4"/>
      <c r="FZ62" s="4"/>
      <c r="GA62" s="4"/>
      <c r="GB62" s="4"/>
      <c r="GC62" s="4"/>
      <c r="GD62" s="4"/>
      <c r="GE62" s="245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</row>
    <row r="63" spans="1:243" ht="15" customHeight="1">
      <c r="A63" s="72"/>
      <c r="B63" s="72"/>
      <c r="C63" s="72"/>
      <c r="D63" s="271" t="str">
        <f>IF(MasterSheet!$A$1=1,MasterSheet!C302,MasterSheet!B302)</f>
        <v>Transferi javnim institucijama</v>
      </c>
      <c r="E63" s="316">
        <f>+'Cental Budget_int'!E76+'Local Government_int'!D81</f>
        <v>29175316.68</v>
      </c>
      <c r="F63" s="307">
        <f t="shared" si="13"/>
        <v>1.3576861035878822</v>
      </c>
      <c r="G63" s="316">
        <f>+'Cental Budget_int'!G76+'Local Government_int'!F81</f>
        <v>38491216.419999994</v>
      </c>
      <c r="H63" s="307">
        <f t="shared" si="14"/>
        <v>1.4359715135235962</v>
      </c>
      <c r="I63" s="316">
        <f>+'Cental Budget_int'!I76+'Local Government_int'!H81</f>
        <v>194749070.12</v>
      </c>
      <c r="J63" s="307">
        <f t="shared" si="15"/>
        <v>6.3115462185636506</v>
      </c>
      <c r="K63" s="316">
        <f>+'Cental Budget_int'!K76+'Local Government_int'!J81</f>
        <v>235061743.41</v>
      </c>
      <c r="L63" s="307">
        <f t="shared" si="16"/>
        <v>7.8853318822542775</v>
      </c>
      <c r="M63" s="316">
        <f>+'Cental Budget_int'!M76+'Local Government_int'!L81</f>
        <v>183111612.11000001</v>
      </c>
      <c r="N63" s="307">
        <f t="shared" si="17"/>
        <v>5.8992143076675259</v>
      </c>
      <c r="O63" s="316">
        <f>+'Cental Budget_int'!O76+'Local Government_int'!N81</f>
        <v>76423029.519999996</v>
      </c>
      <c r="P63" s="307">
        <f t="shared" si="18"/>
        <v>2.3631116116264685</v>
      </c>
      <c r="Q63" s="926">
        <f>+'Cental Budget_int'!Q76+'Local Government_int'!P81</f>
        <v>23769288.869999997</v>
      </c>
      <c r="R63" s="324">
        <f t="shared" si="19"/>
        <v>0.75482022451571917</v>
      </c>
      <c r="S63" s="316">
        <f>+'Cental Budget_int'!S76+'Local Government_int'!R81</f>
        <v>81068892.652999997</v>
      </c>
      <c r="T63" s="324">
        <f t="shared" si="7"/>
        <v>2.3050580794142737</v>
      </c>
      <c r="U63" s="316">
        <f>+'Cental Budget_int'!U76+'Local Government_int'!T81</f>
        <v>84876741.06505999</v>
      </c>
      <c r="V63" s="324">
        <f t="shared" si="8"/>
        <v>2.4133278665072502</v>
      </c>
      <c r="W63" s="847">
        <f t="shared" si="9"/>
        <v>3807848.4120599926</v>
      </c>
      <c r="X63" s="848">
        <f t="shared" si="9"/>
        <v>0.10826978709297652</v>
      </c>
      <c r="Y63" s="316">
        <f>+'Cental Budget_int'!Y76+'Local Government_int'!X81</f>
        <v>24479365.719329998</v>
      </c>
      <c r="Z63" s="324">
        <f t="shared" si="10"/>
        <v>0.65540470466746981</v>
      </c>
      <c r="AA63" s="316">
        <f>+'Cental Budget_int'!AA76+'Local Government_int'!Z81</f>
        <v>24644899.522369951</v>
      </c>
      <c r="AB63" s="513">
        <f t="shared" si="11"/>
        <v>0.61890757213385106</v>
      </c>
      <c r="AC63" s="316">
        <f>+'Cental Budget_int'!AC76+'Local Government_int'!AB81</f>
        <v>25572193.179563299</v>
      </c>
      <c r="AD63" s="513">
        <f t="shared" si="12"/>
        <v>0.59958248955599758</v>
      </c>
      <c r="AE63" s="223"/>
      <c r="AF63" s="223"/>
      <c r="AG63" s="223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50"/>
      <c r="BA63" s="160"/>
      <c r="BB63" s="160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248"/>
      <c r="FV63" s="4"/>
      <c r="FW63" s="4"/>
      <c r="FX63" s="4"/>
      <c r="FY63" s="4"/>
      <c r="FZ63" s="4"/>
      <c r="GA63" s="4"/>
      <c r="GB63" s="4"/>
      <c r="GC63" s="4"/>
      <c r="GD63" s="4"/>
      <c r="GE63" s="245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</row>
    <row r="64" spans="1:243" ht="15" customHeight="1">
      <c r="A64" s="72"/>
      <c r="B64" s="72"/>
      <c r="C64" s="72"/>
      <c r="D64" s="271" t="str">
        <f>IF(MasterSheet!$A$1=1,MasterSheet!C303,MasterSheet!B303)</f>
        <v>Transferi nevladinim organizacijama</v>
      </c>
      <c r="E64" s="316">
        <f>+'Cental Budget_int'!E77+'Local Government_int'!D82</f>
        <v>6820983.5</v>
      </c>
      <c r="F64" s="307">
        <f t="shared" si="13"/>
        <v>0.31741744613523198</v>
      </c>
      <c r="G64" s="316">
        <f>+'Cental Budget_int'!G77+'Local Government_int'!F82</f>
        <v>10479150.579999998</v>
      </c>
      <c r="H64" s="307">
        <f t="shared" si="14"/>
        <v>0.39094014474911393</v>
      </c>
      <c r="I64" s="316">
        <f>+'Cental Budget_int'!I77+'Local Government_int'!H82</f>
        <v>12055087.970000001</v>
      </c>
      <c r="J64" s="307">
        <f t="shared" si="15"/>
        <v>0.39068861712470832</v>
      </c>
      <c r="K64" s="316">
        <f>+'Cental Budget_int'!K77+'Local Government_int'!J82</f>
        <v>0</v>
      </c>
      <c r="L64" s="307">
        <f t="shared" si="16"/>
        <v>0</v>
      </c>
      <c r="M64" s="316">
        <f>+'Cental Budget_int'!M77+'Local Government_int'!L82</f>
        <v>4286887.0199999996</v>
      </c>
      <c r="N64" s="307">
        <f t="shared" si="17"/>
        <v>0.13810847358247422</v>
      </c>
      <c r="O64" s="316">
        <f>+'Cental Budget_int'!O77+'Local Government_int'!N82</f>
        <v>6619408.7699999996</v>
      </c>
      <c r="P64" s="307">
        <f t="shared" si="18"/>
        <v>0.204681780148423</v>
      </c>
      <c r="Q64" s="926">
        <f>+'Cental Budget_int'!Q77+'Local Government_int'!P82</f>
        <v>6597732.5999999996</v>
      </c>
      <c r="R64" s="324">
        <f t="shared" si="19"/>
        <v>0.20951834233089869</v>
      </c>
      <c r="S64" s="316">
        <f>+'Cental Budget_int'!S77+'Local Government_int'!R82</f>
        <v>4399081.4514999995</v>
      </c>
      <c r="T64" s="324">
        <f t="shared" si="7"/>
        <v>0.12508050757748079</v>
      </c>
      <c r="U64" s="316">
        <f>+'Cental Budget_int'!U77+'Local Government_int'!T82</f>
        <v>4436370.55693</v>
      </c>
      <c r="V64" s="324">
        <f t="shared" si="8"/>
        <v>0.12614076078845607</v>
      </c>
      <c r="W64" s="847">
        <f t="shared" si="9"/>
        <v>37289.105430000462</v>
      </c>
      <c r="X64" s="848">
        <f t="shared" si="9"/>
        <v>1.060253210975276E-3</v>
      </c>
      <c r="Y64" s="316">
        <f>+'Cental Budget_int'!Y77+'Local Government_int'!X82</f>
        <v>4596545.6696499996</v>
      </c>
      <c r="Z64" s="324">
        <f t="shared" si="10"/>
        <v>0.12306681846452475</v>
      </c>
      <c r="AA64" s="316">
        <f>+'Cental Budget_int'!AA77+'Local Government_int'!Z82</f>
        <v>4520535.9460662501</v>
      </c>
      <c r="AB64" s="513">
        <f t="shared" si="11"/>
        <v>0.1135242578118094</v>
      </c>
      <c r="AC64" s="316">
        <f>+'Cental Budget_int'!AC77+'Local Government_int'!AB82</f>
        <v>4564160.3589827437</v>
      </c>
      <c r="AD64" s="513">
        <f t="shared" si="12"/>
        <v>0.10701431087884511</v>
      </c>
      <c r="AE64" s="223"/>
      <c r="AF64" s="223"/>
      <c r="AG64" s="223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50"/>
      <c r="BA64" s="160"/>
      <c r="BB64" s="160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248"/>
      <c r="FV64" s="4"/>
      <c r="FW64" s="4"/>
      <c r="FX64" s="4"/>
      <c r="FY64" s="4"/>
      <c r="FZ64" s="4"/>
      <c r="GA64" s="4"/>
      <c r="GB64" s="4"/>
      <c r="GC64" s="4"/>
      <c r="GD64" s="4"/>
      <c r="GE64" s="245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</row>
    <row r="65" spans="1:243" ht="15" customHeight="1">
      <c r="A65" s="72"/>
      <c r="B65" s="72"/>
      <c r="C65" s="72"/>
      <c r="D65" s="271" t="str">
        <f>IF(MasterSheet!$A$1=1,MasterSheet!C304,MasterSheet!B304)</f>
        <v>Transferi javnim preduzećima</v>
      </c>
      <c r="E65" s="316">
        <f>+'Cental Budget_int'!E80+'Local Government_int'!D85</f>
        <v>0</v>
      </c>
      <c r="F65" s="307">
        <f t="shared" si="13"/>
        <v>0</v>
      </c>
      <c r="G65" s="316">
        <f>+'Cental Budget_int'!G80+'Local Government_int'!F85</f>
        <v>12680070.1</v>
      </c>
      <c r="H65" s="307">
        <f t="shared" si="14"/>
        <v>0.47304868867748556</v>
      </c>
      <c r="I65" s="316">
        <f>+'Cental Budget_int'!I80+'Local Government_int'!H85</f>
        <v>9714146.5899999999</v>
      </c>
      <c r="J65" s="307">
        <f t="shared" si="15"/>
        <v>0.31482196623023073</v>
      </c>
      <c r="K65" s="316">
        <f>+'Cental Budget_int'!K80+'Local Government_int'!J85</f>
        <v>0</v>
      </c>
      <c r="L65" s="307">
        <f t="shared" si="16"/>
        <v>0</v>
      </c>
      <c r="M65" s="316">
        <f>+'Cental Budget_int'!M80+'Local Government_int'!L85</f>
        <v>0</v>
      </c>
      <c r="N65" s="307">
        <f t="shared" si="17"/>
        <v>0</v>
      </c>
      <c r="O65" s="316">
        <f>+'Cental Budget_int'!O80+'Local Government_int'!N85</f>
        <v>13724659.619999999</v>
      </c>
      <c r="P65" s="307">
        <f t="shared" si="18"/>
        <v>0.42438650649350645</v>
      </c>
      <c r="Q65" s="926">
        <f>+'Cental Budget_int'!Q80+'Local Government_int'!P85</f>
        <v>17753503.809999999</v>
      </c>
      <c r="R65" s="324">
        <f t="shared" si="19"/>
        <v>0.56378227405525561</v>
      </c>
      <c r="S65" s="316">
        <f>+'Cental Budget_int'!S80+'Local Government_int'!R85</f>
        <v>14226410.242440004</v>
      </c>
      <c r="T65" s="324">
        <f t="shared" si="7"/>
        <v>0.40450412972533417</v>
      </c>
      <c r="U65" s="316">
        <f>+'Cental Budget_int'!U80+'Local Government_int'!T85</f>
        <v>14510938.447288804</v>
      </c>
      <c r="V65" s="324">
        <f t="shared" si="8"/>
        <v>0.41259421231984084</v>
      </c>
      <c r="W65" s="847">
        <f t="shared" si="9"/>
        <v>284528.20484879985</v>
      </c>
      <c r="X65" s="848">
        <f t="shared" si="9"/>
        <v>8.0900825945066646E-3</v>
      </c>
      <c r="Y65" s="316">
        <f>+'Cental Budget_int'!Y80+'Local Government_int'!X85</f>
        <v>15649051.266684005</v>
      </c>
      <c r="Z65" s="324">
        <f t="shared" si="10"/>
        <v>0.41898396965686757</v>
      </c>
      <c r="AA65" s="316">
        <f>+'Cental Budget_int'!AA80+'Local Government_int'!Z85</f>
        <v>16040277.548351103</v>
      </c>
      <c r="AB65" s="513">
        <f t="shared" si="11"/>
        <v>0.40281962703041452</v>
      </c>
      <c r="AC65" s="316">
        <f>+'Cental Budget_int'!AC80+'Local Government_int'!AB85</f>
        <v>16361083.099318126</v>
      </c>
      <c r="AD65" s="513">
        <f t="shared" si="12"/>
        <v>0.3836127338644344</v>
      </c>
      <c r="AE65" s="223"/>
      <c r="AF65" s="223"/>
      <c r="AG65" s="223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50"/>
      <c r="BA65" s="160"/>
      <c r="BB65" s="160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248"/>
      <c r="FV65" s="4"/>
      <c r="FW65" s="4"/>
      <c r="FX65" s="4"/>
      <c r="FY65" s="4"/>
      <c r="FZ65" s="4"/>
      <c r="GA65" s="4"/>
      <c r="GB65" s="4"/>
      <c r="GC65" s="4"/>
      <c r="GD65" s="4"/>
      <c r="GE65" s="245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</row>
    <row r="66" spans="1:243" ht="15" customHeight="1" thickBot="1">
      <c r="A66" s="72"/>
      <c r="B66" s="72"/>
      <c r="C66" s="72"/>
      <c r="D66" s="233" t="str">
        <f>IF(MasterSheet!$A$1=1,MasterSheet!C305,MasterSheet!B305)</f>
        <v>Transferi pojedincima</v>
      </c>
      <c r="E66" s="316">
        <f>+'Cental Budget_int'!E78+'Local Government_int'!D83</f>
        <v>22054825.93</v>
      </c>
      <c r="F66" s="307">
        <f t="shared" si="13"/>
        <v>1.0263309567685792</v>
      </c>
      <c r="G66" s="316">
        <f>+'Cental Budget_int'!G78+'Local Government_int'!F83</f>
        <v>19510402.080000002</v>
      </c>
      <c r="H66" s="307">
        <f t="shared" si="14"/>
        <v>0.72786428203693354</v>
      </c>
      <c r="I66" s="316">
        <f>+'Cental Budget_int'!I78+'Local Government_int'!H83</f>
        <v>21027772.620000001</v>
      </c>
      <c r="J66" s="307">
        <f t="shared" si="15"/>
        <v>0.68148083419756289</v>
      </c>
      <c r="K66" s="316">
        <f>+'Cental Budget_int'!K78+'Local Government_int'!J83</f>
        <v>0</v>
      </c>
      <c r="L66" s="307">
        <f t="shared" si="16"/>
        <v>0</v>
      </c>
      <c r="M66" s="316">
        <f>+'Cental Budget_int'!M78+'Local Government_int'!L83</f>
        <v>15666835.189999999</v>
      </c>
      <c r="N66" s="307">
        <f t="shared" si="17"/>
        <v>0.50473051514175249</v>
      </c>
      <c r="O66" s="316">
        <f>+'Cental Budget_int'!O78+'Local Government_int'!N83</f>
        <v>16050715.800000001</v>
      </c>
      <c r="P66" s="307">
        <f t="shared" si="18"/>
        <v>0.49631155844155844</v>
      </c>
      <c r="Q66" s="926">
        <f>+'Cental Budget_int'!Q78+'Local Government_int'!P83</f>
        <v>15485209.77</v>
      </c>
      <c r="R66" s="324">
        <f t="shared" si="19"/>
        <v>0.49175007208637661</v>
      </c>
      <c r="S66" s="316">
        <f>+'Cental Budget_int'!S78+'Local Government_int'!R83</f>
        <v>21312353.456</v>
      </c>
      <c r="T66" s="324">
        <f t="shared" si="7"/>
        <v>0.60598104793858409</v>
      </c>
      <c r="U66" s="316">
        <f>+'Cental Budget_int'!U78+'Local Government_int'!T83</f>
        <v>21370208.525120001</v>
      </c>
      <c r="V66" s="324">
        <f t="shared" si="8"/>
        <v>0.60762605985555884</v>
      </c>
      <c r="W66" s="847">
        <f t="shared" si="9"/>
        <v>57855.069120001048</v>
      </c>
      <c r="X66" s="848">
        <f t="shared" si="9"/>
        <v>1.6450119169747479E-3</v>
      </c>
      <c r="Y66" s="316">
        <f>+'Cental Budget_int'!Y78+'Local Government_int'!X83</f>
        <v>12182028.8016</v>
      </c>
      <c r="Z66" s="324">
        <f t="shared" si="10"/>
        <v>0.32615873632128517</v>
      </c>
      <c r="AA66" s="316">
        <f>+'Cental Budget_int'!AA78+'Local Government_int'!Z83</f>
        <v>12361579.521639999</v>
      </c>
      <c r="AB66" s="513">
        <f t="shared" si="11"/>
        <v>0.31043645207533899</v>
      </c>
      <c r="AC66" s="316">
        <f>+'Cental Budget_int'!AC78+'Local Government_int'!AB83</f>
        <v>12472311.112072797</v>
      </c>
      <c r="AD66" s="513">
        <f t="shared" si="12"/>
        <v>0.2924340237297256</v>
      </c>
      <c r="AE66" s="223"/>
      <c r="AF66" s="223"/>
      <c r="AG66" s="223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50"/>
      <c r="BA66" s="160"/>
      <c r="BB66" s="160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248"/>
      <c r="FV66" s="4"/>
      <c r="FW66" s="4"/>
      <c r="FX66" s="4"/>
      <c r="FY66" s="4"/>
      <c r="FZ66" s="4"/>
      <c r="GA66" s="4"/>
      <c r="GB66" s="4"/>
      <c r="GC66" s="4"/>
      <c r="GD66" s="4"/>
      <c r="GE66" s="245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</row>
    <row r="67" spans="1:243" s="51" customFormat="1" ht="15" customHeight="1" thickTop="1" thickBot="1">
      <c r="A67" s="752"/>
      <c r="B67" s="752"/>
      <c r="C67" s="752"/>
      <c r="D67" s="938" t="str">
        <f>IF(MasterSheet!$A$1=1,MasterSheet!C306,MasterSheet!B306)</f>
        <v>Kapitalni izdaci</v>
      </c>
      <c r="E67" s="760">
        <f>+E68+E69</f>
        <v>56911483.659999996</v>
      </c>
      <c r="F67" s="939">
        <f t="shared" si="13"/>
        <v>2.6484007473591138</v>
      </c>
      <c r="G67" s="760">
        <f>+G68+G69</f>
        <v>187261889.72000003</v>
      </c>
      <c r="H67" s="939">
        <f t="shared" si="14"/>
        <v>6.9860805715351626</v>
      </c>
      <c r="I67" s="760">
        <f>+I68+I69</f>
        <v>235721906.43999994</v>
      </c>
      <c r="J67" s="939">
        <f t="shared" si="15"/>
        <v>7.6394187982888235</v>
      </c>
      <c r="K67" s="760">
        <f>+K68+K69</f>
        <v>224699856.63999999</v>
      </c>
      <c r="L67" s="939">
        <f t="shared" si="16"/>
        <v>7.5377342046293192</v>
      </c>
      <c r="M67" s="760">
        <f>+M68+M69</f>
        <v>146400368.81</v>
      </c>
      <c r="N67" s="939">
        <f t="shared" si="17"/>
        <v>4.7165067271262888</v>
      </c>
      <c r="O67" s="760">
        <f>+O68+O69</f>
        <v>118584862.46000001</v>
      </c>
      <c r="P67" s="939">
        <f t="shared" si="18"/>
        <v>3.6668170210265929</v>
      </c>
      <c r="Q67" s="760">
        <f>+Q68+Q69</f>
        <v>107054678.34999999</v>
      </c>
      <c r="R67" s="940">
        <f t="shared" si="19"/>
        <v>3.3996404684026675</v>
      </c>
      <c r="S67" s="760">
        <f>+S68+S69</f>
        <v>95639000</v>
      </c>
      <c r="T67" s="940">
        <f t="shared" si="7"/>
        <v>2.7193346602217798</v>
      </c>
      <c r="U67" s="760">
        <f>+U68+U69</f>
        <v>97639000</v>
      </c>
      <c r="V67" s="940">
        <f t="shared" si="8"/>
        <v>2.7762013079328973</v>
      </c>
      <c r="W67" s="760">
        <f t="shared" si="9"/>
        <v>2000000</v>
      </c>
      <c r="X67" s="940">
        <f t="shared" si="9"/>
        <v>5.6866647711117491E-2</v>
      </c>
      <c r="Y67" s="760">
        <f>+Y68+Y69</f>
        <v>102000000</v>
      </c>
      <c r="Z67" s="940">
        <f t="shared" si="10"/>
        <v>2.7309236947791167</v>
      </c>
      <c r="AA67" s="760">
        <f>+AA68+AA69</f>
        <v>108080000</v>
      </c>
      <c r="AB67" s="941">
        <f t="shared" si="11"/>
        <v>2.7142139628327473</v>
      </c>
      <c r="AC67" s="760">
        <f>+AC68+AC69</f>
        <v>110882000</v>
      </c>
      <c r="AD67" s="941">
        <f t="shared" si="12"/>
        <v>2.5998124267291911</v>
      </c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50"/>
      <c r="BA67" s="160"/>
      <c r="BB67" s="160"/>
      <c r="BC67" s="916"/>
      <c r="BD67" s="916"/>
      <c r="BE67" s="916"/>
      <c r="BF67" s="916"/>
      <c r="BG67" s="916"/>
      <c r="BH67" s="916"/>
      <c r="BI67" s="916"/>
      <c r="BJ67" s="916"/>
      <c r="BK67" s="916"/>
      <c r="BL67" s="916"/>
      <c r="BM67" s="916"/>
      <c r="BN67" s="916"/>
      <c r="BO67" s="916"/>
      <c r="BP67" s="916"/>
      <c r="BQ67" s="916"/>
      <c r="BR67" s="916"/>
      <c r="BS67" s="916"/>
      <c r="BT67" s="916"/>
      <c r="BU67" s="916"/>
      <c r="BV67" s="916"/>
      <c r="BW67" s="916"/>
      <c r="BX67" s="916"/>
      <c r="BY67" s="916"/>
      <c r="BZ67" s="916"/>
      <c r="CA67" s="916"/>
      <c r="CB67" s="916"/>
      <c r="CC67" s="916"/>
      <c r="CD67" s="916"/>
      <c r="CE67" s="916"/>
      <c r="CF67" s="916"/>
      <c r="CG67" s="916"/>
      <c r="CH67" s="916"/>
      <c r="CI67" s="916"/>
      <c r="CJ67" s="916"/>
      <c r="CK67" s="916"/>
      <c r="CL67" s="916"/>
      <c r="CM67" s="916"/>
      <c r="CN67" s="916"/>
      <c r="CO67" s="916"/>
      <c r="CP67" s="916"/>
      <c r="CQ67" s="916"/>
      <c r="CR67" s="916"/>
      <c r="CS67" s="916"/>
      <c r="CT67" s="916"/>
      <c r="CU67" s="916"/>
      <c r="CV67" s="916"/>
      <c r="CW67" s="916"/>
      <c r="CX67" s="916"/>
      <c r="CY67" s="916"/>
      <c r="CZ67" s="916"/>
      <c r="DA67" s="916"/>
      <c r="DB67" s="916"/>
      <c r="DC67" s="916"/>
      <c r="DD67" s="916"/>
      <c r="DE67" s="916"/>
      <c r="DF67" s="916"/>
      <c r="DG67" s="916"/>
      <c r="DH67" s="916"/>
      <c r="DI67" s="916"/>
      <c r="DJ67" s="916"/>
      <c r="DK67" s="916"/>
      <c r="DL67" s="916"/>
      <c r="DM67" s="916"/>
      <c r="DN67" s="916"/>
      <c r="DO67" s="916"/>
      <c r="DP67" s="916"/>
      <c r="DQ67" s="916"/>
      <c r="DR67" s="916"/>
      <c r="DS67" s="916"/>
      <c r="DT67" s="916"/>
      <c r="DU67" s="916"/>
      <c r="DV67" s="916"/>
      <c r="DW67" s="916"/>
      <c r="DX67" s="916"/>
      <c r="DY67" s="916"/>
      <c r="DZ67" s="916"/>
      <c r="EA67" s="916"/>
      <c r="EB67" s="916"/>
      <c r="EC67" s="916"/>
      <c r="ED67" s="916"/>
      <c r="EE67" s="916"/>
      <c r="EF67" s="916"/>
      <c r="EG67" s="916"/>
      <c r="EH67" s="916"/>
      <c r="EI67" s="916"/>
      <c r="EJ67" s="916"/>
      <c r="EK67" s="916"/>
      <c r="EL67" s="916"/>
      <c r="EM67" s="916"/>
      <c r="EN67" s="916"/>
      <c r="EO67" s="916"/>
      <c r="EP67" s="916"/>
      <c r="EQ67" s="916"/>
      <c r="ER67" s="916"/>
      <c r="ES67" s="916"/>
      <c r="ET67" s="916"/>
      <c r="EU67" s="916"/>
      <c r="EV67" s="916"/>
      <c r="EW67" s="916"/>
      <c r="EX67" s="916"/>
      <c r="EY67" s="916"/>
      <c r="EZ67" s="916"/>
      <c r="FA67" s="916"/>
      <c r="FB67" s="916"/>
      <c r="FC67" s="916"/>
      <c r="FD67" s="916"/>
      <c r="FE67" s="916"/>
      <c r="FF67" s="916"/>
      <c r="FG67" s="916"/>
      <c r="FH67" s="916"/>
      <c r="FI67" s="916"/>
      <c r="FJ67" s="916"/>
      <c r="FK67" s="916"/>
      <c r="FL67" s="916"/>
      <c r="FM67" s="916"/>
      <c r="FN67" s="916"/>
      <c r="FO67" s="916"/>
      <c r="FP67" s="916"/>
      <c r="FQ67" s="916"/>
      <c r="FR67" s="916"/>
      <c r="FS67" s="916"/>
      <c r="FT67" s="916"/>
      <c r="FU67" s="916"/>
      <c r="FV67" s="916"/>
      <c r="FW67" s="916"/>
      <c r="FX67" s="916"/>
      <c r="FY67" s="916"/>
      <c r="FZ67" s="916"/>
      <c r="GA67" s="916"/>
      <c r="GB67" s="916"/>
      <c r="GC67" s="916"/>
      <c r="GD67" s="916"/>
      <c r="GE67" s="245"/>
      <c r="GF67" s="916"/>
      <c r="GG67" s="916"/>
      <c r="GH67" s="916"/>
      <c r="GI67" s="916"/>
      <c r="GJ67" s="916"/>
      <c r="GK67" s="916"/>
      <c r="GL67" s="916"/>
      <c r="GM67" s="916"/>
      <c r="GN67" s="916"/>
      <c r="GO67" s="916"/>
      <c r="GP67" s="916"/>
      <c r="GQ67" s="916"/>
      <c r="GR67" s="916"/>
      <c r="GS67" s="916"/>
      <c r="GT67" s="916"/>
      <c r="GU67" s="916"/>
      <c r="GV67" s="916"/>
      <c r="GW67" s="916"/>
      <c r="GX67" s="916"/>
      <c r="GY67" s="916"/>
      <c r="GZ67" s="916"/>
      <c r="HA67" s="916"/>
      <c r="HB67" s="916"/>
      <c r="HC67" s="916"/>
      <c r="HD67" s="916"/>
      <c r="HE67" s="916"/>
      <c r="HF67" s="916"/>
      <c r="HG67" s="916"/>
      <c r="HH67" s="916"/>
      <c r="HI67" s="916"/>
      <c r="HJ67" s="916"/>
      <c r="HK67" s="916"/>
      <c r="HL67" s="916"/>
      <c r="HM67" s="916"/>
      <c r="HN67" s="916"/>
      <c r="HO67" s="916"/>
      <c r="HP67" s="916"/>
      <c r="HQ67" s="916"/>
      <c r="HR67" s="916"/>
      <c r="HS67" s="916"/>
      <c r="HT67" s="916"/>
      <c r="HU67" s="916"/>
      <c r="HV67" s="916"/>
      <c r="HW67" s="916"/>
      <c r="HX67" s="916"/>
      <c r="HY67" s="916"/>
      <c r="HZ67" s="916"/>
      <c r="IA67" s="916"/>
      <c r="IB67" s="916"/>
      <c r="IC67" s="916"/>
      <c r="ID67" s="916"/>
      <c r="IE67" s="916"/>
      <c r="IF67" s="916"/>
      <c r="IG67" s="916"/>
      <c r="IH67" s="916"/>
      <c r="II67" s="916"/>
    </row>
    <row r="68" spans="1:243" ht="15" customHeight="1" thickTop="1">
      <c r="A68" s="72"/>
      <c r="B68" s="72"/>
      <c r="C68" s="72"/>
      <c r="D68" s="274" t="str">
        <f>IF(MasterSheet!$A$1=1,MasterSheet!C307,MasterSheet!B307)</f>
        <v>Kapitalni budžet CG</v>
      </c>
      <c r="E68" s="319"/>
      <c r="F68" s="309">
        <f t="shared" si="13"/>
        <v>0</v>
      </c>
      <c r="G68" s="319">
        <f>+'Cental Budget_int'!G81</f>
        <v>82459238.990000024</v>
      </c>
      <c r="H68" s="309">
        <f t="shared" si="14"/>
        <v>3.076263346017535</v>
      </c>
      <c r="I68" s="319">
        <f>+'Cental Budget_int'!I81</f>
        <v>73370859.459999993</v>
      </c>
      <c r="J68" s="309">
        <f t="shared" si="15"/>
        <v>2.3778474027741763</v>
      </c>
      <c r="K68" s="319">
        <f>+'Cental Budget_int'!K81</f>
        <v>112364696.64</v>
      </c>
      <c r="L68" s="309">
        <f t="shared" si="16"/>
        <v>3.7693625172760821</v>
      </c>
      <c r="M68" s="319">
        <f>+'Cental Budget_int'!M81</f>
        <v>63250368.810000002</v>
      </c>
      <c r="N68" s="309">
        <f t="shared" si="17"/>
        <v>2.0377051807345361</v>
      </c>
      <c r="O68" s="319">
        <f>+'Cental Budget_int'!O81</f>
        <v>67115187.969999999</v>
      </c>
      <c r="P68" s="309">
        <f t="shared" si="18"/>
        <v>2.0752995661719229</v>
      </c>
      <c r="Q68" s="761">
        <f>+'Cental Budget_int'!Q81</f>
        <v>58737973.279999994</v>
      </c>
      <c r="R68" s="326">
        <f t="shared" si="19"/>
        <v>1.8652897199110827</v>
      </c>
      <c r="S68" s="319">
        <f>+'Cental Budget_int'!S81</f>
        <v>65639000</v>
      </c>
      <c r="T68" s="326">
        <f t="shared" si="7"/>
        <v>1.8663349445550186</v>
      </c>
      <c r="U68" s="319">
        <f>+'Cental Budget_int'!U81</f>
        <v>65639000</v>
      </c>
      <c r="V68" s="326">
        <f t="shared" si="8"/>
        <v>1.8663349445550186</v>
      </c>
      <c r="W68" s="854">
        <f t="shared" si="9"/>
        <v>0</v>
      </c>
      <c r="X68" s="855">
        <f t="shared" si="9"/>
        <v>0</v>
      </c>
      <c r="Y68" s="319">
        <f>+'Cental Budget_int'!Y81</f>
        <v>68000000</v>
      </c>
      <c r="Z68" s="326">
        <f t="shared" si="10"/>
        <v>1.820615796519411</v>
      </c>
      <c r="AA68" s="319">
        <f>+'Cental Budget_int'!AA81</f>
        <v>72080000</v>
      </c>
      <c r="AB68" s="515">
        <f t="shared" si="11"/>
        <v>1.810145655449523</v>
      </c>
      <c r="AC68" s="319">
        <f>+'Cental Budget_int'!AC81</f>
        <v>73882000</v>
      </c>
      <c r="AD68" s="515">
        <f t="shared" si="12"/>
        <v>1.7322860492379837</v>
      </c>
      <c r="AE68" s="223"/>
      <c r="AF68" s="223"/>
      <c r="AG68" s="223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50"/>
      <c r="BA68" s="249"/>
      <c r="BB68" s="249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245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</row>
    <row r="69" spans="1:243" ht="15" customHeight="1">
      <c r="A69" s="72"/>
      <c r="B69" s="72"/>
      <c r="C69" s="72"/>
      <c r="D69" s="275" t="str">
        <f>IF(MasterSheet!$A$1=1,MasterSheet!C308,MasterSheet!B308)</f>
        <v>Kapitalni budžet lokalne samouprave</v>
      </c>
      <c r="E69" s="186">
        <f>+'Local Government_int'!D86</f>
        <v>56911483.659999996</v>
      </c>
      <c r="F69" s="307">
        <f t="shared" si="13"/>
        <v>2.6484007473591138</v>
      </c>
      <c r="G69" s="186">
        <f>+'Local Government_int'!F86</f>
        <v>104802650.73</v>
      </c>
      <c r="H69" s="307">
        <f t="shared" si="14"/>
        <v>3.9098172255176276</v>
      </c>
      <c r="I69" s="186">
        <f>+'Local Government_int'!H86</f>
        <v>162351046.97999996</v>
      </c>
      <c r="J69" s="307">
        <f t="shared" si="15"/>
        <v>5.2615713955146468</v>
      </c>
      <c r="K69" s="186">
        <f>+'Local Government_int'!J86</f>
        <v>112335160</v>
      </c>
      <c r="L69" s="307">
        <f t="shared" si="16"/>
        <v>3.7683716873532371</v>
      </c>
      <c r="M69" s="186">
        <f>+'Local Government_int'!L86</f>
        <v>83150000</v>
      </c>
      <c r="N69" s="307">
        <f t="shared" si="17"/>
        <v>2.6788015463917523</v>
      </c>
      <c r="O69" s="186">
        <f>+'Local Government_int'!N86</f>
        <v>51469674.490000002</v>
      </c>
      <c r="P69" s="307">
        <f t="shared" si="18"/>
        <v>1.5915174548546691</v>
      </c>
      <c r="Q69" s="929">
        <f>+'Local Government_int'!P86</f>
        <v>48316705.07</v>
      </c>
      <c r="R69" s="324">
        <f t="shared" si="19"/>
        <v>1.5343507484915846</v>
      </c>
      <c r="S69" s="186">
        <f>+'Local Government_int'!R86</f>
        <v>30000000</v>
      </c>
      <c r="T69" s="324">
        <f t="shared" si="7"/>
        <v>0.85299971566676136</v>
      </c>
      <c r="U69" s="186">
        <f>+'Local Government_int'!T86</f>
        <v>32000000</v>
      </c>
      <c r="V69" s="324">
        <f t="shared" si="8"/>
        <v>0.90986636337787885</v>
      </c>
      <c r="W69" s="856">
        <f t="shared" si="9"/>
        <v>2000000</v>
      </c>
      <c r="X69" s="848">
        <f t="shared" si="9"/>
        <v>5.6866647711117491E-2</v>
      </c>
      <c r="Y69" s="186">
        <f>+'Local Government_int'!X86</f>
        <v>34000000</v>
      </c>
      <c r="Z69" s="324">
        <f t="shared" si="10"/>
        <v>0.91030789825970548</v>
      </c>
      <c r="AA69" s="186">
        <f>+'Local Government_int'!Z86</f>
        <v>36000000</v>
      </c>
      <c r="AB69" s="513">
        <f t="shared" si="11"/>
        <v>0.90406830738322452</v>
      </c>
      <c r="AC69" s="186">
        <f>+'Local Government_int'!AB86</f>
        <v>37000000</v>
      </c>
      <c r="AD69" s="513">
        <f t="shared" si="12"/>
        <v>0.86752637749120742</v>
      </c>
      <c r="AE69" s="223"/>
      <c r="AF69" s="223"/>
      <c r="AG69" s="223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50"/>
      <c r="BA69" s="249"/>
      <c r="BB69" s="249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245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</row>
    <row r="70" spans="1:243" ht="15" customHeight="1">
      <c r="A70" s="72"/>
      <c r="B70" s="72"/>
      <c r="C70" s="72"/>
      <c r="D70" s="272" t="str">
        <f>IF(MasterSheet!$A$1=1,MasterSheet!C309,MasterSheet!B309)</f>
        <v>Pozajmice i krediti</v>
      </c>
      <c r="E70" s="318">
        <f>+'Cental Budget_int'!E82+'Local Government_int'!D87</f>
        <v>16541430.840000002</v>
      </c>
      <c r="F70" s="308">
        <f t="shared" si="13"/>
        <v>0.76976270836241811</v>
      </c>
      <c r="G70" s="318">
        <f>+'Cental Budget_int'!G82+'Local Government_int'!F87</f>
        <v>7862016.04</v>
      </c>
      <c r="H70" s="308">
        <f t="shared" si="14"/>
        <v>0.29330408655101664</v>
      </c>
      <c r="I70" s="318">
        <f>+'Cental Budget_int'!I82+'Local Government_int'!H87</f>
        <v>63513658.890000001</v>
      </c>
      <c r="J70" s="308">
        <f t="shared" si="15"/>
        <v>2.0583892562224526</v>
      </c>
      <c r="K70" s="318">
        <f>+'Cental Budget_int'!K82+'Local Government_int'!J87</f>
        <v>18262430.710000001</v>
      </c>
      <c r="L70" s="308">
        <f t="shared" si="16"/>
        <v>0.6126276655484737</v>
      </c>
      <c r="M70" s="318">
        <f>+'Cental Budget_int'!M82+'Local Government_int'!L87</f>
        <v>5044638.38</v>
      </c>
      <c r="N70" s="308">
        <f t="shared" si="17"/>
        <v>0.16252056636597939</v>
      </c>
      <c r="O70" s="318">
        <f>+'Cental Budget_int'!O82+'Local Government_int'!N87</f>
        <v>4233950.1899999995</v>
      </c>
      <c r="P70" s="308">
        <f t="shared" si="18"/>
        <v>0.13091991929499072</v>
      </c>
      <c r="Q70" s="756">
        <f>+'Cental Budget_int'!Q82+'Local Government_int'!P87</f>
        <v>2964872.96</v>
      </c>
      <c r="R70" s="325">
        <f t="shared" si="19"/>
        <v>9.4152840901873605E-2</v>
      </c>
      <c r="S70" s="318">
        <f>+'Cental Budget_int'!S82+'Local Government_int'!R87</f>
        <v>3725826.3164999997</v>
      </c>
      <c r="T70" s="325">
        <f t="shared" si="7"/>
        <v>0.10593762628660791</v>
      </c>
      <c r="U70" s="318">
        <f>+'Cental Budget_int'!U82+'Local Government_int'!T87</f>
        <v>3865942.84283</v>
      </c>
      <c r="V70" s="325">
        <f t="shared" si="8"/>
        <v>0.10992160485726471</v>
      </c>
      <c r="W70" s="852">
        <f t="shared" si="9"/>
        <v>140116.52633000026</v>
      </c>
      <c r="X70" s="851">
        <f t="shared" si="9"/>
        <v>3.9839785706567987E-3</v>
      </c>
      <c r="Y70" s="318">
        <f>+'Cental Budget_int'!Y82+'Local Government_int'!X87</f>
        <v>3556408.9481500001</v>
      </c>
      <c r="Z70" s="325">
        <f t="shared" si="10"/>
        <v>9.5218445733601081E-2</v>
      </c>
      <c r="AA70" s="318">
        <f>+'Cental Budget_int'!AA82+'Local Government_int'!Z87</f>
        <v>3611569.17185375</v>
      </c>
      <c r="AB70" s="514">
        <f t="shared" si="11"/>
        <v>9.0697367449868158E-2</v>
      </c>
      <c r="AC70" s="318">
        <f>+'Cental Budget_int'!AC82+'Local Government_int'!AB87</f>
        <v>3652242.7094315561</v>
      </c>
      <c r="AD70" s="514">
        <f t="shared" si="12"/>
        <v>8.5632888849508926E-2</v>
      </c>
      <c r="AE70" s="222"/>
      <c r="AF70" s="222"/>
      <c r="AG70" s="222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50"/>
      <c r="BA70" s="249"/>
      <c r="BB70" s="249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245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</row>
    <row r="71" spans="1:243" ht="15" customHeight="1">
      <c r="A71" s="72"/>
      <c r="B71" s="72"/>
      <c r="C71" s="72"/>
      <c r="D71" s="272" t="str">
        <f>IF(MasterSheet!$A$1=1,MasterSheet!C310,MasterSheet!B310)</f>
        <v>Otplata garancija</v>
      </c>
      <c r="E71" s="318"/>
      <c r="F71" s="308">
        <f t="shared" si="13"/>
        <v>0</v>
      </c>
      <c r="G71" s="318"/>
      <c r="H71" s="308">
        <f t="shared" si="14"/>
        <v>0</v>
      </c>
      <c r="I71" s="318"/>
      <c r="J71" s="308">
        <f t="shared" si="15"/>
        <v>0</v>
      </c>
      <c r="K71" s="318"/>
      <c r="L71" s="308">
        <f t="shared" si="16"/>
        <v>0</v>
      </c>
      <c r="M71" s="318"/>
      <c r="N71" s="308">
        <f t="shared" si="17"/>
        <v>0</v>
      </c>
      <c r="O71" s="318"/>
      <c r="P71" s="308">
        <f t="shared" si="18"/>
        <v>0</v>
      </c>
      <c r="Q71" s="928"/>
      <c r="R71" s="325">
        <f t="shared" si="19"/>
        <v>0</v>
      </c>
      <c r="S71" s="336"/>
      <c r="T71" s="325">
        <f t="shared" si="7"/>
        <v>0</v>
      </c>
      <c r="U71" s="336"/>
      <c r="V71" s="325">
        <f t="shared" si="8"/>
        <v>0</v>
      </c>
      <c r="W71" s="850">
        <f t="shared" si="9"/>
        <v>0</v>
      </c>
      <c r="X71" s="851">
        <f t="shared" si="9"/>
        <v>0</v>
      </c>
      <c r="Y71" s="336"/>
      <c r="Z71" s="325">
        <f t="shared" si="10"/>
        <v>0</v>
      </c>
      <c r="AA71" s="336"/>
      <c r="AB71" s="514">
        <f t="shared" si="11"/>
        <v>0</v>
      </c>
      <c r="AC71" s="336"/>
      <c r="AD71" s="514">
        <f t="shared" si="12"/>
        <v>0</v>
      </c>
      <c r="AE71" s="222"/>
      <c r="AF71" s="222"/>
      <c r="AG71" s="222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50"/>
      <c r="BA71" s="249"/>
      <c r="BB71" s="249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245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</row>
    <row r="72" spans="1:243" ht="15" customHeight="1">
      <c r="A72" s="72"/>
      <c r="B72" s="72"/>
      <c r="C72" s="72"/>
      <c r="D72" s="272" t="str">
        <f>IF(MasterSheet!$A$1=1,MasterSheet!C311,MasterSheet!B311)</f>
        <v>Otplata obaveza iz prethodnog perioda</v>
      </c>
      <c r="E72" s="318"/>
      <c r="F72" s="308">
        <f t="shared" si="13"/>
        <v>0</v>
      </c>
      <c r="G72" s="318"/>
      <c r="H72" s="308">
        <f t="shared" si="14"/>
        <v>0</v>
      </c>
      <c r="I72" s="318"/>
      <c r="J72" s="308">
        <f t="shared" si="15"/>
        <v>0</v>
      </c>
      <c r="K72" s="318"/>
      <c r="L72" s="308">
        <f t="shared" si="16"/>
        <v>0</v>
      </c>
      <c r="M72" s="318"/>
      <c r="N72" s="308">
        <f t="shared" si="17"/>
        <v>0</v>
      </c>
      <c r="O72" s="318"/>
      <c r="P72" s="308">
        <f t="shared" si="18"/>
        <v>0</v>
      </c>
      <c r="Q72" s="928"/>
      <c r="R72" s="325">
        <f t="shared" si="19"/>
        <v>0</v>
      </c>
      <c r="S72" s="336"/>
      <c r="T72" s="325">
        <f t="shared" si="7"/>
        <v>0</v>
      </c>
      <c r="U72" s="336"/>
      <c r="V72" s="325">
        <f t="shared" si="8"/>
        <v>0</v>
      </c>
      <c r="W72" s="850">
        <f t="shared" si="9"/>
        <v>0</v>
      </c>
      <c r="X72" s="851">
        <f t="shared" si="9"/>
        <v>0</v>
      </c>
      <c r="Y72" s="336"/>
      <c r="Z72" s="325">
        <f t="shared" si="10"/>
        <v>0</v>
      </c>
      <c r="AA72" s="336"/>
      <c r="AB72" s="514">
        <f t="shared" si="11"/>
        <v>0</v>
      </c>
      <c r="AC72" s="336"/>
      <c r="AD72" s="514">
        <f t="shared" si="12"/>
        <v>0</v>
      </c>
      <c r="AE72" s="222"/>
      <c r="AF72" s="222"/>
      <c r="AG72" s="222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50"/>
      <c r="BA72" s="249"/>
      <c r="BB72" s="249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245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</row>
    <row r="73" spans="1:243" ht="15" customHeight="1" thickBot="1">
      <c r="A73" s="72"/>
      <c r="B73" s="72"/>
      <c r="C73" s="72"/>
      <c r="D73" s="571" t="str">
        <f>IF(MasterSheet!$A$1=1,MasterSheet!C312,MasterSheet!B312)</f>
        <v>Rezerve</v>
      </c>
      <c r="E73" s="369">
        <f>+'Cental Budget_int'!E83+'Local Government_int'!D89</f>
        <v>32087326.02</v>
      </c>
      <c r="F73" s="572">
        <f t="shared" si="13"/>
        <v>1.4931977300013961</v>
      </c>
      <c r="G73" s="369">
        <f>+'Cental Budget_int'!G83+'Local Government_int'!F89</f>
        <v>18948782.990000002</v>
      </c>
      <c r="H73" s="572">
        <f t="shared" si="14"/>
        <v>0.70691225480320852</v>
      </c>
      <c r="I73" s="369">
        <f>+'Cental Budget_int'!I83+'Local Government_int'!H89</f>
        <v>19188060.239999998</v>
      </c>
      <c r="J73" s="572">
        <f t="shared" si="15"/>
        <v>0.62185831734508679</v>
      </c>
      <c r="K73" s="369">
        <f>+'Cental Budget_int'!K83+'Local Government_int'!J89</f>
        <v>14515250.74</v>
      </c>
      <c r="L73" s="572">
        <f t="shared" si="16"/>
        <v>0.48692555317007713</v>
      </c>
      <c r="M73" s="369">
        <f>+'Cental Budget_int'!M83+'Local Government_int'!L89</f>
        <v>15839952.310000001</v>
      </c>
      <c r="N73" s="572">
        <f t="shared" si="17"/>
        <v>0.51030774194587625</v>
      </c>
      <c r="O73" s="369">
        <f>+'Cental Budget_int'!O83+'Local Government_int'!N89</f>
        <v>14085755.789999999</v>
      </c>
      <c r="P73" s="572">
        <f t="shared" si="18"/>
        <v>0.43555212708719848</v>
      </c>
      <c r="Q73" s="900">
        <f>+'Cental Budget_int'!Q83+'Local Government_int'!P89</f>
        <v>21536009.560000002</v>
      </c>
      <c r="R73" s="574">
        <f t="shared" si="19"/>
        <v>0.68389995427119732</v>
      </c>
      <c r="S73" s="369">
        <f>+'Cental Budget_int'!S83+'Local Government_int'!R89</f>
        <v>10860162.216499999</v>
      </c>
      <c r="T73" s="574">
        <f t="shared" si="7"/>
        <v>0.30879050942564684</v>
      </c>
      <c r="U73" s="369">
        <f>+'Cental Budget_int'!U83+'Local Government_int'!T89</f>
        <v>10930244.06923</v>
      </c>
      <c r="V73" s="574">
        <f t="shared" si="8"/>
        <v>0.31078316944071649</v>
      </c>
      <c r="W73" s="857">
        <f t="shared" si="9"/>
        <v>70081.852730000392</v>
      </c>
      <c r="X73" s="858">
        <f t="shared" si="9"/>
        <v>1.9926600150696472E-3</v>
      </c>
      <c r="Y73" s="369">
        <f>+'Cental Budget_int'!Y83+'Local Government_int'!X89</f>
        <v>11854501.900150001</v>
      </c>
      <c r="Z73" s="574">
        <f t="shared" si="10"/>
        <v>0.31738960910709507</v>
      </c>
      <c r="AA73" s="369">
        <f>+'Cental Budget_int'!AA83+'Local Government_int'!Z89</f>
        <v>12000000</v>
      </c>
      <c r="AB73" s="575">
        <f t="shared" si="11"/>
        <v>0.30135610246107486</v>
      </c>
      <c r="AC73" s="369">
        <f>+'Cental Budget_int'!AC83+'Local Government_int'!AB89</f>
        <v>12080000</v>
      </c>
      <c r="AD73" s="575">
        <f t="shared" si="12"/>
        <v>0.28323563892145365</v>
      </c>
      <c r="AE73" s="222"/>
      <c r="AF73" s="222"/>
      <c r="AG73" s="222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50"/>
      <c r="BA73" s="249"/>
      <c r="BB73" s="249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245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</row>
    <row r="74" spans="1:243" ht="15" customHeight="1" thickTop="1" thickBot="1">
      <c r="A74" s="72"/>
      <c r="B74" s="72"/>
      <c r="C74" s="72"/>
      <c r="D74" s="193" t="str">
        <f>IF(MasterSheet!$A$1=1,MasterSheet!C320,MasterSheet!B320)</f>
        <v>Otplata garancija</v>
      </c>
      <c r="E74" s="161">
        <f>+'Cental Budget_int'!E84+'Local Government_int'!D90</f>
        <v>1050939.44</v>
      </c>
      <c r="F74" s="504">
        <f>+E74/$E$15*100</f>
        <v>4.8905925822513845E-2</v>
      </c>
      <c r="G74" s="161">
        <f>+'Cental Budget_int'!G84+'Local Government_int'!F90</f>
        <v>0</v>
      </c>
      <c r="H74" s="312">
        <f>+G74/$G$15*100</f>
        <v>0</v>
      </c>
      <c r="I74" s="161">
        <f>+'Cental Budget_int'!I84+'Local Government_int'!H90</f>
        <v>0</v>
      </c>
      <c r="J74" s="312">
        <f>+I74/$I$15*100</f>
        <v>0</v>
      </c>
      <c r="K74" s="161">
        <f>+'Cental Budget_int'!K84+'Local Government_int'!J90</f>
        <v>1769093.84</v>
      </c>
      <c r="L74" s="504">
        <f>+K74/$K$15*100</f>
        <v>5.9345650452868166E-2</v>
      </c>
      <c r="M74" s="161">
        <f>+'Cental Budget_int'!M84+'Local Government_int'!L90</f>
        <v>0</v>
      </c>
      <c r="N74" s="312">
        <f>+M74/$M$15*100</f>
        <v>0</v>
      </c>
      <c r="O74" s="161">
        <f>+'Cental Budget_int'!O84+'Local Government_int'!N90</f>
        <v>34112641.390000001</v>
      </c>
      <c r="P74" s="504">
        <f>+O74/$O$15*100</f>
        <v>1.0548126589363018</v>
      </c>
      <c r="Q74" s="930">
        <f>+'Cental Budget_int'!Q84+'Local Government_int'!P90</f>
        <v>24719832.629999999</v>
      </c>
      <c r="R74" s="503">
        <f>+Q74/$Q$15*100</f>
        <v>0.78500579961892658</v>
      </c>
      <c r="S74" s="342">
        <f>+'Cental Budget_int'!S84+'Local Government_int'!R90</f>
        <v>0</v>
      </c>
      <c r="T74" s="331">
        <f>+S74/$S$15*100</f>
        <v>0</v>
      </c>
      <c r="U74" s="342">
        <f>+'Cental Budget_int'!U84+'Local Government_int'!T90</f>
        <v>0</v>
      </c>
      <c r="V74" s="331">
        <f>+U74/$S$15*100</f>
        <v>0</v>
      </c>
      <c r="W74" s="859">
        <f t="shared" si="9"/>
        <v>0</v>
      </c>
      <c r="X74" s="860">
        <f t="shared" si="9"/>
        <v>0</v>
      </c>
      <c r="Y74" s="342">
        <f>+'Cental Budget_int'!Y84+'Local Government_int'!X90</f>
        <v>0</v>
      </c>
      <c r="Z74" s="331">
        <f>+Y74/$Y$15*100</f>
        <v>0</v>
      </c>
      <c r="AA74" s="342">
        <f>+'Cental Budget_int'!AA84+'Local Government_int'!Z90</f>
        <v>0</v>
      </c>
      <c r="AB74" s="576">
        <f>+AA74/$AA$15*100</f>
        <v>0</v>
      </c>
      <c r="AC74" s="342">
        <f>+'Cental Budget_int'!AC84+'Local Government_int'!AB90</f>
        <v>0</v>
      </c>
      <c r="AD74" s="576">
        <f t="shared" si="12"/>
        <v>0</v>
      </c>
      <c r="AE74" s="226"/>
      <c r="AF74" s="226"/>
      <c r="AG74" s="226"/>
      <c r="AH74" s="46"/>
      <c r="AI74" s="46"/>
      <c r="AJ74" s="46"/>
      <c r="AK74" s="46"/>
      <c r="AL74" s="46"/>
      <c r="AM74" s="46"/>
      <c r="AN74" s="46"/>
      <c r="AO74" s="46"/>
      <c r="AP74" s="46"/>
      <c r="AQ74" s="46"/>
      <c r="AR74" s="46"/>
      <c r="AS74" s="46"/>
      <c r="AT74" s="46"/>
      <c r="AU74" s="46"/>
      <c r="AV74" s="46"/>
      <c r="AW74" s="46"/>
      <c r="AX74" s="46"/>
      <c r="AY74" s="46"/>
      <c r="AZ74" s="50"/>
      <c r="BA74" s="265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245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</row>
    <row r="75" spans="1:243" ht="15" customHeight="1" thickTop="1" thickBot="1">
      <c r="A75" s="72"/>
      <c r="B75" s="72"/>
      <c r="C75" s="72"/>
      <c r="D75" s="234" t="str">
        <f>IF(MasterSheet!$A$1=1,MasterSheet!C313,MasterSheet!B313)</f>
        <v>Neto povećanje obaveza</v>
      </c>
      <c r="E75" s="320">
        <f>+'Cental Budget_int'!E85+'Local Government_int'!D91</f>
        <v>0</v>
      </c>
      <c r="F75" s="310">
        <f t="shared" si="13"/>
        <v>0</v>
      </c>
      <c r="G75" s="320">
        <f>+'Cental Budget_int'!G85+'Local Government_int'!F91</f>
        <v>0</v>
      </c>
      <c r="H75" s="310">
        <f t="shared" si="14"/>
        <v>0</v>
      </c>
      <c r="I75" s="320">
        <f>+'Cental Budget_int'!I85+'Local Government_int'!H91</f>
        <v>0</v>
      </c>
      <c r="J75" s="310">
        <f t="shared" si="15"/>
        <v>0</v>
      </c>
      <c r="K75" s="320">
        <f>+'Cental Budget_int'!K85+'Local Government_int'!J91</f>
        <v>29123695.350000001</v>
      </c>
      <c r="L75" s="310">
        <f t="shared" si="16"/>
        <v>0.97697736833277427</v>
      </c>
      <c r="M75" s="320">
        <f>+'Cental Budget_int'!M85+'Local Government_int'!L91</f>
        <v>61764588.780000001</v>
      </c>
      <c r="N75" s="310">
        <f t="shared" si="17"/>
        <v>1.9898385560567011</v>
      </c>
      <c r="O75" s="320">
        <f>+'Cental Budget_int'!O85+'Local Government_int'!N91</f>
        <v>24342189.18</v>
      </c>
      <c r="P75" s="310">
        <f t="shared" si="18"/>
        <v>0.75269601669758812</v>
      </c>
      <c r="Q75" s="931">
        <f>+'Cental Budget_int'!Q85+'Local Government_int'!P91</f>
        <v>33114247.129999999</v>
      </c>
      <c r="R75" s="327">
        <f t="shared" si="19"/>
        <v>1.0515797754842806</v>
      </c>
      <c r="S75" s="339">
        <f>+'Cental Budget_int'!S85+'Local Government_int'!R91</f>
        <v>0</v>
      </c>
      <c r="T75" s="327">
        <f t="shared" si="7"/>
        <v>0</v>
      </c>
      <c r="U75" s="339">
        <f>+'Cental Budget_int'!U85+'Local Government_int'!T91</f>
        <v>0</v>
      </c>
      <c r="V75" s="327">
        <f t="shared" ref="V75:V86" si="20">+U75/$S$15*100</f>
        <v>0</v>
      </c>
      <c r="W75" s="861">
        <f t="shared" si="9"/>
        <v>0</v>
      </c>
      <c r="X75" s="844">
        <f t="shared" si="9"/>
        <v>0</v>
      </c>
      <c r="Y75" s="339">
        <f>+'Cental Budget_int'!Y85+'Local Government_int'!X91</f>
        <v>0</v>
      </c>
      <c r="Z75" s="327">
        <f t="shared" si="10"/>
        <v>0</v>
      </c>
      <c r="AA75" s="339">
        <f>+'Cental Budget_int'!AA85+'Local Government_int'!Z91</f>
        <v>0</v>
      </c>
      <c r="AB75" s="516">
        <f t="shared" si="11"/>
        <v>0</v>
      </c>
      <c r="AC75" s="339">
        <f>+'Cental Budget_int'!AC85+'Local Government_int'!AB91</f>
        <v>0</v>
      </c>
      <c r="AD75" s="516">
        <f t="shared" si="12"/>
        <v>0</v>
      </c>
      <c r="AE75" s="222"/>
      <c r="AF75" s="222"/>
      <c r="AG75" s="222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50"/>
      <c r="BA75" s="249"/>
      <c r="BB75" s="249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245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</row>
    <row r="76" spans="1:243" s="3" customFormat="1" ht="15" customHeight="1" thickTop="1" thickBot="1">
      <c r="A76" s="79"/>
      <c r="B76" s="79"/>
      <c r="C76" s="79"/>
      <c r="D76" s="243" t="str">
        <f>IF(MasterSheet!$A$1=1,MasterSheet!C314,MasterSheet!B314)</f>
        <v>Suficit/deficit</v>
      </c>
      <c r="E76" s="314">
        <f>+E20-E39</f>
        <v>67269541.010199547</v>
      </c>
      <c r="F76" s="305">
        <f t="shared" si="13"/>
        <v>3.1304174698775911</v>
      </c>
      <c r="G76" s="314">
        <f>+G20-G39-'Local Government_int'!F84</f>
        <v>168189021.20999956</v>
      </c>
      <c r="H76" s="305">
        <f>+G76/$G$15*100</f>
        <v>6.27453912367094</v>
      </c>
      <c r="I76" s="314">
        <f>+I20-I39-'Local Government_int'!H84</f>
        <v>-12067255.152543545</v>
      </c>
      <c r="J76" s="305">
        <f t="shared" si="15"/>
        <v>-0.39108293857089527</v>
      </c>
      <c r="K76" s="314">
        <f>+K20-K39-'Local Government_int'!J84</f>
        <v>-171075242.88449955</v>
      </c>
      <c r="L76" s="305">
        <f t="shared" si="16"/>
        <v>-5.7388541725763016</v>
      </c>
      <c r="M76" s="314">
        <f>+M20-M39-'Local Government_int'!L84</f>
        <v>-151084996.65153837</v>
      </c>
      <c r="N76" s="305">
        <f t="shared" si="17"/>
        <v>-4.8674290158356435</v>
      </c>
      <c r="O76" s="713">
        <f>+O20-O39</f>
        <v>-176177625.25000024</v>
      </c>
      <c r="P76" s="305">
        <f t="shared" si="18"/>
        <v>-5.4476693027210956</v>
      </c>
      <c r="Q76" s="713">
        <f>+Q20-Q39</f>
        <v>-164851867.63666701</v>
      </c>
      <c r="R76" s="322">
        <f t="shared" si="19"/>
        <v>-5.2350545454641795</v>
      </c>
      <c r="S76" s="713">
        <f>+S20-S39</f>
        <v>-81668788.907728195</v>
      </c>
      <c r="T76" s="322">
        <f t="shared" si="7"/>
        <v>-2.3221151239046973</v>
      </c>
      <c r="U76" s="713">
        <f>+U20-U39</f>
        <v>-65995005.272840977</v>
      </c>
      <c r="V76" s="322">
        <f t="shared" si="20"/>
        <v>-1.8764573577719923</v>
      </c>
      <c r="W76" s="853">
        <f t="shared" si="9"/>
        <v>15673783.634887218</v>
      </c>
      <c r="X76" s="844">
        <f t="shared" si="9"/>
        <v>0.44565776613270502</v>
      </c>
      <c r="Y76" s="713">
        <f>+Y20-Y39</f>
        <v>-37611950.517744064</v>
      </c>
      <c r="Z76" s="322">
        <f t="shared" si="10"/>
        <v>-1.0070134007428129</v>
      </c>
      <c r="AA76" s="713">
        <f>+AA20-AA39</f>
        <v>-30971009.651134491</v>
      </c>
      <c r="AB76" s="511">
        <f t="shared" si="11"/>
        <v>-0.77777522981251856</v>
      </c>
      <c r="AC76" s="713">
        <f>+AC20-AC39</f>
        <v>-24840263.857437849</v>
      </c>
      <c r="AD76" s="511">
        <f t="shared" si="12"/>
        <v>-0.58242119243699531</v>
      </c>
      <c r="AE76" s="222"/>
      <c r="AF76" s="222"/>
      <c r="AG76" s="222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50"/>
      <c r="BA76" s="262"/>
      <c r="BB76" s="263"/>
      <c r="BC76" s="264"/>
      <c r="BD76" s="264"/>
      <c r="BE76" s="264"/>
      <c r="BF76" s="264"/>
      <c r="BG76" s="264"/>
      <c r="BH76" s="264"/>
      <c r="BI76" s="264"/>
      <c r="BJ76" s="264"/>
      <c r="BK76" s="264"/>
      <c r="BL76" s="264"/>
      <c r="BM76" s="264"/>
      <c r="BN76" s="264"/>
      <c r="BO76" s="264"/>
      <c r="BP76" s="264"/>
      <c r="BQ76" s="264"/>
      <c r="BR76" s="264"/>
      <c r="BS76" s="264"/>
      <c r="BT76" s="264"/>
      <c r="BU76" s="264"/>
      <c r="BV76" s="264"/>
      <c r="BW76" s="264"/>
      <c r="BX76" s="264"/>
      <c r="BY76" s="264"/>
      <c r="BZ76" s="264"/>
      <c r="CA76" s="264"/>
      <c r="CB76" s="264"/>
      <c r="CC76" s="264"/>
      <c r="CD76" s="264"/>
      <c r="CE76" s="264"/>
      <c r="CF76" s="264"/>
      <c r="CG76" s="264"/>
      <c r="CH76" s="264"/>
      <c r="CI76" s="264"/>
      <c r="CJ76" s="264"/>
      <c r="CK76" s="264"/>
      <c r="CL76" s="264"/>
      <c r="CM76" s="264"/>
      <c r="CN76" s="264"/>
      <c r="CO76" s="264"/>
      <c r="CP76" s="264"/>
      <c r="CQ76" s="264"/>
      <c r="CR76" s="264"/>
      <c r="CS76" s="264"/>
      <c r="CT76" s="264"/>
      <c r="CU76" s="264"/>
      <c r="CV76" s="264"/>
      <c r="CW76" s="264"/>
      <c r="CX76" s="264"/>
      <c r="CY76" s="264"/>
      <c r="CZ76" s="264"/>
      <c r="DA76" s="264"/>
      <c r="DB76" s="264"/>
      <c r="DC76" s="264"/>
      <c r="DD76" s="264"/>
      <c r="DE76" s="264"/>
      <c r="DF76" s="264"/>
      <c r="DG76" s="264"/>
      <c r="DH76" s="264"/>
      <c r="DI76" s="264"/>
      <c r="DJ76" s="264"/>
      <c r="DK76" s="264"/>
      <c r="DL76" s="264"/>
      <c r="DM76" s="264"/>
      <c r="DN76" s="264"/>
      <c r="DO76" s="264"/>
      <c r="DP76" s="264"/>
      <c r="DQ76" s="264"/>
      <c r="DR76" s="264"/>
      <c r="DS76" s="264"/>
      <c r="DT76" s="264"/>
      <c r="DU76" s="264"/>
      <c r="DV76" s="264"/>
      <c r="DW76" s="264"/>
      <c r="DX76" s="264"/>
      <c r="DY76" s="264"/>
      <c r="DZ76" s="264"/>
      <c r="EA76" s="264"/>
      <c r="EB76" s="264"/>
      <c r="EC76" s="264"/>
      <c r="ED76" s="264"/>
      <c r="EE76" s="264"/>
      <c r="EF76" s="264"/>
      <c r="EG76" s="264"/>
      <c r="EH76" s="264"/>
      <c r="EI76" s="264"/>
      <c r="EJ76" s="264"/>
      <c r="EK76" s="264"/>
      <c r="EL76" s="264"/>
      <c r="EM76" s="264"/>
      <c r="EN76" s="264"/>
      <c r="EO76" s="264"/>
      <c r="EP76" s="264"/>
      <c r="EQ76" s="264"/>
      <c r="ER76" s="264"/>
      <c r="ES76" s="264"/>
      <c r="ET76" s="264"/>
      <c r="EU76" s="264"/>
      <c r="EV76" s="264"/>
      <c r="EW76" s="264"/>
      <c r="EX76" s="264"/>
      <c r="EY76" s="264"/>
      <c r="EZ76" s="264"/>
      <c r="FA76" s="264"/>
      <c r="FB76" s="264"/>
      <c r="FC76" s="264"/>
      <c r="FD76" s="264"/>
      <c r="FE76" s="264"/>
      <c r="FF76" s="264"/>
      <c r="FG76" s="264"/>
      <c r="FH76" s="264"/>
      <c r="FI76" s="264"/>
      <c r="FJ76" s="264"/>
      <c r="FK76" s="264"/>
      <c r="FL76" s="264"/>
      <c r="FM76" s="264"/>
      <c r="FN76" s="264"/>
      <c r="FO76" s="264"/>
      <c r="FP76" s="264"/>
      <c r="FQ76" s="264"/>
      <c r="FR76" s="264"/>
      <c r="FS76" s="264"/>
      <c r="FT76" s="264"/>
      <c r="FU76" s="264"/>
      <c r="FV76" s="264"/>
      <c r="FW76" s="264"/>
      <c r="FX76" s="264"/>
      <c r="FY76" s="264"/>
      <c r="FZ76" s="264"/>
      <c r="GA76" s="264"/>
      <c r="GB76" s="264"/>
      <c r="GC76" s="264"/>
      <c r="GD76" s="264"/>
      <c r="GE76" s="245"/>
      <c r="GF76" s="264"/>
      <c r="GG76" s="264"/>
      <c r="GH76" s="264"/>
      <c r="GI76" s="264"/>
      <c r="GJ76" s="264"/>
      <c r="GK76" s="264"/>
      <c r="GL76" s="264"/>
      <c r="GM76" s="264"/>
      <c r="GN76" s="264"/>
      <c r="GO76" s="264"/>
      <c r="GP76" s="264"/>
      <c r="GQ76" s="264"/>
      <c r="GR76" s="264"/>
      <c r="GS76" s="264"/>
      <c r="GT76" s="264"/>
      <c r="GU76" s="264"/>
      <c r="GV76" s="264"/>
      <c r="GW76" s="264"/>
      <c r="GX76" s="264"/>
      <c r="GY76" s="264"/>
      <c r="GZ76" s="264"/>
      <c r="HA76" s="264"/>
      <c r="HB76" s="264"/>
      <c r="HC76" s="264"/>
      <c r="HD76" s="264"/>
      <c r="HE76" s="264"/>
      <c r="HF76" s="264"/>
      <c r="HG76" s="264"/>
      <c r="HH76" s="264"/>
      <c r="HI76" s="264"/>
      <c r="HJ76" s="264"/>
      <c r="HK76" s="264"/>
      <c r="HL76" s="264"/>
      <c r="HM76" s="264"/>
      <c r="HN76" s="264"/>
      <c r="HO76" s="264"/>
      <c r="HP76" s="264"/>
      <c r="HQ76" s="264"/>
      <c r="HR76" s="264"/>
      <c r="HS76" s="264"/>
      <c r="HT76" s="264"/>
      <c r="HU76" s="264"/>
      <c r="HV76" s="264"/>
      <c r="HW76" s="264"/>
      <c r="HX76" s="264"/>
      <c r="HY76" s="264"/>
      <c r="HZ76" s="264"/>
      <c r="IA76" s="264"/>
      <c r="IB76" s="264"/>
      <c r="IC76" s="264"/>
      <c r="ID76" s="264"/>
      <c r="IE76" s="264"/>
      <c r="IF76" s="264"/>
      <c r="IG76" s="264"/>
      <c r="IH76" s="264"/>
      <c r="II76" s="264"/>
    </row>
    <row r="77" spans="1:243" s="3" customFormat="1" ht="15" customHeight="1" thickTop="1" thickBot="1">
      <c r="A77" s="79"/>
      <c r="B77" s="79"/>
      <c r="C77" s="79"/>
      <c r="D77" s="243" t="str">
        <f>IF(MasterSheet!$A$1=1,MasterSheet!C315,MasterSheet!B315)</f>
        <v>Primarni deficit</v>
      </c>
      <c r="E77" s="314">
        <f>+E76+E51</f>
        <v>91124204.510199547</v>
      </c>
      <c r="F77" s="305">
        <f t="shared" si="13"/>
        <v>4.2405046540183138</v>
      </c>
      <c r="G77" s="314">
        <f>+G76+G51</f>
        <v>196124124.37999958</v>
      </c>
      <c r="H77" s="305">
        <f t="shared" si="14"/>
        <v>7.3166992867002261</v>
      </c>
      <c r="I77" s="314">
        <f>+I76+I51</f>
        <v>11738436.907456454</v>
      </c>
      <c r="J77" s="305">
        <f t="shared" si="15"/>
        <v>0.3804263970526463</v>
      </c>
      <c r="K77" s="314">
        <f>+K76+K51</f>
        <v>-145552504.84449956</v>
      </c>
      <c r="L77" s="305">
        <f t="shared" si="16"/>
        <v>-4.8826737619758322</v>
      </c>
      <c r="M77" s="314">
        <f>+M76+M51</f>
        <v>-119678718.18153837</v>
      </c>
      <c r="N77" s="305">
        <f t="shared" si="17"/>
        <v>-3.8556288073949214</v>
      </c>
      <c r="O77" s="314">
        <f>+O76+O51</f>
        <v>-128574359.54000023</v>
      </c>
      <c r="P77" s="305">
        <f t="shared" si="18"/>
        <v>-3.9757068503401429</v>
      </c>
      <c r="Q77" s="314">
        <f>+Q76+Q51</f>
        <v>-105131550.896667</v>
      </c>
      <c r="R77" s="322">
        <f t="shared" si="19"/>
        <v>-3.3385694155816772</v>
      </c>
      <c r="S77" s="314">
        <f>+S76+S51</f>
        <v>-7345226.1627281904</v>
      </c>
      <c r="T77" s="322">
        <f t="shared" si="7"/>
        <v>-0.20884919427717344</v>
      </c>
      <c r="U77" s="314">
        <f>+U76+U51</f>
        <v>8406956.5810590237</v>
      </c>
      <c r="V77" s="322">
        <f t="shared" si="20"/>
        <v>0.23903771910887187</v>
      </c>
      <c r="W77" s="843">
        <f t="shared" si="9"/>
        <v>15752182.743787214</v>
      </c>
      <c r="X77" s="844">
        <f t="shared" si="9"/>
        <v>0.4478869133860453</v>
      </c>
      <c r="Y77" s="314">
        <f>+Y76+Y51</f>
        <v>52170734.448903844</v>
      </c>
      <c r="Z77" s="322">
        <f t="shared" si="10"/>
        <v>1.3968068125543198</v>
      </c>
      <c r="AA77" s="314">
        <f>+AA76+AA51</f>
        <v>75996447.655971423</v>
      </c>
      <c r="AB77" s="511">
        <f t="shared" si="11"/>
        <v>1.9084994388742196</v>
      </c>
      <c r="AC77" s="314">
        <f>+AC76+AC51</f>
        <v>101667193.44966806</v>
      </c>
      <c r="AD77" s="511">
        <f t="shared" si="12"/>
        <v>2.3837560011645502</v>
      </c>
      <c r="AE77" s="222"/>
      <c r="AF77" s="222"/>
      <c r="AG77" s="222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50"/>
      <c r="BA77" s="262"/>
      <c r="BB77" s="263"/>
      <c r="BC77" s="264"/>
      <c r="BD77" s="264"/>
      <c r="BE77" s="264"/>
      <c r="BF77" s="264"/>
      <c r="BG77" s="264"/>
      <c r="BH77" s="264"/>
      <c r="BI77" s="264"/>
      <c r="BJ77" s="264"/>
      <c r="BK77" s="264"/>
      <c r="BL77" s="264"/>
      <c r="BM77" s="264"/>
      <c r="BN77" s="264"/>
      <c r="BO77" s="264"/>
      <c r="BP77" s="264"/>
      <c r="BQ77" s="264"/>
      <c r="BR77" s="264"/>
      <c r="BS77" s="264"/>
      <c r="BT77" s="264"/>
      <c r="BU77" s="264"/>
      <c r="BV77" s="264"/>
      <c r="BW77" s="264"/>
      <c r="BX77" s="264"/>
      <c r="BY77" s="264"/>
      <c r="BZ77" s="264"/>
      <c r="CA77" s="264"/>
      <c r="CB77" s="264"/>
      <c r="CC77" s="264"/>
      <c r="CD77" s="264"/>
      <c r="CE77" s="264"/>
      <c r="CF77" s="264"/>
      <c r="CG77" s="264"/>
      <c r="CH77" s="264"/>
      <c r="CI77" s="264"/>
      <c r="CJ77" s="264"/>
      <c r="CK77" s="264"/>
      <c r="CL77" s="264"/>
      <c r="CM77" s="264"/>
      <c r="CN77" s="264"/>
      <c r="CO77" s="264"/>
      <c r="CP77" s="264"/>
      <c r="CQ77" s="264"/>
      <c r="CR77" s="264"/>
      <c r="CS77" s="264"/>
      <c r="CT77" s="264"/>
      <c r="CU77" s="264"/>
      <c r="CV77" s="264"/>
      <c r="CW77" s="264"/>
      <c r="CX77" s="264"/>
      <c r="CY77" s="264"/>
      <c r="CZ77" s="264"/>
      <c r="DA77" s="264"/>
      <c r="DB77" s="264"/>
      <c r="DC77" s="264"/>
      <c r="DD77" s="264"/>
      <c r="DE77" s="264"/>
      <c r="DF77" s="264"/>
      <c r="DG77" s="264"/>
      <c r="DH77" s="264"/>
      <c r="DI77" s="264"/>
      <c r="DJ77" s="264"/>
      <c r="DK77" s="264"/>
      <c r="DL77" s="264"/>
      <c r="DM77" s="264"/>
      <c r="DN77" s="264"/>
      <c r="DO77" s="264"/>
      <c r="DP77" s="264"/>
      <c r="DQ77" s="264"/>
      <c r="DR77" s="264"/>
      <c r="DS77" s="264"/>
      <c r="DT77" s="264"/>
      <c r="DU77" s="264"/>
      <c r="DV77" s="264"/>
      <c r="DW77" s="264"/>
      <c r="DX77" s="264"/>
      <c r="DY77" s="264"/>
      <c r="DZ77" s="264"/>
      <c r="EA77" s="264"/>
      <c r="EB77" s="264"/>
      <c r="EC77" s="264"/>
      <c r="ED77" s="264"/>
      <c r="EE77" s="264"/>
      <c r="EF77" s="264"/>
      <c r="EG77" s="264"/>
      <c r="EH77" s="264"/>
      <c r="EI77" s="264"/>
      <c r="EJ77" s="264"/>
      <c r="EK77" s="264"/>
      <c r="EL77" s="264"/>
      <c r="EM77" s="264"/>
      <c r="EN77" s="264"/>
      <c r="EO77" s="264"/>
      <c r="EP77" s="264"/>
      <c r="EQ77" s="264"/>
      <c r="ER77" s="264"/>
      <c r="ES77" s="264"/>
      <c r="ET77" s="264"/>
      <c r="EU77" s="264"/>
      <c r="EV77" s="264"/>
      <c r="EW77" s="264"/>
      <c r="EX77" s="264"/>
      <c r="EY77" s="264"/>
      <c r="EZ77" s="264"/>
      <c r="FA77" s="264"/>
      <c r="FB77" s="264"/>
      <c r="FC77" s="264"/>
      <c r="FD77" s="264"/>
      <c r="FE77" s="264"/>
      <c r="FF77" s="264"/>
      <c r="FG77" s="264"/>
      <c r="FH77" s="264"/>
      <c r="FI77" s="264"/>
      <c r="FJ77" s="264"/>
      <c r="FK77" s="264"/>
      <c r="FL77" s="264"/>
      <c r="FM77" s="264"/>
      <c r="FN77" s="264"/>
      <c r="FO77" s="264"/>
      <c r="FP77" s="264"/>
      <c r="FQ77" s="264"/>
      <c r="FR77" s="264"/>
      <c r="FS77" s="264"/>
      <c r="FT77" s="264"/>
      <c r="FU77" s="264"/>
      <c r="FV77" s="264"/>
      <c r="FW77" s="264"/>
      <c r="FX77" s="264"/>
      <c r="FY77" s="264"/>
      <c r="FZ77" s="264"/>
      <c r="GA77" s="264"/>
      <c r="GB77" s="264"/>
      <c r="GC77" s="264"/>
      <c r="GD77" s="264"/>
      <c r="GE77" s="245"/>
      <c r="GF77" s="264"/>
      <c r="GG77" s="264"/>
      <c r="GH77" s="264"/>
      <c r="GI77" s="264"/>
      <c r="GJ77" s="264"/>
      <c r="GK77" s="264"/>
      <c r="GL77" s="264"/>
      <c r="GM77" s="264"/>
      <c r="GN77" s="264"/>
      <c r="GO77" s="264"/>
      <c r="GP77" s="264"/>
      <c r="GQ77" s="264"/>
      <c r="GR77" s="264"/>
      <c r="GS77" s="264"/>
      <c r="GT77" s="264"/>
      <c r="GU77" s="264"/>
      <c r="GV77" s="264"/>
      <c r="GW77" s="264"/>
      <c r="GX77" s="264"/>
      <c r="GY77" s="264"/>
      <c r="GZ77" s="264"/>
      <c r="HA77" s="264"/>
      <c r="HB77" s="264"/>
      <c r="HC77" s="264"/>
      <c r="HD77" s="264"/>
      <c r="HE77" s="264"/>
      <c r="HF77" s="264"/>
      <c r="HG77" s="264"/>
      <c r="HH77" s="264"/>
      <c r="HI77" s="264"/>
      <c r="HJ77" s="264"/>
      <c r="HK77" s="264"/>
      <c r="HL77" s="264"/>
      <c r="HM77" s="264"/>
      <c r="HN77" s="264"/>
      <c r="HO77" s="264"/>
      <c r="HP77" s="264"/>
      <c r="HQ77" s="264"/>
      <c r="HR77" s="264"/>
      <c r="HS77" s="264"/>
      <c r="HT77" s="264"/>
      <c r="HU77" s="264"/>
      <c r="HV77" s="264"/>
      <c r="HW77" s="264"/>
      <c r="HX77" s="264"/>
      <c r="HY77" s="264"/>
      <c r="HZ77" s="264"/>
      <c r="IA77" s="264"/>
      <c r="IB77" s="264"/>
      <c r="IC77" s="264"/>
      <c r="ID77" s="264"/>
      <c r="IE77" s="264"/>
      <c r="IF77" s="264"/>
      <c r="IG77" s="264"/>
      <c r="IH77" s="264"/>
      <c r="II77" s="264"/>
    </row>
    <row r="78" spans="1:243" ht="15" customHeight="1" thickTop="1" thickBot="1">
      <c r="A78" s="72"/>
      <c r="B78" s="72"/>
      <c r="C78" s="72"/>
      <c r="D78" s="241" t="str">
        <f>IF(MasterSheet!$A$1=1,MasterSheet!C316,MasterSheet!B316)</f>
        <v>Otplata duga</v>
      </c>
      <c r="E78" s="321">
        <f>SUM(E79:E81)</f>
        <v>121275304.05</v>
      </c>
      <c r="F78" s="311">
        <f t="shared" si="13"/>
        <v>5.6435992391456091</v>
      </c>
      <c r="G78" s="321">
        <f>SUM(G79:G81)</f>
        <v>182472251.90000001</v>
      </c>
      <c r="H78" s="311">
        <f t="shared" si="14"/>
        <v>6.8073960790897221</v>
      </c>
      <c r="I78" s="321">
        <f>SUM(I79:I81)</f>
        <v>145616020.09509</v>
      </c>
      <c r="J78" s="311">
        <f t="shared" si="15"/>
        <v>4.7192124739139878</v>
      </c>
      <c r="K78" s="321">
        <f>SUM(K79:K81)</f>
        <v>187782372.56</v>
      </c>
      <c r="L78" s="311">
        <f t="shared" si="16"/>
        <v>6.2993080362294531</v>
      </c>
      <c r="M78" s="321">
        <f>SUM(M79:M81)</f>
        <v>196850160.81</v>
      </c>
      <c r="N78" s="311">
        <f t="shared" si="17"/>
        <v>6.3418221910438142</v>
      </c>
      <c r="O78" s="321">
        <f>SUM(O79:O81)</f>
        <v>182469921.50999999</v>
      </c>
      <c r="P78" s="311">
        <f t="shared" si="18"/>
        <v>5.6422362866419293</v>
      </c>
      <c r="Q78" s="321">
        <f>SUM(Q79:Q81)</f>
        <v>190390297.28000003</v>
      </c>
      <c r="R78" s="328">
        <f t="shared" si="19"/>
        <v>6.0460558043823447</v>
      </c>
      <c r="S78" s="321">
        <f>SUM(S79:S81)</f>
        <v>160677132</v>
      </c>
      <c r="T78" s="328">
        <f t="shared" si="7"/>
        <v>4.568584930338357</v>
      </c>
      <c r="U78" s="321">
        <f>SUM(U79:U81)</f>
        <v>161677132</v>
      </c>
      <c r="V78" s="328">
        <f t="shared" si="20"/>
        <v>4.5970182541939151</v>
      </c>
      <c r="W78" s="812">
        <f t="shared" si="9"/>
        <v>1000000</v>
      </c>
      <c r="X78" s="862">
        <f t="shared" si="9"/>
        <v>2.8433323855558079E-2</v>
      </c>
      <c r="Y78" s="321">
        <f>SUM(Y79:Y81)</f>
        <v>175500000</v>
      </c>
      <c r="Z78" s="328">
        <f t="shared" si="10"/>
        <v>4.6987951807228914</v>
      </c>
      <c r="AA78" s="321">
        <f>SUM(AA79:AA81)</f>
        <v>375000000</v>
      </c>
      <c r="AB78" s="517">
        <f t="shared" si="11"/>
        <v>9.4173782019085888</v>
      </c>
      <c r="AC78" s="321">
        <f>SUM(AC79:AC81)</f>
        <v>339100000</v>
      </c>
      <c r="AD78" s="517">
        <f t="shared" si="12"/>
        <v>7.9507620164126616</v>
      </c>
      <c r="AE78" s="224"/>
      <c r="AF78" s="224"/>
      <c r="AG78" s="224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  <c r="AT78" s="45"/>
      <c r="AU78" s="45"/>
      <c r="AV78" s="45"/>
      <c r="AW78" s="45"/>
      <c r="AX78" s="45"/>
      <c r="AY78" s="45"/>
      <c r="AZ78" s="50"/>
      <c r="BA78" s="160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245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</row>
    <row r="79" spans="1:243" ht="15" customHeight="1" thickTop="1">
      <c r="A79" s="72"/>
      <c r="B79" s="72"/>
      <c r="C79" s="72"/>
      <c r="D79" s="197" t="str">
        <f>IF(MasterSheet!$A$1=1,MasterSheet!C317,MasterSheet!B317)</f>
        <v>Otplata glavnice rezidentima</v>
      </c>
      <c r="E79" s="200">
        <f>+'Cental Budget_int'!E89+'Local Government_int'!D95</f>
        <v>45134259.909999996</v>
      </c>
      <c r="F79" s="202">
        <f t="shared" si="13"/>
        <v>2.1003424966261806</v>
      </c>
      <c r="G79" s="200">
        <f>+'Cental Budget_int'!G89+'Local Government_int'!F95</f>
        <v>29729051.460000001</v>
      </c>
      <c r="H79" s="202">
        <f t="shared" si="14"/>
        <v>1.1090860458869614</v>
      </c>
      <c r="I79" s="200">
        <f>+'Cental Budget_int'!I89+'Local Government_int'!H95</f>
        <v>52839148.952959999</v>
      </c>
      <c r="J79" s="202">
        <f t="shared" si="15"/>
        <v>1.7124432510033705</v>
      </c>
      <c r="K79" s="200">
        <f>+'Cental Budget_int'!K89+'Local Government_int'!J95</f>
        <v>76653571.25</v>
      </c>
      <c r="L79" s="202">
        <f t="shared" si="16"/>
        <v>2.5714046041596781</v>
      </c>
      <c r="M79" s="200">
        <f>+'Cental Budget_int'!M89+'Local Government_int'!L95</f>
        <v>62137566.530000001</v>
      </c>
      <c r="N79" s="202">
        <f t="shared" si="17"/>
        <v>2.0018545918170103</v>
      </c>
      <c r="O79" s="200">
        <f>+'Cental Budget_int'!O89+'Local Government_int'!N95</f>
        <v>39559505.469999999</v>
      </c>
      <c r="P79" s="202">
        <f t="shared" si="18"/>
        <v>1.2232376459492889</v>
      </c>
      <c r="Q79" s="932">
        <f>+'Cental Budget_int'!Q89+'Local Government_int'!P95</f>
        <v>83429832.650000006</v>
      </c>
      <c r="R79" s="329">
        <f t="shared" si="19"/>
        <v>2.6494071975230233</v>
      </c>
      <c r="S79" s="341">
        <f>+'Cental Budget_int'!S89+'Local Government_int'!R95</f>
        <v>27800000</v>
      </c>
      <c r="T79" s="329">
        <f t="shared" si="7"/>
        <v>0.7904464031845323</v>
      </c>
      <c r="U79" s="341">
        <f>+'Cental Budget_int'!U89+'Local Government_int'!T95</f>
        <v>28300000</v>
      </c>
      <c r="V79" s="329">
        <f t="shared" si="20"/>
        <v>0.80466306511231167</v>
      </c>
      <c r="W79" s="863">
        <f t="shared" si="9"/>
        <v>500000</v>
      </c>
      <c r="X79" s="864">
        <f t="shared" si="9"/>
        <v>1.4216661927779373E-2</v>
      </c>
      <c r="Y79" s="341">
        <f>+'Cental Budget_int'!Y89+'Local Government_int'!X95</f>
        <v>28600000</v>
      </c>
      <c r="Z79" s="329">
        <f t="shared" si="10"/>
        <v>0.76572958500669341</v>
      </c>
      <c r="AA79" s="341">
        <f>+'Cental Budget_int'!AA89+'Local Government_int'!Z95</f>
        <v>32600000</v>
      </c>
      <c r="AB79" s="518">
        <f t="shared" si="11"/>
        <v>0.81868407835258661</v>
      </c>
      <c r="AC79" s="341">
        <f>+'Cental Budget_int'!AC89+'Local Government_int'!AB95</f>
        <v>27500000</v>
      </c>
      <c r="AD79" s="518">
        <f t="shared" si="12"/>
        <v>0.64478311840562719</v>
      </c>
      <c r="AE79" s="225"/>
      <c r="AF79" s="225"/>
      <c r="AG79" s="2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50"/>
      <c r="BA79" s="265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245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</row>
    <row r="80" spans="1:243" ht="15" customHeight="1">
      <c r="A80" s="72"/>
      <c r="B80" s="72"/>
      <c r="C80" s="72"/>
      <c r="D80" s="195" t="str">
        <f>IF(MasterSheet!$A$1=1,MasterSheet!C318,MasterSheet!B318)</f>
        <v>Otplata glavnice nerezidentima</v>
      </c>
      <c r="E80" s="186">
        <f>+'Cental Budget_int'!E90+'Local Government_int'!D96</f>
        <v>14260035.939999999</v>
      </c>
      <c r="F80" s="188">
        <f t="shared" si="13"/>
        <v>0.66359700032574798</v>
      </c>
      <c r="G80" s="186">
        <f>+'Cental Budget_int'!G90+'Local Government_int'!F96</f>
        <v>84240903.909999996</v>
      </c>
      <c r="H80" s="188">
        <f t="shared" si="14"/>
        <v>3.1427309796679723</v>
      </c>
      <c r="I80" s="186">
        <f>+'Cental Budget_int'!I90+'Local Government_int'!H96</f>
        <v>19914054.949519999</v>
      </c>
      <c r="J80" s="188">
        <f t="shared" si="15"/>
        <v>0.64538679509722574</v>
      </c>
      <c r="K80" s="186">
        <f>+'Cental Budget_int'!K90+'Local Government_int'!J96</f>
        <v>25402765.82</v>
      </c>
      <c r="L80" s="188">
        <f t="shared" si="16"/>
        <v>0.8521558477021135</v>
      </c>
      <c r="M80" s="186">
        <f>+'Cental Budget_int'!M90+'Local Government_int'!L96</f>
        <v>45342776.32</v>
      </c>
      <c r="N80" s="188">
        <f t="shared" si="17"/>
        <v>1.4607853195876288</v>
      </c>
      <c r="O80" s="186">
        <f>+'Cental Budget_int'!O90+'Local Government_int'!N96</f>
        <v>60317011.140000001</v>
      </c>
      <c r="P80" s="188">
        <f t="shared" si="18"/>
        <v>1.8650900166975883</v>
      </c>
      <c r="Q80" s="933">
        <f>+'Cental Budget_int'!Q90+'Local Government_int'!P96</f>
        <v>59874811.390000001</v>
      </c>
      <c r="R80" s="330">
        <f t="shared" si="19"/>
        <v>1.901391279453795</v>
      </c>
      <c r="S80" s="337">
        <f>+'Cental Budget_int'!S90+'Local Government_int'!R96</f>
        <v>66700000</v>
      </c>
      <c r="T80" s="330">
        <f t="shared" si="7"/>
        <v>1.8965027011657662</v>
      </c>
      <c r="U80" s="337">
        <f>+'Cental Budget_int'!U90+'Local Government_int'!T96</f>
        <v>67200000</v>
      </c>
      <c r="V80" s="330">
        <f t="shared" si="20"/>
        <v>1.9107193630935455</v>
      </c>
      <c r="W80" s="865">
        <f t="shared" si="9"/>
        <v>500000</v>
      </c>
      <c r="X80" s="866">
        <f t="shared" si="9"/>
        <v>1.4216661927779262E-2</v>
      </c>
      <c r="Y80" s="337">
        <f>+'Cental Budget_int'!Y90+'Local Government_int'!X96</f>
        <v>99000000</v>
      </c>
      <c r="Z80" s="330">
        <f t="shared" si="10"/>
        <v>2.6506024096385543</v>
      </c>
      <c r="AA80" s="337">
        <f>+'Cental Budget_int'!AA90+'Local Government_int'!Z96</f>
        <v>299900000</v>
      </c>
      <c r="AB80" s="519">
        <f t="shared" si="11"/>
        <v>7.5313912606730291</v>
      </c>
      <c r="AC80" s="337">
        <f>+'Cental Budget_int'!AC90+'Local Government_int'!AB96</f>
        <v>276900000</v>
      </c>
      <c r="AD80" s="519">
        <f t="shared" si="12"/>
        <v>6.492379835873388</v>
      </c>
      <c r="AE80" s="225"/>
      <c r="AF80" s="225"/>
      <c r="AG80" s="2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50"/>
      <c r="BA80" s="265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245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</row>
    <row r="81" spans="1:243" ht="15" customHeight="1" thickBot="1">
      <c r="A81" s="72"/>
      <c r="B81" s="72"/>
      <c r="C81" s="72"/>
      <c r="D81" s="195" t="str">
        <f>IF(MasterSheet!$A$1=1,MasterSheet!C319,MasterSheet!B319)</f>
        <v>Otplata obaveza iz prethodnog perioda</v>
      </c>
      <c r="E81" s="186">
        <f>+'Cental Budget_int'!E91+'Local Government_int'!D97</f>
        <v>61881008.200000003</v>
      </c>
      <c r="F81" s="188">
        <f t="shared" si="13"/>
        <v>2.8796597421936805</v>
      </c>
      <c r="G81" s="186">
        <f>+'Cental Budget_int'!G91+'Local Government_int'!F97</f>
        <v>68502296.530000001</v>
      </c>
      <c r="H81" s="188">
        <f t="shared" si="14"/>
        <v>2.5555790535347884</v>
      </c>
      <c r="I81" s="186">
        <f>+'Cental Budget_int'!I91+'Local Government_int'!H97</f>
        <v>72862816.192609996</v>
      </c>
      <c r="J81" s="188">
        <f t="shared" si="15"/>
        <v>2.3613824278133908</v>
      </c>
      <c r="K81" s="186">
        <f>+'Cental Budget_int'!K91+'Local Government_int'!J97</f>
        <v>85726035.49000001</v>
      </c>
      <c r="L81" s="188">
        <f t="shared" si="16"/>
        <v>2.8757475843676623</v>
      </c>
      <c r="M81" s="186">
        <f>+'Cental Budget_int'!M91+'Local Government_int'!L97</f>
        <v>89369817.959999993</v>
      </c>
      <c r="N81" s="188">
        <f t="shared" si="17"/>
        <v>2.8791822796391751</v>
      </c>
      <c r="O81" s="186">
        <f>+'Cental Budget_int'!O91+'Local Government_int'!N97</f>
        <v>82593404.900000006</v>
      </c>
      <c r="P81" s="188">
        <f t="shared" si="18"/>
        <v>2.5539086239950528</v>
      </c>
      <c r="Q81" s="933">
        <f>+'Cental Budget_int'!Q91+'Local Government_int'!P97</f>
        <v>47085653.239999995</v>
      </c>
      <c r="R81" s="330">
        <f t="shared" si="19"/>
        <v>1.4952573274055254</v>
      </c>
      <c r="S81" s="337">
        <f>+'Cental Budget_int'!S91+'Local Government_int'!R97</f>
        <v>66177132</v>
      </c>
      <c r="T81" s="330">
        <f t="shared" si="7"/>
        <v>1.8816358259880581</v>
      </c>
      <c r="U81" s="337">
        <f>+'Cental Budget_int'!U91+'Local Government_int'!T97</f>
        <v>66177132</v>
      </c>
      <c r="V81" s="330">
        <f t="shared" si="20"/>
        <v>1.8816358259880581</v>
      </c>
      <c r="W81" s="865">
        <f t="shared" si="9"/>
        <v>0</v>
      </c>
      <c r="X81" s="866">
        <f t="shared" si="9"/>
        <v>0</v>
      </c>
      <c r="Y81" s="337">
        <f>+'Cental Budget_int'!Y91+'Local Government_int'!X97</f>
        <v>47900000</v>
      </c>
      <c r="Z81" s="330">
        <f t="shared" si="10"/>
        <v>1.2824631860776439</v>
      </c>
      <c r="AA81" s="337">
        <f>+'Cental Budget_int'!AA91+'Local Government_int'!Z97</f>
        <v>42500000</v>
      </c>
      <c r="AB81" s="519">
        <f t="shared" si="11"/>
        <v>1.0673028628829735</v>
      </c>
      <c r="AC81" s="337">
        <f>+'Cental Budget_int'!AC91+'Local Government_int'!AB97</f>
        <v>34700000</v>
      </c>
      <c r="AD81" s="519">
        <f t="shared" si="12"/>
        <v>0.81359906213364586</v>
      </c>
      <c r="AE81" s="225"/>
      <c r="AF81" s="225"/>
      <c r="AG81" s="2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50"/>
      <c r="BA81" s="265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245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</row>
    <row r="82" spans="1:243" ht="15" customHeight="1" thickTop="1" thickBot="1">
      <c r="A82" s="72"/>
      <c r="B82" s="72"/>
      <c r="C82" s="72"/>
      <c r="D82" s="241" t="str">
        <f>IF(MasterSheet!$A$1=1,MasterSheet!C321,MasterSheet!B321)</f>
        <v>Nedostajuća sredstva</v>
      </c>
      <c r="E82" s="321">
        <f>+E76-E78</f>
        <v>-54005763.03980045</v>
      </c>
      <c r="F82" s="311">
        <f t="shared" si="13"/>
        <v>-2.5131817692680185</v>
      </c>
      <c r="G82" s="321">
        <f>+G76-G78</f>
        <v>-14283230.690000445</v>
      </c>
      <c r="H82" s="311">
        <f t="shared" si="14"/>
        <v>-0.53285695541878175</v>
      </c>
      <c r="I82" s="321">
        <f>+I76-I78</f>
        <v>-157683275.24763355</v>
      </c>
      <c r="J82" s="311">
        <f t="shared" si="15"/>
        <v>-5.1102954124848834</v>
      </c>
      <c r="K82" s="321">
        <f>+K76-K78</f>
        <v>-358857615.44449955</v>
      </c>
      <c r="L82" s="311">
        <f t="shared" si="16"/>
        <v>-12.038162208805755</v>
      </c>
      <c r="M82" s="321">
        <f>+M76-M78</f>
        <v>-347935157.46153837</v>
      </c>
      <c r="N82" s="311">
        <f t="shared" si="17"/>
        <v>-11.209251206879458</v>
      </c>
      <c r="O82" s="321">
        <f>+O76-O78</f>
        <v>-358647546.76000023</v>
      </c>
      <c r="P82" s="311">
        <f t="shared" si="18"/>
        <v>-11.089905589363024</v>
      </c>
      <c r="Q82" s="321">
        <f>+Q76-Q78</f>
        <v>-355242164.91666704</v>
      </c>
      <c r="R82" s="328">
        <f t="shared" si="19"/>
        <v>-11.281110349846523</v>
      </c>
      <c r="S82" s="321">
        <f>+S76-S78</f>
        <v>-242345920.9077282</v>
      </c>
      <c r="T82" s="328">
        <f t="shared" si="7"/>
        <v>-6.8907000542430543</v>
      </c>
      <c r="U82" s="321">
        <f>+U76-U78</f>
        <v>-227672137.27284098</v>
      </c>
      <c r="V82" s="328">
        <f t="shared" si="20"/>
        <v>-6.4734756119659078</v>
      </c>
      <c r="W82" s="812">
        <f t="shared" si="9"/>
        <v>14673783.634887218</v>
      </c>
      <c r="X82" s="862">
        <f t="shared" si="9"/>
        <v>0.4172244422771465</v>
      </c>
      <c r="Y82" s="321">
        <f>+Y76-Y78</f>
        <v>-213111950.51774406</v>
      </c>
      <c r="Z82" s="328">
        <f t="shared" si="10"/>
        <v>-5.7058085814657042</v>
      </c>
      <c r="AA82" s="321">
        <f>+AA76-AA78</f>
        <v>-405971009.65113449</v>
      </c>
      <c r="AB82" s="517">
        <f t="shared" si="11"/>
        <v>-10.195153431721108</v>
      </c>
      <c r="AC82" s="321">
        <f>+AC76-AC78</f>
        <v>-363940263.85743785</v>
      </c>
      <c r="AD82" s="517">
        <f t="shared" si="12"/>
        <v>-8.5331832088496569</v>
      </c>
      <c r="AE82" s="224"/>
      <c r="AF82" s="224"/>
      <c r="AG82" s="224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  <c r="AT82" s="45"/>
      <c r="AU82" s="45"/>
      <c r="AV82" s="45"/>
      <c r="AW82" s="45"/>
      <c r="AX82" s="45"/>
      <c r="AY82" s="45"/>
      <c r="AZ82" s="50"/>
      <c r="BA82" s="265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245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  <c r="IH82" s="4"/>
      <c r="II82" s="4"/>
    </row>
    <row r="83" spans="1:243" ht="15" customHeight="1" thickTop="1" thickBot="1">
      <c r="A83" s="72"/>
      <c r="B83" s="72"/>
      <c r="C83" s="72"/>
      <c r="D83" s="241" t="str">
        <f>IF(MasterSheet!$A$1=1,MasterSheet!C322,MasterSheet!B322)</f>
        <v>Finansiranje</v>
      </c>
      <c r="E83" s="321">
        <f>SUM(E84:E88)</f>
        <v>54005763.039800338</v>
      </c>
      <c r="F83" s="311">
        <f t="shared" si="13"/>
        <v>2.5131817692680132</v>
      </c>
      <c r="G83" s="321">
        <f>SUM(G84:G88)</f>
        <v>14283230.690000251</v>
      </c>
      <c r="H83" s="311">
        <f t="shared" si="14"/>
        <v>0.53285695541877454</v>
      </c>
      <c r="I83" s="321">
        <f>SUM(I84:I88)</f>
        <v>157683275.2476334</v>
      </c>
      <c r="J83" s="311">
        <f t="shared" si="15"/>
        <v>5.1102954124848781</v>
      </c>
      <c r="K83" s="321">
        <f>SUM(K84:K88)</f>
        <v>358857615.44449973</v>
      </c>
      <c r="L83" s="311">
        <f>+K83/$K$15*100</f>
        <v>12.038162208805762</v>
      </c>
      <c r="M83" s="321">
        <f>SUM(M84:M88)</f>
        <v>347935157.46153814</v>
      </c>
      <c r="N83" s="311">
        <f t="shared" si="17"/>
        <v>11.209251206879451</v>
      </c>
      <c r="O83" s="321">
        <f>SUM(O84:O88)</f>
        <v>358647546.76000011</v>
      </c>
      <c r="P83" s="311">
        <f t="shared" si="18"/>
        <v>11.089905589363021</v>
      </c>
      <c r="Q83" s="321">
        <f>SUM(Q84:Q88)</f>
        <v>355242164.91666728</v>
      </c>
      <c r="R83" s="328">
        <f t="shared" si="19"/>
        <v>11.281110349846532</v>
      </c>
      <c r="S83" s="321">
        <f>SUM(S84:S88)</f>
        <v>242345920.90772769</v>
      </c>
      <c r="T83" s="328">
        <f t="shared" si="7"/>
        <v>6.8907000542430392</v>
      </c>
      <c r="U83" s="321">
        <f>SUM(U84:U88)</f>
        <v>227672137.2728402</v>
      </c>
      <c r="V83" s="328">
        <f t="shared" si="20"/>
        <v>6.4734756119658856</v>
      </c>
      <c r="W83" s="812">
        <f t="shared" si="9"/>
        <v>-14673783.634887487</v>
      </c>
      <c r="X83" s="862">
        <f t="shared" si="9"/>
        <v>-0.41722444227715361</v>
      </c>
      <c r="Y83" s="321">
        <f>SUM(Y84:Y88)</f>
        <v>213111950.51774406</v>
      </c>
      <c r="Z83" s="328">
        <f t="shared" si="10"/>
        <v>5.7058085814657042</v>
      </c>
      <c r="AA83" s="321">
        <f>SUM(AA84:AA88)</f>
        <v>405971009.65113467</v>
      </c>
      <c r="AB83" s="517">
        <f t="shared" si="11"/>
        <v>10.195153431721112</v>
      </c>
      <c r="AC83" s="321">
        <f>SUM(AC84:AC88)</f>
        <v>363940263.85743737</v>
      </c>
      <c r="AD83" s="517">
        <f t="shared" si="12"/>
        <v>8.5331832088496462</v>
      </c>
      <c r="AE83" s="224"/>
      <c r="AF83" s="224"/>
      <c r="AG83" s="224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45"/>
      <c r="AU83" s="45"/>
      <c r="AV83" s="45"/>
      <c r="AW83" s="45"/>
      <c r="AX83" s="45"/>
      <c r="AY83" s="45"/>
      <c r="AZ83" s="50"/>
      <c r="BA83" s="265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245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  <c r="IH83" s="4"/>
      <c r="II83" s="4"/>
    </row>
    <row r="84" spans="1:243" ht="15" customHeight="1" thickTop="1">
      <c r="A84" s="72"/>
      <c r="B84" s="72"/>
      <c r="C84" s="72"/>
      <c r="D84" s="197" t="str">
        <f>IF(MasterSheet!$A$1=1,MasterSheet!C323,MasterSheet!B323)</f>
        <v>Pozajmice i krediti iz domaćih izvora</v>
      </c>
      <c r="E84" s="200">
        <f>+'Cental Budget_int'!E94+'Local Government_int'!D100</f>
        <v>16580968.940000001</v>
      </c>
      <c r="F84" s="202">
        <f t="shared" ref="F84:F88" si="21">+E84/$E$15*100</f>
        <v>0.77160263111359306</v>
      </c>
      <c r="G84" s="200">
        <f>+'Cental Budget_int'!G94+'Local Government_int'!F100</f>
        <v>17496957.030000001</v>
      </c>
      <c r="H84" s="202">
        <f t="shared" ref="H84:H88" si="22">+G84/$G$15*100</f>
        <v>0.65274974930050367</v>
      </c>
      <c r="I84" s="200">
        <f>+'Cental Budget_int'!I94+'Local Government_int'!H100</f>
        <v>14908540.26</v>
      </c>
      <c r="J84" s="202">
        <f t="shared" ref="J84:J88" si="23">+I84/$I$15*100</f>
        <v>0.48316503305677988</v>
      </c>
      <c r="K84" s="200">
        <f>+'Cental Budget_int'!K94+'Local Government_int'!J100</f>
        <v>125659172.79000001</v>
      </c>
      <c r="L84" s="202">
        <f t="shared" ref="L84:L88" si="24">+K84/$K$15*100</f>
        <v>4.2153362224085882</v>
      </c>
      <c r="M84" s="200">
        <f>+'Cental Budget_int'!M94+'Local Government_int'!L100</f>
        <v>42118251.93</v>
      </c>
      <c r="N84" s="202">
        <f t="shared" ref="N84:N88" si="25">+M84/$M$15*100</f>
        <v>1.3569024461984536</v>
      </c>
      <c r="O84" s="200">
        <f>+'Cental Budget_int'!O94+'Local Government_int'!N100</f>
        <v>66346883.030000001</v>
      </c>
      <c r="P84" s="202">
        <f t="shared" ref="P84:P88" si="26">+O84/$O$15*100</f>
        <v>2.0515424560915276</v>
      </c>
      <c r="Q84" s="932">
        <f>+'Cental Budget_int'!Q94+'Local Government_int'!P100</f>
        <v>71270565.070000008</v>
      </c>
      <c r="R84" s="329">
        <f t="shared" ref="R84:R88" si="27">+Q84/$Q$15*100</f>
        <v>2.2632761216259132</v>
      </c>
      <c r="S84" s="341">
        <f>+'Cental Budget_int'!S94+'Local Government_int'!R100</f>
        <v>8000000</v>
      </c>
      <c r="T84" s="329">
        <f t="shared" si="7"/>
        <v>0.22746659084446971</v>
      </c>
      <c r="U84" s="341">
        <f>+'Cental Budget_int'!U94+'Local Government_int'!T100</f>
        <v>8000000</v>
      </c>
      <c r="V84" s="329">
        <f t="shared" si="20"/>
        <v>0.22746659084446971</v>
      </c>
      <c r="W84" s="863">
        <f t="shared" si="9"/>
        <v>0</v>
      </c>
      <c r="X84" s="864">
        <f t="shared" si="9"/>
        <v>0</v>
      </c>
      <c r="Y84" s="341">
        <f>+'Cental Budget_int'!Y94+'Local Government_int'!X100</f>
        <v>6000000</v>
      </c>
      <c r="Z84" s="329">
        <f t="shared" si="10"/>
        <v>0.1606425702811245</v>
      </c>
      <c r="AA84" s="341">
        <f>+'Cental Budget_int'!AA94+'Local Government_int'!Z100</f>
        <v>6000000</v>
      </c>
      <c r="AB84" s="518">
        <f t="shared" si="11"/>
        <v>0.15067805123053743</v>
      </c>
      <c r="AC84" s="341">
        <f>+'Cental Budget_int'!AC94+'Local Government_int'!AB100</f>
        <v>6000000</v>
      </c>
      <c r="AD84" s="518">
        <f t="shared" si="12"/>
        <v>0.1406799531066823</v>
      </c>
      <c r="AE84" s="225"/>
      <c r="AF84" s="225"/>
      <c r="AG84" s="2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50"/>
      <c r="BA84" s="265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245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  <c r="IE84" s="4"/>
      <c r="IF84" s="4"/>
      <c r="IG84" s="4"/>
      <c r="IH84" s="4"/>
      <c r="II84" s="4"/>
    </row>
    <row r="85" spans="1:243" ht="15" customHeight="1">
      <c r="A85" s="72"/>
      <c r="B85" s="72"/>
      <c r="C85" s="72"/>
      <c r="D85" s="195" t="str">
        <f>IF(MasterSheet!$A$1=1,MasterSheet!C324,MasterSheet!B324)</f>
        <v>Pozajmice i krediti iz inostranih izvora</v>
      </c>
      <c r="E85" s="186">
        <f>+'Cental Budget_int'!E95+'Local Government_int'!D101</f>
        <v>13153290.85</v>
      </c>
      <c r="F85" s="188">
        <f t="shared" si="21"/>
        <v>0.61209413420819947</v>
      </c>
      <c r="G85" s="186">
        <f>+'Cental Budget_int'!G95+'Local Government_int'!F101</f>
        <v>3522927.48</v>
      </c>
      <c r="H85" s="188">
        <f t="shared" si="22"/>
        <v>0.13142799776161163</v>
      </c>
      <c r="I85" s="186">
        <f>+'Cental Budget_int'!I95+'Local Government_int'!H101</f>
        <v>13050054.98</v>
      </c>
      <c r="J85" s="188">
        <f t="shared" si="23"/>
        <v>0.42293411265232045</v>
      </c>
      <c r="K85" s="186">
        <f>+'Cental Budget_int'!K95+'Local Government_int'!J101</f>
        <v>148637806.47</v>
      </c>
      <c r="L85" s="188">
        <f t="shared" si="24"/>
        <v>4.9861726424018791</v>
      </c>
      <c r="M85" s="186">
        <f>+'Cental Budget_int'!M95+'Local Government_int'!L101</f>
        <v>205658070.65000001</v>
      </c>
      <c r="N85" s="188">
        <f t="shared" si="25"/>
        <v>6.6255821730025772</v>
      </c>
      <c r="O85" s="186">
        <f>+'Cental Budget_int'!O95+'Local Government_int'!N101</f>
        <v>189720116.38</v>
      </c>
      <c r="P85" s="188">
        <f t="shared" si="26"/>
        <v>5.8664228936301788</v>
      </c>
      <c r="Q85" s="933">
        <f>+'Cental Budget_int'!Q95+'Local Government_int'!P101</f>
        <v>258129375.97</v>
      </c>
      <c r="R85" s="330">
        <f t="shared" si="27"/>
        <v>8.1971856452842182</v>
      </c>
      <c r="S85" s="337">
        <f>+'Cental Budget_int'!S95+'Local Government_int'!R101</f>
        <v>205992847.98876619</v>
      </c>
      <c r="T85" s="330">
        <f t="shared" ref="T85:T88" si="28">+S85/$S$15*100</f>
        <v>5.8570613587934659</v>
      </c>
      <c r="U85" s="337">
        <f>+'Cental Budget_int'!U95+'Local Government_int'!T101</f>
        <v>205992847.98876619</v>
      </c>
      <c r="V85" s="330">
        <f t="shared" si="20"/>
        <v>5.8570613587934659</v>
      </c>
      <c r="W85" s="865">
        <f t="shared" ref="W85:X88" si="29">+U85-S85</f>
        <v>0</v>
      </c>
      <c r="X85" s="866">
        <f t="shared" si="29"/>
        <v>0</v>
      </c>
      <c r="Y85" s="337">
        <f>+'Cental Budget_int'!Y95+'Local Government_int'!X101</f>
        <v>199849187.87401962</v>
      </c>
      <c r="Z85" s="330">
        <f t="shared" ref="Z85:Z88" si="30">+Y85/$Y$15*100</f>
        <v>5.3507145347796419</v>
      </c>
      <c r="AA85" s="337">
        <f>+'Cental Budget_int'!AA95+'Local Government_int'!Z101</f>
        <v>365428469.13957024</v>
      </c>
      <c r="AB85" s="519">
        <f t="shared" ref="AB85:AB88" si="31">+AA85/$AA$15*100</f>
        <v>9.1770082656848366</v>
      </c>
      <c r="AC85" s="337">
        <f>+'Cental Budget_int'!AC95+'Local Government_int'!AB101</f>
        <v>356000000</v>
      </c>
      <c r="AD85" s="519">
        <f t="shared" ref="AD85:AD88" si="32">+AC85/$AC$15*100</f>
        <v>8.3470105509964831</v>
      </c>
      <c r="AE85" s="225"/>
      <c r="AF85" s="225"/>
      <c r="AG85" s="2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50"/>
      <c r="BA85" s="265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245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</row>
    <row r="86" spans="1:243" ht="15" customHeight="1">
      <c r="A86" s="72"/>
      <c r="B86" s="72"/>
      <c r="C86" s="72"/>
      <c r="D86" s="195" t="str">
        <f>IF(MasterSheet!$A$1=1,MasterSheet!C325,MasterSheet!B325)</f>
        <v>Donacije</v>
      </c>
      <c r="E86" s="501">
        <f>+'Cental Budget_int'!E96+'Local Government_int'!D103</f>
        <v>1243648.3900000001</v>
      </c>
      <c r="F86" s="502">
        <f>+E86/$E$15*100</f>
        <v>5.7873720973521343E-2</v>
      </c>
      <c r="G86" s="501">
        <f>+'Cental Budget_int'!G96+'Local Government_int'!F103</f>
        <v>1646678.7000000002</v>
      </c>
      <c r="H86" s="502">
        <f>+G86/$G$15*100</f>
        <v>6.1431773922775615E-2</v>
      </c>
      <c r="I86" s="501">
        <f>+'Cental Budget_int'!I96+'Local Government_int'!H103</f>
        <v>4216176.0600000005</v>
      </c>
      <c r="J86" s="502">
        <f>+I86/$I$15*100</f>
        <v>0.13664039603318642</v>
      </c>
      <c r="K86" s="501">
        <f>+'Cental Budget_int'!K96+'Local Government_int'!J103</f>
        <v>11561690.300000001</v>
      </c>
      <c r="L86" s="502">
        <f>+K86/$K$15*100</f>
        <v>0.38784603488762165</v>
      </c>
      <c r="M86" s="501">
        <f>+'Cental Budget_int'!M96+'Local Government_int'!L103</f>
        <v>8208633.7999999998</v>
      </c>
      <c r="N86" s="502">
        <f>+M86/$M$15*100</f>
        <v>0.26445340850515464</v>
      </c>
      <c r="O86" s="501">
        <f>+'Cental Budget_int'!O96+'Local Government_int'!N103</f>
        <v>8258541.5299999993</v>
      </c>
      <c r="P86" s="502">
        <f>+O86/$O$15*100</f>
        <v>0.25536615739022883</v>
      </c>
      <c r="Q86" s="933">
        <f>+'Cental Budget_int'!Q96+'Local Government_int'!P103</f>
        <v>7918651.3200000003</v>
      </c>
      <c r="R86" s="330">
        <f t="shared" si="27"/>
        <v>0.25146558653540807</v>
      </c>
      <c r="S86" s="337">
        <f>+'Cental Budget_int'!S96+'Local Government_int'!R103</f>
        <v>2000000</v>
      </c>
      <c r="T86" s="330">
        <f t="shared" si="28"/>
        <v>5.6866647711117428E-2</v>
      </c>
      <c r="U86" s="337">
        <f>+'Cental Budget_int'!U96+'Local Government_int'!T103</f>
        <v>2000000</v>
      </c>
      <c r="V86" s="330">
        <f t="shared" si="20"/>
        <v>5.6866647711117428E-2</v>
      </c>
      <c r="W86" s="865">
        <f t="shared" si="29"/>
        <v>0</v>
      </c>
      <c r="X86" s="866">
        <f t="shared" si="29"/>
        <v>0</v>
      </c>
      <c r="Y86" s="337">
        <f>+'Cental Budget_int'!Y96+'Local Government_int'!X103</f>
        <v>2000000</v>
      </c>
      <c r="Z86" s="330">
        <f t="shared" si="30"/>
        <v>5.3547523427041499E-2</v>
      </c>
      <c r="AA86" s="337">
        <f>+'Cental Budget_int'!AA96+'Local Government_int'!Z103</f>
        <v>2000000</v>
      </c>
      <c r="AB86" s="519">
        <f t="shared" si="31"/>
        <v>5.0226017076845812E-2</v>
      </c>
      <c r="AC86" s="337">
        <f>+'Cental Budget_int'!AC96+'Local Government_int'!AB103</f>
        <v>2000000</v>
      </c>
      <c r="AD86" s="519">
        <f t="shared" si="32"/>
        <v>4.6893317702227433E-2</v>
      </c>
      <c r="AE86" s="225"/>
      <c r="AF86" s="225"/>
      <c r="AG86" s="2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50"/>
      <c r="BA86" s="265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245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</row>
    <row r="87" spans="1:243" s="51" customFormat="1" ht="15" customHeight="1">
      <c r="A87" s="752"/>
      <c r="B87" s="752"/>
      <c r="C87" s="752"/>
      <c r="D87" s="942" t="str">
        <f>IF(MasterSheet!$A$1=1,MasterSheet!C326,MasterSheet!B326)</f>
        <v>Prihodi od privatizacije i prodaje imovine</v>
      </c>
      <c r="E87" s="943">
        <f>+'Cental Budget_int'!E97+'Local Government_int'!D102</f>
        <v>59314747.700000003</v>
      </c>
      <c r="F87" s="944">
        <f>+E87/$E$15*100</f>
        <v>2.7602376890502116</v>
      </c>
      <c r="G87" s="943">
        <f>+'Cental Budget_int'!G97+'Local Government_int'!F102</f>
        <v>106120145.58000001</v>
      </c>
      <c r="H87" s="944">
        <f>+G87/$G$15*100</f>
        <v>3.9589683111359824</v>
      </c>
      <c r="I87" s="943">
        <f>+'Cental Budget_int'!I97+'Local Government_int'!H102</f>
        <v>38556116.769999996</v>
      </c>
      <c r="J87" s="944">
        <f>+I87/$I$15*100</f>
        <v>1.249550063844957</v>
      </c>
      <c r="K87" s="943">
        <f>+'Cental Budget_int'!K97+'Local Government_int'!J102</f>
        <v>129752212.13999999</v>
      </c>
      <c r="L87" s="944">
        <f>+K87/$K$15*100</f>
        <v>4.3526404609191545</v>
      </c>
      <c r="M87" s="943">
        <f>+'Cental Budget_int'!M97+'Local Government_int'!L102</f>
        <v>25071826.52</v>
      </c>
      <c r="N87" s="944">
        <f>+M87/$M$15*100</f>
        <v>0.80772636984536084</v>
      </c>
      <c r="O87" s="943">
        <f>+'Cental Budget_int'!O97+'Local Government_int'!N102</f>
        <v>14984968.159999998</v>
      </c>
      <c r="P87" s="944">
        <f>+O87/$O$15*100</f>
        <v>0.46335708596165731</v>
      </c>
      <c r="Q87" s="933">
        <f>+'Cental Budget_int'!Q97+'Local Government_int'!P102</f>
        <v>14015354.420000002</v>
      </c>
      <c r="R87" s="945">
        <f>+Q87/$Q$15*100</f>
        <v>0.44507317942203878</v>
      </c>
      <c r="S87" s="933">
        <f>+'Cental Budget_int'!S97+'Local Government_int'!R102</f>
        <v>19000000</v>
      </c>
      <c r="T87" s="945">
        <f>+S87/$S$15*100</f>
        <v>0.54023315325561561</v>
      </c>
      <c r="U87" s="933">
        <f>+'Cental Budget_int'!U97+'Local Government_int'!T102</f>
        <v>19000000</v>
      </c>
      <c r="V87" s="945">
        <f>+U87/$S$15*100</f>
        <v>0.54023315325561561</v>
      </c>
      <c r="W87" s="933">
        <f t="shared" si="29"/>
        <v>0</v>
      </c>
      <c r="X87" s="945">
        <f t="shared" si="29"/>
        <v>0</v>
      </c>
      <c r="Y87" s="933">
        <f>+'Cental Budget_int'!Y97+'Local Government_int'!X102</f>
        <v>22000000</v>
      </c>
      <c r="Z87" s="945">
        <f>+Y87/$Y$15*100</f>
        <v>0.58902275769745649</v>
      </c>
      <c r="AA87" s="933">
        <f>+'Cental Budget_int'!AA97+'Local Government_int'!Z102</f>
        <v>20000000</v>
      </c>
      <c r="AB87" s="946">
        <f t="shared" si="31"/>
        <v>0.50226017076845808</v>
      </c>
      <c r="AC87" s="933">
        <f>+'Cental Budget_int'!AC97+'Local Government_int'!AB102</f>
        <v>10000000</v>
      </c>
      <c r="AD87" s="946">
        <f t="shared" si="32"/>
        <v>0.23446658851113714</v>
      </c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50"/>
      <c r="BA87" s="265"/>
      <c r="BB87" s="916"/>
      <c r="BC87" s="916"/>
      <c r="BD87" s="916"/>
      <c r="BE87" s="916"/>
      <c r="BF87" s="916"/>
      <c r="BG87" s="916"/>
      <c r="BH87" s="916"/>
      <c r="BI87" s="916"/>
      <c r="BJ87" s="916"/>
      <c r="BK87" s="916"/>
      <c r="BL87" s="916"/>
      <c r="BM87" s="916"/>
      <c r="BN87" s="916"/>
      <c r="BO87" s="916"/>
      <c r="BP87" s="916"/>
      <c r="BQ87" s="916"/>
      <c r="BR87" s="916"/>
      <c r="BS87" s="916"/>
      <c r="BT87" s="916"/>
      <c r="BU87" s="916"/>
      <c r="BV87" s="916"/>
      <c r="BW87" s="916"/>
      <c r="BX87" s="916"/>
      <c r="BY87" s="916"/>
      <c r="BZ87" s="916"/>
      <c r="CA87" s="916"/>
      <c r="CB87" s="916"/>
      <c r="CC87" s="916"/>
      <c r="CD87" s="916"/>
      <c r="CE87" s="916"/>
      <c r="CF87" s="916"/>
      <c r="CG87" s="916"/>
      <c r="CH87" s="916"/>
      <c r="CI87" s="916"/>
      <c r="CJ87" s="916"/>
      <c r="CK87" s="916"/>
      <c r="CL87" s="916"/>
      <c r="CM87" s="916"/>
      <c r="CN87" s="916"/>
      <c r="CO87" s="916"/>
      <c r="CP87" s="916"/>
      <c r="CQ87" s="916"/>
      <c r="CR87" s="916"/>
      <c r="CS87" s="916"/>
      <c r="CT87" s="916"/>
      <c r="CU87" s="916"/>
      <c r="CV87" s="916"/>
      <c r="CW87" s="916"/>
      <c r="CX87" s="916"/>
      <c r="CY87" s="916"/>
      <c r="CZ87" s="916"/>
      <c r="DA87" s="916"/>
      <c r="DB87" s="916"/>
      <c r="DC87" s="916"/>
      <c r="DD87" s="916"/>
      <c r="DE87" s="916"/>
      <c r="DF87" s="916"/>
      <c r="DG87" s="916"/>
      <c r="DH87" s="916"/>
      <c r="DI87" s="916"/>
      <c r="DJ87" s="916"/>
      <c r="DK87" s="916"/>
      <c r="DL87" s="916"/>
      <c r="DM87" s="916"/>
      <c r="DN87" s="916"/>
      <c r="DO87" s="916"/>
      <c r="DP87" s="916"/>
      <c r="DQ87" s="916"/>
      <c r="DR87" s="916"/>
      <c r="DS87" s="916"/>
      <c r="DT87" s="916"/>
      <c r="DU87" s="916"/>
      <c r="DV87" s="916"/>
      <c r="DW87" s="916"/>
      <c r="DX87" s="916"/>
      <c r="DY87" s="916"/>
      <c r="DZ87" s="916"/>
      <c r="EA87" s="916"/>
      <c r="EB87" s="916"/>
      <c r="EC87" s="916"/>
      <c r="ED87" s="916"/>
      <c r="EE87" s="916"/>
      <c r="EF87" s="916"/>
      <c r="EG87" s="916"/>
      <c r="EH87" s="916"/>
      <c r="EI87" s="916"/>
      <c r="EJ87" s="916"/>
      <c r="EK87" s="916"/>
      <c r="EL87" s="916"/>
      <c r="EM87" s="916"/>
      <c r="EN87" s="916"/>
      <c r="EO87" s="916"/>
      <c r="EP87" s="916"/>
      <c r="EQ87" s="916"/>
      <c r="ER87" s="916"/>
      <c r="ES87" s="916"/>
      <c r="ET87" s="916"/>
      <c r="EU87" s="916"/>
      <c r="EV87" s="916"/>
      <c r="EW87" s="916"/>
      <c r="EX87" s="916"/>
      <c r="EY87" s="916"/>
      <c r="EZ87" s="916"/>
      <c r="FA87" s="916"/>
      <c r="FB87" s="916"/>
      <c r="FC87" s="916"/>
      <c r="FD87" s="916"/>
      <c r="FE87" s="916"/>
      <c r="FF87" s="916"/>
      <c r="FG87" s="916"/>
      <c r="FH87" s="916"/>
      <c r="FI87" s="916"/>
      <c r="FJ87" s="916"/>
      <c r="FK87" s="916"/>
      <c r="FL87" s="916"/>
      <c r="FM87" s="916"/>
      <c r="FN87" s="916"/>
      <c r="FO87" s="916"/>
      <c r="FP87" s="916"/>
      <c r="FQ87" s="916"/>
      <c r="FR87" s="916"/>
      <c r="FS87" s="916"/>
      <c r="FT87" s="916"/>
      <c r="FU87" s="916"/>
      <c r="FV87" s="916"/>
      <c r="FW87" s="916"/>
      <c r="FX87" s="916"/>
      <c r="FY87" s="916"/>
      <c r="FZ87" s="916"/>
      <c r="GA87" s="916"/>
      <c r="GB87" s="916"/>
      <c r="GC87" s="916"/>
      <c r="GD87" s="916"/>
      <c r="GE87" s="245"/>
      <c r="GF87" s="916"/>
      <c r="GG87" s="916"/>
      <c r="GH87" s="916"/>
      <c r="GI87" s="916"/>
      <c r="GJ87" s="916"/>
      <c r="GK87" s="916"/>
      <c r="GL87" s="916"/>
      <c r="GM87" s="916"/>
      <c r="GN87" s="916"/>
      <c r="GO87" s="916"/>
      <c r="GP87" s="916"/>
      <c r="GQ87" s="916"/>
      <c r="GR87" s="916"/>
      <c r="GS87" s="916"/>
      <c r="GT87" s="916"/>
      <c r="GU87" s="916"/>
      <c r="GV87" s="916"/>
      <c r="GW87" s="916"/>
      <c r="GX87" s="916"/>
      <c r="GY87" s="916"/>
      <c r="GZ87" s="916"/>
      <c r="HA87" s="916"/>
      <c r="HB87" s="916"/>
      <c r="HC87" s="916"/>
      <c r="HD87" s="916"/>
      <c r="HE87" s="916"/>
      <c r="HF87" s="916"/>
      <c r="HG87" s="916"/>
      <c r="HH87" s="916"/>
      <c r="HI87" s="916"/>
      <c r="HJ87" s="916"/>
      <c r="HK87" s="916"/>
      <c r="HL87" s="916"/>
      <c r="HM87" s="916"/>
      <c r="HN87" s="916"/>
      <c r="HO87" s="916"/>
      <c r="HP87" s="916"/>
      <c r="HQ87" s="916"/>
      <c r="HR87" s="916"/>
      <c r="HS87" s="916"/>
      <c r="HT87" s="916"/>
      <c r="HU87" s="916"/>
      <c r="HV87" s="916"/>
      <c r="HW87" s="916"/>
      <c r="HX87" s="916"/>
      <c r="HY87" s="916"/>
      <c r="HZ87" s="916"/>
      <c r="IA87" s="916"/>
      <c r="IB87" s="916"/>
      <c r="IC87" s="916"/>
      <c r="ID87" s="916"/>
      <c r="IE87" s="916"/>
      <c r="IF87" s="916"/>
      <c r="IG87" s="916"/>
      <c r="IH87" s="916"/>
      <c r="II87" s="916"/>
    </row>
    <row r="88" spans="1:243" ht="15" customHeight="1" thickBot="1">
      <c r="A88" s="72"/>
      <c r="B88" s="72"/>
      <c r="C88" s="72"/>
      <c r="D88" s="425" t="str">
        <f>IF(MasterSheet!$A$1=1,MasterSheet!C327,MasterSheet!B327)</f>
        <v>Korišćenje depozita države</v>
      </c>
      <c r="E88" s="426">
        <f>+'Cental Budget_int'!E98+'Local Government_int'!D104</f>
        <v>-36286892.840199657</v>
      </c>
      <c r="F88" s="427">
        <f t="shared" si="21"/>
        <v>-1.6886264060775118</v>
      </c>
      <c r="G88" s="426">
        <f>+'Cental Budget_int'!G98+'Local Government_int'!F104</f>
        <v>-114503478.09999977</v>
      </c>
      <c r="H88" s="427">
        <f t="shared" si="22"/>
        <v>-4.2717208767020995</v>
      </c>
      <c r="I88" s="426">
        <f>+'Cental Budget_int'!I98+'Local Government_int'!H104</f>
        <v>86952387.177633405</v>
      </c>
      <c r="J88" s="427">
        <f t="shared" si="23"/>
        <v>2.8180058068976344</v>
      </c>
      <c r="K88" s="426">
        <f>+'Cental Budget_int'!K98+'Local Government_int'!J104</f>
        <v>-56753266.255500257</v>
      </c>
      <c r="L88" s="427">
        <f t="shared" si="24"/>
        <v>-1.9038331518114813</v>
      </c>
      <c r="M88" s="426">
        <f>+'Cental Budget_int'!M98+'Local Government_int'!L104</f>
        <v>66878374.561538078</v>
      </c>
      <c r="N88" s="427">
        <f t="shared" si="25"/>
        <v>2.1545868093279017</v>
      </c>
      <c r="O88" s="426">
        <f>+'Cental Budget_int'!O98+'Local Government_int'!N104</f>
        <v>79337037.660000116</v>
      </c>
      <c r="P88" s="427">
        <f t="shared" si="26"/>
        <v>2.4532169962894286</v>
      </c>
      <c r="Q88" s="934">
        <f>+'Cental Budget_int'!Q98+'Local Government_int'!P104</f>
        <v>3908218.1366672618</v>
      </c>
      <c r="R88" s="429">
        <f t="shared" si="27"/>
        <v>0.12410981697895403</v>
      </c>
      <c r="S88" s="428">
        <f>+'Cental Budget_int'!S98+'Local Government_int'!R104</f>
        <v>7353072.9189614952</v>
      </c>
      <c r="T88" s="429">
        <f t="shared" si="28"/>
        <v>0.20907230363837065</v>
      </c>
      <c r="U88" s="428">
        <f>+'Cental Budget_int'!U98+'Local Government_int'!T104</f>
        <v>-7320710.7159259766</v>
      </c>
      <c r="V88" s="429">
        <f t="shared" ref="V88" si="33">+U88/$S$15*100</f>
        <v>-0.2081521386387824</v>
      </c>
      <c r="W88" s="867">
        <f t="shared" si="29"/>
        <v>-14673783.634887472</v>
      </c>
      <c r="X88" s="868">
        <f t="shared" si="29"/>
        <v>-0.41722444227715305</v>
      </c>
      <c r="Y88" s="428">
        <f>+'Cental Budget_int'!Y98+'Local Government_int'!X104</f>
        <v>-16737237.356275558</v>
      </c>
      <c r="Z88" s="429">
        <f t="shared" si="30"/>
        <v>-0.44811880471955978</v>
      </c>
      <c r="AA88" s="428">
        <f>+'Cental Budget_int'!AA98+'Local Government_int'!Z104</f>
        <v>12542540.511564434</v>
      </c>
      <c r="AB88" s="520">
        <f t="shared" si="31"/>
        <v>0.31498092696043278</v>
      </c>
      <c r="AC88" s="428">
        <f>+'Cental Budget_int'!AC98+'Local Government_int'!AB104</f>
        <v>-10059736.142562598</v>
      </c>
      <c r="AD88" s="520">
        <f t="shared" si="32"/>
        <v>-0.23586720146688392</v>
      </c>
      <c r="AE88" s="225"/>
      <c r="AF88" s="225"/>
      <c r="AG88" s="2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50"/>
      <c r="BA88" s="265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245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  <c r="IG88" s="4"/>
      <c r="IH88" s="4"/>
      <c r="II88" s="4"/>
    </row>
    <row r="89" spans="1:243" ht="15" customHeight="1" thickTop="1">
      <c r="A89" s="72"/>
      <c r="B89" s="72"/>
      <c r="C89" s="72"/>
      <c r="D89" s="378" t="str">
        <f>IF(MasterSheet!$A$1=1,MasterSheet!C328,MasterSheet!B328)</f>
        <v>Izvor: Ministarstvo finansija Crne Gore</v>
      </c>
      <c r="E89" s="227"/>
      <c r="F89" s="228"/>
      <c r="G89" s="227"/>
      <c r="H89" s="228"/>
      <c r="I89" s="227"/>
      <c r="J89" s="228"/>
      <c r="K89" s="227"/>
      <c r="L89" s="228"/>
      <c r="M89" s="227"/>
      <c r="N89" s="228"/>
      <c r="O89" s="227"/>
      <c r="P89" s="228"/>
      <c r="Q89" s="935"/>
      <c r="R89" s="228"/>
      <c r="S89" s="227"/>
      <c r="T89" s="228"/>
      <c r="U89" s="227"/>
      <c r="V89" s="228"/>
      <c r="W89" s="228"/>
      <c r="X89" s="228"/>
      <c r="Y89" s="228"/>
      <c r="Z89" s="228"/>
      <c r="AA89" s="228"/>
      <c r="AB89" s="228"/>
      <c r="AC89" s="228"/>
      <c r="AD89" s="228"/>
      <c r="AE89" s="228"/>
      <c r="AF89" s="228"/>
      <c r="AG89" s="22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49"/>
      <c r="AW89" s="49"/>
      <c r="AX89" s="49"/>
      <c r="AY89" s="49"/>
      <c r="AZ89" s="50"/>
      <c r="BA89" s="265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245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</row>
    <row r="90" spans="1:243" ht="15" customHeight="1">
      <c r="A90" s="72"/>
      <c r="B90" s="72"/>
      <c r="C90" s="72"/>
      <c r="D90" s="88"/>
      <c r="E90" s="87"/>
      <c r="F90" s="228"/>
      <c r="G90" s="87"/>
      <c r="H90" s="228"/>
      <c r="I90" s="87"/>
      <c r="J90" s="228"/>
      <c r="K90" s="87"/>
      <c r="L90" s="228"/>
      <c r="M90" s="87"/>
      <c r="N90" s="228"/>
      <c r="O90" s="431"/>
      <c r="P90" s="431"/>
      <c r="Q90" s="936"/>
      <c r="R90" s="431"/>
      <c r="S90" s="431"/>
      <c r="T90" s="431"/>
      <c r="U90" s="431"/>
      <c r="V90" s="431"/>
      <c r="W90" s="431"/>
      <c r="X90" s="431"/>
      <c r="Y90" s="228"/>
      <c r="Z90" s="228"/>
      <c r="AA90" s="228"/>
      <c r="AB90" s="228"/>
      <c r="AC90" s="228"/>
      <c r="AD90" s="228"/>
      <c r="AE90" s="228"/>
      <c r="AF90" s="228"/>
      <c r="AG90" s="22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49"/>
      <c r="AW90" s="49"/>
      <c r="AX90" s="49"/>
      <c r="AY90" s="49"/>
      <c r="AZ90" s="50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245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</row>
    <row r="91" spans="1:243" ht="15" customHeight="1">
      <c r="A91" s="72"/>
      <c r="B91" s="72"/>
      <c r="C91" s="72"/>
      <c r="D91" s="89"/>
      <c r="E91" s="229"/>
      <c r="F91" s="230"/>
      <c r="G91" s="229"/>
      <c r="H91" s="230"/>
      <c r="I91" s="229"/>
      <c r="J91" s="230"/>
      <c r="K91" s="229"/>
      <c r="L91" s="230"/>
      <c r="M91" s="229"/>
      <c r="N91" s="230"/>
      <c r="O91" s="229"/>
      <c r="P91" s="230"/>
      <c r="Q91" s="49"/>
      <c r="R91" s="230"/>
      <c r="S91" s="229"/>
      <c r="T91" s="230"/>
      <c r="U91" s="229"/>
      <c r="V91" s="230"/>
      <c r="W91" s="230"/>
      <c r="X91" s="230"/>
      <c r="Y91" s="230"/>
      <c r="Z91" s="230"/>
      <c r="AA91" s="230"/>
      <c r="AB91" s="230"/>
      <c r="AC91" s="230"/>
      <c r="AD91" s="230"/>
      <c r="AE91" s="230"/>
      <c r="AF91" s="230"/>
      <c r="AG91" s="230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  <c r="AT91" s="48"/>
      <c r="AU91" s="48"/>
      <c r="AV91" s="48"/>
      <c r="AW91" s="48"/>
      <c r="AX91" s="48"/>
      <c r="AY91" s="48"/>
      <c r="AZ91" s="50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245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</row>
    <row r="92" spans="1:243" ht="15" customHeight="1">
      <c r="A92" s="72"/>
      <c r="B92" s="72"/>
      <c r="C92" s="72"/>
      <c r="D92" s="89"/>
      <c r="E92" s="69"/>
      <c r="F92" s="69"/>
      <c r="G92" s="69"/>
      <c r="H92" s="69"/>
      <c r="I92" s="69"/>
      <c r="J92" s="69"/>
      <c r="K92" s="69"/>
      <c r="L92" s="69"/>
      <c r="M92" s="532"/>
      <c r="N92" s="69"/>
      <c r="O92" s="69"/>
      <c r="P92" s="69"/>
      <c r="Q92" s="47"/>
      <c r="R92" s="231"/>
      <c r="S92" s="231"/>
      <c r="T92" s="231"/>
      <c r="U92" s="231"/>
      <c r="V92" s="231"/>
      <c r="W92" s="231"/>
      <c r="X92" s="231"/>
      <c r="Y92" s="231"/>
      <c r="Z92" s="231"/>
      <c r="AA92" s="231"/>
      <c r="AB92" s="231"/>
      <c r="AC92" s="231"/>
      <c r="AD92" s="231"/>
      <c r="AE92" s="231"/>
      <c r="AF92" s="231"/>
      <c r="AG92" s="231"/>
      <c r="AH92" s="47"/>
      <c r="AI92" s="47"/>
      <c r="AJ92" s="47"/>
      <c r="AK92" s="47"/>
      <c r="AL92" s="47"/>
      <c r="AM92" s="47"/>
      <c r="AN92" s="47"/>
      <c r="AO92" s="47"/>
      <c r="AP92" s="47"/>
      <c r="AQ92" s="47"/>
      <c r="AR92" s="47"/>
      <c r="AS92" s="47"/>
      <c r="AT92" s="47"/>
      <c r="AU92" s="47"/>
      <c r="AV92" s="47"/>
      <c r="AW92" s="47"/>
      <c r="AX92" s="47"/>
      <c r="AY92" s="47"/>
      <c r="AZ92" s="47"/>
      <c r="BA92" s="47"/>
      <c r="BB92" s="47"/>
      <c r="BC92" s="47"/>
      <c r="BD92" s="47"/>
      <c r="BE92" s="47"/>
      <c r="BF92" s="47"/>
      <c r="BG92" s="47"/>
      <c r="BH92" s="47"/>
      <c r="BI92" s="47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47"/>
      <c r="BZ92" s="47"/>
      <c r="CA92" s="47"/>
      <c r="CB92" s="47"/>
      <c r="CC92" s="47"/>
      <c r="CD92" s="47"/>
      <c r="CE92" s="47"/>
      <c r="CF92" s="47"/>
      <c r="CG92" s="47"/>
      <c r="CH92" s="47"/>
      <c r="CI92" s="47"/>
      <c r="CJ92" s="47"/>
      <c r="CK92" s="47"/>
      <c r="CL92" s="47"/>
      <c r="CM92" s="47"/>
      <c r="CN92" s="47"/>
      <c r="CO92" s="47"/>
      <c r="CP92" s="47"/>
      <c r="CQ92" s="47"/>
      <c r="CR92" s="47"/>
      <c r="CS92" s="47"/>
      <c r="CT92" s="47"/>
      <c r="CU92" s="47"/>
      <c r="CV92" s="47"/>
      <c r="CW92" s="47"/>
      <c r="CX92" s="47"/>
      <c r="CY92" s="47"/>
      <c r="CZ92" s="47"/>
      <c r="DA92" s="47"/>
      <c r="DB92" s="47"/>
      <c r="DC92" s="47"/>
      <c r="DD92" s="47"/>
      <c r="DE92" s="47"/>
      <c r="DF92" s="47"/>
      <c r="DG92" s="47"/>
      <c r="DH92" s="47"/>
      <c r="DI92" s="47"/>
      <c r="DJ92" s="47"/>
      <c r="DK92" s="47"/>
      <c r="DL92" s="47"/>
      <c r="DM92" s="47"/>
      <c r="DN92" s="47"/>
      <c r="DO92" s="47"/>
      <c r="DP92" s="47"/>
      <c r="DQ92" s="47"/>
      <c r="DR92" s="47"/>
      <c r="DS92" s="47"/>
      <c r="DT92" s="47"/>
      <c r="DU92" s="47"/>
      <c r="DV92" s="47"/>
      <c r="DW92" s="47"/>
      <c r="DX92" s="47"/>
      <c r="DY92" s="47"/>
      <c r="DZ92" s="47"/>
      <c r="EA92" s="47"/>
      <c r="EB92" s="47"/>
      <c r="EC92" s="47"/>
      <c r="ED92" s="47"/>
      <c r="EE92" s="47"/>
      <c r="EF92" s="47"/>
      <c r="EG92" s="47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245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</row>
    <row r="93" spans="1:243" ht="15" customHeight="1">
      <c r="A93" s="72"/>
      <c r="B93" s="72"/>
      <c r="C93" s="72"/>
      <c r="D93" s="89"/>
      <c r="E93" s="231"/>
      <c r="F93" s="231"/>
      <c r="G93" s="231"/>
      <c r="H93" s="231"/>
      <c r="I93" s="231"/>
      <c r="J93" s="231"/>
      <c r="K93" s="231"/>
      <c r="L93" s="231"/>
      <c r="M93" s="231"/>
      <c r="N93" s="231"/>
      <c r="O93" s="231"/>
      <c r="P93" s="231"/>
      <c r="Q93" s="47"/>
      <c r="R93" s="231"/>
      <c r="S93" s="231"/>
      <c r="T93" s="231"/>
      <c r="U93" s="231"/>
      <c r="V93" s="231"/>
      <c r="W93" s="231"/>
      <c r="X93" s="231"/>
      <c r="Y93" s="231"/>
      <c r="Z93" s="231"/>
      <c r="AA93" s="231"/>
      <c r="AB93" s="231"/>
      <c r="AC93" s="231"/>
      <c r="AD93" s="231"/>
      <c r="AE93" s="231"/>
      <c r="AF93" s="231"/>
      <c r="AG93" s="231"/>
      <c r="AH93" s="47"/>
      <c r="AI93" s="47"/>
      <c r="AJ93" s="47"/>
      <c r="AK93" s="47"/>
      <c r="AL93" s="47"/>
      <c r="AM93" s="47"/>
      <c r="AN93" s="47"/>
      <c r="AO93" s="47"/>
      <c r="AP93" s="47"/>
      <c r="AQ93" s="47"/>
      <c r="AR93" s="47"/>
      <c r="AS93" s="47"/>
      <c r="AT93" s="47"/>
      <c r="AU93" s="47"/>
      <c r="AV93" s="47"/>
      <c r="AW93" s="47"/>
      <c r="AX93" s="47"/>
      <c r="AY93" s="47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49"/>
      <c r="BQ93" s="49"/>
      <c r="BR93" s="49"/>
      <c r="BS93" s="49"/>
      <c r="BT93" s="49"/>
      <c r="BU93" s="49"/>
      <c r="BV93" s="49"/>
      <c r="BW93" s="49"/>
      <c r="BX93" s="49"/>
      <c r="BY93" s="49"/>
      <c r="BZ93" s="49"/>
      <c r="CA93" s="49"/>
      <c r="CB93" s="49"/>
      <c r="CC93" s="49"/>
      <c r="CD93" s="49"/>
      <c r="CE93" s="49"/>
      <c r="CF93" s="49"/>
      <c r="CG93" s="49"/>
      <c r="CH93" s="49"/>
      <c r="CI93" s="49"/>
      <c r="CJ93" s="49"/>
      <c r="CK93" s="49"/>
      <c r="CL93" s="49"/>
      <c r="CM93" s="49"/>
      <c r="CN93" s="49"/>
      <c r="CO93" s="49"/>
      <c r="CP93" s="49"/>
      <c r="CQ93" s="49"/>
      <c r="CR93" s="49"/>
      <c r="CS93" s="49"/>
      <c r="CT93" s="49"/>
      <c r="CU93" s="49"/>
      <c r="CV93" s="49"/>
      <c r="CW93" s="49"/>
      <c r="CX93" s="49"/>
      <c r="CY93" s="49"/>
      <c r="CZ93" s="49"/>
      <c r="DA93" s="49"/>
      <c r="DB93" s="49"/>
      <c r="DC93" s="49"/>
      <c r="DD93" s="49"/>
      <c r="DE93" s="49"/>
      <c r="DF93" s="49"/>
      <c r="DG93" s="49"/>
      <c r="DH93" s="49"/>
      <c r="DI93" s="49"/>
      <c r="DJ93" s="49"/>
      <c r="DK93" s="49"/>
      <c r="DL93" s="49"/>
      <c r="DM93" s="49"/>
      <c r="DN93" s="49"/>
      <c r="DO93" s="49"/>
      <c r="DP93" s="49"/>
      <c r="DQ93" s="49"/>
      <c r="DR93" s="49"/>
      <c r="DS93" s="49"/>
      <c r="DT93" s="49"/>
      <c r="DU93" s="49"/>
      <c r="DV93" s="49"/>
      <c r="DW93" s="49"/>
      <c r="DX93" s="49"/>
      <c r="DY93" s="49"/>
      <c r="DZ93" s="49"/>
      <c r="EA93" s="49"/>
      <c r="EB93" s="49"/>
      <c r="EC93" s="49"/>
      <c r="ED93" s="49"/>
      <c r="EE93" s="49"/>
      <c r="EF93" s="49"/>
      <c r="EG93" s="49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245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</row>
    <row r="94" spans="1:243" ht="15" customHeight="1">
      <c r="A94" s="72"/>
      <c r="B94" s="72"/>
      <c r="C94" s="72"/>
      <c r="D94" s="89"/>
      <c r="E94" s="231"/>
      <c r="F94" s="231"/>
      <c r="G94" s="231"/>
      <c r="H94" s="231"/>
      <c r="I94" s="231"/>
      <c r="J94" s="231"/>
      <c r="K94" s="231"/>
      <c r="L94" s="231"/>
      <c r="M94" s="231"/>
      <c r="N94" s="231"/>
      <c r="O94" s="231"/>
      <c r="P94" s="231"/>
      <c r="Q94" s="47"/>
      <c r="R94" s="231"/>
      <c r="S94" s="231"/>
      <c r="T94" s="231"/>
      <c r="U94" s="231"/>
      <c r="V94" s="231"/>
      <c r="W94" s="231"/>
      <c r="X94" s="231"/>
      <c r="Y94" s="231"/>
      <c r="Z94" s="231"/>
      <c r="AA94" s="231"/>
      <c r="AB94" s="231"/>
      <c r="AC94" s="231"/>
      <c r="AD94" s="231"/>
      <c r="AE94" s="231"/>
      <c r="AF94" s="231"/>
      <c r="AG94" s="231"/>
      <c r="AH94" s="47"/>
      <c r="AI94" s="47"/>
      <c r="AJ94" s="47"/>
      <c r="AK94" s="47"/>
      <c r="AL94" s="47"/>
      <c r="AM94" s="47"/>
      <c r="AN94" s="47"/>
      <c r="AO94" s="47"/>
      <c r="AP94" s="47"/>
      <c r="AQ94" s="47"/>
      <c r="AR94" s="47"/>
      <c r="AS94" s="47"/>
      <c r="AT94" s="47"/>
      <c r="AU94" s="47"/>
      <c r="AV94" s="47"/>
      <c r="AW94" s="47"/>
      <c r="AX94" s="47"/>
      <c r="AY94" s="47"/>
      <c r="AZ94" s="50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245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</row>
    <row r="95" spans="1:243" ht="15" customHeight="1">
      <c r="A95" s="72"/>
      <c r="B95" s="72"/>
      <c r="C95" s="72"/>
      <c r="D95" s="89"/>
      <c r="E95" s="231"/>
      <c r="F95" s="231"/>
      <c r="G95" s="231"/>
      <c r="H95" s="231"/>
      <c r="I95" s="231"/>
      <c r="J95" s="231"/>
      <c r="K95" s="231"/>
      <c r="L95" s="231"/>
      <c r="M95" s="231"/>
      <c r="N95" s="231"/>
      <c r="O95" s="231"/>
      <c r="P95" s="231"/>
      <c r="Q95" s="47"/>
      <c r="R95" s="231"/>
      <c r="S95" s="231"/>
      <c r="T95" s="231"/>
      <c r="U95" s="231"/>
      <c r="V95" s="231"/>
      <c r="W95" s="231"/>
      <c r="X95" s="231"/>
      <c r="Y95" s="231"/>
      <c r="Z95" s="231"/>
      <c r="AA95" s="231"/>
      <c r="AB95" s="231"/>
      <c r="AC95" s="231"/>
      <c r="AD95" s="231"/>
      <c r="AE95" s="231"/>
      <c r="AF95" s="231"/>
      <c r="AG95" s="231"/>
      <c r="AH95" s="47"/>
      <c r="AI95" s="47"/>
      <c r="AJ95" s="47"/>
      <c r="AK95" s="47"/>
      <c r="AL95" s="47"/>
      <c r="AM95" s="47"/>
      <c r="AN95" s="47"/>
      <c r="AO95" s="47"/>
      <c r="AP95" s="47"/>
      <c r="AQ95" s="47"/>
      <c r="AR95" s="47"/>
      <c r="AS95" s="47"/>
      <c r="AT95" s="47"/>
      <c r="AU95" s="47"/>
      <c r="AV95" s="47"/>
      <c r="AW95" s="47"/>
      <c r="AX95" s="47"/>
      <c r="AY95" s="47"/>
      <c r="AZ95" s="50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245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</row>
    <row r="96" spans="1:243" ht="15" customHeight="1">
      <c r="A96" s="72"/>
      <c r="B96" s="72"/>
      <c r="C96" s="72"/>
      <c r="D96" s="89"/>
      <c r="E96" s="231"/>
      <c r="F96" s="231"/>
      <c r="G96" s="231"/>
      <c r="H96" s="231"/>
      <c r="I96" s="231"/>
      <c r="J96" s="231"/>
      <c r="K96" s="231"/>
      <c r="L96" s="231"/>
      <c r="M96" s="231"/>
      <c r="N96" s="231"/>
      <c r="O96" s="231"/>
      <c r="P96" s="231"/>
      <c r="Q96" s="47"/>
      <c r="R96" s="231"/>
      <c r="S96" s="231"/>
      <c r="T96" s="231"/>
      <c r="U96" s="231"/>
      <c r="V96" s="231"/>
      <c r="W96" s="231"/>
      <c r="X96" s="231"/>
      <c r="Y96" s="231"/>
      <c r="Z96" s="231"/>
      <c r="AA96" s="231"/>
      <c r="AB96" s="231"/>
      <c r="AC96" s="231"/>
      <c r="AD96" s="231"/>
      <c r="AE96" s="231"/>
      <c r="AF96" s="231"/>
      <c r="AG96" s="231"/>
      <c r="AH96" s="47"/>
      <c r="AI96" s="47"/>
      <c r="AJ96" s="47"/>
      <c r="AK96" s="47"/>
      <c r="AL96" s="47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7"/>
      <c r="AZ96" s="50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245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</row>
    <row r="97" spans="1:243" ht="15" customHeight="1">
      <c r="A97" s="72"/>
      <c r="B97" s="72"/>
      <c r="C97" s="72"/>
      <c r="D97" s="89"/>
      <c r="E97" s="231"/>
      <c r="F97" s="231"/>
      <c r="G97" s="231"/>
      <c r="H97" s="231"/>
      <c r="I97" s="231"/>
      <c r="J97" s="231"/>
      <c r="K97" s="231"/>
      <c r="L97" s="231"/>
      <c r="M97" s="231"/>
      <c r="N97" s="231"/>
      <c r="O97" s="231"/>
      <c r="P97" s="231"/>
      <c r="Q97" s="47"/>
      <c r="R97" s="231"/>
      <c r="S97" s="231"/>
      <c r="T97" s="231"/>
      <c r="U97" s="231"/>
      <c r="V97" s="231"/>
      <c r="W97" s="231"/>
      <c r="X97" s="231"/>
      <c r="Y97" s="231"/>
      <c r="Z97" s="231"/>
      <c r="AA97" s="231"/>
      <c r="AB97" s="231"/>
      <c r="AC97" s="231"/>
      <c r="AD97" s="231"/>
      <c r="AE97" s="231"/>
      <c r="AF97" s="231"/>
      <c r="AG97" s="231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  <c r="AT97" s="47"/>
      <c r="AU97" s="47"/>
      <c r="AV97" s="47"/>
      <c r="AW97" s="47"/>
      <c r="AX97" s="47"/>
      <c r="AY97" s="47"/>
      <c r="AZ97" s="50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245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  <c r="IH97" s="4"/>
      <c r="II97" s="4"/>
    </row>
    <row r="98" spans="1:243" ht="15" customHeight="1">
      <c r="A98" s="72"/>
      <c r="B98" s="72"/>
      <c r="C98" s="72"/>
      <c r="D98" s="89"/>
      <c r="E98" s="231"/>
      <c r="F98" s="231"/>
      <c r="G98" s="231"/>
      <c r="H98" s="231"/>
      <c r="I98" s="231"/>
      <c r="J98" s="231"/>
      <c r="K98" s="231"/>
      <c r="L98" s="231"/>
      <c r="M98" s="231"/>
      <c r="N98" s="231"/>
      <c r="O98" s="231"/>
      <c r="P98" s="231"/>
      <c r="Q98" s="47"/>
      <c r="R98" s="231"/>
      <c r="S98" s="231"/>
      <c r="T98" s="231"/>
      <c r="U98" s="231"/>
      <c r="V98" s="231"/>
      <c r="W98" s="231"/>
      <c r="X98" s="231"/>
      <c r="Y98" s="231"/>
      <c r="Z98" s="231"/>
      <c r="AA98" s="231"/>
      <c r="AB98" s="231"/>
      <c r="AC98" s="231"/>
      <c r="AD98" s="231"/>
      <c r="AE98" s="231"/>
      <c r="AF98" s="231"/>
      <c r="AG98" s="231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Y98" s="47"/>
      <c r="AZ98" s="50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245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</row>
    <row r="99" spans="1:243" ht="15" customHeight="1">
      <c r="A99" s="72"/>
      <c r="B99" s="72"/>
      <c r="C99" s="72"/>
      <c r="D99" s="89"/>
      <c r="E99" s="231"/>
      <c r="F99" s="231"/>
      <c r="G99" s="231"/>
      <c r="H99" s="231"/>
      <c r="I99" s="231"/>
      <c r="J99" s="231"/>
      <c r="K99" s="231"/>
      <c r="L99" s="231"/>
      <c r="M99" s="231"/>
      <c r="N99" s="231"/>
      <c r="O99" s="231"/>
      <c r="P99" s="231"/>
      <c r="Q99" s="47"/>
      <c r="R99" s="231"/>
      <c r="S99" s="231"/>
      <c r="T99" s="231"/>
      <c r="U99" s="231"/>
      <c r="V99" s="231"/>
      <c r="W99" s="231"/>
      <c r="X99" s="231"/>
      <c r="Y99" s="231"/>
      <c r="Z99" s="231"/>
      <c r="AA99" s="231"/>
      <c r="AB99" s="231"/>
      <c r="AC99" s="231"/>
      <c r="AD99" s="231"/>
      <c r="AE99" s="231"/>
      <c r="AF99" s="231"/>
      <c r="AG99" s="231"/>
      <c r="AH99" s="47"/>
      <c r="AI99" s="47"/>
      <c r="AJ99" s="47"/>
      <c r="AK99" s="47"/>
      <c r="AL99" s="47"/>
      <c r="AM99" s="47"/>
      <c r="AN99" s="47"/>
      <c r="AO99" s="47"/>
      <c r="AP99" s="47"/>
      <c r="AQ99" s="47"/>
      <c r="AR99" s="47"/>
      <c r="AS99" s="47"/>
      <c r="AT99" s="47"/>
      <c r="AU99" s="47"/>
      <c r="AV99" s="47"/>
      <c r="AW99" s="47"/>
      <c r="AX99" s="47"/>
      <c r="AY99" s="47"/>
      <c r="AZ99" s="50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245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</row>
    <row r="100" spans="1:243" ht="15" customHeight="1">
      <c r="A100" s="72"/>
      <c r="B100" s="72"/>
      <c r="C100" s="72"/>
      <c r="D100" s="89"/>
      <c r="E100" s="230"/>
      <c r="F100" s="230"/>
      <c r="G100" s="230"/>
      <c r="H100" s="230"/>
      <c r="I100" s="230"/>
      <c r="J100" s="230"/>
      <c r="K100" s="230"/>
      <c r="L100" s="230"/>
      <c r="M100" s="230"/>
      <c r="N100" s="230"/>
      <c r="O100" s="230"/>
      <c r="P100" s="230"/>
      <c r="Q100" s="48"/>
      <c r="R100" s="230"/>
      <c r="S100" s="230"/>
      <c r="T100" s="230"/>
      <c r="U100" s="230"/>
      <c r="V100" s="230"/>
      <c r="W100" s="230"/>
      <c r="X100" s="230"/>
      <c r="Y100" s="230"/>
      <c r="Z100" s="230"/>
      <c r="AA100" s="230"/>
      <c r="AB100" s="230"/>
      <c r="AC100" s="230"/>
      <c r="AD100" s="230"/>
      <c r="AE100" s="230"/>
      <c r="AF100" s="230"/>
      <c r="AG100" s="230"/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48"/>
      <c r="AS100" s="48"/>
      <c r="AT100" s="48"/>
      <c r="AU100" s="48"/>
      <c r="AV100" s="48"/>
      <c r="AW100" s="48"/>
      <c r="AX100" s="48"/>
      <c r="AY100" s="48"/>
      <c r="AZ100" s="50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245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/>
      <c r="IC100" s="4"/>
      <c r="ID100" s="4"/>
      <c r="IE100" s="4"/>
      <c r="IF100" s="4"/>
      <c r="IG100" s="4"/>
      <c r="IH100" s="4"/>
      <c r="II100" s="4"/>
    </row>
    <row r="101" spans="1:243" ht="15" customHeight="1">
      <c r="A101" s="72"/>
      <c r="B101" s="72"/>
      <c r="C101" s="72"/>
      <c r="D101" s="89"/>
      <c r="E101" s="230"/>
      <c r="F101" s="230"/>
      <c r="G101" s="230"/>
      <c r="H101" s="230"/>
      <c r="I101" s="230"/>
      <c r="J101" s="230"/>
      <c r="K101" s="230"/>
      <c r="L101" s="230"/>
      <c r="M101" s="230"/>
      <c r="N101" s="230"/>
      <c r="O101" s="230"/>
      <c r="P101" s="230"/>
      <c r="Q101" s="48"/>
      <c r="R101" s="230"/>
      <c r="S101" s="230"/>
      <c r="T101" s="230"/>
      <c r="U101" s="230"/>
      <c r="V101" s="230"/>
      <c r="W101" s="230"/>
      <c r="X101" s="230"/>
      <c r="Y101" s="230"/>
      <c r="Z101" s="230"/>
      <c r="AA101" s="230"/>
      <c r="AB101" s="230"/>
      <c r="AC101" s="230"/>
      <c r="AD101" s="230"/>
      <c r="AE101" s="230"/>
      <c r="AF101" s="230"/>
      <c r="AG101" s="230"/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48"/>
      <c r="AS101" s="48"/>
      <c r="AT101" s="48"/>
      <c r="AU101" s="48"/>
      <c r="AV101" s="48"/>
      <c r="AW101" s="48"/>
      <c r="AX101" s="48"/>
      <c r="AY101" s="48"/>
      <c r="AZ101" s="50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245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  <c r="HQ101" s="4"/>
      <c r="HR101" s="4"/>
      <c r="HS101" s="4"/>
      <c r="HT101" s="4"/>
      <c r="HU101" s="4"/>
      <c r="HV101" s="4"/>
      <c r="HW101" s="4"/>
      <c r="HX101" s="4"/>
      <c r="HY101" s="4"/>
      <c r="HZ101" s="4"/>
      <c r="IA101" s="4"/>
      <c r="IB101" s="4"/>
      <c r="IC101" s="4"/>
      <c r="ID101" s="4"/>
      <c r="IE101" s="4"/>
      <c r="IF101" s="4"/>
      <c r="IG101" s="4"/>
      <c r="IH101" s="4"/>
      <c r="II101" s="4"/>
    </row>
    <row r="102" spans="1:243" ht="15" customHeight="1">
      <c r="A102" s="72"/>
      <c r="B102" s="72"/>
      <c r="C102" s="72"/>
      <c r="D102" s="89"/>
      <c r="E102" s="230"/>
      <c r="F102" s="230"/>
      <c r="G102" s="230"/>
      <c r="H102" s="230"/>
      <c r="I102" s="230"/>
      <c r="J102" s="230"/>
      <c r="K102" s="230"/>
      <c r="L102" s="230"/>
      <c r="M102" s="230"/>
      <c r="N102" s="230"/>
      <c r="O102" s="230"/>
      <c r="P102" s="230"/>
      <c r="Q102" s="48"/>
      <c r="R102" s="230"/>
      <c r="S102" s="230"/>
      <c r="T102" s="230"/>
      <c r="U102" s="230"/>
      <c r="V102" s="230"/>
      <c r="W102" s="230"/>
      <c r="X102" s="230"/>
      <c r="Y102" s="230"/>
      <c r="Z102" s="230"/>
      <c r="AA102" s="230"/>
      <c r="AB102" s="230"/>
      <c r="AC102" s="230"/>
      <c r="AD102" s="230"/>
      <c r="AE102" s="230"/>
      <c r="AF102" s="230"/>
      <c r="AG102" s="230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48"/>
      <c r="AS102" s="48"/>
      <c r="AT102" s="48"/>
      <c r="AU102" s="48"/>
      <c r="AV102" s="48"/>
      <c r="AW102" s="48"/>
      <c r="AX102" s="48"/>
      <c r="AY102" s="48"/>
      <c r="AZ102" s="50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245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  <c r="HH102" s="4"/>
      <c r="HI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  <c r="HT102" s="4"/>
      <c r="HU102" s="4"/>
      <c r="HV102" s="4"/>
      <c r="HW102" s="4"/>
      <c r="HX102" s="4"/>
      <c r="HY102" s="4"/>
      <c r="HZ102" s="4"/>
      <c r="IA102" s="4"/>
      <c r="IB102" s="4"/>
      <c r="IC102" s="4"/>
      <c r="ID102" s="4"/>
      <c r="IE102" s="4"/>
      <c r="IF102" s="4"/>
      <c r="IG102" s="4"/>
      <c r="IH102" s="4"/>
      <c r="II102" s="4"/>
    </row>
    <row r="103" spans="1:243" ht="15" customHeight="1">
      <c r="A103" s="72"/>
      <c r="B103" s="72"/>
      <c r="C103" s="72"/>
      <c r="D103" s="89"/>
      <c r="E103" s="230"/>
      <c r="F103" s="230"/>
      <c r="G103" s="230"/>
      <c r="H103" s="230"/>
      <c r="I103" s="230"/>
      <c r="J103" s="230"/>
      <c r="K103" s="230"/>
      <c r="L103" s="230"/>
      <c r="M103" s="230"/>
      <c r="N103" s="230"/>
      <c r="O103" s="230"/>
      <c r="P103" s="230"/>
      <c r="Q103" s="48"/>
      <c r="R103" s="230"/>
      <c r="S103" s="230"/>
      <c r="T103" s="230"/>
      <c r="U103" s="230"/>
      <c r="V103" s="230"/>
      <c r="W103" s="230"/>
      <c r="X103" s="230"/>
      <c r="Y103" s="230"/>
      <c r="Z103" s="230"/>
      <c r="AA103" s="230"/>
      <c r="AB103" s="230"/>
      <c r="AC103" s="230"/>
      <c r="AD103" s="230"/>
      <c r="AE103" s="230"/>
      <c r="AF103" s="230"/>
      <c r="AG103" s="230"/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48"/>
      <c r="AS103" s="48"/>
      <c r="AT103" s="48"/>
      <c r="AU103" s="48"/>
      <c r="AV103" s="48"/>
      <c r="AW103" s="48"/>
      <c r="AX103" s="48"/>
      <c r="AY103" s="48"/>
      <c r="AZ103" s="50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245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4"/>
      <c r="HF103" s="4"/>
      <c r="HG103" s="4"/>
      <c r="HH103" s="4"/>
      <c r="HI103" s="4"/>
      <c r="HJ103" s="4"/>
      <c r="HK103" s="4"/>
      <c r="HL103" s="4"/>
      <c r="HM103" s="4"/>
      <c r="HN103" s="4"/>
      <c r="HO103" s="4"/>
      <c r="HP103" s="4"/>
      <c r="HQ103" s="4"/>
      <c r="HR103" s="4"/>
      <c r="HS103" s="4"/>
      <c r="HT103" s="4"/>
      <c r="HU103" s="4"/>
      <c r="HV103" s="4"/>
      <c r="HW103" s="4"/>
      <c r="HX103" s="4"/>
      <c r="HY103" s="4"/>
      <c r="HZ103" s="4"/>
      <c r="IA103" s="4"/>
      <c r="IB103" s="4"/>
      <c r="IC103" s="4"/>
      <c r="ID103" s="4"/>
      <c r="IE103" s="4"/>
      <c r="IF103" s="4"/>
      <c r="IG103" s="4"/>
      <c r="IH103" s="4"/>
      <c r="II103" s="4"/>
    </row>
    <row r="104" spans="1:243" ht="15" customHeight="1">
      <c r="A104" s="72"/>
      <c r="B104" s="72"/>
      <c r="C104" s="72"/>
      <c r="D104" s="89"/>
      <c r="E104" s="230"/>
      <c r="F104" s="230"/>
      <c r="G104" s="230"/>
      <c r="H104" s="230"/>
      <c r="I104" s="230"/>
      <c r="J104" s="230"/>
      <c r="K104" s="230"/>
      <c r="L104" s="230"/>
      <c r="M104" s="230"/>
      <c r="N104" s="230"/>
      <c r="O104" s="230"/>
      <c r="P104" s="230"/>
      <c r="Q104" s="48"/>
      <c r="R104" s="230"/>
      <c r="S104" s="230"/>
      <c r="T104" s="230"/>
      <c r="U104" s="230"/>
      <c r="V104" s="230"/>
      <c r="W104" s="230"/>
      <c r="X104" s="230"/>
      <c r="Y104" s="230"/>
      <c r="Z104" s="230"/>
      <c r="AA104" s="230"/>
      <c r="AB104" s="230"/>
      <c r="AC104" s="230"/>
      <c r="AD104" s="230"/>
      <c r="AE104" s="230"/>
      <c r="AF104" s="230"/>
      <c r="AG104" s="230"/>
      <c r="AH104" s="48"/>
      <c r="AI104" s="48"/>
      <c r="AJ104" s="48"/>
      <c r="AK104" s="48"/>
      <c r="AL104" s="48"/>
      <c r="AM104" s="48"/>
      <c r="AN104" s="48"/>
      <c r="AO104" s="48"/>
      <c r="AP104" s="48"/>
      <c r="AQ104" s="48"/>
      <c r="AR104" s="48"/>
      <c r="AS104" s="48"/>
      <c r="AT104" s="48"/>
      <c r="AU104" s="48"/>
      <c r="AV104" s="48"/>
      <c r="AW104" s="48"/>
      <c r="AX104" s="48"/>
      <c r="AY104" s="48"/>
      <c r="AZ104" s="50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245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/>
      <c r="GQ104" s="4"/>
      <c r="GR104" s="4"/>
      <c r="GS104" s="4"/>
      <c r="GT104" s="4"/>
      <c r="GU104" s="4"/>
      <c r="GV104" s="4"/>
      <c r="GW104" s="4"/>
      <c r="GX104" s="4"/>
      <c r="GY104" s="4"/>
      <c r="GZ104" s="4"/>
      <c r="HA104" s="4"/>
      <c r="HB104" s="4"/>
      <c r="HC104" s="4"/>
      <c r="HD104" s="4"/>
      <c r="HE104" s="4"/>
      <c r="HF104" s="4"/>
      <c r="HG104" s="4"/>
      <c r="HH104" s="4"/>
      <c r="HI104" s="4"/>
      <c r="HJ104" s="4"/>
      <c r="HK104" s="4"/>
      <c r="HL104" s="4"/>
      <c r="HM104" s="4"/>
      <c r="HN104" s="4"/>
      <c r="HO104" s="4"/>
      <c r="HP104" s="4"/>
      <c r="HQ104" s="4"/>
      <c r="HR104" s="4"/>
      <c r="HS104" s="4"/>
      <c r="HT104" s="4"/>
      <c r="HU104" s="4"/>
      <c r="HV104" s="4"/>
      <c r="HW104" s="4"/>
      <c r="HX104" s="4"/>
      <c r="HY104" s="4"/>
      <c r="HZ104" s="4"/>
      <c r="IA104" s="4"/>
      <c r="IB104" s="4"/>
      <c r="IC104" s="4"/>
      <c r="ID104" s="4"/>
      <c r="IE104" s="4"/>
      <c r="IF104" s="4"/>
      <c r="IG104" s="4"/>
      <c r="IH104" s="4"/>
      <c r="II104" s="4"/>
    </row>
    <row r="105" spans="1:243" ht="15" customHeight="1">
      <c r="A105" s="72"/>
      <c r="B105" s="72"/>
      <c r="C105" s="72"/>
      <c r="D105" s="89"/>
      <c r="E105" s="230"/>
      <c r="F105" s="230"/>
      <c r="G105" s="232"/>
      <c r="H105" s="232"/>
      <c r="I105" s="230"/>
      <c r="J105" s="230"/>
      <c r="K105" s="230"/>
      <c r="L105" s="230"/>
      <c r="M105" s="230"/>
      <c r="N105" s="230"/>
      <c r="O105" s="230"/>
      <c r="P105" s="230"/>
      <c r="Q105" s="48"/>
      <c r="R105" s="230"/>
      <c r="S105" s="230"/>
      <c r="T105" s="230"/>
      <c r="U105" s="230"/>
      <c r="V105" s="230"/>
      <c r="W105" s="230"/>
      <c r="X105" s="230"/>
      <c r="Y105" s="230"/>
      <c r="Z105" s="230"/>
      <c r="AA105" s="230"/>
      <c r="AB105" s="230"/>
      <c r="AC105" s="230"/>
      <c r="AD105" s="230"/>
      <c r="AE105" s="230"/>
      <c r="AF105" s="230"/>
      <c r="AG105" s="230"/>
      <c r="AH105" s="48"/>
      <c r="AI105" s="48"/>
      <c r="AJ105" s="48"/>
      <c r="AK105" s="48"/>
      <c r="AL105" s="48"/>
      <c r="AM105" s="48"/>
      <c r="AN105" s="48"/>
      <c r="AO105" s="48"/>
      <c r="AP105" s="48"/>
      <c r="AQ105" s="48"/>
      <c r="AR105" s="48"/>
      <c r="AS105" s="48"/>
      <c r="AT105" s="48"/>
      <c r="AU105" s="48"/>
      <c r="AV105" s="48"/>
      <c r="AW105" s="48"/>
      <c r="AX105" s="48"/>
      <c r="AY105" s="48"/>
      <c r="AZ105" s="50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245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  <c r="HQ105" s="4"/>
      <c r="HR105" s="4"/>
      <c r="HS105" s="4"/>
      <c r="HT105" s="4"/>
      <c r="HU105" s="4"/>
      <c r="HV105" s="4"/>
      <c r="HW105" s="4"/>
      <c r="HX105" s="4"/>
      <c r="HY105" s="4"/>
      <c r="HZ105" s="4"/>
      <c r="IA105" s="4"/>
      <c r="IB105" s="4"/>
      <c r="IC105" s="4"/>
      <c r="ID105" s="4"/>
      <c r="IE105" s="4"/>
      <c r="IF105" s="4"/>
      <c r="IG105" s="4"/>
      <c r="IH105" s="4"/>
      <c r="II105" s="4"/>
    </row>
    <row r="106" spans="1:243" ht="15" customHeight="1">
      <c r="A106" s="72"/>
      <c r="B106" s="72"/>
      <c r="C106" s="72"/>
      <c r="D106" s="89"/>
      <c r="E106" s="230"/>
      <c r="F106" s="230"/>
      <c r="G106" s="232"/>
      <c r="H106" s="232"/>
      <c r="I106" s="230"/>
      <c r="J106" s="230"/>
      <c r="K106" s="230"/>
      <c r="L106" s="230"/>
      <c r="M106" s="230"/>
      <c r="N106" s="230"/>
      <c r="O106" s="230"/>
      <c r="P106" s="230"/>
      <c r="Q106" s="48"/>
      <c r="R106" s="230"/>
      <c r="S106" s="230"/>
      <c r="T106" s="230"/>
      <c r="U106" s="230"/>
      <c r="V106" s="230"/>
      <c r="W106" s="230"/>
      <c r="X106" s="230"/>
      <c r="Y106" s="230"/>
      <c r="Z106" s="230"/>
      <c r="AA106" s="230"/>
      <c r="AB106" s="230"/>
      <c r="AC106" s="230"/>
      <c r="AD106" s="230"/>
      <c r="AE106" s="230"/>
      <c r="AF106" s="230"/>
      <c r="AG106" s="230"/>
      <c r="AH106" s="48"/>
      <c r="AI106" s="48"/>
      <c r="AJ106" s="48"/>
      <c r="AK106" s="48"/>
      <c r="AL106" s="48"/>
      <c r="AM106" s="48"/>
      <c r="AN106" s="48"/>
      <c r="AO106" s="48"/>
      <c r="AP106" s="48"/>
      <c r="AQ106" s="48"/>
      <c r="AR106" s="48"/>
      <c r="AS106" s="48"/>
      <c r="AT106" s="48"/>
      <c r="AU106" s="48"/>
      <c r="AV106" s="48"/>
      <c r="AW106" s="48"/>
      <c r="AX106" s="48"/>
      <c r="AY106" s="48"/>
      <c r="AZ106" s="50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245"/>
      <c r="GF106" s="4"/>
      <c r="GG106" s="4"/>
      <c r="GH106" s="4"/>
      <c r="GI106" s="4"/>
      <c r="GJ106" s="4"/>
      <c r="GK106" s="4"/>
      <c r="GL106" s="4"/>
      <c r="GM106" s="4"/>
      <c r="GN106" s="4"/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/>
      <c r="GZ106" s="4"/>
      <c r="HA106" s="4"/>
      <c r="HB106" s="4"/>
      <c r="HC106" s="4"/>
      <c r="HD106" s="4"/>
      <c r="HE106" s="4"/>
      <c r="HF106" s="4"/>
      <c r="HG106" s="4"/>
      <c r="HH106" s="4"/>
      <c r="HI106" s="4"/>
      <c r="HJ106" s="4"/>
      <c r="HK106" s="4"/>
      <c r="HL106" s="4"/>
      <c r="HM106" s="4"/>
      <c r="HN106" s="4"/>
      <c r="HO106" s="4"/>
      <c r="HP106" s="4"/>
      <c r="HQ106" s="4"/>
      <c r="HR106" s="4"/>
      <c r="HS106" s="4"/>
      <c r="HT106" s="4"/>
      <c r="HU106" s="4"/>
      <c r="HV106" s="4"/>
      <c r="HW106" s="4"/>
      <c r="HX106" s="4"/>
      <c r="HY106" s="4"/>
      <c r="HZ106" s="4"/>
      <c r="IA106" s="4"/>
      <c r="IB106" s="4"/>
      <c r="IC106" s="4"/>
      <c r="ID106" s="4"/>
      <c r="IE106" s="4"/>
      <c r="IF106" s="4"/>
      <c r="IG106" s="4"/>
      <c r="IH106" s="4"/>
      <c r="II106" s="4"/>
    </row>
    <row r="107" spans="1:243" ht="15" customHeight="1">
      <c r="A107" s="72"/>
      <c r="B107" s="72"/>
      <c r="C107" s="72"/>
      <c r="D107" s="89"/>
      <c r="E107" s="230"/>
      <c r="F107" s="230"/>
      <c r="G107" s="232"/>
      <c r="H107" s="232"/>
      <c r="I107" s="232"/>
      <c r="J107" s="230"/>
      <c r="K107" s="230"/>
      <c r="L107" s="230"/>
      <c r="M107" s="230"/>
      <c r="N107" s="230"/>
      <c r="O107" s="230"/>
      <c r="P107" s="230"/>
      <c r="Q107" s="48"/>
      <c r="R107" s="230"/>
      <c r="S107" s="230"/>
      <c r="T107" s="230"/>
      <c r="U107" s="230"/>
      <c r="V107" s="230"/>
      <c r="W107" s="230"/>
      <c r="X107" s="230"/>
      <c r="Y107" s="230"/>
      <c r="Z107" s="230"/>
      <c r="AA107" s="230"/>
      <c r="AB107" s="230"/>
      <c r="AC107" s="230"/>
      <c r="AD107" s="230"/>
      <c r="AE107" s="230"/>
      <c r="AF107" s="230"/>
      <c r="AG107" s="230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  <c r="AT107" s="48"/>
      <c r="AU107" s="48"/>
      <c r="AV107" s="48"/>
      <c r="AW107" s="48"/>
      <c r="AX107" s="48"/>
      <c r="AY107" s="48"/>
      <c r="AZ107" s="50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245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/>
      <c r="HF107" s="4"/>
      <c r="HG107" s="4"/>
      <c r="HH107" s="4"/>
      <c r="HI107" s="4"/>
      <c r="HJ107" s="4"/>
      <c r="HK107" s="4"/>
      <c r="HL107" s="4"/>
      <c r="HM107" s="4"/>
      <c r="HN107" s="4"/>
      <c r="HO107" s="4"/>
      <c r="HP107" s="4"/>
      <c r="HQ107" s="4"/>
      <c r="HR107" s="4"/>
      <c r="HS107" s="4"/>
      <c r="HT107" s="4"/>
      <c r="HU107" s="4"/>
      <c r="HV107" s="4"/>
      <c r="HW107" s="4"/>
      <c r="HX107" s="4"/>
      <c r="HY107" s="4"/>
      <c r="HZ107" s="4"/>
      <c r="IA107" s="4"/>
      <c r="IB107" s="4"/>
      <c r="IC107" s="4"/>
      <c r="ID107" s="4"/>
      <c r="IE107" s="4"/>
      <c r="IF107" s="4"/>
      <c r="IG107" s="4"/>
      <c r="IH107" s="4"/>
      <c r="II107" s="4"/>
    </row>
    <row r="108" spans="1:243" ht="15" customHeight="1">
      <c r="A108" s="72"/>
      <c r="B108" s="72"/>
      <c r="C108" s="72"/>
      <c r="D108" s="89"/>
      <c r="E108" s="230"/>
      <c r="F108" s="230"/>
      <c r="G108" s="232"/>
      <c r="H108" s="230"/>
      <c r="I108" s="230"/>
      <c r="J108" s="230"/>
      <c r="K108" s="230"/>
      <c r="L108" s="230"/>
      <c r="M108" s="230"/>
      <c r="N108" s="230"/>
      <c r="O108" s="230"/>
      <c r="P108" s="230"/>
      <c r="Q108" s="48"/>
      <c r="R108" s="230"/>
      <c r="S108" s="230"/>
      <c r="T108" s="230"/>
      <c r="U108" s="230"/>
      <c r="V108" s="230"/>
      <c r="W108" s="230"/>
      <c r="X108" s="230"/>
      <c r="Y108" s="230"/>
      <c r="Z108" s="230"/>
      <c r="AA108" s="230"/>
      <c r="AB108" s="230"/>
      <c r="AC108" s="230"/>
      <c r="AD108" s="230"/>
      <c r="AE108" s="230"/>
      <c r="AF108" s="230"/>
      <c r="AG108" s="230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  <c r="AW108" s="48"/>
      <c r="AX108" s="48"/>
      <c r="AY108" s="48"/>
      <c r="AZ108" s="50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  <c r="GA108" s="4"/>
      <c r="GB108" s="4"/>
      <c r="GC108" s="4"/>
      <c r="GD108" s="4"/>
      <c r="GE108" s="245"/>
      <c r="GF108" s="4"/>
      <c r="GG108" s="4"/>
      <c r="GH108" s="4"/>
      <c r="GI108" s="4"/>
      <c r="GJ108" s="4"/>
      <c r="GK108" s="4"/>
      <c r="GL108" s="4"/>
      <c r="GM108" s="4"/>
      <c r="GN108" s="4"/>
      <c r="GO108" s="4"/>
      <c r="GP108" s="4"/>
      <c r="GQ108" s="4"/>
      <c r="GR108" s="4"/>
      <c r="GS108" s="4"/>
      <c r="GT108" s="4"/>
      <c r="GU108" s="4"/>
      <c r="GV108" s="4"/>
      <c r="GW108" s="4"/>
      <c r="GX108" s="4"/>
      <c r="GY108" s="4"/>
      <c r="GZ108" s="4"/>
      <c r="HA108" s="4"/>
      <c r="HB108" s="4"/>
      <c r="HC108" s="4"/>
      <c r="HD108" s="4"/>
      <c r="HE108" s="4"/>
      <c r="HF108" s="4"/>
      <c r="HG108" s="4"/>
      <c r="HH108" s="4"/>
      <c r="HI108" s="4"/>
      <c r="HJ108" s="4"/>
      <c r="HK108" s="4"/>
      <c r="HL108" s="4"/>
      <c r="HM108" s="4"/>
      <c r="HN108" s="4"/>
      <c r="HO108" s="4"/>
      <c r="HP108" s="4"/>
      <c r="HQ108" s="4"/>
      <c r="HR108" s="4"/>
      <c r="HS108" s="4"/>
      <c r="HT108" s="4"/>
      <c r="HU108" s="4"/>
      <c r="HV108" s="4"/>
      <c r="HW108" s="4"/>
      <c r="HX108" s="4"/>
      <c r="HY108" s="4"/>
      <c r="HZ108" s="4"/>
      <c r="IA108" s="4"/>
      <c r="IB108" s="4"/>
      <c r="IC108" s="4"/>
      <c r="ID108" s="4"/>
      <c r="IE108" s="4"/>
      <c r="IF108" s="4"/>
      <c r="IG108" s="4"/>
      <c r="IH108" s="4"/>
      <c r="II108" s="4"/>
    </row>
    <row r="109" spans="1:243" ht="15" customHeight="1">
      <c r="A109" s="72"/>
      <c r="B109" s="72"/>
      <c r="C109" s="72"/>
      <c r="D109" s="89"/>
      <c r="E109" s="230"/>
      <c r="F109" s="230"/>
      <c r="G109" s="230"/>
      <c r="H109" s="230"/>
      <c r="I109" s="230"/>
      <c r="J109" s="230"/>
      <c r="K109" s="230"/>
      <c r="L109" s="230"/>
      <c r="M109" s="230"/>
      <c r="N109" s="230"/>
      <c r="O109" s="230"/>
      <c r="P109" s="230"/>
      <c r="Q109" s="48"/>
      <c r="R109" s="230"/>
      <c r="S109" s="230"/>
      <c r="T109" s="230"/>
      <c r="U109" s="230"/>
      <c r="V109" s="230"/>
      <c r="W109" s="230"/>
      <c r="X109" s="230"/>
      <c r="Y109" s="230"/>
      <c r="Z109" s="230"/>
      <c r="AA109" s="230"/>
      <c r="AB109" s="230"/>
      <c r="AC109" s="230"/>
      <c r="AD109" s="230"/>
      <c r="AE109" s="230"/>
      <c r="AF109" s="230"/>
      <c r="AG109" s="230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  <c r="AU109" s="48"/>
      <c r="AV109" s="48"/>
      <c r="AW109" s="48"/>
      <c r="AX109" s="48"/>
      <c r="AY109" s="48"/>
      <c r="AZ109" s="50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245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  <c r="HQ109" s="4"/>
      <c r="HR109" s="4"/>
      <c r="HS109" s="4"/>
      <c r="HT109" s="4"/>
      <c r="HU109" s="4"/>
      <c r="HV109" s="4"/>
      <c r="HW109" s="4"/>
      <c r="HX109" s="4"/>
      <c r="HY109" s="4"/>
      <c r="HZ109" s="4"/>
      <c r="IA109" s="4"/>
      <c r="IB109" s="4"/>
      <c r="IC109" s="4"/>
      <c r="ID109" s="4"/>
      <c r="IE109" s="4"/>
      <c r="IF109" s="4"/>
      <c r="IG109" s="4"/>
      <c r="IH109" s="4"/>
      <c r="II109" s="4"/>
    </row>
    <row r="110" spans="1:243" ht="15" customHeight="1">
      <c r="A110" s="72"/>
      <c r="B110" s="72"/>
      <c r="C110" s="72"/>
      <c r="D110" s="88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93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48"/>
      <c r="AW110" s="48"/>
      <c r="AX110" s="48"/>
      <c r="AY110" s="48"/>
      <c r="AZ110" s="50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245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  <c r="HQ110" s="4"/>
      <c r="HR110" s="4"/>
      <c r="HS110" s="4"/>
      <c r="HT110" s="4"/>
      <c r="HU110" s="4"/>
      <c r="HV110" s="4"/>
      <c r="HW110" s="4"/>
      <c r="HX110" s="4"/>
      <c r="HY110" s="4"/>
      <c r="HZ110" s="4"/>
      <c r="IA110" s="4"/>
      <c r="IB110" s="4"/>
      <c r="IC110" s="4"/>
      <c r="ID110" s="4"/>
      <c r="IE110" s="4"/>
      <c r="IF110" s="4"/>
      <c r="IG110" s="4"/>
      <c r="IH110" s="4"/>
      <c r="II110" s="4"/>
    </row>
    <row r="111" spans="1:243" ht="15" customHeight="1">
      <c r="A111" s="72"/>
      <c r="B111" s="72"/>
      <c r="C111" s="72"/>
      <c r="D111" s="88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93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48"/>
      <c r="AW111" s="48"/>
      <c r="AX111" s="48"/>
      <c r="AY111" s="48"/>
      <c r="AZ111" s="50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245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  <c r="HK111" s="4"/>
      <c r="HL111" s="4"/>
      <c r="HM111" s="4"/>
      <c r="HN111" s="4"/>
      <c r="HO111" s="4"/>
      <c r="HP111" s="4"/>
      <c r="HQ111" s="4"/>
      <c r="HR111" s="4"/>
      <c r="HS111" s="4"/>
      <c r="HT111" s="4"/>
      <c r="HU111" s="4"/>
      <c r="HV111" s="4"/>
      <c r="HW111" s="4"/>
      <c r="HX111" s="4"/>
      <c r="HY111" s="4"/>
      <c r="HZ111" s="4"/>
      <c r="IA111" s="4"/>
      <c r="IB111" s="4"/>
      <c r="IC111" s="4"/>
      <c r="ID111" s="4"/>
      <c r="IE111" s="4"/>
      <c r="IF111" s="4"/>
      <c r="IG111" s="4"/>
      <c r="IH111" s="4"/>
      <c r="II111" s="4"/>
    </row>
    <row r="112" spans="1:243" ht="15" customHeight="1">
      <c r="A112" s="72"/>
      <c r="B112" s="72"/>
      <c r="C112" s="72"/>
      <c r="D112" s="88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93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48"/>
      <c r="AW112" s="48"/>
      <c r="AX112" s="48"/>
      <c r="AY112" s="48"/>
      <c r="AZ112" s="50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245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  <c r="HH112" s="4"/>
      <c r="HI112" s="4"/>
      <c r="HJ112" s="4"/>
      <c r="HK112" s="4"/>
      <c r="HL112" s="4"/>
      <c r="HM112" s="4"/>
      <c r="HN112" s="4"/>
      <c r="HO112" s="4"/>
      <c r="HP112" s="4"/>
      <c r="HQ112" s="4"/>
      <c r="HR112" s="4"/>
      <c r="HS112" s="4"/>
      <c r="HT112" s="4"/>
      <c r="HU112" s="4"/>
      <c r="HV112" s="4"/>
      <c r="HW112" s="4"/>
      <c r="HX112" s="4"/>
      <c r="HY112" s="4"/>
      <c r="HZ112" s="4"/>
      <c r="IA112" s="4"/>
      <c r="IB112" s="4"/>
      <c r="IC112" s="4"/>
      <c r="ID112" s="4"/>
      <c r="IE112" s="4"/>
      <c r="IF112" s="4"/>
      <c r="IG112" s="4"/>
      <c r="IH112" s="4"/>
      <c r="II112" s="4"/>
    </row>
    <row r="113" spans="1:243" ht="15" customHeight="1">
      <c r="A113" s="72"/>
      <c r="B113" s="72"/>
      <c r="C113" s="72"/>
      <c r="D113" s="88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93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48"/>
      <c r="AW113" s="48"/>
      <c r="AX113" s="48"/>
      <c r="AY113" s="48"/>
      <c r="AZ113" s="50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245"/>
      <c r="GF113" s="4"/>
      <c r="GG113" s="4"/>
      <c r="GH113" s="4"/>
      <c r="GI113" s="4"/>
      <c r="GJ113" s="4"/>
      <c r="GK113" s="4"/>
      <c r="GL113" s="4"/>
      <c r="GM113" s="4"/>
      <c r="GN113" s="4"/>
      <c r="GO113" s="4"/>
      <c r="GP113" s="4"/>
      <c r="GQ113" s="4"/>
      <c r="GR113" s="4"/>
      <c r="GS113" s="4"/>
      <c r="GT113" s="4"/>
      <c r="GU113" s="4"/>
      <c r="GV113" s="4"/>
      <c r="GW113" s="4"/>
      <c r="GX113" s="4"/>
      <c r="GY113" s="4"/>
      <c r="GZ113" s="4"/>
      <c r="HA113" s="4"/>
      <c r="HB113" s="4"/>
      <c r="HC113" s="4"/>
      <c r="HD113" s="4"/>
      <c r="HE113" s="4"/>
      <c r="HF113" s="4"/>
      <c r="HG113" s="4"/>
      <c r="HH113" s="4"/>
      <c r="HI113" s="4"/>
      <c r="HJ113" s="4"/>
      <c r="HK113" s="4"/>
      <c r="HL113" s="4"/>
      <c r="HM113" s="4"/>
      <c r="HN113" s="4"/>
      <c r="HO113" s="4"/>
      <c r="HP113" s="4"/>
      <c r="HQ113" s="4"/>
      <c r="HR113" s="4"/>
      <c r="HS113" s="4"/>
      <c r="HT113" s="4"/>
      <c r="HU113" s="4"/>
      <c r="HV113" s="4"/>
      <c r="HW113" s="4"/>
      <c r="HX113" s="4"/>
      <c r="HY113" s="4"/>
      <c r="HZ113" s="4"/>
      <c r="IA113" s="4"/>
      <c r="IB113" s="4"/>
      <c r="IC113" s="4"/>
      <c r="ID113" s="4"/>
      <c r="IE113" s="4"/>
      <c r="IF113" s="4"/>
      <c r="IG113" s="4"/>
      <c r="IH113" s="4"/>
      <c r="II113" s="4"/>
    </row>
    <row r="114" spans="1:243" ht="15" customHeight="1">
      <c r="A114" s="72"/>
      <c r="B114" s="72"/>
      <c r="C114" s="72"/>
      <c r="D114" s="88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93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48"/>
      <c r="AW114" s="48"/>
      <c r="AX114" s="48"/>
      <c r="AY114" s="48"/>
      <c r="AZ114" s="50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245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  <c r="HX114" s="4"/>
      <c r="HY114" s="4"/>
      <c r="HZ114" s="4"/>
      <c r="IA114" s="4"/>
      <c r="IB114" s="4"/>
      <c r="IC114" s="4"/>
      <c r="ID114" s="4"/>
      <c r="IE114" s="4"/>
      <c r="IF114" s="4"/>
      <c r="IG114" s="4"/>
      <c r="IH114" s="4"/>
      <c r="II114" s="4"/>
    </row>
    <row r="115" spans="1:243" ht="15" customHeight="1">
      <c r="A115" s="72"/>
      <c r="B115" s="72"/>
      <c r="C115" s="72"/>
      <c r="D115" s="88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93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48"/>
      <c r="AW115" s="48"/>
      <c r="AX115" s="48"/>
      <c r="AY115" s="48"/>
      <c r="AZ115" s="50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245"/>
      <c r="GF115" s="4"/>
      <c r="GG115" s="4"/>
      <c r="GH115" s="4"/>
      <c r="GI115" s="4"/>
      <c r="GJ115" s="4"/>
      <c r="GK115" s="4"/>
      <c r="GL115" s="4"/>
      <c r="GM115" s="4"/>
      <c r="GN115" s="4"/>
      <c r="GO115" s="4"/>
      <c r="GP115" s="4"/>
      <c r="GQ115" s="4"/>
      <c r="GR115" s="4"/>
      <c r="GS115" s="4"/>
      <c r="GT115" s="4"/>
      <c r="GU115" s="4"/>
      <c r="GV115" s="4"/>
      <c r="GW115" s="4"/>
      <c r="GX115" s="4"/>
      <c r="GY115" s="4"/>
      <c r="GZ115" s="4"/>
      <c r="HA115" s="4"/>
      <c r="HB115" s="4"/>
      <c r="HC115" s="4"/>
      <c r="HD115" s="4"/>
      <c r="HE115" s="4"/>
      <c r="HF115" s="4"/>
      <c r="HG115" s="4"/>
      <c r="HH115" s="4"/>
      <c r="HI115" s="4"/>
      <c r="HJ115" s="4"/>
      <c r="HK115" s="4"/>
      <c r="HL115" s="4"/>
      <c r="HM115" s="4"/>
      <c r="HN115" s="4"/>
      <c r="HO115" s="4"/>
      <c r="HP115" s="4"/>
      <c r="HQ115" s="4"/>
      <c r="HR115" s="4"/>
      <c r="HS115" s="4"/>
      <c r="HT115" s="4"/>
      <c r="HU115" s="4"/>
      <c r="HV115" s="4"/>
      <c r="HW115" s="4"/>
      <c r="HX115" s="4"/>
      <c r="HY115" s="4"/>
      <c r="HZ115" s="4"/>
      <c r="IA115" s="4"/>
      <c r="IB115" s="4"/>
      <c r="IC115" s="4"/>
      <c r="ID115" s="4"/>
      <c r="IE115" s="4"/>
      <c r="IF115" s="4"/>
      <c r="IG115" s="4"/>
      <c r="IH115" s="4"/>
      <c r="II115" s="4"/>
    </row>
    <row r="116" spans="1:243" ht="15" customHeight="1">
      <c r="A116" s="72"/>
      <c r="B116" s="72"/>
      <c r="C116" s="72"/>
      <c r="D116" s="88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93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48"/>
      <c r="AW116" s="48"/>
      <c r="AX116" s="48"/>
      <c r="AY116" s="48"/>
      <c r="AZ116" s="50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245"/>
      <c r="GF116" s="4"/>
      <c r="GG116" s="4"/>
      <c r="GH116" s="4"/>
      <c r="GI116" s="4"/>
      <c r="GJ116" s="4"/>
      <c r="GK116" s="4"/>
      <c r="GL116" s="4"/>
      <c r="GM116" s="4"/>
      <c r="GN116" s="4"/>
      <c r="GO116" s="4"/>
      <c r="GP116" s="4"/>
      <c r="GQ116" s="4"/>
      <c r="GR116" s="4"/>
      <c r="GS116" s="4"/>
      <c r="GT116" s="4"/>
      <c r="GU116" s="4"/>
      <c r="GV116" s="4"/>
      <c r="GW116" s="4"/>
      <c r="GX116" s="4"/>
      <c r="GY116" s="4"/>
      <c r="GZ116" s="4"/>
      <c r="HA116" s="4"/>
      <c r="HB116" s="4"/>
      <c r="HC116" s="4"/>
      <c r="HD116" s="4"/>
      <c r="HE116" s="4"/>
      <c r="HF116" s="4"/>
      <c r="HG116" s="4"/>
      <c r="HH116" s="4"/>
      <c r="HI116" s="4"/>
      <c r="HJ116" s="4"/>
      <c r="HK116" s="4"/>
      <c r="HL116" s="4"/>
      <c r="HM116" s="4"/>
      <c r="HN116" s="4"/>
      <c r="HO116" s="4"/>
      <c r="HP116" s="4"/>
      <c r="HQ116" s="4"/>
      <c r="HR116" s="4"/>
      <c r="HS116" s="4"/>
      <c r="HT116" s="4"/>
      <c r="HU116" s="4"/>
      <c r="HV116" s="4"/>
      <c r="HW116" s="4"/>
      <c r="HX116" s="4"/>
      <c r="HY116" s="4"/>
      <c r="HZ116" s="4"/>
      <c r="IA116" s="4"/>
      <c r="IB116" s="4"/>
      <c r="IC116" s="4"/>
      <c r="ID116" s="4"/>
      <c r="IE116" s="4"/>
      <c r="IF116" s="4"/>
      <c r="IG116" s="4"/>
      <c r="IH116" s="4"/>
      <c r="II116" s="4"/>
    </row>
    <row r="117" spans="1:243" ht="15" customHeight="1">
      <c r="A117" s="72"/>
      <c r="B117" s="72"/>
      <c r="C117" s="72"/>
      <c r="D117" s="88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93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48"/>
      <c r="AW117" s="48"/>
      <c r="AX117" s="48"/>
      <c r="AY117" s="48"/>
      <c r="AZ117" s="50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245"/>
      <c r="GF117" s="4"/>
      <c r="GG117" s="4"/>
      <c r="GH117" s="4"/>
      <c r="GI117" s="4"/>
      <c r="GJ117" s="4"/>
      <c r="GK117" s="4"/>
      <c r="GL117" s="4"/>
      <c r="GM117" s="4"/>
      <c r="GN117" s="4"/>
      <c r="GO117" s="4"/>
      <c r="GP117" s="4"/>
      <c r="GQ117" s="4"/>
      <c r="GR117" s="4"/>
      <c r="GS117" s="4"/>
      <c r="GT117" s="4"/>
      <c r="GU117" s="4"/>
      <c r="GV117" s="4"/>
      <c r="GW117" s="4"/>
      <c r="GX117" s="4"/>
      <c r="GY117" s="4"/>
      <c r="GZ117" s="4"/>
      <c r="HA117" s="4"/>
      <c r="HB117" s="4"/>
      <c r="HC117" s="4"/>
      <c r="HD117" s="4"/>
      <c r="HE117" s="4"/>
      <c r="HF117" s="4"/>
      <c r="HG117" s="4"/>
      <c r="HH117" s="4"/>
      <c r="HI117" s="4"/>
      <c r="HJ117" s="4"/>
      <c r="HK117" s="4"/>
      <c r="HL117" s="4"/>
      <c r="HM117" s="4"/>
      <c r="HN117" s="4"/>
      <c r="HO117" s="4"/>
      <c r="HP117" s="4"/>
      <c r="HQ117" s="4"/>
      <c r="HR117" s="4"/>
      <c r="HS117" s="4"/>
      <c r="HT117" s="4"/>
      <c r="HU117" s="4"/>
      <c r="HV117" s="4"/>
      <c r="HW117" s="4"/>
      <c r="HX117" s="4"/>
      <c r="HY117" s="4"/>
      <c r="HZ117" s="4"/>
      <c r="IA117" s="4"/>
      <c r="IB117" s="4"/>
      <c r="IC117" s="4"/>
      <c r="ID117" s="4"/>
      <c r="IE117" s="4"/>
      <c r="IF117" s="4"/>
      <c r="IG117" s="4"/>
      <c r="IH117" s="4"/>
      <c r="II117" s="4"/>
    </row>
    <row r="118" spans="1:243" ht="15" customHeight="1">
      <c r="A118" s="72"/>
      <c r="B118" s="72"/>
      <c r="C118" s="72"/>
      <c r="D118" s="88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93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48"/>
      <c r="AW118" s="48"/>
      <c r="AX118" s="48"/>
      <c r="AY118" s="48"/>
      <c r="AZ118" s="50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245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  <c r="HQ118" s="4"/>
      <c r="HR118" s="4"/>
      <c r="HS118" s="4"/>
      <c r="HT118" s="4"/>
      <c r="HU118" s="4"/>
      <c r="HV118" s="4"/>
      <c r="HW118" s="4"/>
      <c r="HX118" s="4"/>
      <c r="HY118" s="4"/>
      <c r="HZ118" s="4"/>
      <c r="IA118" s="4"/>
      <c r="IB118" s="4"/>
      <c r="IC118" s="4"/>
      <c r="ID118" s="4"/>
      <c r="IE118" s="4"/>
      <c r="IF118" s="4"/>
      <c r="IG118" s="4"/>
      <c r="IH118" s="4"/>
      <c r="II118" s="4"/>
    </row>
    <row r="119" spans="1:243" ht="15" customHeight="1">
      <c r="A119" s="72"/>
      <c r="B119" s="72"/>
      <c r="C119" s="72"/>
      <c r="D119" s="88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93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48"/>
      <c r="AW119" s="48"/>
      <c r="AX119" s="48"/>
      <c r="AY119" s="48"/>
      <c r="AZ119" s="50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245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</row>
    <row r="120" spans="1:243" ht="15" customHeight="1">
      <c r="A120" s="72"/>
      <c r="B120" s="72"/>
      <c r="C120" s="72"/>
      <c r="D120" s="88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93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48"/>
      <c r="AW120" s="48"/>
      <c r="AX120" s="48"/>
      <c r="AY120" s="48"/>
      <c r="AZ120" s="50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245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</row>
    <row r="121" spans="1:243" ht="15" customHeight="1">
      <c r="A121" s="72"/>
      <c r="B121" s="72"/>
      <c r="C121" s="72"/>
      <c r="D121" s="88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93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48"/>
      <c r="AW121" s="48"/>
      <c r="AX121" s="48"/>
      <c r="AY121" s="48"/>
      <c r="AZ121" s="50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245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  <c r="IG121" s="4"/>
      <c r="IH121" s="4"/>
      <c r="II121" s="4"/>
    </row>
    <row r="122" spans="1:243" ht="15" customHeight="1">
      <c r="A122" s="72"/>
      <c r="B122" s="72"/>
      <c r="C122" s="72"/>
      <c r="D122" s="88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937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48"/>
      <c r="AW122" s="48"/>
      <c r="AX122" s="48"/>
      <c r="AY122" s="48"/>
      <c r="AZ122" s="50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245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4"/>
      <c r="HU122" s="4"/>
      <c r="HV122" s="4"/>
      <c r="HW122" s="4"/>
      <c r="HX122" s="4"/>
      <c r="HY122" s="4"/>
      <c r="HZ122" s="4"/>
      <c r="IA122" s="4"/>
      <c r="IB122" s="4"/>
      <c r="IC122" s="4"/>
      <c r="ID122" s="4"/>
      <c r="IE122" s="4"/>
      <c r="IF122" s="4"/>
      <c r="IG122" s="4"/>
      <c r="IH122" s="4"/>
      <c r="II122" s="4"/>
    </row>
    <row r="123" spans="1:243" ht="15" customHeight="1">
      <c r="A123" s="72"/>
      <c r="B123" s="72"/>
      <c r="C123" s="72"/>
      <c r="D123" s="88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93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48"/>
      <c r="AW123" s="48"/>
      <c r="AX123" s="48"/>
      <c r="AY123" s="48"/>
      <c r="AZ123" s="50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245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  <c r="IG123" s="4"/>
      <c r="IH123" s="4"/>
      <c r="II123" s="4"/>
    </row>
    <row r="124" spans="1:243" ht="15" customHeight="1">
      <c r="A124" s="72"/>
      <c r="B124" s="72"/>
      <c r="C124" s="72"/>
      <c r="D124" s="88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93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48"/>
      <c r="AW124" s="48"/>
      <c r="AX124" s="48"/>
      <c r="AY124" s="48"/>
      <c r="AZ124" s="50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245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  <c r="IG124" s="4"/>
      <c r="IH124" s="4"/>
      <c r="II124" s="4"/>
    </row>
    <row r="125" spans="1:243" ht="15" customHeight="1">
      <c r="A125" s="72"/>
      <c r="B125" s="72"/>
      <c r="C125" s="72"/>
      <c r="D125" s="88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93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48"/>
      <c r="AW125" s="48"/>
      <c r="AX125" s="48"/>
      <c r="AY125" s="48"/>
      <c r="AZ125" s="50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245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</row>
    <row r="126" spans="1:243" ht="15" customHeight="1">
      <c r="A126" s="72"/>
      <c r="B126" s="72"/>
      <c r="C126" s="72"/>
      <c r="D126" s="88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93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48"/>
      <c r="AW126" s="48"/>
      <c r="AX126" s="48"/>
      <c r="AY126" s="48"/>
      <c r="AZ126" s="50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245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</row>
    <row r="127" spans="1:243" ht="15" customHeight="1">
      <c r="A127" s="72"/>
      <c r="B127" s="72"/>
      <c r="C127" s="72"/>
      <c r="D127" s="88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  <c r="P127" s="87"/>
      <c r="Q127" s="937"/>
      <c r="R127" s="87"/>
      <c r="S127" s="87"/>
      <c r="T127" s="87"/>
      <c r="U127" s="87"/>
      <c r="V127" s="87"/>
      <c r="W127" s="87"/>
      <c r="X127" s="87"/>
      <c r="Y127" s="87"/>
      <c r="Z127" s="87"/>
      <c r="AA127" s="87"/>
      <c r="AB127" s="87"/>
      <c r="AC127" s="87"/>
      <c r="AD127" s="87"/>
      <c r="AE127" s="87"/>
      <c r="AF127" s="87"/>
      <c r="AG127" s="87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48"/>
      <c r="AW127" s="48"/>
      <c r="AX127" s="48"/>
      <c r="AY127" s="48"/>
      <c r="AZ127" s="50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245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  <c r="IG127" s="4"/>
      <c r="IH127" s="4"/>
      <c r="II127" s="4"/>
    </row>
    <row r="128" spans="1:243" ht="15" customHeight="1">
      <c r="A128" s="72"/>
      <c r="B128" s="72"/>
      <c r="C128" s="72"/>
      <c r="D128" s="88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87"/>
      <c r="Q128" s="937"/>
      <c r="R128" s="87"/>
      <c r="S128" s="87"/>
      <c r="T128" s="87"/>
      <c r="U128" s="87"/>
      <c r="V128" s="87"/>
      <c r="W128" s="87"/>
      <c r="X128" s="87"/>
      <c r="Y128" s="87"/>
      <c r="Z128" s="87"/>
      <c r="AA128" s="87"/>
      <c r="AB128" s="87"/>
      <c r="AC128" s="87"/>
      <c r="AD128" s="87"/>
      <c r="AE128" s="87"/>
      <c r="AF128" s="87"/>
      <c r="AG128" s="87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48"/>
      <c r="AW128" s="48"/>
      <c r="AX128" s="48"/>
      <c r="AY128" s="48"/>
      <c r="AZ128" s="50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245"/>
      <c r="GF128" s="4"/>
      <c r="GG128" s="4"/>
      <c r="GH128" s="4"/>
      <c r="GI128" s="4"/>
      <c r="GJ128" s="4"/>
      <c r="GK128" s="4"/>
      <c r="GL128" s="4"/>
      <c r="GM128" s="4"/>
      <c r="GN128" s="4"/>
      <c r="GO128" s="4"/>
      <c r="GP128" s="4"/>
      <c r="GQ128" s="4"/>
      <c r="GR128" s="4"/>
      <c r="GS128" s="4"/>
      <c r="GT128" s="4"/>
      <c r="GU128" s="4"/>
      <c r="GV128" s="4"/>
      <c r="GW128" s="4"/>
      <c r="GX128" s="4"/>
      <c r="GY128" s="4"/>
      <c r="GZ128" s="4"/>
      <c r="HA128" s="4"/>
      <c r="HB128" s="4"/>
      <c r="HC128" s="4"/>
      <c r="HD128" s="4"/>
      <c r="HE128" s="4"/>
      <c r="HF128" s="4"/>
      <c r="HG128" s="4"/>
      <c r="HH128" s="4"/>
      <c r="HI128" s="4"/>
      <c r="HJ128" s="4"/>
      <c r="HK128" s="4"/>
      <c r="HL128" s="4"/>
      <c r="HM128" s="4"/>
      <c r="HN128" s="4"/>
      <c r="HO128" s="4"/>
      <c r="HP128" s="4"/>
      <c r="HQ128" s="4"/>
      <c r="HR128" s="4"/>
      <c r="HS128" s="4"/>
      <c r="HT128" s="4"/>
      <c r="HU128" s="4"/>
      <c r="HV128" s="4"/>
      <c r="HW128" s="4"/>
      <c r="HX128" s="4"/>
      <c r="HY128" s="4"/>
      <c r="HZ128" s="4"/>
      <c r="IA128" s="4"/>
      <c r="IB128" s="4"/>
      <c r="IC128" s="4"/>
      <c r="ID128" s="4"/>
      <c r="IE128" s="4"/>
      <c r="IF128" s="4"/>
      <c r="IG128" s="4"/>
      <c r="IH128" s="4"/>
      <c r="II128" s="4"/>
    </row>
    <row r="129" spans="1:243" ht="15" customHeight="1">
      <c r="A129" s="72"/>
      <c r="B129" s="72"/>
      <c r="C129" s="72"/>
      <c r="D129" s="88"/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  <c r="P129" s="87"/>
      <c r="Q129" s="937"/>
      <c r="R129" s="87"/>
      <c r="S129" s="87"/>
      <c r="T129" s="87"/>
      <c r="U129" s="87"/>
      <c r="V129" s="87"/>
      <c r="W129" s="87"/>
      <c r="X129" s="87"/>
      <c r="Y129" s="87"/>
      <c r="Z129" s="87"/>
      <c r="AA129" s="87"/>
      <c r="AB129" s="87"/>
      <c r="AC129" s="87"/>
      <c r="AD129" s="87"/>
      <c r="AE129" s="87"/>
      <c r="AF129" s="87"/>
      <c r="AG129" s="87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48"/>
      <c r="AW129" s="48"/>
      <c r="AX129" s="48"/>
      <c r="AY129" s="48"/>
      <c r="AZ129" s="50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245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  <c r="HU129" s="4"/>
      <c r="HV129" s="4"/>
      <c r="HW129" s="4"/>
      <c r="HX129" s="4"/>
      <c r="HY129" s="4"/>
      <c r="HZ129" s="4"/>
      <c r="IA129" s="4"/>
      <c r="IB129" s="4"/>
      <c r="IC129" s="4"/>
      <c r="ID129" s="4"/>
      <c r="IE129" s="4"/>
      <c r="IF129" s="4"/>
      <c r="IG129" s="4"/>
      <c r="IH129" s="4"/>
      <c r="II129" s="4"/>
    </row>
    <row r="130" spans="1:243" ht="15" customHeight="1">
      <c r="A130" s="72"/>
      <c r="B130" s="72"/>
      <c r="C130" s="72"/>
      <c r="D130" s="88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  <c r="Q130" s="937"/>
      <c r="R130" s="87"/>
      <c r="S130" s="87"/>
      <c r="T130" s="87"/>
      <c r="U130" s="87"/>
      <c r="V130" s="87"/>
      <c r="W130" s="87"/>
      <c r="X130" s="87"/>
      <c r="Y130" s="87"/>
      <c r="Z130" s="87"/>
      <c r="AA130" s="87"/>
      <c r="AB130" s="87"/>
      <c r="AC130" s="87"/>
      <c r="AD130" s="87"/>
      <c r="AE130" s="87"/>
      <c r="AF130" s="87"/>
      <c r="AG130" s="87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48"/>
      <c r="AW130" s="48"/>
      <c r="AX130" s="48"/>
      <c r="AY130" s="48"/>
      <c r="AZ130" s="50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245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  <c r="HX130" s="4"/>
      <c r="HY130" s="4"/>
      <c r="HZ130" s="4"/>
      <c r="IA130" s="4"/>
      <c r="IB130" s="4"/>
      <c r="IC130" s="4"/>
      <c r="ID130" s="4"/>
      <c r="IE130" s="4"/>
      <c r="IF130" s="4"/>
      <c r="IG130" s="4"/>
      <c r="IH130" s="4"/>
      <c r="II130" s="4"/>
    </row>
    <row r="131" spans="1:243" ht="15" customHeight="1">
      <c r="A131" s="72"/>
      <c r="B131" s="72"/>
      <c r="C131" s="72"/>
      <c r="D131" s="88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87"/>
      <c r="Q131" s="937"/>
      <c r="R131" s="87"/>
      <c r="S131" s="87"/>
      <c r="T131" s="87"/>
      <c r="U131" s="87"/>
      <c r="V131" s="87"/>
      <c r="W131" s="87"/>
      <c r="X131" s="87"/>
      <c r="Y131" s="87"/>
      <c r="Z131" s="87"/>
      <c r="AA131" s="87"/>
      <c r="AB131" s="87"/>
      <c r="AC131" s="87"/>
      <c r="AD131" s="87"/>
      <c r="AE131" s="87"/>
      <c r="AF131" s="87"/>
      <c r="AG131" s="87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48"/>
      <c r="AW131" s="48"/>
      <c r="AX131" s="48"/>
      <c r="AY131" s="48"/>
      <c r="AZ131" s="50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245"/>
      <c r="GF131" s="4"/>
      <c r="GG131" s="4"/>
      <c r="GH131" s="4"/>
      <c r="GI131" s="4"/>
      <c r="GJ131" s="4"/>
      <c r="GK131" s="4"/>
      <c r="GL131" s="4"/>
      <c r="GM131" s="4"/>
      <c r="GN131" s="4"/>
      <c r="GO131" s="4"/>
      <c r="GP131" s="4"/>
      <c r="GQ131" s="4"/>
      <c r="GR131" s="4"/>
      <c r="GS131" s="4"/>
      <c r="GT131" s="4"/>
      <c r="GU131" s="4"/>
      <c r="GV131" s="4"/>
      <c r="GW131" s="4"/>
      <c r="GX131" s="4"/>
      <c r="GY131" s="4"/>
      <c r="GZ131" s="4"/>
      <c r="HA131" s="4"/>
      <c r="HB131" s="4"/>
      <c r="HC131" s="4"/>
      <c r="HD131" s="4"/>
      <c r="HE131" s="4"/>
      <c r="HF131" s="4"/>
      <c r="HG131" s="4"/>
      <c r="HH131" s="4"/>
      <c r="HI131" s="4"/>
      <c r="HJ131" s="4"/>
      <c r="HK131" s="4"/>
      <c r="HL131" s="4"/>
      <c r="HM131" s="4"/>
      <c r="HN131" s="4"/>
      <c r="HO131" s="4"/>
      <c r="HP131" s="4"/>
      <c r="HQ131" s="4"/>
      <c r="HR131" s="4"/>
      <c r="HS131" s="4"/>
      <c r="HT131" s="4"/>
      <c r="HU131" s="4"/>
      <c r="HV131" s="4"/>
      <c r="HW131" s="4"/>
      <c r="HX131" s="4"/>
      <c r="HY131" s="4"/>
      <c r="HZ131" s="4"/>
      <c r="IA131" s="4"/>
      <c r="IB131" s="4"/>
      <c r="IC131" s="4"/>
      <c r="ID131" s="4"/>
      <c r="IE131" s="4"/>
      <c r="IF131" s="4"/>
      <c r="IG131" s="4"/>
      <c r="IH131" s="4"/>
      <c r="II131" s="4"/>
    </row>
    <row r="132" spans="1:243" ht="15" customHeight="1">
      <c r="A132" s="72"/>
      <c r="B132" s="72"/>
      <c r="C132" s="72"/>
      <c r="D132" s="88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937"/>
      <c r="R132" s="87"/>
      <c r="S132" s="87"/>
      <c r="T132" s="87"/>
      <c r="U132" s="87"/>
      <c r="V132" s="87"/>
      <c r="W132" s="87"/>
      <c r="X132" s="87"/>
      <c r="Y132" s="87"/>
      <c r="Z132" s="87"/>
      <c r="AA132" s="87"/>
      <c r="AB132" s="87"/>
      <c r="AC132" s="87"/>
      <c r="AD132" s="87"/>
      <c r="AE132" s="87"/>
      <c r="AF132" s="87"/>
      <c r="AG132" s="87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48"/>
      <c r="AW132" s="48"/>
      <c r="AX132" s="48"/>
      <c r="AY132" s="48"/>
      <c r="AZ132" s="50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245"/>
      <c r="GF132" s="4"/>
      <c r="GG132" s="4"/>
      <c r="GH132" s="4"/>
      <c r="GI132" s="4"/>
      <c r="GJ132" s="4"/>
      <c r="GK132" s="4"/>
      <c r="GL132" s="4"/>
      <c r="GM132" s="4"/>
      <c r="GN132" s="4"/>
      <c r="GO132" s="4"/>
      <c r="GP132" s="4"/>
      <c r="GQ132" s="4"/>
      <c r="GR132" s="4"/>
      <c r="GS132" s="4"/>
      <c r="GT132" s="4"/>
      <c r="GU132" s="4"/>
      <c r="GV132" s="4"/>
      <c r="GW132" s="4"/>
      <c r="GX132" s="4"/>
      <c r="GY132" s="4"/>
      <c r="GZ132" s="4"/>
      <c r="HA132" s="4"/>
      <c r="HB132" s="4"/>
      <c r="HC132" s="4"/>
      <c r="HD132" s="4"/>
      <c r="HE132" s="4"/>
      <c r="HF132" s="4"/>
      <c r="HG132" s="4"/>
      <c r="HH132" s="4"/>
      <c r="HI132" s="4"/>
      <c r="HJ132" s="4"/>
      <c r="HK132" s="4"/>
      <c r="HL132" s="4"/>
      <c r="HM132" s="4"/>
      <c r="HN132" s="4"/>
      <c r="HO132" s="4"/>
      <c r="HP132" s="4"/>
      <c r="HQ132" s="4"/>
      <c r="HR132" s="4"/>
      <c r="HS132" s="4"/>
      <c r="HT132" s="4"/>
      <c r="HU132" s="4"/>
      <c r="HV132" s="4"/>
      <c r="HW132" s="4"/>
      <c r="HX132" s="4"/>
      <c r="HY132" s="4"/>
      <c r="HZ132" s="4"/>
      <c r="IA132" s="4"/>
      <c r="IB132" s="4"/>
      <c r="IC132" s="4"/>
      <c r="ID132" s="4"/>
      <c r="IE132" s="4"/>
      <c r="IF132" s="4"/>
      <c r="IG132" s="4"/>
      <c r="IH132" s="4"/>
      <c r="II132" s="4"/>
    </row>
    <row r="133" spans="1:243" ht="15" customHeight="1">
      <c r="A133" s="72"/>
      <c r="B133" s="72"/>
      <c r="C133" s="72"/>
      <c r="D133" s="88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937"/>
      <c r="R133" s="87"/>
      <c r="S133" s="87"/>
      <c r="T133" s="87"/>
      <c r="U133" s="87"/>
      <c r="V133" s="87"/>
      <c r="W133" s="87"/>
      <c r="X133" s="87"/>
      <c r="Y133" s="87"/>
      <c r="Z133" s="87"/>
      <c r="AA133" s="87"/>
      <c r="AB133" s="87"/>
      <c r="AC133" s="87"/>
      <c r="AD133" s="87"/>
      <c r="AE133" s="87"/>
      <c r="AF133" s="87"/>
      <c r="AG133" s="87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48"/>
      <c r="AW133" s="48"/>
      <c r="AX133" s="48"/>
      <c r="AY133" s="48"/>
      <c r="AZ133" s="50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/>
      <c r="FN133" s="4"/>
      <c r="FO133" s="4"/>
      <c r="FP133" s="4"/>
      <c r="FQ133" s="4"/>
      <c r="FR133" s="4"/>
      <c r="FS133" s="4"/>
      <c r="FT133" s="4"/>
      <c r="FU133" s="4"/>
      <c r="FV133" s="4"/>
      <c r="FW133" s="4"/>
      <c r="FX133" s="4"/>
      <c r="FY133" s="4"/>
      <c r="FZ133" s="4"/>
      <c r="GA133" s="4"/>
      <c r="GB133" s="4"/>
      <c r="GC133" s="4"/>
      <c r="GD133" s="4"/>
      <c r="GE133" s="245"/>
      <c r="GF133" s="4"/>
      <c r="GG133" s="4"/>
      <c r="GH133" s="4"/>
      <c r="GI133" s="4"/>
      <c r="GJ133" s="4"/>
      <c r="GK133" s="4"/>
      <c r="GL133" s="4"/>
      <c r="GM133" s="4"/>
      <c r="GN133" s="4"/>
      <c r="GO133" s="4"/>
      <c r="GP133" s="4"/>
      <c r="GQ133" s="4"/>
      <c r="GR133" s="4"/>
      <c r="GS133" s="4"/>
      <c r="GT133" s="4"/>
      <c r="GU133" s="4"/>
      <c r="GV133" s="4"/>
      <c r="GW133" s="4"/>
      <c r="GX133" s="4"/>
      <c r="GY133" s="4"/>
      <c r="GZ133" s="4"/>
      <c r="HA133" s="4"/>
      <c r="HB133" s="4"/>
      <c r="HC133" s="4"/>
      <c r="HD133" s="4"/>
      <c r="HE133" s="4"/>
      <c r="HF133" s="4"/>
      <c r="HG133" s="4"/>
      <c r="HH133" s="4"/>
      <c r="HI133" s="4"/>
      <c r="HJ133" s="4"/>
      <c r="HK133" s="4"/>
      <c r="HL133" s="4"/>
      <c r="HM133" s="4"/>
      <c r="HN133" s="4"/>
      <c r="HO133" s="4"/>
      <c r="HP133" s="4"/>
      <c r="HQ133" s="4"/>
      <c r="HR133" s="4"/>
      <c r="HS133" s="4"/>
      <c r="HT133" s="4"/>
      <c r="HU133" s="4"/>
      <c r="HV133" s="4"/>
      <c r="HW133" s="4"/>
      <c r="HX133" s="4"/>
      <c r="HY133" s="4"/>
      <c r="HZ133" s="4"/>
      <c r="IA133" s="4"/>
      <c r="IB133" s="4"/>
      <c r="IC133" s="4"/>
      <c r="ID133" s="4"/>
      <c r="IE133" s="4"/>
      <c r="IF133" s="4"/>
      <c r="IG133" s="4"/>
      <c r="IH133" s="4"/>
      <c r="II133" s="4"/>
    </row>
    <row r="134" spans="1:243" ht="15" customHeight="1">
      <c r="A134" s="72"/>
      <c r="B134" s="72"/>
      <c r="C134" s="72"/>
      <c r="D134" s="88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87"/>
      <c r="Q134" s="937"/>
      <c r="R134" s="87"/>
      <c r="S134" s="87"/>
      <c r="T134" s="87"/>
      <c r="U134" s="87"/>
      <c r="V134" s="87"/>
      <c r="W134" s="87"/>
      <c r="X134" s="87"/>
      <c r="Y134" s="87"/>
      <c r="Z134" s="87"/>
      <c r="AA134" s="87"/>
      <c r="AB134" s="87"/>
      <c r="AC134" s="87"/>
      <c r="AD134" s="87"/>
      <c r="AE134" s="87"/>
      <c r="AF134" s="87"/>
      <c r="AG134" s="87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48"/>
      <c r="AW134" s="48"/>
      <c r="AX134" s="48"/>
      <c r="AY134" s="48"/>
      <c r="AZ134" s="50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D134" s="4"/>
      <c r="GE134" s="245"/>
      <c r="GF134" s="4"/>
      <c r="GG134" s="4"/>
      <c r="GH134" s="4"/>
      <c r="GI134" s="4"/>
      <c r="GJ134" s="4"/>
      <c r="GK134" s="4"/>
      <c r="GL134" s="4"/>
      <c r="GM134" s="4"/>
      <c r="GN134" s="4"/>
      <c r="GO134" s="4"/>
      <c r="GP134" s="4"/>
      <c r="GQ134" s="4"/>
      <c r="GR134" s="4"/>
      <c r="GS134" s="4"/>
      <c r="GT134" s="4"/>
      <c r="GU134" s="4"/>
      <c r="GV134" s="4"/>
      <c r="GW134" s="4"/>
      <c r="GX134" s="4"/>
      <c r="GY134" s="4"/>
      <c r="GZ134" s="4"/>
      <c r="HA134" s="4"/>
      <c r="HB134" s="4"/>
      <c r="HC134" s="4"/>
      <c r="HD134" s="4"/>
      <c r="HE134" s="4"/>
      <c r="HF134" s="4"/>
      <c r="HG134" s="4"/>
      <c r="HH134" s="4"/>
      <c r="HI134" s="4"/>
      <c r="HJ134" s="4"/>
      <c r="HK134" s="4"/>
      <c r="HL134" s="4"/>
      <c r="HM134" s="4"/>
      <c r="HN134" s="4"/>
      <c r="HO134" s="4"/>
      <c r="HP134" s="4"/>
      <c r="HQ134" s="4"/>
      <c r="HR134" s="4"/>
      <c r="HS134" s="4"/>
      <c r="HT134" s="4"/>
      <c r="HU134" s="4"/>
      <c r="HV134" s="4"/>
      <c r="HW134" s="4"/>
      <c r="HX134" s="4"/>
      <c r="HY134" s="4"/>
      <c r="HZ134" s="4"/>
      <c r="IA134" s="4"/>
      <c r="IB134" s="4"/>
      <c r="IC134" s="4"/>
      <c r="ID134" s="4"/>
      <c r="IE134" s="4"/>
      <c r="IF134" s="4"/>
      <c r="IG134" s="4"/>
      <c r="IH134" s="4"/>
      <c r="II134" s="4"/>
    </row>
    <row r="135" spans="1:243" ht="15" customHeight="1">
      <c r="A135" s="72"/>
      <c r="B135" s="72"/>
      <c r="C135" s="72"/>
      <c r="D135" s="88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87"/>
      <c r="Q135" s="937"/>
      <c r="R135" s="87"/>
      <c r="S135" s="87"/>
      <c r="T135" s="87"/>
      <c r="U135" s="87"/>
      <c r="V135" s="87"/>
      <c r="W135" s="87"/>
      <c r="X135" s="87"/>
      <c r="Y135" s="87"/>
      <c r="Z135" s="87"/>
      <c r="AA135" s="87"/>
      <c r="AB135" s="87"/>
      <c r="AC135" s="87"/>
      <c r="AD135" s="87"/>
      <c r="AE135" s="87"/>
      <c r="AF135" s="87"/>
      <c r="AG135" s="87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48"/>
      <c r="AW135" s="48"/>
      <c r="AX135" s="48"/>
      <c r="AY135" s="48"/>
      <c r="AZ135" s="50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  <c r="FW135" s="4"/>
      <c r="FX135" s="4"/>
      <c r="FY135" s="4"/>
      <c r="FZ135" s="4"/>
      <c r="GA135" s="4"/>
      <c r="GB135" s="4"/>
      <c r="GC135" s="4"/>
      <c r="GD135" s="4"/>
      <c r="GE135" s="245"/>
      <c r="GF135" s="4"/>
      <c r="GG135" s="4"/>
      <c r="GH135" s="4"/>
      <c r="GI135" s="4"/>
      <c r="GJ135" s="4"/>
      <c r="GK135" s="4"/>
      <c r="GL135" s="4"/>
      <c r="GM135" s="4"/>
      <c r="GN135" s="4"/>
      <c r="GO135" s="4"/>
      <c r="GP135" s="4"/>
      <c r="GQ135" s="4"/>
      <c r="GR135" s="4"/>
      <c r="GS135" s="4"/>
      <c r="GT135" s="4"/>
      <c r="GU135" s="4"/>
      <c r="GV135" s="4"/>
      <c r="GW135" s="4"/>
      <c r="GX135" s="4"/>
      <c r="GY135" s="4"/>
      <c r="GZ135" s="4"/>
      <c r="HA135" s="4"/>
      <c r="HB135" s="4"/>
      <c r="HC135" s="4"/>
      <c r="HD135" s="4"/>
      <c r="HE135" s="4"/>
      <c r="HF135" s="4"/>
      <c r="HG135" s="4"/>
      <c r="HH135" s="4"/>
      <c r="HI135" s="4"/>
      <c r="HJ135" s="4"/>
      <c r="HK135" s="4"/>
      <c r="HL135" s="4"/>
      <c r="HM135" s="4"/>
      <c r="HN135" s="4"/>
      <c r="HO135" s="4"/>
      <c r="HP135" s="4"/>
      <c r="HQ135" s="4"/>
      <c r="HR135" s="4"/>
      <c r="HS135" s="4"/>
      <c r="HT135" s="4"/>
      <c r="HU135" s="4"/>
      <c r="HV135" s="4"/>
      <c r="HW135" s="4"/>
      <c r="HX135" s="4"/>
      <c r="HY135" s="4"/>
      <c r="HZ135" s="4"/>
      <c r="IA135" s="4"/>
      <c r="IB135" s="4"/>
      <c r="IC135" s="4"/>
      <c r="ID135" s="4"/>
      <c r="IE135" s="4"/>
      <c r="IF135" s="4"/>
      <c r="IG135" s="4"/>
      <c r="IH135" s="4"/>
      <c r="II135" s="4"/>
    </row>
    <row r="136" spans="1:243" ht="15" customHeight="1">
      <c r="A136" s="72"/>
      <c r="B136" s="72"/>
      <c r="C136" s="72"/>
      <c r="D136" s="88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937"/>
      <c r="R136" s="87"/>
      <c r="S136" s="87"/>
      <c r="T136" s="87"/>
      <c r="U136" s="87"/>
      <c r="V136" s="87"/>
      <c r="W136" s="87"/>
      <c r="X136" s="87"/>
      <c r="Y136" s="87"/>
      <c r="Z136" s="87"/>
      <c r="AA136" s="87"/>
      <c r="AB136" s="87"/>
      <c r="AC136" s="87"/>
      <c r="AD136" s="87"/>
      <c r="AE136" s="87"/>
      <c r="AF136" s="87"/>
      <c r="AG136" s="87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48"/>
      <c r="AW136" s="48"/>
      <c r="AX136" s="48"/>
      <c r="AY136" s="48"/>
      <c r="AZ136" s="50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/>
      <c r="FT136" s="4"/>
      <c r="FU136" s="4"/>
      <c r="FV136" s="4"/>
      <c r="FW136" s="4"/>
      <c r="FX136" s="4"/>
      <c r="FY136" s="4"/>
      <c r="FZ136" s="4"/>
      <c r="GA136" s="4"/>
      <c r="GB136" s="4"/>
      <c r="GC136" s="4"/>
      <c r="GD136" s="4"/>
      <c r="GE136" s="245"/>
      <c r="GF136" s="4"/>
      <c r="GG136" s="4"/>
      <c r="GH136" s="4"/>
      <c r="GI136" s="4"/>
      <c r="GJ136" s="4"/>
      <c r="GK136" s="4"/>
      <c r="GL136" s="4"/>
      <c r="GM136" s="4"/>
      <c r="GN136" s="4"/>
      <c r="GO136" s="4"/>
      <c r="GP136" s="4"/>
      <c r="GQ136" s="4"/>
      <c r="GR136" s="4"/>
      <c r="GS136" s="4"/>
      <c r="GT136" s="4"/>
      <c r="GU136" s="4"/>
      <c r="GV136" s="4"/>
      <c r="GW136" s="4"/>
      <c r="GX136" s="4"/>
      <c r="GY136" s="4"/>
      <c r="GZ136" s="4"/>
      <c r="HA136" s="4"/>
      <c r="HB136" s="4"/>
      <c r="HC136" s="4"/>
      <c r="HD136" s="4"/>
      <c r="HE136" s="4"/>
      <c r="HF136" s="4"/>
      <c r="HG136" s="4"/>
      <c r="HH136" s="4"/>
      <c r="HI136" s="4"/>
      <c r="HJ136" s="4"/>
      <c r="HK136" s="4"/>
      <c r="HL136" s="4"/>
      <c r="HM136" s="4"/>
      <c r="HN136" s="4"/>
      <c r="HO136" s="4"/>
      <c r="HP136" s="4"/>
      <c r="HQ136" s="4"/>
      <c r="HR136" s="4"/>
      <c r="HS136" s="4"/>
      <c r="HT136" s="4"/>
      <c r="HU136" s="4"/>
      <c r="HV136" s="4"/>
      <c r="HW136" s="4"/>
      <c r="HX136" s="4"/>
      <c r="HY136" s="4"/>
      <c r="HZ136" s="4"/>
      <c r="IA136" s="4"/>
      <c r="IB136" s="4"/>
      <c r="IC136" s="4"/>
      <c r="ID136" s="4"/>
      <c r="IE136" s="4"/>
      <c r="IF136" s="4"/>
      <c r="IG136" s="4"/>
      <c r="IH136" s="4"/>
      <c r="II136" s="4"/>
    </row>
    <row r="137" spans="1:243" ht="15" customHeight="1">
      <c r="A137" s="72"/>
      <c r="B137" s="72"/>
      <c r="C137" s="72"/>
      <c r="D137" s="88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937"/>
      <c r="R137" s="87"/>
      <c r="S137" s="87"/>
      <c r="T137" s="87"/>
      <c r="U137" s="87"/>
      <c r="V137" s="87"/>
      <c r="W137" s="87"/>
      <c r="X137" s="87"/>
      <c r="Y137" s="87"/>
      <c r="Z137" s="87"/>
      <c r="AA137" s="87"/>
      <c r="AB137" s="87"/>
      <c r="AC137" s="87"/>
      <c r="AD137" s="87"/>
      <c r="AE137" s="87"/>
      <c r="AF137" s="87"/>
      <c r="AG137" s="87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48"/>
      <c r="AW137" s="48"/>
      <c r="AX137" s="48"/>
      <c r="AY137" s="48"/>
      <c r="AZ137" s="50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/>
      <c r="FG137" s="4"/>
      <c r="FH137" s="4"/>
      <c r="FI137" s="4"/>
      <c r="FJ137" s="4"/>
      <c r="FK137" s="4"/>
      <c r="FL137" s="4"/>
      <c r="FM137" s="4"/>
      <c r="FN137" s="4"/>
      <c r="FO137" s="4"/>
      <c r="FP137" s="4"/>
      <c r="FQ137" s="4"/>
      <c r="FR137" s="4"/>
      <c r="FS137" s="4"/>
      <c r="FT137" s="4"/>
      <c r="FU137" s="4"/>
      <c r="FV137" s="4"/>
      <c r="FW137" s="4"/>
      <c r="FX137" s="4"/>
      <c r="FY137" s="4"/>
      <c r="FZ137" s="4"/>
      <c r="GA137" s="4"/>
      <c r="GB137" s="4"/>
      <c r="GC137" s="4"/>
      <c r="GD137" s="4"/>
      <c r="GE137" s="245"/>
      <c r="GF137" s="4"/>
      <c r="GG137" s="4"/>
      <c r="GH137" s="4"/>
      <c r="GI137" s="4"/>
      <c r="GJ137" s="4"/>
      <c r="GK137" s="4"/>
      <c r="GL137" s="4"/>
      <c r="GM137" s="4"/>
      <c r="GN137" s="4"/>
      <c r="GO137" s="4"/>
      <c r="GP137" s="4"/>
      <c r="GQ137" s="4"/>
      <c r="GR137" s="4"/>
      <c r="GS137" s="4"/>
      <c r="GT137" s="4"/>
      <c r="GU137" s="4"/>
      <c r="GV137" s="4"/>
      <c r="GW137" s="4"/>
      <c r="GX137" s="4"/>
      <c r="GY137" s="4"/>
      <c r="GZ137" s="4"/>
      <c r="HA137" s="4"/>
      <c r="HB137" s="4"/>
      <c r="HC137" s="4"/>
      <c r="HD137" s="4"/>
      <c r="HE137" s="4"/>
      <c r="HF137" s="4"/>
      <c r="HG137" s="4"/>
      <c r="HH137" s="4"/>
      <c r="HI137" s="4"/>
      <c r="HJ137" s="4"/>
      <c r="HK137" s="4"/>
      <c r="HL137" s="4"/>
      <c r="HM137" s="4"/>
      <c r="HN137" s="4"/>
      <c r="HO137" s="4"/>
      <c r="HP137" s="4"/>
      <c r="HQ137" s="4"/>
      <c r="HR137" s="4"/>
      <c r="HS137" s="4"/>
      <c r="HT137" s="4"/>
      <c r="HU137" s="4"/>
      <c r="HV137" s="4"/>
      <c r="HW137" s="4"/>
      <c r="HX137" s="4"/>
      <c r="HY137" s="4"/>
      <c r="HZ137" s="4"/>
      <c r="IA137" s="4"/>
      <c r="IB137" s="4"/>
      <c r="IC137" s="4"/>
      <c r="ID137" s="4"/>
      <c r="IE137" s="4"/>
      <c r="IF137" s="4"/>
      <c r="IG137" s="4"/>
      <c r="IH137" s="4"/>
      <c r="II137" s="4"/>
    </row>
    <row r="138" spans="1:243" ht="15" customHeight="1">
      <c r="A138" s="72"/>
      <c r="B138" s="72"/>
      <c r="C138" s="72"/>
      <c r="D138" s="88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937"/>
      <c r="R138" s="87"/>
      <c r="S138" s="87"/>
      <c r="T138" s="87"/>
      <c r="U138" s="87"/>
      <c r="V138" s="87"/>
      <c r="W138" s="87"/>
      <c r="X138" s="87"/>
      <c r="Y138" s="87"/>
      <c r="Z138" s="87"/>
      <c r="AA138" s="87"/>
      <c r="AB138" s="87"/>
      <c r="AC138" s="87"/>
      <c r="AD138" s="87"/>
      <c r="AE138" s="87"/>
      <c r="AF138" s="87"/>
      <c r="AG138" s="87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48"/>
      <c r="AW138" s="48"/>
      <c r="AX138" s="48"/>
      <c r="AY138" s="48"/>
      <c r="AZ138" s="50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/>
      <c r="FT138" s="4"/>
      <c r="FU138" s="4"/>
      <c r="FV138" s="4"/>
      <c r="FW138" s="4"/>
      <c r="FX138" s="4"/>
      <c r="FY138" s="4"/>
      <c r="FZ138" s="4"/>
      <c r="GA138" s="4"/>
      <c r="GB138" s="4"/>
      <c r="GC138" s="4"/>
      <c r="GD138" s="4"/>
      <c r="GE138" s="245"/>
      <c r="GF138" s="4"/>
      <c r="GG138" s="4"/>
      <c r="GH138" s="4"/>
      <c r="GI138" s="4"/>
      <c r="GJ138" s="4"/>
      <c r="GK138" s="4"/>
      <c r="GL138" s="4"/>
      <c r="GM138" s="4"/>
      <c r="GN138" s="4"/>
      <c r="GO138" s="4"/>
      <c r="GP138" s="4"/>
      <c r="GQ138" s="4"/>
      <c r="GR138" s="4"/>
      <c r="GS138" s="4"/>
      <c r="GT138" s="4"/>
      <c r="GU138" s="4"/>
      <c r="GV138" s="4"/>
      <c r="GW138" s="4"/>
      <c r="GX138" s="4"/>
      <c r="GY138" s="4"/>
      <c r="GZ138" s="4"/>
      <c r="HA138" s="4"/>
      <c r="HB138" s="4"/>
      <c r="HC138" s="4"/>
      <c r="HD138" s="4"/>
      <c r="HE138" s="4"/>
      <c r="HF138" s="4"/>
      <c r="HG138" s="4"/>
      <c r="HH138" s="4"/>
      <c r="HI138" s="4"/>
      <c r="HJ138" s="4"/>
      <c r="HK138" s="4"/>
      <c r="HL138" s="4"/>
      <c r="HM138" s="4"/>
      <c r="HN138" s="4"/>
      <c r="HO138" s="4"/>
      <c r="HP138" s="4"/>
      <c r="HQ138" s="4"/>
      <c r="HR138" s="4"/>
      <c r="HS138" s="4"/>
      <c r="HT138" s="4"/>
      <c r="HU138" s="4"/>
      <c r="HV138" s="4"/>
      <c r="HW138" s="4"/>
      <c r="HX138" s="4"/>
      <c r="HY138" s="4"/>
      <c r="HZ138" s="4"/>
      <c r="IA138" s="4"/>
      <c r="IB138" s="4"/>
      <c r="IC138" s="4"/>
      <c r="ID138" s="4"/>
      <c r="IE138" s="4"/>
      <c r="IF138" s="4"/>
      <c r="IG138" s="4"/>
      <c r="IH138" s="4"/>
      <c r="II138" s="4"/>
    </row>
    <row r="139" spans="1:243" ht="15" customHeight="1">
      <c r="A139" s="72"/>
      <c r="B139" s="72"/>
      <c r="C139" s="72"/>
      <c r="D139" s="88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937"/>
      <c r="R139" s="87"/>
      <c r="S139" s="87"/>
      <c r="T139" s="87"/>
      <c r="U139" s="87"/>
      <c r="V139" s="87"/>
      <c r="W139" s="87"/>
      <c r="X139" s="87"/>
      <c r="Y139" s="87"/>
      <c r="Z139" s="87"/>
      <c r="AA139" s="87"/>
      <c r="AB139" s="87"/>
      <c r="AC139" s="87"/>
      <c r="AD139" s="87"/>
      <c r="AE139" s="87"/>
      <c r="AF139" s="87"/>
      <c r="AG139" s="87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48"/>
      <c r="AW139" s="48"/>
      <c r="AX139" s="48"/>
      <c r="AY139" s="48"/>
      <c r="AZ139" s="50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4"/>
      <c r="GA139" s="4"/>
      <c r="GB139" s="4"/>
      <c r="GC139" s="4"/>
      <c r="GD139" s="4"/>
      <c r="GE139" s="245"/>
      <c r="GF139" s="4"/>
      <c r="GG139" s="4"/>
      <c r="GH139" s="4"/>
      <c r="GI139" s="4"/>
      <c r="GJ139" s="4"/>
      <c r="GK139" s="4"/>
      <c r="GL139" s="4"/>
      <c r="GM139" s="4"/>
      <c r="GN139" s="4"/>
      <c r="GO139" s="4"/>
      <c r="GP139" s="4"/>
      <c r="GQ139" s="4"/>
      <c r="GR139" s="4"/>
      <c r="GS139" s="4"/>
      <c r="GT139" s="4"/>
      <c r="GU139" s="4"/>
      <c r="GV139" s="4"/>
      <c r="GW139" s="4"/>
      <c r="GX139" s="4"/>
      <c r="GY139" s="4"/>
      <c r="GZ139" s="4"/>
      <c r="HA139" s="4"/>
      <c r="HB139" s="4"/>
      <c r="HC139" s="4"/>
      <c r="HD139" s="4"/>
      <c r="HE139" s="4"/>
      <c r="HF139" s="4"/>
      <c r="HG139" s="4"/>
      <c r="HH139" s="4"/>
      <c r="HI139" s="4"/>
      <c r="HJ139" s="4"/>
      <c r="HK139" s="4"/>
      <c r="HL139" s="4"/>
      <c r="HM139" s="4"/>
      <c r="HN139" s="4"/>
      <c r="HO139" s="4"/>
      <c r="HP139" s="4"/>
      <c r="HQ139" s="4"/>
      <c r="HR139" s="4"/>
      <c r="HS139" s="4"/>
      <c r="HT139" s="4"/>
      <c r="HU139" s="4"/>
      <c r="HV139" s="4"/>
      <c r="HW139" s="4"/>
      <c r="HX139" s="4"/>
      <c r="HY139" s="4"/>
      <c r="HZ139" s="4"/>
      <c r="IA139" s="4"/>
      <c r="IB139" s="4"/>
      <c r="IC139" s="4"/>
      <c r="ID139" s="4"/>
      <c r="IE139" s="4"/>
      <c r="IF139" s="4"/>
      <c r="IG139" s="4"/>
      <c r="IH139" s="4"/>
      <c r="II139" s="4"/>
    </row>
    <row r="140" spans="1:243" ht="15" customHeight="1">
      <c r="A140" s="72"/>
      <c r="B140" s="72"/>
      <c r="C140" s="72"/>
      <c r="D140" s="88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937"/>
      <c r="R140" s="87"/>
      <c r="S140" s="87"/>
      <c r="T140" s="87"/>
      <c r="U140" s="87"/>
      <c r="V140" s="87"/>
      <c r="W140" s="87"/>
      <c r="X140" s="87"/>
      <c r="Y140" s="87"/>
      <c r="Z140" s="87"/>
      <c r="AA140" s="87"/>
      <c r="AB140" s="87"/>
      <c r="AC140" s="87"/>
      <c r="AD140" s="87"/>
      <c r="AE140" s="87"/>
      <c r="AF140" s="87"/>
      <c r="AG140" s="87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48"/>
      <c r="AW140" s="48"/>
      <c r="AX140" s="48"/>
      <c r="AY140" s="48"/>
      <c r="AZ140" s="50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245"/>
      <c r="GF140" s="4"/>
      <c r="GG140" s="4"/>
      <c r="GH140" s="4"/>
      <c r="GI140" s="4"/>
      <c r="GJ140" s="4"/>
      <c r="GK140" s="4"/>
      <c r="GL140" s="4"/>
      <c r="GM140" s="4"/>
      <c r="GN140" s="4"/>
      <c r="GO140" s="4"/>
      <c r="GP140" s="4"/>
      <c r="GQ140" s="4"/>
      <c r="GR140" s="4"/>
      <c r="GS140" s="4"/>
      <c r="GT140" s="4"/>
      <c r="GU140" s="4"/>
      <c r="GV140" s="4"/>
      <c r="GW140" s="4"/>
      <c r="GX140" s="4"/>
      <c r="GY140" s="4"/>
      <c r="GZ140" s="4"/>
      <c r="HA140" s="4"/>
      <c r="HB140" s="4"/>
      <c r="HC140" s="4"/>
      <c r="HD140" s="4"/>
      <c r="HE140" s="4"/>
      <c r="HF140" s="4"/>
      <c r="HG140" s="4"/>
      <c r="HH140" s="4"/>
      <c r="HI140" s="4"/>
      <c r="HJ140" s="4"/>
      <c r="HK140" s="4"/>
      <c r="HL140" s="4"/>
      <c r="HM140" s="4"/>
      <c r="HN140" s="4"/>
      <c r="HO140" s="4"/>
      <c r="HP140" s="4"/>
      <c r="HQ140" s="4"/>
      <c r="HR140" s="4"/>
      <c r="HS140" s="4"/>
      <c r="HT140" s="4"/>
      <c r="HU140" s="4"/>
      <c r="HV140" s="4"/>
      <c r="HW140" s="4"/>
      <c r="HX140" s="4"/>
      <c r="HY140" s="4"/>
      <c r="HZ140" s="4"/>
      <c r="IA140" s="4"/>
      <c r="IB140" s="4"/>
      <c r="IC140" s="4"/>
      <c r="ID140" s="4"/>
      <c r="IE140" s="4"/>
      <c r="IF140" s="4"/>
      <c r="IG140" s="4"/>
      <c r="IH140" s="4"/>
      <c r="II140" s="4"/>
    </row>
    <row r="141" spans="1:243" ht="15" customHeight="1">
      <c r="A141" s="72"/>
      <c r="B141" s="72"/>
      <c r="C141" s="72"/>
      <c r="D141" s="88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937"/>
      <c r="R141" s="87"/>
      <c r="S141" s="87"/>
      <c r="T141" s="87"/>
      <c r="U141" s="87"/>
      <c r="V141" s="87"/>
      <c r="W141" s="87"/>
      <c r="X141" s="87"/>
      <c r="Y141" s="87"/>
      <c r="Z141" s="87"/>
      <c r="AA141" s="87"/>
      <c r="AB141" s="87"/>
      <c r="AC141" s="87"/>
      <c r="AD141" s="87"/>
      <c r="AE141" s="87"/>
      <c r="AF141" s="87"/>
      <c r="AG141" s="87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GE141" s="17"/>
    </row>
    <row r="142" spans="1:243" ht="15" customHeight="1">
      <c r="A142" s="72"/>
      <c r="B142" s="72"/>
      <c r="C142" s="72"/>
      <c r="D142" s="88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937"/>
      <c r="R142" s="87"/>
      <c r="S142" s="87"/>
      <c r="T142" s="87"/>
      <c r="U142" s="87"/>
      <c r="V142" s="87"/>
      <c r="W142" s="87"/>
      <c r="X142" s="87"/>
      <c r="Y142" s="87"/>
      <c r="Z142" s="87"/>
      <c r="AA142" s="87"/>
      <c r="AB142" s="87"/>
      <c r="AC142" s="87"/>
      <c r="AD142" s="87"/>
      <c r="AE142" s="87"/>
      <c r="AF142" s="87"/>
      <c r="AG142" s="87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</row>
    <row r="143" spans="1:243" ht="15" customHeight="1">
      <c r="A143" s="72"/>
      <c r="B143" s="72"/>
      <c r="C143" s="72"/>
      <c r="D143" s="88"/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  <c r="P143" s="87"/>
      <c r="Q143" s="937"/>
      <c r="R143" s="87"/>
      <c r="S143" s="87"/>
      <c r="T143" s="87"/>
      <c r="U143" s="87"/>
      <c r="V143" s="87"/>
      <c r="W143" s="87"/>
      <c r="X143" s="87"/>
      <c r="Y143" s="87"/>
      <c r="Z143" s="87"/>
      <c r="AA143" s="87"/>
      <c r="AB143" s="87"/>
      <c r="AC143" s="87"/>
      <c r="AD143" s="87"/>
      <c r="AE143" s="87"/>
      <c r="AF143" s="87"/>
      <c r="AG143" s="87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</row>
    <row r="144" spans="1:243" ht="15" customHeight="1">
      <c r="A144" s="72"/>
      <c r="B144" s="72"/>
      <c r="C144" s="72"/>
      <c r="D144" s="88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937"/>
      <c r="R144" s="87"/>
      <c r="S144" s="87"/>
      <c r="T144" s="87"/>
      <c r="U144" s="87"/>
      <c r="V144" s="87"/>
      <c r="W144" s="87"/>
      <c r="X144" s="87"/>
      <c r="Y144" s="87"/>
      <c r="Z144" s="87"/>
      <c r="AA144" s="87"/>
      <c r="AB144" s="87"/>
      <c r="AC144" s="87"/>
      <c r="AD144" s="87"/>
      <c r="AE144" s="87"/>
      <c r="AF144" s="87"/>
      <c r="AG144" s="87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</row>
    <row r="145" spans="1:51" ht="15" customHeight="1">
      <c r="A145" s="72"/>
      <c r="B145" s="72"/>
      <c r="C145" s="72"/>
      <c r="D145" s="88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87"/>
      <c r="Q145" s="937"/>
      <c r="R145" s="87"/>
      <c r="S145" s="87"/>
      <c r="T145" s="87"/>
      <c r="U145" s="87"/>
      <c r="V145" s="87"/>
      <c r="W145" s="87"/>
      <c r="X145" s="87"/>
      <c r="Y145" s="87"/>
      <c r="Z145" s="87"/>
      <c r="AA145" s="87"/>
      <c r="AB145" s="87"/>
      <c r="AC145" s="87"/>
      <c r="AD145" s="87"/>
      <c r="AE145" s="87"/>
      <c r="AF145" s="87"/>
      <c r="AG145" s="87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</row>
    <row r="146" spans="1:51" ht="15" customHeight="1">
      <c r="A146" s="72"/>
      <c r="B146" s="72"/>
      <c r="C146" s="72"/>
      <c r="D146" s="88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937"/>
      <c r="R146" s="87"/>
      <c r="S146" s="87"/>
      <c r="T146" s="87"/>
      <c r="U146" s="87"/>
      <c r="V146" s="87"/>
      <c r="W146" s="87"/>
      <c r="X146" s="87"/>
      <c r="Y146" s="87"/>
      <c r="Z146" s="87"/>
      <c r="AA146" s="87"/>
      <c r="AB146" s="87"/>
      <c r="AC146" s="87"/>
      <c r="AD146" s="87"/>
      <c r="AE146" s="87"/>
      <c r="AF146" s="87"/>
      <c r="AG146" s="87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</row>
    <row r="147" spans="1:51" ht="15" customHeight="1">
      <c r="A147" s="72"/>
      <c r="B147" s="72"/>
      <c r="C147" s="72"/>
      <c r="D147" s="88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937"/>
      <c r="R147" s="87"/>
      <c r="S147" s="87"/>
      <c r="T147" s="87"/>
      <c r="U147" s="87"/>
      <c r="V147" s="87"/>
      <c r="W147" s="87"/>
      <c r="X147" s="87"/>
      <c r="Y147" s="87"/>
      <c r="Z147" s="87"/>
      <c r="AA147" s="87"/>
      <c r="AB147" s="87"/>
      <c r="AC147" s="87"/>
      <c r="AD147" s="87"/>
      <c r="AE147" s="87"/>
      <c r="AF147" s="87"/>
      <c r="AG147" s="87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</row>
    <row r="148" spans="1:51" ht="15" customHeight="1">
      <c r="A148" s="72"/>
      <c r="B148" s="72"/>
      <c r="C148" s="72"/>
      <c r="D148" s="88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87"/>
      <c r="Q148" s="937"/>
      <c r="R148" s="87"/>
      <c r="S148" s="87"/>
      <c r="T148" s="87"/>
      <c r="U148" s="87"/>
      <c r="V148" s="87"/>
      <c r="W148" s="87"/>
      <c r="X148" s="87"/>
      <c r="Y148" s="87"/>
      <c r="Z148" s="87"/>
      <c r="AA148" s="87"/>
      <c r="AB148" s="87"/>
      <c r="AC148" s="87"/>
      <c r="AD148" s="87"/>
      <c r="AE148" s="87"/>
      <c r="AF148" s="87"/>
      <c r="AG148" s="87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</row>
    <row r="149" spans="1:51" ht="15" customHeight="1">
      <c r="A149" s="72"/>
      <c r="B149" s="72"/>
      <c r="C149" s="72"/>
      <c r="D149" s="88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937"/>
      <c r="R149" s="87"/>
      <c r="S149" s="87"/>
      <c r="T149" s="87"/>
      <c r="U149" s="87"/>
      <c r="V149" s="87"/>
      <c r="W149" s="87"/>
      <c r="X149" s="87"/>
      <c r="Y149" s="87"/>
      <c r="Z149" s="87"/>
      <c r="AA149" s="87"/>
      <c r="AB149" s="87"/>
      <c r="AC149" s="87"/>
      <c r="AD149" s="87"/>
      <c r="AE149" s="87"/>
      <c r="AF149" s="87"/>
      <c r="AG149" s="87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</row>
    <row r="150" spans="1:51" ht="15" customHeight="1">
      <c r="A150" s="72"/>
      <c r="B150" s="72"/>
      <c r="C150" s="72"/>
      <c r="D150" s="88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937"/>
      <c r="R150" s="87"/>
      <c r="S150" s="87"/>
      <c r="T150" s="87"/>
      <c r="U150" s="87"/>
      <c r="V150" s="87"/>
      <c r="W150" s="87"/>
      <c r="X150" s="87"/>
      <c r="Y150" s="87"/>
      <c r="Z150" s="87"/>
      <c r="AA150" s="87"/>
      <c r="AB150" s="87"/>
      <c r="AC150" s="87"/>
      <c r="AD150" s="87"/>
      <c r="AE150" s="87"/>
      <c r="AF150" s="87"/>
      <c r="AG150" s="87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</row>
    <row r="151" spans="1:51" ht="15" customHeight="1">
      <c r="A151" s="72"/>
      <c r="B151" s="72"/>
      <c r="C151" s="72"/>
      <c r="D151" s="88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937"/>
      <c r="R151" s="87"/>
      <c r="S151" s="87"/>
      <c r="T151" s="87"/>
      <c r="U151" s="87"/>
      <c r="V151" s="87"/>
      <c r="W151" s="87"/>
      <c r="X151" s="87"/>
      <c r="Y151" s="87"/>
      <c r="Z151" s="87"/>
      <c r="AA151" s="87"/>
      <c r="AB151" s="87"/>
      <c r="AC151" s="87"/>
      <c r="AD151" s="87"/>
      <c r="AE151" s="87"/>
      <c r="AF151" s="87"/>
      <c r="AG151" s="87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</row>
    <row r="152" spans="1:51" ht="15" customHeight="1">
      <c r="D152" s="19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937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</row>
    <row r="153" spans="1:51" ht="15" customHeight="1">
      <c r="D153" s="19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937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</row>
    <row r="154" spans="1:51" ht="15" customHeight="1">
      <c r="D154" s="19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937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</row>
    <row r="155" spans="1:51" ht="15" customHeight="1">
      <c r="D155" s="19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937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</row>
    <row r="156" spans="1:51" ht="15" customHeight="1">
      <c r="D156" s="19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937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</row>
    <row r="157" spans="1:51" ht="15" customHeight="1">
      <c r="D157" s="19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937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</row>
    <row r="158" spans="1:51" ht="15" customHeight="1">
      <c r="D158" s="19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937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</row>
    <row r="159" spans="1:51" ht="15" customHeight="1">
      <c r="D159" s="19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937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</row>
    <row r="160" spans="1:51" ht="15" customHeight="1">
      <c r="D160" s="19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937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</row>
    <row r="161" spans="4:51" ht="15" customHeight="1">
      <c r="D161" s="19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937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</row>
    <row r="162" spans="4:51" ht="15" customHeight="1">
      <c r="D162" s="19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937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</row>
    <row r="163" spans="4:51" ht="15" customHeight="1">
      <c r="D163" s="19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937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</row>
    <row r="164" spans="4:51" ht="15" customHeight="1">
      <c r="D164" s="19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937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</row>
    <row r="165" spans="4:51" ht="15" customHeight="1">
      <c r="D165" s="19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937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</row>
    <row r="166" spans="4:51" ht="15" customHeight="1">
      <c r="D166" s="19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937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</row>
    <row r="167" spans="4:51" ht="15" customHeight="1">
      <c r="D167" s="19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937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</row>
    <row r="168" spans="4:51" ht="15" customHeight="1">
      <c r="D168" s="19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937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</row>
    <row r="169" spans="4:51" ht="15" customHeight="1">
      <c r="D169" s="19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937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</row>
    <row r="170" spans="4:51" ht="15" customHeight="1">
      <c r="D170" s="19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937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</row>
    <row r="171" spans="4:51" ht="15" customHeight="1">
      <c r="D171" s="19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937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</row>
    <row r="172" spans="4:51" ht="15" customHeight="1">
      <c r="D172" s="19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937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</row>
    <row r="173" spans="4:51" ht="15" customHeight="1">
      <c r="D173" s="19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937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</row>
    <row r="174" spans="4:51" ht="15" customHeight="1">
      <c r="D174" s="19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937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</row>
    <row r="175" spans="4:51" ht="15" customHeight="1">
      <c r="D175" s="19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937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</row>
    <row r="176" spans="4:51" ht="15" customHeight="1">
      <c r="D176" s="19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937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</row>
    <row r="177" spans="4:51" ht="15" customHeight="1">
      <c r="D177" s="19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937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</row>
    <row r="178" spans="4:51" ht="15" customHeight="1">
      <c r="D178" s="19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937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</row>
    <row r="179" spans="4:51" ht="15" customHeight="1">
      <c r="D179" s="19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937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</row>
    <row r="180" spans="4:51" ht="15" customHeight="1">
      <c r="D180" s="19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937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</row>
    <row r="181" spans="4:51" ht="15" customHeight="1">
      <c r="D181" s="19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937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</row>
    <row r="182" spans="4:51" ht="15" customHeight="1">
      <c r="D182" s="19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937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</row>
    <row r="183" spans="4:51" ht="15" customHeight="1">
      <c r="D183" s="19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937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</row>
    <row r="184" spans="4:51" ht="15" customHeight="1">
      <c r="D184" s="19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937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</row>
    <row r="185" spans="4:51" ht="15" customHeight="1">
      <c r="D185" s="19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937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</row>
    <row r="186" spans="4:51" ht="15" customHeight="1">
      <c r="D186" s="19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937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</row>
    <row r="187" spans="4:51" ht="15" customHeight="1">
      <c r="D187" s="19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937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</row>
    <row r="188" spans="4:51" ht="15" customHeight="1">
      <c r="D188" s="19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937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</row>
    <row r="189" spans="4:51" ht="15" customHeight="1">
      <c r="D189" s="19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937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</row>
    <row r="190" spans="4:51" ht="15" customHeight="1">
      <c r="D190" s="19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937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</row>
    <row r="191" spans="4:51" ht="15" customHeight="1">
      <c r="D191" s="19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937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</row>
    <row r="192" spans="4:51" ht="15" customHeight="1">
      <c r="D192" s="19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937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</row>
    <row r="193" spans="4:51" ht="15" customHeight="1">
      <c r="D193" s="19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937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</row>
    <row r="194" spans="4:51" ht="15" customHeight="1">
      <c r="D194" s="19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937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</row>
    <row r="195" spans="4:51" ht="15" customHeight="1">
      <c r="D195" s="19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937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</row>
    <row r="196" spans="4:51" ht="15" customHeight="1">
      <c r="D196" s="19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937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</row>
    <row r="197" spans="4:51" ht="15" customHeight="1">
      <c r="D197" s="19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937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</row>
    <row r="198" spans="4:51" ht="15" customHeight="1">
      <c r="D198" s="19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937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</row>
    <row r="199" spans="4:51" ht="15" customHeight="1">
      <c r="D199" s="19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937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</row>
    <row r="200" spans="4:51" ht="15" customHeight="1">
      <c r="D200" s="19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937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</row>
    <row r="201" spans="4:51" ht="15" customHeight="1">
      <c r="D201" s="19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937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</row>
    <row r="202" spans="4:51" ht="15" customHeight="1">
      <c r="D202" s="19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937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</row>
    <row r="203" spans="4:51" ht="15" customHeight="1">
      <c r="D203" s="19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937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</row>
    <row r="204" spans="4:51" ht="15" customHeight="1">
      <c r="D204" s="19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937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</row>
    <row r="205" spans="4:51" ht="15" customHeight="1">
      <c r="D205" s="19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937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</row>
    <row r="206" spans="4:51" ht="15" customHeight="1">
      <c r="D206" s="19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937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</row>
    <row r="207" spans="4:51" ht="15" customHeight="1">
      <c r="D207" s="19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937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</row>
    <row r="208" spans="4:51" ht="15" customHeight="1">
      <c r="D208" s="19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937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</row>
    <row r="209" spans="4:51" ht="15" customHeight="1">
      <c r="D209" s="19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937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</row>
    <row r="210" spans="4:51" ht="15" customHeight="1">
      <c r="D210" s="19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937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</row>
    <row r="211" spans="4:51" ht="15" customHeight="1">
      <c r="D211" s="19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937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</row>
    <row r="212" spans="4:51" ht="15" customHeight="1">
      <c r="D212" s="19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937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</row>
    <row r="213" spans="4:51" ht="15" customHeight="1">
      <c r="D213" s="19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937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</row>
    <row r="214" spans="4:51" ht="15" customHeight="1">
      <c r="D214" s="19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937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</row>
    <row r="215" spans="4:51" ht="15" customHeight="1">
      <c r="D215" s="19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937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</row>
    <row r="216" spans="4:51" ht="15" customHeight="1">
      <c r="D216" s="19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937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</row>
    <row r="217" spans="4:51" ht="15" customHeight="1">
      <c r="D217" s="19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937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</row>
    <row r="218" spans="4:51" ht="15" customHeight="1">
      <c r="D218" s="19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937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</row>
    <row r="219" spans="4:51" ht="15" customHeight="1">
      <c r="D219" s="19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937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</row>
    <row r="220" spans="4:51" ht="15" customHeight="1"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937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</row>
    <row r="221" spans="4:51" ht="15" customHeight="1"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937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</row>
    <row r="222" spans="4:51" ht="15" customHeight="1"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937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</row>
    <row r="223" spans="4:51" ht="15" customHeight="1"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937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</row>
    <row r="224" spans="4:51" ht="15" customHeight="1"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937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</row>
    <row r="225" spans="4:51" ht="15" customHeight="1"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937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</row>
    <row r="226" spans="4:51" ht="15" customHeight="1"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937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</row>
    <row r="227" spans="4:51" ht="15" customHeight="1"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937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</row>
    <row r="228" spans="4:51" ht="15" customHeight="1"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937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</row>
    <row r="229" spans="4:51" ht="15" customHeight="1"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937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</row>
    <row r="230" spans="4:51" ht="15" customHeight="1"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937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</row>
    <row r="231" spans="4:51" ht="15" customHeight="1"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937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</row>
    <row r="232" spans="4:51" ht="15" customHeight="1"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937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</row>
    <row r="233" spans="4:51" ht="15" customHeight="1"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937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</row>
    <row r="234" spans="4:51" ht="15" customHeight="1"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937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</row>
    <row r="235" spans="4:51" ht="15" customHeight="1"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937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</row>
    <row r="236" spans="4:51" ht="15" customHeight="1"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937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</row>
    <row r="237" spans="4:51" ht="15" customHeight="1"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937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</row>
    <row r="238" spans="4:51" ht="15" customHeight="1"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937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</row>
    <row r="239" spans="4:51" ht="15" customHeight="1"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937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</row>
    <row r="240" spans="4:51" ht="15" customHeight="1"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937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</row>
    <row r="241" spans="4:51" ht="15" customHeight="1"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937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</row>
    <row r="242" spans="4:51" ht="15" customHeight="1"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937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</row>
    <row r="243" spans="4:51" ht="15" customHeight="1"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937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</row>
    <row r="244" spans="4:51" ht="15" customHeight="1"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937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</row>
    <row r="245" spans="4:51" ht="15" customHeight="1"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937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</row>
    <row r="246" spans="4:51" ht="15" customHeight="1"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937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</row>
    <row r="247" spans="4:51" ht="15" customHeight="1"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937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</row>
    <row r="248" spans="4:51" ht="15" customHeight="1"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937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</row>
    <row r="249" spans="4:51" ht="15" customHeight="1"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937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</row>
    <row r="250" spans="4:51" ht="15" customHeight="1"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937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</row>
    <row r="251" spans="4:51" ht="15" customHeight="1"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937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</row>
    <row r="252" spans="4:51" ht="15" customHeight="1"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937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</row>
    <row r="253" spans="4:51" ht="15" customHeight="1"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937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</row>
    <row r="254" spans="4:51" ht="15" customHeight="1"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937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</row>
    <row r="255" spans="4:51" ht="15" customHeight="1"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937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</row>
    <row r="256" spans="4:51" ht="15" customHeight="1"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937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</row>
    <row r="257" spans="4:51" ht="15" customHeight="1"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937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</row>
    <row r="258" spans="4:51" ht="15" customHeight="1"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937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</row>
    <row r="259" spans="4:51" ht="15" customHeight="1"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937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</row>
    <row r="260" spans="4:51" ht="15" customHeight="1"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937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</row>
    <row r="261" spans="4:51" ht="15" customHeight="1"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937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</row>
    <row r="262" spans="4:51" ht="15" customHeight="1"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937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</row>
    <row r="263" spans="4:51" ht="15" customHeight="1"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937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</row>
    <row r="264" spans="4:51" ht="15" customHeight="1"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937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</row>
    <row r="265" spans="4:51" ht="15" customHeight="1"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937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</row>
    <row r="266" spans="4:51" ht="15" customHeight="1"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937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</row>
    <row r="267" spans="4:51" ht="15" customHeight="1"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937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</row>
    <row r="268" spans="4:51" ht="15" customHeight="1"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937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</row>
    <row r="269" spans="4:51" ht="15" customHeight="1"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937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</row>
    <row r="270" spans="4:51" ht="15" customHeight="1"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937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</row>
    <row r="271" spans="4:51" ht="15" customHeight="1"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937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</row>
    <row r="272" spans="4:51" ht="15" customHeight="1"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937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</row>
    <row r="273" spans="4:51" ht="15" customHeight="1"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937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</row>
    <row r="274" spans="4:51" ht="15" customHeight="1"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937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</row>
    <row r="275" spans="4:51" ht="15" customHeight="1"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937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</row>
    <row r="276" spans="4:51" ht="15" customHeight="1"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937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</row>
    <row r="277" spans="4:51" ht="15" customHeight="1"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937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</row>
    <row r="278" spans="4:51" ht="15" customHeight="1"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937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</row>
    <row r="279" spans="4:51" ht="15" customHeight="1"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937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</row>
    <row r="280" spans="4:51" ht="15" customHeight="1"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937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</row>
    <row r="281" spans="4:51" ht="15" customHeight="1"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937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</row>
    <row r="282" spans="4:51" ht="15" customHeight="1"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937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</row>
    <row r="283" spans="4:51" ht="15" customHeight="1"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937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</row>
    <row r="284" spans="4:51" ht="15" customHeight="1"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937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</row>
    <row r="285" spans="4:51" ht="15" customHeight="1"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937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</row>
    <row r="286" spans="4:51" ht="15" customHeight="1"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937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</row>
    <row r="287" spans="4:51" ht="15" customHeight="1"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937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</row>
    <row r="288" spans="4:51" ht="15" customHeight="1"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937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</row>
    <row r="289" spans="4:51" ht="15" customHeight="1"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937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</row>
    <row r="290" spans="4:51" ht="15" customHeight="1"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937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</row>
    <row r="291" spans="4:51" ht="15" customHeight="1"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937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</row>
    <row r="292" spans="4:51" ht="15" customHeight="1"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937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</row>
    <row r="293" spans="4:51" ht="15" customHeight="1"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937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</row>
    <row r="294" spans="4:51" ht="15" customHeight="1"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937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</row>
    <row r="295" spans="4:51" ht="15" customHeight="1"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937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</row>
    <row r="296" spans="4:51" ht="15" customHeight="1"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937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</row>
    <row r="297" spans="4:51" ht="15" customHeight="1"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937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</row>
    <row r="298" spans="4:51" ht="15" customHeight="1"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937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</row>
    <row r="299" spans="4:51" ht="15" customHeight="1"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937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</row>
    <row r="300" spans="4:51" ht="15" customHeight="1"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937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</row>
    <row r="301" spans="4:51" ht="15" customHeight="1"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937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</row>
    <row r="302" spans="4:51" ht="15" customHeight="1"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937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</row>
    <row r="303" spans="4:51" ht="15" customHeight="1"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937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</row>
    <row r="304" spans="4:51" ht="15" customHeight="1"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937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</row>
    <row r="305" spans="4:51" ht="15" customHeight="1"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937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</row>
    <row r="306" spans="4:51" ht="15" customHeight="1"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937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</row>
    <row r="307" spans="4:51" ht="15" customHeight="1"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937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</row>
    <row r="308" spans="4:51" ht="15" customHeight="1"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937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</row>
    <row r="309" spans="4:51" ht="15" customHeight="1"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937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</row>
    <row r="310" spans="4:51" ht="15" customHeight="1"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937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</row>
    <row r="311" spans="4:51" ht="15" customHeight="1"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937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</row>
    <row r="312" spans="4:51" ht="15" customHeight="1"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937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</row>
    <row r="313" spans="4:51" ht="15" customHeight="1"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937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</row>
    <row r="314" spans="4:51" ht="15" customHeight="1"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937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</row>
    <row r="315" spans="4:51" ht="15" customHeight="1"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937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</row>
    <row r="316" spans="4:51" ht="15" customHeight="1"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937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</row>
    <row r="317" spans="4:51" ht="15" customHeight="1"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937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</row>
    <row r="318" spans="4:51" ht="15" customHeight="1"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937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</row>
    <row r="319" spans="4:51" ht="15" customHeight="1"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937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</row>
    <row r="320" spans="4:51" ht="15" customHeight="1"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937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</row>
    <row r="321" spans="4:51" ht="15" customHeight="1"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937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</row>
    <row r="322" spans="4:51" ht="15" customHeight="1"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937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</row>
    <row r="323" spans="4:51" ht="15" customHeight="1"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937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</row>
    <row r="324" spans="4:51" ht="15" customHeight="1"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937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</row>
    <row r="325" spans="4:51" ht="15" customHeight="1"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937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</row>
    <row r="326" spans="4:51" ht="15" customHeight="1"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937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</row>
    <row r="327" spans="4:51" ht="15" customHeight="1"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937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</row>
    <row r="328" spans="4:51" ht="15" customHeight="1"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937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</row>
    <row r="329" spans="4:51" ht="15" customHeight="1"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937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</row>
    <row r="330" spans="4:51" ht="15" customHeight="1"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937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</row>
    <row r="331" spans="4:51" ht="15" customHeight="1"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937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</row>
    <row r="332" spans="4:51" ht="15" customHeight="1"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937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</row>
    <row r="333" spans="4:51" ht="15" customHeight="1"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937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</row>
    <row r="334" spans="4:51" ht="15" customHeight="1"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937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</row>
    <row r="335" spans="4:51" ht="15" customHeight="1"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937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</row>
    <row r="336" spans="4:51" ht="15" customHeight="1"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937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</row>
    <row r="337" spans="4:51" ht="15" customHeight="1"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937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</row>
    <row r="338" spans="4:51" ht="15" customHeight="1"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937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</row>
    <row r="339" spans="4:51" ht="15" customHeight="1"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937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</row>
    <row r="340" spans="4:51" ht="15" customHeight="1"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937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</row>
    <row r="341" spans="4:51" ht="15" customHeight="1"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937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</row>
    <row r="342" spans="4:51" ht="15" customHeight="1"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937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</row>
    <row r="343" spans="4:51" ht="15" customHeight="1"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937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</row>
    <row r="344" spans="4:51" ht="15" customHeight="1"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937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</row>
    <row r="345" spans="4:51" ht="15" customHeight="1"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937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</row>
    <row r="346" spans="4:51" ht="15" customHeight="1"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937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</row>
    <row r="347" spans="4:51" ht="15" customHeight="1"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937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</row>
    <row r="348" spans="4:51" ht="15" customHeight="1"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937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</row>
    <row r="349" spans="4:51" ht="15" customHeight="1"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937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</row>
    <row r="350" spans="4:51" ht="15" customHeight="1"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937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</row>
    <row r="351" spans="4:51" ht="15" customHeight="1"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937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</row>
    <row r="352" spans="4:51" ht="15" customHeight="1"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937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</row>
    <row r="353" spans="4:51" ht="15" customHeight="1"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937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</row>
    <row r="354" spans="4:51" ht="15" customHeight="1"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937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</row>
    <row r="355" spans="4:51" ht="15" customHeight="1"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937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</row>
    <row r="356" spans="4:51" ht="15" customHeight="1"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937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</row>
    <row r="357" spans="4:51" ht="15" customHeight="1"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937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</row>
    <row r="358" spans="4:51" ht="15" customHeight="1"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937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</row>
    <row r="359" spans="4:51" ht="15" customHeight="1"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937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</row>
    <row r="360" spans="4:51" ht="15" customHeight="1"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937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</row>
    <row r="361" spans="4:51" ht="15" customHeight="1"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937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</row>
    <row r="362" spans="4:51" ht="15" customHeight="1"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937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</row>
    <row r="363" spans="4:51" ht="15" customHeight="1"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937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</row>
    <row r="364" spans="4:51" ht="15" customHeight="1"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937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</row>
    <row r="365" spans="4:51" ht="15" customHeight="1"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937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</row>
    <row r="366" spans="4:51" ht="15" customHeight="1"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937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</row>
    <row r="367" spans="4:51" ht="15" customHeight="1"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937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</row>
    <row r="368" spans="4:51" ht="15" customHeight="1"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937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</row>
    <row r="369" spans="4:51" ht="15" customHeight="1"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937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</row>
    <row r="370" spans="4:51" ht="15" customHeight="1"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937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</row>
    <row r="371" spans="4:51" ht="15" customHeight="1"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937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</row>
    <row r="372" spans="4:51" ht="15" customHeight="1"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937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</row>
    <row r="373" spans="4:51" ht="15" customHeight="1"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937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</row>
    <row r="374" spans="4:51" ht="15" customHeight="1"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937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</row>
    <row r="375" spans="4:51" ht="15" customHeight="1"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937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</row>
    <row r="376" spans="4:51" ht="15" customHeight="1"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937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</row>
    <row r="377" spans="4:51" ht="15" customHeight="1"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937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</row>
    <row r="378" spans="4:51" ht="15" customHeight="1"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937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</row>
    <row r="379" spans="4:51" ht="15" customHeight="1"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937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</row>
    <row r="380" spans="4:51" ht="15" customHeight="1"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937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</row>
    <row r="381" spans="4:51" ht="15" customHeight="1"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937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</row>
    <row r="382" spans="4:51" ht="15" customHeight="1"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937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</row>
    <row r="383" spans="4:51" ht="15" customHeight="1"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937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</row>
    <row r="384" spans="4:51" ht="15" customHeight="1"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937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</row>
    <row r="385" spans="4:51" ht="15" customHeight="1"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937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</row>
    <row r="386" spans="4:51" ht="15" customHeight="1"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937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</row>
    <row r="387" spans="4:51" ht="15" customHeight="1"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937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</row>
    <row r="388" spans="4:51" ht="15" customHeight="1"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937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</row>
    <row r="389" spans="4:51" ht="15" customHeight="1"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937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</row>
    <row r="390" spans="4:51" ht="15" customHeight="1"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937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</row>
    <row r="391" spans="4:51" ht="15" customHeight="1"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937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</row>
    <row r="392" spans="4:51" ht="15" customHeight="1"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937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</row>
    <row r="393" spans="4:51" ht="15" customHeight="1"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937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</row>
    <row r="394" spans="4:51" ht="15" customHeight="1"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937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</row>
    <row r="395" spans="4:51" ht="15" customHeight="1"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937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</row>
    <row r="396" spans="4:51" ht="15" customHeight="1"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937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</row>
    <row r="397" spans="4:51" ht="15" customHeight="1"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937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</row>
    <row r="398" spans="4:51" ht="15" customHeight="1"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937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</row>
    <row r="399" spans="4:51" ht="15" customHeight="1"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937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</row>
    <row r="400" spans="4:51" ht="15" customHeight="1"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937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</row>
    <row r="401" spans="4:51" ht="15" customHeight="1"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937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</row>
    <row r="402" spans="4:51" ht="15" customHeight="1"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937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</row>
    <row r="403" spans="4:51" ht="15" customHeight="1"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937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</row>
    <row r="404" spans="4:51" ht="15" customHeight="1"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937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</row>
    <row r="405" spans="4:51" ht="15" customHeight="1"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937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</row>
    <row r="406" spans="4:51" ht="15" customHeight="1"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937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</row>
    <row r="407" spans="4:51" ht="15" customHeight="1"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937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20"/>
      <c r="AP407" s="20"/>
      <c r="AQ407" s="20"/>
      <c r="AR407" s="20"/>
      <c r="AS407" s="20"/>
      <c r="AT407" s="20"/>
      <c r="AU407" s="20"/>
      <c r="AV407" s="20"/>
      <c r="AW407" s="20"/>
      <c r="AX407" s="20"/>
      <c r="AY407" s="20"/>
    </row>
    <row r="408" spans="4:51" ht="15" customHeight="1"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937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20"/>
      <c r="AN408" s="20"/>
      <c r="AO408" s="20"/>
      <c r="AP408" s="20"/>
      <c r="AQ408" s="20"/>
      <c r="AR408" s="20"/>
      <c r="AS408" s="20"/>
      <c r="AT408" s="20"/>
      <c r="AU408" s="20"/>
      <c r="AV408" s="20"/>
      <c r="AW408" s="20"/>
      <c r="AX408" s="20"/>
      <c r="AY408" s="20"/>
    </row>
    <row r="409" spans="4:51" ht="15" customHeight="1"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937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</row>
    <row r="410" spans="4:51" ht="15" customHeight="1"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937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</row>
    <row r="411" spans="4:51" ht="15" customHeight="1"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937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</row>
    <row r="412" spans="4:51" ht="15" customHeight="1"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937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  <c r="AN412" s="20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</row>
    <row r="413" spans="4:51" ht="15" customHeight="1"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937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</row>
    <row r="414" spans="4:51" ht="15" customHeight="1"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937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</row>
    <row r="415" spans="4:51" ht="15" customHeight="1"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937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  <c r="AN415" s="20"/>
      <c r="AO415" s="20"/>
      <c r="AP415" s="20"/>
      <c r="AQ415" s="20"/>
      <c r="AR415" s="20"/>
      <c r="AS415" s="20"/>
      <c r="AT415" s="20"/>
      <c r="AU415" s="20"/>
      <c r="AV415" s="20"/>
      <c r="AW415" s="20"/>
      <c r="AX415" s="20"/>
      <c r="AY415" s="20"/>
    </row>
    <row r="416" spans="4:51" ht="15" customHeight="1"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937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</row>
    <row r="417" spans="4:51" ht="15" customHeight="1"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937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</row>
    <row r="418" spans="4:51" ht="15" customHeight="1"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937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</row>
    <row r="419" spans="4:51" ht="15" customHeight="1"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937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</row>
    <row r="420" spans="4:51" ht="15" customHeight="1"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937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</row>
    <row r="421" spans="4:51" ht="15" customHeight="1"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937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  <c r="AP421" s="20"/>
      <c r="AQ421" s="20"/>
      <c r="AR421" s="20"/>
      <c r="AS421" s="20"/>
      <c r="AT421" s="20"/>
      <c r="AU421" s="20"/>
      <c r="AV421" s="20"/>
      <c r="AW421" s="20"/>
      <c r="AX421" s="20"/>
      <c r="AY421" s="20"/>
    </row>
    <row r="422" spans="4:51" ht="15" customHeight="1"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937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  <c r="AP422" s="20"/>
      <c r="AQ422" s="20"/>
      <c r="AR422" s="20"/>
      <c r="AS422" s="20"/>
      <c r="AT422" s="20"/>
      <c r="AU422" s="20"/>
      <c r="AV422" s="20"/>
      <c r="AW422" s="20"/>
      <c r="AX422" s="20"/>
      <c r="AY422" s="20"/>
    </row>
    <row r="423" spans="4:51" ht="15" customHeight="1"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937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  <c r="AP423" s="20"/>
      <c r="AQ423" s="20"/>
      <c r="AR423" s="20"/>
      <c r="AS423" s="20"/>
      <c r="AT423" s="20"/>
      <c r="AU423" s="20"/>
      <c r="AV423" s="20"/>
      <c r="AW423" s="20"/>
      <c r="AX423" s="20"/>
      <c r="AY423" s="20"/>
    </row>
    <row r="424" spans="4:51" ht="15" customHeight="1"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937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</row>
    <row r="425" spans="4:51" ht="15" customHeight="1"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937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  <c r="AP425" s="20"/>
      <c r="AQ425" s="20"/>
      <c r="AR425" s="20"/>
      <c r="AS425" s="20"/>
      <c r="AT425" s="20"/>
      <c r="AU425" s="20"/>
      <c r="AV425" s="20"/>
      <c r="AW425" s="20"/>
      <c r="AX425" s="20"/>
      <c r="AY425" s="20"/>
    </row>
    <row r="426" spans="4:51" ht="15" customHeight="1"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937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  <c r="AP426" s="20"/>
      <c r="AQ426" s="20"/>
      <c r="AR426" s="20"/>
      <c r="AS426" s="20"/>
      <c r="AT426" s="20"/>
      <c r="AU426" s="20"/>
      <c r="AV426" s="20"/>
      <c r="AW426" s="20"/>
      <c r="AX426" s="20"/>
      <c r="AY426" s="20"/>
    </row>
    <row r="427" spans="4:51" ht="15" customHeight="1"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937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  <c r="AP427" s="20"/>
      <c r="AQ427" s="20"/>
      <c r="AR427" s="20"/>
      <c r="AS427" s="20"/>
      <c r="AT427" s="20"/>
      <c r="AU427" s="20"/>
      <c r="AV427" s="20"/>
      <c r="AW427" s="20"/>
      <c r="AX427" s="20"/>
      <c r="AY427" s="20"/>
    </row>
    <row r="428" spans="4:51" ht="15" customHeight="1"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937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  <c r="AP428" s="20"/>
      <c r="AQ428" s="20"/>
      <c r="AR428" s="20"/>
      <c r="AS428" s="20"/>
      <c r="AT428" s="20"/>
      <c r="AU428" s="20"/>
      <c r="AV428" s="20"/>
      <c r="AW428" s="20"/>
      <c r="AX428" s="20"/>
      <c r="AY428" s="20"/>
    </row>
    <row r="429" spans="4:51" ht="15" customHeight="1"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937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  <c r="AP429" s="20"/>
      <c r="AQ429" s="20"/>
      <c r="AR429" s="20"/>
      <c r="AS429" s="20"/>
      <c r="AT429" s="20"/>
      <c r="AU429" s="20"/>
      <c r="AV429" s="20"/>
      <c r="AW429" s="20"/>
      <c r="AX429" s="20"/>
      <c r="AY429" s="20"/>
    </row>
    <row r="430" spans="4:51" ht="15" customHeight="1"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937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</row>
    <row r="431" spans="4:51" ht="15" customHeight="1"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937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20"/>
      <c r="AP431" s="20"/>
      <c r="AQ431" s="20"/>
      <c r="AR431" s="20"/>
      <c r="AS431" s="20"/>
      <c r="AT431" s="20"/>
      <c r="AU431" s="20"/>
      <c r="AV431" s="20"/>
      <c r="AW431" s="20"/>
      <c r="AX431" s="20"/>
      <c r="AY431" s="20"/>
    </row>
    <row r="432" spans="4:51" ht="15" customHeight="1"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937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  <c r="AP432" s="20"/>
      <c r="AQ432" s="20"/>
      <c r="AR432" s="20"/>
      <c r="AS432" s="20"/>
      <c r="AT432" s="20"/>
      <c r="AU432" s="20"/>
      <c r="AV432" s="20"/>
      <c r="AW432" s="20"/>
      <c r="AX432" s="20"/>
      <c r="AY432" s="20"/>
    </row>
    <row r="433" spans="4:51" ht="15" customHeight="1"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937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</row>
    <row r="434" spans="4:51" ht="15" customHeight="1"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937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  <c r="AP434" s="20"/>
      <c r="AQ434" s="20"/>
      <c r="AR434" s="20"/>
      <c r="AS434" s="20"/>
      <c r="AT434" s="20"/>
      <c r="AU434" s="20"/>
      <c r="AV434" s="20"/>
      <c r="AW434" s="20"/>
      <c r="AX434" s="20"/>
      <c r="AY434" s="20"/>
    </row>
    <row r="435" spans="4:51" ht="15" customHeight="1"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937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</row>
    <row r="436" spans="4:51" ht="15" customHeight="1"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937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</row>
    <row r="437" spans="4:51" ht="15" customHeight="1"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937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</row>
    <row r="438" spans="4:51" ht="15" customHeight="1"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937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</row>
    <row r="439" spans="4:51" ht="15" customHeight="1"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937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</row>
    <row r="440" spans="4:51" ht="15" customHeight="1"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937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</row>
    <row r="441" spans="4:51" ht="15" customHeight="1"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937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</row>
    <row r="442" spans="4:51" ht="15" customHeight="1"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937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</row>
    <row r="443" spans="4:51" ht="15" customHeight="1"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937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</row>
    <row r="444" spans="4:51" ht="15" customHeight="1"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937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</row>
    <row r="445" spans="4:51" ht="15" customHeight="1"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937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</row>
    <row r="446" spans="4:51" ht="15" customHeight="1"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937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</row>
    <row r="447" spans="4:51" ht="15" customHeight="1"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937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</row>
    <row r="448" spans="4:51" ht="15" customHeight="1"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937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</row>
    <row r="449" spans="4:51" ht="15" customHeight="1"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937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</row>
    <row r="450" spans="4:51" ht="15" customHeight="1"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937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</row>
    <row r="451" spans="4:51" ht="15" customHeight="1"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937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</row>
    <row r="452" spans="4:51" ht="15" customHeight="1"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937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</row>
    <row r="453" spans="4:51" ht="15" customHeight="1"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937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</row>
    <row r="454" spans="4:51" ht="15" customHeight="1"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937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</row>
    <row r="455" spans="4:51" ht="15" customHeight="1"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937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</row>
    <row r="456" spans="4:51" ht="15" customHeight="1"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937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</row>
    <row r="457" spans="4:51" ht="15" customHeight="1"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937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</row>
    <row r="458" spans="4:51" ht="15" customHeight="1"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937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</row>
    <row r="459" spans="4:51" ht="15" customHeight="1"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937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</row>
    <row r="460" spans="4:51" ht="15" customHeight="1"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937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</row>
    <row r="461" spans="4:51" ht="15" customHeight="1"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937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</row>
    <row r="462" spans="4:51" ht="15" customHeight="1"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937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</row>
    <row r="463" spans="4:51" ht="15" customHeight="1"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937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</row>
    <row r="464" spans="4:51" ht="15" customHeight="1"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937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</row>
    <row r="465" spans="4:51" ht="15" customHeight="1"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937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</row>
    <row r="466" spans="4:51" ht="15" customHeight="1"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937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</row>
    <row r="467" spans="4:51" ht="15" customHeight="1"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937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</row>
    <row r="468" spans="4:51" ht="15" customHeight="1"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937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</row>
    <row r="469" spans="4:51" ht="15" customHeight="1"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937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</row>
    <row r="470" spans="4:51" ht="15" customHeight="1"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937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</row>
    <row r="471" spans="4:51" ht="15" customHeight="1"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937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</row>
    <row r="472" spans="4:51" ht="15" customHeight="1"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937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</row>
    <row r="473" spans="4:51" ht="15" customHeight="1"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937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</row>
    <row r="474" spans="4:51" ht="15" customHeight="1"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937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</row>
    <row r="475" spans="4:51" ht="15" customHeight="1"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937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</row>
    <row r="476" spans="4:51" ht="15" customHeight="1"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937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</row>
    <row r="477" spans="4:51" ht="15" customHeight="1"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937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</row>
    <row r="478" spans="4:51" ht="15" customHeight="1"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937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</row>
    <row r="479" spans="4:51" ht="15" customHeight="1"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937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</row>
    <row r="480" spans="4:51" ht="15" customHeight="1"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937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</row>
    <row r="481" spans="4:51" ht="15" customHeight="1"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937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  <c r="AN481" s="20"/>
      <c r="AO481" s="20"/>
      <c r="AP481" s="20"/>
      <c r="AQ481" s="20"/>
      <c r="AR481" s="20"/>
      <c r="AS481" s="20"/>
      <c r="AT481" s="20"/>
      <c r="AU481" s="20"/>
      <c r="AV481" s="20"/>
      <c r="AW481" s="20"/>
      <c r="AX481" s="20"/>
      <c r="AY481" s="20"/>
    </row>
    <row r="482" spans="4:51" ht="15" customHeight="1"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937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  <c r="AN482" s="20"/>
      <c r="AO482" s="20"/>
      <c r="AP482" s="20"/>
      <c r="AQ482" s="20"/>
      <c r="AR482" s="20"/>
      <c r="AS482" s="20"/>
      <c r="AT482" s="20"/>
      <c r="AU482" s="20"/>
      <c r="AV482" s="20"/>
      <c r="AW482" s="20"/>
      <c r="AX482" s="20"/>
      <c r="AY482" s="20"/>
    </row>
    <row r="483" spans="4:51" ht="15" customHeight="1"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937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  <c r="AN483" s="20"/>
      <c r="AO483" s="20"/>
      <c r="AP483" s="20"/>
      <c r="AQ483" s="20"/>
      <c r="AR483" s="20"/>
      <c r="AS483" s="20"/>
      <c r="AT483" s="20"/>
      <c r="AU483" s="20"/>
      <c r="AV483" s="20"/>
      <c r="AW483" s="20"/>
      <c r="AX483" s="20"/>
      <c r="AY483" s="20"/>
    </row>
    <row r="484" spans="4:51" ht="15" customHeight="1"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937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</row>
    <row r="485" spans="4:51" ht="15" customHeight="1"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937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  <c r="AN485" s="20"/>
      <c r="AO485" s="20"/>
      <c r="AP485" s="20"/>
      <c r="AQ485" s="20"/>
      <c r="AR485" s="20"/>
      <c r="AS485" s="20"/>
      <c r="AT485" s="20"/>
      <c r="AU485" s="20"/>
      <c r="AV485" s="20"/>
      <c r="AW485" s="20"/>
      <c r="AX485" s="20"/>
      <c r="AY485" s="20"/>
    </row>
    <row r="486" spans="4:51" ht="15" customHeight="1"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937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20"/>
      <c r="AN486" s="20"/>
      <c r="AO486" s="20"/>
      <c r="AP486" s="20"/>
      <c r="AQ486" s="20"/>
      <c r="AR486" s="20"/>
      <c r="AS486" s="20"/>
      <c r="AT486" s="20"/>
      <c r="AU486" s="20"/>
      <c r="AV486" s="20"/>
      <c r="AW486" s="20"/>
      <c r="AX486" s="20"/>
      <c r="AY486" s="20"/>
    </row>
    <row r="487" spans="4:51" ht="15" customHeight="1"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937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</row>
    <row r="488" spans="4:51" ht="15" customHeight="1"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937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20"/>
      <c r="AP488" s="20"/>
      <c r="AQ488" s="20"/>
      <c r="AR488" s="20"/>
      <c r="AS488" s="20"/>
      <c r="AT488" s="20"/>
      <c r="AU488" s="20"/>
      <c r="AV488" s="20"/>
      <c r="AW488" s="20"/>
      <c r="AX488" s="20"/>
      <c r="AY488" s="20"/>
    </row>
    <row r="489" spans="4:51" ht="15" customHeight="1"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937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20"/>
      <c r="AN489" s="20"/>
      <c r="AO489" s="20"/>
      <c r="AP489" s="20"/>
      <c r="AQ489" s="20"/>
      <c r="AR489" s="20"/>
      <c r="AS489" s="20"/>
      <c r="AT489" s="20"/>
      <c r="AU489" s="20"/>
      <c r="AV489" s="20"/>
      <c r="AW489" s="20"/>
      <c r="AX489" s="20"/>
      <c r="AY489" s="20"/>
    </row>
    <row r="490" spans="4:51" ht="15" customHeight="1"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937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20"/>
      <c r="AO490" s="20"/>
      <c r="AP490" s="20"/>
      <c r="AQ490" s="20"/>
      <c r="AR490" s="20"/>
      <c r="AS490" s="20"/>
      <c r="AT490" s="20"/>
      <c r="AU490" s="20"/>
      <c r="AV490" s="20"/>
      <c r="AW490" s="20"/>
      <c r="AX490" s="20"/>
      <c r="AY490" s="20"/>
    </row>
    <row r="491" spans="4:51" ht="15" customHeight="1"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937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20"/>
      <c r="AP491" s="20"/>
      <c r="AQ491" s="20"/>
      <c r="AR491" s="20"/>
      <c r="AS491" s="20"/>
      <c r="AT491" s="20"/>
      <c r="AU491" s="20"/>
      <c r="AV491" s="20"/>
      <c r="AW491" s="20"/>
      <c r="AX491" s="20"/>
      <c r="AY491" s="20"/>
    </row>
    <row r="492" spans="4:51" ht="15" customHeight="1"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937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20"/>
      <c r="AN492" s="20"/>
      <c r="AO492" s="20"/>
      <c r="AP492" s="20"/>
      <c r="AQ492" s="20"/>
      <c r="AR492" s="20"/>
      <c r="AS492" s="20"/>
      <c r="AT492" s="20"/>
      <c r="AU492" s="20"/>
      <c r="AV492" s="20"/>
      <c r="AW492" s="20"/>
      <c r="AX492" s="20"/>
      <c r="AY492" s="20"/>
    </row>
    <row r="493" spans="4:51" ht="15" customHeight="1"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937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  <c r="AN493" s="20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</row>
    <row r="494" spans="4:51" ht="15" customHeight="1"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937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20"/>
      <c r="AN494" s="20"/>
      <c r="AO494" s="20"/>
      <c r="AP494" s="20"/>
      <c r="AQ494" s="20"/>
      <c r="AR494" s="20"/>
      <c r="AS494" s="20"/>
      <c r="AT494" s="20"/>
      <c r="AU494" s="20"/>
      <c r="AV494" s="20"/>
      <c r="AW494" s="20"/>
      <c r="AX494" s="20"/>
      <c r="AY494" s="20"/>
    </row>
    <row r="495" spans="4:51" ht="15" customHeight="1"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937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  <c r="AM495" s="20"/>
      <c r="AN495" s="20"/>
      <c r="AO495" s="20"/>
      <c r="AP495" s="20"/>
      <c r="AQ495" s="20"/>
      <c r="AR495" s="20"/>
      <c r="AS495" s="20"/>
      <c r="AT495" s="20"/>
      <c r="AU495" s="20"/>
      <c r="AV495" s="20"/>
      <c r="AW495" s="20"/>
      <c r="AX495" s="20"/>
      <c r="AY495" s="20"/>
    </row>
    <row r="496" spans="4:51" ht="15" customHeight="1"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937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20"/>
      <c r="AN496" s="20"/>
      <c r="AO496" s="20"/>
      <c r="AP496" s="20"/>
      <c r="AQ496" s="20"/>
      <c r="AR496" s="20"/>
      <c r="AS496" s="20"/>
      <c r="AT496" s="20"/>
      <c r="AU496" s="20"/>
      <c r="AV496" s="20"/>
      <c r="AW496" s="20"/>
      <c r="AX496" s="20"/>
      <c r="AY496" s="20"/>
    </row>
    <row r="497" spans="4:51" ht="15" customHeight="1"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937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  <c r="AM497" s="20"/>
      <c r="AN497" s="20"/>
      <c r="AO497" s="20"/>
      <c r="AP497" s="20"/>
      <c r="AQ497" s="20"/>
      <c r="AR497" s="20"/>
      <c r="AS497" s="20"/>
      <c r="AT497" s="20"/>
      <c r="AU497" s="20"/>
      <c r="AV497" s="20"/>
      <c r="AW497" s="20"/>
      <c r="AX497" s="20"/>
      <c r="AY497" s="20"/>
    </row>
    <row r="498" spans="4:51" ht="15" customHeight="1"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937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  <c r="AM498" s="20"/>
      <c r="AN498" s="20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</row>
    <row r="499" spans="4:51" ht="15" customHeight="1"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937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20"/>
      <c r="AN499" s="20"/>
      <c r="AO499" s="20"/>
      <c r="AP499" s="20"/>
      <c r="AQ499" s="20"/>
      <c r="AR499" s="20"/>
      <c r="AS499" s="20"/>
      <c r="AT499" s="20"/>
      <c r="AU499" s="20"/>
      <c r="AV499" s="20"/>
      <c r="AW499" s="20"/>
      <c r="AX499" s="20"/>
      <c r="AY499" s="20"/>
    </row>
    <row r="500" spans="4:51" ht="15" customHeight="1"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937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20"/>
      <c r="AN500" s="20"/>
      <c r="AO500" s="20"/>
      <c r="AP500" s="20"/>
      <c r="AQ500" s="20"/>
      <c r="AR500" s="20"/>
      <c r="AS500" s="20"/>
      <c r="AT500" s="20"/>
      <c r="AU500" s="20"/>
      <c r="AV500" s="20"/>
      <c r="AW500" s="20"/>
      <c r="AX500" s="20"/>
      <c r="AY500" s="20"/>
    </row>
    <row r="501" spans="4:51" ht="15" customHeight="1"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937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0"/>
      <c r="AM501" s="20"/>
      <c r="AN501" s="20"/>
      <c r="AO501" s="20"/>
      <c r="AP501" s="20"/>
      <c r="AQ501" s="20"/>
      <c r="AR501" s="20"/>
      <c r="AS501" s="20"/>
      <c r="AT501" s="20"/>
      <c r="AU501" s="20"/>
      <c r="AV501" s="20"/>
      <c r="AW501" s="20"/>
      <c r="AX501" s="20"/>
      <c r="AY501" s="20"/>
    </row>
    <row r="502" spans="4:51" ht="15" customHeight="1"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937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  <c r="AF502" s="20"/>
      <c r="AG502" s="20"/>
      <c r="AH502" s="20"/>
      <c r="AI502" s="20"/>
      <c r="AJ502" s="20"/>
      <c r="AK502" s="20"/>
      <c r="AL502" s="20"/>
      <c r="AM502" s="20"/>
      <c r="AN502" s="20"/>
      <c r="AO502" s="20"/>
      <c r="AP502" s="20"/>
      <c r="AQ502" s="20"/>
      <c r="AR502" s="20"/>
      <c r="AS502" s="20"/>
      <c r="AT502" s="20"/>
      <c r="AU502" s="20"/>
      <c r="AV502" s="20"/>
      <c r="AW502" s="20"/>
      <c r="AX502" s="20"/>
      <c r="AY502" s="20"/>
    </row>
    <row r="503" spans="4:51" ht="15" customHeight="1"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937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  <c r="AF503" s="20"/>
      <c r="AG503" s="20"/>
      <c r="AH503" s="20"/>
      <c r="AI503" s="20"/>
      <c r="AJ503" s="20"/>
      <c r="AK503" s="20"/>
      <c r="AL503" s="20"/>
      <c r="AM503" s="20"/>
      <c r="AN503" s="20"/>
      <c r="AO503" s="20"/>
      <c r="AP503" s="20"/>
      <c r="AQ503" s="20"/>
      <c r="AR503" s="20"/>
      <c r="AS503" s="20"/>
      <c r="AT503" s="20"/>
      <c r="AU503" s="20"/>
      <c r="AV503" s="20"/>
      <c r="AW503" s="20"/>
      <c r="AX503" s="20"/>
      <c r="AY503" s="20"/>
    </row>
    <row r="504" spans="4:51" ht="15" customHeight="1"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937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  <c r="AN504" s="20"/>
      <c r="AO504" s="20"/>
      <c r="AP504" s="20"/>
      <c r="AQ504" s="20"/>
      <c r="AR504" s="20"/>
      <c r="AS504" s="20"/>
      <c r="AT504" s="20"/>
      <c r="AU504" s="20"/>
      <c r="AV504" s="20"/>
      <c r="AW504" s="20"/>
      <c r="AX504" s="20"/>
      <c r="AY504" s="20"/>
    </row>
    <row r="505" spans="4:51" ht="15" customHeight="1"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937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  <c r="AI505" s="20"/>
      <c r="AJ505" s="20"/>
      <c r="AK505" s="20"/>
      <c r="AL505" s="20"/>
      <c r="AM505" s="20"/>
      <c r="AN505" s="20"/>
      <c r="AO505" s="20"/>
      <c r="AP505" s="20"/>
      <c r="AQ505" s="20"/>
      <c r="AR505" s="20"/>
      <c r="AS505" s="20"/>
      <c r="AT505" s="20"/>
      <c r="AU505" s="20"/>
      <c r="AV505" s="20"/>
      <c r="AW505" s="20"/>
      <c r="AX505" s="20"/>
      <c r="AY505" s="20"/>
    </row>
    <row r="506" spans="4:51" ht="15" customHeight="1"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937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  <c r="AF506" s="20"/>
      <c r="AG506" s="20"/>
      <c r="AH506" s="20"/>
      <c r="AI506" s="20"/>
      <c r="AJ506" s="20"/>
      <c r="AK506" s="20"/>
      <c r="AL506" s="20"/>
      <c r="AM506" s="20"/>
      <c r="AN506" s="20"/>
      <c r="AO506" s="20"/>
      <c r="AP506" s="20"/>
      <c r="AQ506" s="20"/>
      <c r="AR506" s="20"/>
      <c r="AS506" s="20"/>
      <c r="AT506" s="20"/>
      <c r="AU506" s="20"/>
      <c r="AV506" s="20"/>
      <c r="AW506" s="20"/>
      <c r="AX506" s="20"/>
      <c r="AY506" s="20"/>
    </row>
    <row r="507" spans="4:51" ht="15" customHeight="1"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937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  <c r="AF507" s="20"/>
      <c r="AG507" s="20"/>
      <c r="AH507" s="20"/>
      <c r="AI507" s="20"/>
      <c r="AJ507" s="20"/>
      <c r="AK507" s="20"/>
      <c r="AL507" s="20"/>
      <c r="AM507" s="20"/>
      <c r="AN507" s="20"/>
      <c r="AO507" s="20"/>
      <c r="AP507" s="20"/>
      <c r="AQ507" s="20"/>
      <c r="AR507" s="20"/>
      <c r="AS507" s="20"/>
      <c r="AT507" s="20"/>
      <c r="AU507" s="20"/>
      <c r="AV507" s="20"/>
      <c r="AW507" s="20"/>
      <c r="AX507" s="20"/>
      <c r="AY507" s="20"/>
    </row>
    <row r="508" spans="4:51" ht="15" customHeight="1"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937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  <c r="AF508" s="20"/>
      <c r="AG508" s="20"/>
      <c r="AH508" s="20"/>
      <c r="AI508" s="20"/>
      <c r="AJ508" s="20"/>
      <c r="AK508" s="20"/>
      <c r="AL508" s="20"/>
      <c r="AM508" s="20"/>
      <c r="AN508" s="20"/>
      <c r="AO508" s="20"/>
      <c r="AP508" s="20"/>
      <c r="AQ508" s="20"/>
      <c r="AR508" s="20"/>
      <c r="AS508" s="20"/>
      <c r="AT508" s="20"/>
      <c r="AU508" s="20"/>
      <c r="AV508" s="20"/>
      <c r="AW508" s="20"/>
      <c r="AX508" s="20"/>
      <c r="AY508" s="20"/>
    </row>
    <row r="509" spans="4:51" ht="15" customHeight="1"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937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  <c r="AF509" s="20"/>
      <c r="AG509" s="20"/>
      <c r="AH509" s="20"/>
      <c r="AI509" s="20"/>
      <c r="AJ509" s="20"/>
      <c r="AK509" s="20"/>
      <c r="AL509" s="20"/>
      <c r="AM509" s="20"/>
      <c r="AN509" s="20"/>
      <c r="AO509" s="20"/>
      <c r="AP509" s="20"/>
      <c r="AQ509" s="20"/>
      <c r="AR509" s="20"/>
      <c r="AS509" s="20"/>
      <c r="AT509" s="20"/>
      <c r="AU509" s="20"/>
      <c r="AV509" s="20"/>
      <c r="AW509" s="20"/>
      <c r="AX509" s="20"/>
      <c r="AY509" s="20"/>
    </row>
    <row r="510" spans="4:51" ht="15" customHeight="1"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937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  <c r="AI510" s="20"/>
      <c r="AJ510" s="20"/>
      <c r="AK510" s="20"/>
      <c r="AL510" s="20"/>
      <c r="AM510" s="20"/>
      <c r="AN510" s="20"/>
      <c r="AO510" s="20"/>
      <c r="AP510" s="20"/>
      <c r="AQ510" s="20"/>
      <c r="AR510" s="20"/>
      <c r="AS510" s="20"/>
      <c r="AT510" s="20"/>
      <c r="AU510" s="20"/>
      <c r="AV510" s="20"/>
      <c r="AW510" s="20"/>
      <c r="AX510" s="20"/>
      <c r="AY510" s="20"/>
    </row>
    <row r="511" spans="4:51" ht="15" customHeight="1"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937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  <c r="AF511" s="20"/>
      <c r="AG511" s="20"/>
      <c r="AH511" s="20"/>
      <c r="AI511" s="20"/>
      <c r="AJ511" s="20"/>
      <c r="AK511" s="20"/>
      <c r="AL511" s="20"/>
      <c r="AM511" s="20"/>
      <c r="AN511" s="20"/>
      <c r="AO511" s="20"/>
      <c r="AP511" s="20"/>
      <c r="AQ511" s="20"/>
      <c r="AR511" s="20"/>
      <c r="AS511" s="20"/>
      <c r="AT511" s="20"/>
      <c r="AU511" s="20"/>
      <c r="AV511" s="20"/>
      <c r="AW511" s="20"/>
      <c r="AX511" s="20"/>
      <c r="AY511" s="20"/>
    </row>
    <row r="512" spans="4:51" ht="15" customHeight="1"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937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  <c r="AF512" s="20"/>
      <c r="AG512" s="20"/>
      <c r="AH512" s="20"/>
      <c r="AI512" s="20"/>
      <c r="AJ512" s="20"/>
      <c r="AK512" s="20"/>
      <c r="AL512" s="20"/>
      <c r="AM512" s="20"/>
      <c r="AN512" s="20"/>
      <c r="AO512" s="20"/>
      <c r="AP512" s="20"/>
      <c r="AQ512" s="20"/>
      <c r="AR512" s="20"/>
      <c r="AS512" s="20"/>
      <c r="AT512" s="20"/>
      <c r="AU512" s="20"/>
      <c r="AV512" s="20"/>
      <c r="AW512" s="20"/>
      <c r="AX512" s="20"/>
      <c r="AY512" s="20"/>
    </row>
    <row r="513" spans="4:51" ht="15" customHeight="1"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937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  <c r="AF513" s="20"/>
      <c r="AG513" s="20"/>
      <c r="AH513" s="20"/>
      <c r="AI513" s="20"/>
      <c r="AJ513" s="20"/>
      <c r="AK513" s="20"/>
      <c r="AL513" s="20"/>
      <c r="AM513" s="20"/>
      <c r="AN513" s="20"/>
      <c r="AO513" s="20"/>
      <c r="AP513" s="20"/>
      <c r="AQ513" s="20"/>
      <c r="AR513" s="20"/>
      <c r="AS513" s="20"/>
      <c r="AT513" s="20"/>
      <c r="AU513" s="20"/>
      <c r="AV513" s="20"/>
      <c r="AW513" s="20"/>
      <c r="AX513" s="20"/>
      <c r="AY513" s="20"/>
    </row>
    <row r="514" spans="4:51" ht="15" customHeight="1"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937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0"/>
      <c r="AM514" s="20"/>
      <c r="AN514" s="20"/>
      <c r="AO514" s="20"/>
      <c r="AP514" s="20"/>
      <c r="AQ514" s="20"/>
      <c r="AR514" s="20"/>
      <c r="AS514" s="20"/>
      <c r="AT514" s="20"/>
      <c r="AU514" s="20"/>
      <c r="AV514" s="20"/>
      <c r="AW514" s="20"/>
      <c r="AX514" s="20"/>
      <c r="AY514" s="20"/>
    </row>
    <row r="515" spans="4:51" ht="15" customHeight="1"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937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0"/>
      <c r="AQ515" s="20"/>
      <c r="AR515" s="20"/>
      <c r="AS515" s="20"/>
      <c r="AT515" s="20"/>
      <c r="AU515" s="20"/>
      <c r="AV515" s="20"/>
      <c r="AW515" s="20"/>
      <c r="AX515" s="20"/>
      <c r="AY515" s="20"/>
    </row>
    <row r="516" spans="4:51" ht="15" customHeight="1"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937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0"/>
      <c r="AM516" s="20"/>
      <c r="AN516" s="20"/>
      <c r="AO516" s="20"/>
      <c r="AP516" s="20"/>
      <c r="AQ516" s="20"/>
      <c r="AR516" s="20"/>
      <c r="AS516" s="20"/>
      <c r="AT516" s="20"/>
      <c r="AU516" s="20"/>
      <c r="AV516" s="20"/>
      <c r="AW516" s="20"/>
      <c r="AX516" s="20"/>
      <c r="AY516" s="20"/>
    </row>
    <row r="517" spans="4:51" ht="15" customHeight="1"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937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0"/>
      <c r="AM517" s="20"/>
      <c r="AN517" s="20"/>
      <c r="AO517" s="20"/>
      <c r="AP517" s="20"/>
      <c r="AQ517" s="20"/>
      <c r="AR517" s="20"/>
      <c r="AS517" s="20"/>
      <c r="AT517" s="20"/>
      <c r="AU517" s="20"/>
      <c r="AV517" s="20"/>
      <c r="AW517" s="20"/>
      <c r="AX517" s="20"/>
      <c r="AY517" s="20"/>
    </row>
    <row r="518" spans="4:51" ht="15" customHeight="1"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937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  <c r="AF518" s="20"/>
      <c r="AG518" s="20"/>
      <c r="AH518" s="20"/>
      <c r="AI518" s="20"/>
      <c r="AJ518" s="20"/>
      <c r="AK518" s="20"/>
      <c r="AL518" s="20"/>
      <c r="AM518" s="20"/>
      <c r="AN518" s="20"/>
      <c r="AO518" s="20"/>
      <c r="AP518" s="20"/>
      <c r="AQ518" s="20"/>
      <c r="AR518" s="20"/>
      <c r="AS518" s="20"/>
      <c r="AT518" s="20"/>
      <c r="AU518" s="20"/>
      <c r="AV518" s="20"/>
      <c r="AW518" s="20"/>
      <c r="AX518" s="20"/>
      <c r="AY518" s="20"/>
    </row>
    <row r="519" spans="4:51" ht="15" customHeight="1"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937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  <c r="AI519" s="20"/>
      <c r="AJ519" s="20"/>
      <c r="AK519" s="20"/>
      <c r="AL519" s="20"/>
      <c r="AM519" s="20"/>
      <c r="AN519" s="20"/>
      <c r="AO519" s="20"/>
      <c r="AP519" s="20"/>
      <c r="AQ519" s="20"/>
      <c r="AR519" s="20"/>
      <c r="AS519" s="20"/>
      <c r="AT519" s="20"/>
      <c r="AU519" s="20"/>
      <c r="AV519" s="20"/>
      <c r="AW519" s="20"/>
      <c r="AX519" s="20"/>
      <c r="AY519" s="20"/>
    </row>
    <row r="520" spans="4:51" ht="15" customHeight="1"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937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  <c r="AI520" s="20"/>
      <c r="AJ520" s="20"/>
      <c r="AK520" s="20"/>
      <c r="AL520" s="20"/>
      <c r="AM520" s="20"/>
      <c r="AN520" s="20"/>
      <c r="AO520" s="20"/>
      <c r="AP520" s="20"/>
      <c r="AQ520" s="20"/>
      <c r="AR520" s="20"/>
      <c r="AS520" s="20"/>
      <c r="AT520" s="20"/>
      <c r="AU520" s="20"/>
      <c r="AV520" s="20"/>
      <c r="AW520" s="20"/>
      <c r="AX520" s="20"/>
      <c r="AY520" s="20"/>
    </row>
    <row r="521" spans="4:51" ht="15" customHeight="1"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937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  <c r="AF521" s="20"/>
      <c r="AG521" s="20"/>
      <c r="AH521" s="20"/>
      <c r="AI521" s="20"/>
      <c r="AJ521" s="20"/>
      <c r="AK521" s="20"/>
      <c r="AL521" s="20"/>
      <c r="AM521" s="20"/>
      <c r="AN521" s="20"/>
      <c r="AO521" s="20"/>
      <c r="AP521" s="20"/>
      <c r="AQ521" s="20"/>
      <c r="AR521" s="20"/>
      <c r="AS521" s="20"/>
      <c r="AT521" s="20"/>
      <c r="AU521" s="20"/>
      <c r="AV521" s="20"/>
      <c r="AW521" s="20"/>
      <c r="AX521" s="20"/>
      <c r="AY521" s="20"/>
    </row>
    <row r="522" spans="4:51" ht="15" customHeight="1"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937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  <c r="AF522" s="20"/>
      <c r="AG522" s="20"/>
      <c r="AH522" s="20"/>
      <c r="AI522" s="20"/>
      <c r="AJ522" s="20"/>
      <c r="AK522" s="20"/>
      <c r="AL522" s="20"/>
      <c r="AM522" s="20"/>
      <c r="AN522" s="20"/>
      <c r="AO522" s="20"/>
      <c r="AP522" s="20"/>
      <c r="AQ522" s="20"/>
      <c r="AR522" s="20"/>
      <c r="AS522" s="20"/>
      <c r="AT522" s="20"/>
      <c r="AU522" s="20"/>
      <c r="AV522" s="20"/>
      <c r="AW522" s="20"/>
      <c r="AX522" s="20"/>
      <c r="AY522" s="20"/>
    </row>
    <row r="523" spans="4:51" ht="15" customHeight="1"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937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  <c r="AF523" s="20"/>
      <c r="AG523" s="20"/>
      <c r="AH523" s="20"/>
      <c r="AI523" s="20"/>
      <c r="AJ523" s="20"/>
      <c r="AK523" s="20"/>
      <c r="AL523" s="20"/>
      <c r="AM523" s="20"/>
      <c r="AN523" s="20"/>
      <c r="AO523" s="20"/>
      <c r="AP523" s="20"/>
      <c r="AQ523" s="20"/>
      <c r="AR523" s="20"/>
      <c r="AS523" s="20"/>
      <c r="AT523" s="20"/>
      <c r="AU523" s="20"/>
      <c r="AV523" s="20"/>
      <c r="AW523" s="20"/>
      <c r="AX523" s="20"/>
      <c r="AY523" s="20"/>
    </row>
    <row r="524" spans="4:51" ht="15" customHeight="1"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937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  <c r="AF524" s="20"/>
      <c r="AG524" s="20"/>
      <c r="AH524" s="20"/>
      <c r="AI524" s="20"/>
      <c r="AJ524" s="20"/>
      <c r="AK524" s="20"/>
      <c r="AL524" s="20"/>
      <c r="AM524" s="20"/>
      <c r="AN524" s="20"/>
      <c r="AO524" s="20"/>
      <c r="AP524" s="20"/>
      <c r="AQ524" s="20"/>
      <c r="AR524" s="20"/>
      <c r="AS524" s="20"/>
      <c r="AT524" s="20"/>
      <c r="AU524" s="20"/>
      <c r="AV524" s="20"/>
      <c r="AW524" s="20"/>
      <c r="AX524" s="20"/>
      <c r="AY524" s="20"/>
    </row>
    <row r="525" spans="4:51" ht="15" customHeight="1"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937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0"/>
      <c r="AQ525" s="20"/>
      <c r="AR525" s="20"/>
      <c r="AS525" s="20"/>
      <c r="AT525" s="20"/>
      <c r="AU525" s="20"/>
      <c r="AV525" s="20"/>
      <c r="AW525" s="20"/>
      <c r="AX525" s="20"/>
      <c r="AY525" s="20"/>
    </row>
    <row r="526" spans="4:51" ht="15" customHeight="1"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937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  <c r="AF526" s="20"/>
      <c r="AG526" s="20"/>
      <c r="AH526" s="20"/>
      <c r="AI526" s="20"/>
      <c r="AJ526" s="20"/>
      <c r="AK526" s="20"/>
      <c r="AL526" s="20"/>
      <c r="AM526" s="20"/>
      <c r="AN526" s="20"/>
      <c r="AO526" s="20"/>
      <c r="AP526" s="20"/>
      <c r="AQ526" s="20"/>
      <c r="AR526" s="20"/>
      <c r="AS526" s="20"/>
      <c r="AT526" s="20"/>
      <c r="AU526" s="20"/>
      <c r="AV526" s="20"/>
      <c r="AW526" s="20"/>
      <c r="AX526" s="20"/>
      <c r="AY526" s="20"/>
    </row>
    <row r="527" spans="4:51" ht="15" customHeight="1"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937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  <c r="AF527" s="20"/>
      <c r="AG527" s="20"/>
      <c r="AH527" s="20"/>
      <c r="AI527" s="20"/>
      <c r="AJ527" s="20"/>
      <c r="AK527" s="20"/>
      <c r="AL527" s="20"/>
      <c r="AM527" s="20"/>
      <c r="AN527" s="20"/>
      <c r="AO527" s="20"/>
      <c r="AP527" s="20"/>
      <c r="AQ527" s="20"/>
      <c r="AR527" s="20"/>
      <c r="AS527" s="20"/>
      <c r="AT527" s="20"/>
      <c r="AU527" s="20"/>
      <c r="AV527" s="20"/>
      <c r="AW527" s="20"/>
      <c r="AX527" s="20"/>
      <c r="AY527" s="20"/>
    </row>
    <row r="528" spans="4:51" ht="15" customHeight="1"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937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  <c r="AF528" s="20"/>
      <c r="AG528" s="20"/>
      <c r="AH528" s="20"/>
      <c r="AI528" s="20"/>
      <c r="AJ528" s="20"/>
      <c r="AK528" s="20"/>
      <c r="AL528" s="20"/>
      <c r="AM528" s="20"/>
      <c r="AN528" s="20"/>
      <c r="AO528" s="20"/>
      <c r="AP528" s="20"/>
      <c r="AQ528" s="20"/>
      <c r="AR528" s="20"/>
      <c r="AS528" s="20"/>
      <c r="AT528" s="20"/>
      <c r="AU528" s="20"/>
      <c r="AV528" s="20"/>
      <c r="AW528" s="20"/>
      <c r="AX528" s="20"/>
      <c r="AY528" s="20"/>
    </row>
    <row r="529" spans="4:51" ht="15" customHeight="1"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937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  <c r="AF529" s="20"/>
      <c r="AG529" s="20"/>
      <c r="AH529" s="20"/>
      <c r="AI529" s="20"/>
      <c r="AJ529" s="20"/>
      <c r="AK529" s="20"/>
      <c r="AL529" s="20"/>
      <c r="AM529" s="20"/>
      <c r="AN529" s="20"/>
      <c r="AO529" s="20"/>
      <c r="AP529" s="20"/>
      <c r="AQ529" s="20"/>
      <c r="AR529" s="20"/>
      <c r="AS529" s="20"/>
      <c r="AT529" s="20"/>
      <c r="AU529" s="20"/>
      <c r="AV529" s="20"/>
      <c r="AW529" s="20"/>
      <c r="AX529" s="20"/>
      <c r="AY529" s="20"/>
    </row>
    <row r="530" spans="4:51" ht="15" customHeight="1"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937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20"/>
      <c r="AP530" s="20"/>
      <c r="AQ530" s="20"/>
      <c r="AR530" s="20"/>
      <c r="AS530" s="20"/>
      <c r="AT530" s="20"/>
      <c r="AU530" s="20"/>
      <c r="AV530" s="20"/>
      <c r="AW530" s="20"/>
      <c r="AX530" s="20"/>
      <c r="AY530" s="20"/>
    </row>
    <row r="531" spans="4:51" ht="15" customHeight="1"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937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  <c r="AF531" s="20"/>
      <c r="AG531" s="20"/>
      <c r="AH531" s="20"/>
      <c r="AI531" s="20"/>
      <c r="AJ531" s="20"/>
      <c r="AK531" s="20"/>
      <c r="AL531" s="20"/>
      <c r="AM531" s="20"/>
      <c r="AN531" s="20"/>
      <c r="AO531" s="20"/>
      <c r="AP531" s="20"/>
      <c r="AQ531" s="20"/>
      <c r="AR531" s="20"/>
      <c r="AS531" s="20"/>
      <c r="AT531" s="20"/>
      <c r="AU531" s="20"/>
      <c r="AV531" s="20"/>
      <c r="AW531" s="20"/>
      <c r="AX531" s="20"/>
      <c r="AY531" s="20"/>
    </row>
    <row r="532" spans="4:51" ht="15" customHeight="1"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937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  <c r="AF532" s="20"/>
      <c r="AG532" s="20"/>
      <c r="AH532" s="20"/>
      <c r="AI532" s="20"/>
      <c r="AJ532" s="20"/>
      <c r="AK532" s="20"/>
      <c r="AL532" s="20"/>
      <c r="AM532" s="20"/>
      <c r="AN532" s="20"/>
      <c r="AO532" s="20"/>
      <c r="AP532" s="20"/>
      <c r="AQ532" s="20"/>
      <c r="AR532" s="20"/>
      <c r="AS532" s="20"/>
      <c r="AT532" s="20"/>
      <c r="AU532" s="20"/>
      <c r="AV532" s="20"/>
      <c r="AW532" s="20"/>
      <c r="AX532" s="20"/>
      <c r="AY532" s="20"/>
    </row>
    <row r="533" spans="4:51" ht="15" customHeight="1"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937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  <c r="AF533" s="20"/>
      <c r="AG533" s="20"/>
      <c r="AH533" s="20"/>
      <c r="AI533" s="20"/>
      <c r="AJ533" s="20"/>
      <c r="AK533" s="20"/>
      <c r="AL533" s="20"/>
      <c r="AM533" s="20"/>
      <c r="AN533" s="20"/>
      <c r="AO533" s="20"/>
      <c r="AP533" s="20"/>
      <c r="AQ533" s="20"/>
      <c r="AR533" s="20"/>
      <c r="AS533" s="20"/>
      <c r="AT533" s="20"/>
      <c r="AU533" s="20"/>
      <c r="AV533" s="20"/>
      <c r="AW533" s="20"/>
      <c r="AX533" s="20"/>
      <c r="AY533" s="20"/>
    </row>
    <row r="534" spans="4:51" ht="15" customHeight="1"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937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  <c r="AF534" s="20"/>
      <c r="AG534" s="20"/>
      <c r="AH534" s="20"/>
      <c r="AI534" s="20"/>
      <c r="AJ534" s="20"/>
      <c r="AK534" s="20"/>
      <c r="AL534" s="20"/>
      <c r="AM534" s="20"/>
      <c r="AN534" s="20"/>
      <c r="AO534" s="20"/>
      <c r="AP534" s="20"/>
      <c r="AQ534" s="20"/>
      <c r="AR534" s="20"/>
      <c r="AS534" s="20"/>
      <c r="AT534" s="20"/>
      <c r="AU534" s="20"/>
      <c r="AV534" s="20"/>
      <c r="AW534" s="20"/>
      <c r="AX534" s="20"/>
      <c r="AY534" s="20"/>
    </row>
    <row r="535" spans="4:51" ht="15" customHeight="1"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937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  <c r="AF535" s="20"/>
      <c r="AG535" s="20"/>
      <c r="AH535" s="20"/>
      <c r="AI535" s="20"/>
      <c r="AJ535" s="20"/>
      <c r="AK535" s="20"/>
      <c r="AL535" s="20"/>
      <c r="AM535" s="20"/>
      <c r="AN535" s="20"/>
      <c r="AO535" s="20"/>
      <c r="AP535" s="20"/>
      <c r="AQ535" s="20"/>
      <c r="AR535" s="20"/>
      <c r="AS535" s="20"/>
      <c r="AT535" s="20"/>
      <c r="AU535" s="20"/>
      <c r="AV535" s="20"/>
      <c r="AW535" s="20"/>
      <c r="AX535" s="20"/>
      <c r="AY535" s="20"/>
    </row>
    <row r="536" spans="4:51" ht="15" customHeight="1"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937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  <c r="AF536" s="20"/>
      <c r="AG536" s="20"/>
      <c r="AH536" s="20"/>
      <c r="AI536" s="20"/>
      <c r="AJ536" s="20"/>
      <c r="AK536" s="20"/>
      <c r="AL536" s="20"/>
      <c r="AM536" s="20"/>
      <c r="AN536" s="20"/>
      <c r="AO536" s="20"/>
      <c r="AP536" s="20"/>
      <c r="AQ536" s="20"/>
      <c r="AR536" s="20"/>
      <c r="AS536" s="20"/>
      <c r="AT536" s="20"/>
      <c r="AU536" s="20"/>
      <c r="AV536" s="20"/>
      <c r="AW536" s="20"/>
      <c r="AX536" s="20"/>
      <c r="AY536" s="20"/>
    </row>
    <row r="537" spans="4:51" ht="15" customHeight="1"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937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  <c r="AF537" s="20"/>
      <c r="AG537" s="20"/>
      <c r="AH537" s="20"/>
      <c r="AI537" s="20"/>
      <c r="AJ537" s="20"/>
      <c r="AK537" s="20"/>
      <c r="AL537" s="20"/>
      <c r="AM537" s="20"/>
      <c r="AN537" s="20"/>
      <c r="AO537" s="20"/>
      <c r="AP537" s="20"/>
      <c r="AQ537" s="20"/>
      <c r="AR537" s="20"/>
      <c r="AS537" s="20"/>
      <c r="AT537" s="20"/>
      <c r="AU537" s="20"/>
      <c r="AV537" s="20"/>
      <c r="AW537" s="20"/>
      <c r="AX537" s="20"/>
      <c r="AY537" s="20"/>
    </row>
    <row r="538" spans="4:51" ht="15" customHeight="1"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937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  <c r="AF538" s="20"/>
      <c r="AG538" s="20"/>
      <c r="AH538" s="20"/>
      <c r="AI538" s="20"/>
      <c r="AJ538" s="20"/>
      <c r="AK538" s="20"/>
      <c r="AL538" s="20"/>
      <c r="AM538" s="20"/>
      <c r="AN538" s="20"/>
      <c r="AO538" s="20"/>
      <c r="AP538" s="20"/>
      <c r="AQ538" s="20"/>
      <c r="AR538" s="20"/>
      <c r="AS538" s="20"/>
      <c r="AT538" s="20"/>
      <c r="AU538" s="20"/>
      <c r="AV538" s="20"/>
      <c r="AW538" s="20"/>
      <c r="AX538" s="20"/>
      <c r="AY538" s="20"/>
    </row>
    <row r="539" spans="4:51" ht="15" customHeight="1"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937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  <c r="AF539" s="20"/>
      <c r="AG539" s="20"/>
      <c r="AH539" s="20"/>
      <c r="AI539" s="20"/>
      <c r="AJ539" s="20"/>
      <c r="AK539" s="20"/>
      <c r="AL539" s="20"/>
      <c r="AM539" s="20"/>
      <c r="AN539" s="20"/>
      <c r="AO539" s="20"/>
      <c r="AP539" s="20"/>
      <c r="AQ539" s="20"/>
      <c r="AR539" s="20"/>
      <c r="AS539" s="20"/>
      <c r="AT539" s="20"/>
      <c r="AU539" s="20"/>
      <c r="AV539" s="20"/>
      <c r="AW539" s="20"/>
      <c r="AX539" s="20"/>
      <c r="AY539" s="20"/>
    </row>
    <row r="540" spans="4:51" ht="15" customHeight="1"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937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  <c r="AF540" s="20"/>
      <c r="AG540" s="20"/>
      <c r="AH540" s="20"/>
      <c r="AI540" s="20"/>
      <c r="AJ540" s="20"/>
      <c r="AK540" s="20"/>
      <c r="AL540" s="20"/>
      <c r="AM540" s="20"/>
      <c r="AN540" s="20"/>
      <c r="AO540" s="20"/>
      <c r="AP540" s="20"/>
      <c r="AQ540" s="20"/>
      <c r="AR540" s="20"/>
      <c r="AS540" s="20"/>
      <c r="AT540" s="20"/>
      <c r="AU540" s="20"/>
      <c r="AV540" s="20"/>
      <c r="AW540" s="20"/>
      <c r="AX540" s="20"/>
      <c r="AY540" s="20"/>
    </row>
    <row r="541" spans="4:51" ht="15" customHeight="1"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937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  <c r="AF541" s="20"/>
      <c r="AG541" s="20"/>
      <c r="AH541" s="20"/>
      <c r="AI541" s="20"/>
      <c r="AJ541" s="20"/>
      <c r="AK541" s="20"/>
      <c r="AL541" s="20"/>
      <c r="AM541" s="20"/>
      <c r="AN541" s="20"/>
      <c r="AO541" s="20"/>
      <c r="AP541" s="20"/>
      <c r="AQ541" s="20"/>
      <c r="AR541" s="20"/>
      <c r="AS541" s="20"/>
      <c r="AT541" s="20"/>
      <c r="AU541" s="20"/>
      <c r="AV541" s="20"/>
      <c r="AW541" s="20"/>
      <c r="AX541" s="20"/>
      <c r="AY541" s="20"/>
    </row>
    <row r="542" spans="4:51" ht="15" customHeight="1"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937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  <c r="AE542" s="20"/>
      <c r="AF542" s="20"/>
      <c r="AG542" s="20"/>
      <c r="AH542" s="20"/>
      <c r="AI542" s="20"/>
      <c r="AJ542" s="20"/>
      <c r="AK542" s="20"/>
      <c r="AL542" s="20"/>
      <c r="AM542" s="20"/>
      <c r="AN542" s="20"/>
      <c r="AO542" s="20"/>
      <c r="AP542" s="20"/>
      <c r="AQ542" s="20"/>
      <c r="AR542" s="20"/>
      <c r="AS542" s="20"/>
      <c r="AT542" s="20"/>
      <c r="AU542" s="20"/>
      <c r="AV542" s="20"/>
      <c r="AW542" s="20"/>
      <c r="AX542" s="20"/>
      <c r="AY542" s="20"/>
    </row>
    <row r="543" spans="4:51" ht="15" customHeight="1"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937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  <c r="AF543" s="20"/>
      <c r="AG543" s="20"/>
      <c r="AH543" s="20"/>
      <c r="AI543" s="20"/>
      <c r="AJ543" s="20"/>
      <c r="AK543" s="20"/>
      <c r="AL543" s="20"/>
      <c r="AM543" s="20"/>
      <c r="AN543" s="20"/>
      <c r="AO543" s="20"/>
      <c r="AP543" s="20"/>
      <c r="AQ543" s="20"/>
      <c r="AR543" s="20"/>
      <c r="AS543" s="20"/>
      <c r="AT543" s="20"/>
      <c r="AU543" s="20"/>
      <c r="AV543" s="20"/>
      <c r="AW543" s="20"/>
      <c r="AX543" s="20"/>
      <c r="AY543" s="20"/>
    </row>
    <row r="544" spans="4:51" ht="15" customHeight="1"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937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  <c r="AF544" s="20"/>
      <c r="AG544" s="20"/>
      <c r="AH544" s="20"/>
      <c r="AI544" s="20"/>
      <c r="AJ544" s="20"/>
      <c r="AK544" s="20"/>
      <c r="AL544" s="20"/>
      <c r="AM544" s="20"/>
      <c r="AN544" s="20"/>
      <c r="AO544" s="20"/>
      <c r="AP544" s="20"/>
      <c r="AQ544" s="20"/>
      <c r="AR544" s="20"/>
      <c r="AS544" s="20"/>
      <c r="AT544" s="20"/>
      <c r="AU544" s="20"/>
      <c r="AV544" s="20"/>
      <c r="AW544" s="20"/>
      <c r="AX544" s="20"/>
      <c r="AY544" s="20"/>
    </row>
    <row r="545" spans="4:51" ht="15" customHeight="1"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937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  <c r="AF545" s="20"/>
      <c r="AG545" s="20"/>
      <c r="AH545" s="20"/>
      <c r="AI545" s="20"/>
      <c r="AJ545" s="20"/>
      <c r="AK545" s="20"/>
      <c r="AL545" s="20"/>
      <c r="AM545" s="20"/>
      <c r="AN545" s="20"/>
      <c r="AO545" s="20"/>
      <c r="AP545" s="20"/>
      <c r="AQ545" s="20"/>
      <c r="AR545" s="20"/>
      <c r="AS545" s="20"/>
      <c r="AT545" s="20"/>
      <c r="AU545" s="20"/>
      <c r="AV545" s="20"/>
      <c r="AW545" s="20"/>
      <c r="AX545" s="20"/>
      <c r="AY545" s="20"/>
    </row>
    <row r="546" spans="4:51" ht="15" customHeight="1"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937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  <c r="AF546" s="20"/>
      <c r="AG546" s="20"/>
      <c r="AH546" s="20"/>
      <c r="AI546" s="20"/>
      <c r="AJ546" s="20"/>
      <c r="AK546" s="20"/>
      <c r="AL546" s="20"/>
      <c r="AM546" s="20"/>
      <c r="AN546" s="20"/>
      <c r="AO546" s="20"/>
      <c r="AP546" s="20"/>
      <c r="AQ546" s="20"/>
      <c r="AR546" s="20"/>
      <c r="AS546" s="20"/>
      <c r="AT546" s="20"/>
      <c r="AU546" s="20"/>
      <c r="AV546" s="20"/>
      <c r="AW546" s="20"/>
      <c r="AX546" s="20"/>
      <c r="AY546" s="20"/>
    </row>
    <row r="547" spans="4:51" ht="15" customHeight="1"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937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  <c r="AF547" s="20"/>
      <c r="AG547" s="20"/>
      <c r="AH547" s="20"/>
      <c r="AI547" s="20"/>
      <c r="AJ547" s="20"/>
      <c r="AK547" s="20"/>
      <c r="AL547" s="20"/>
      <c r="AM547" s="20"/>
      <c r="AN547" s="20"/>
      <c r="AO547" s="20"/>
      <c r="AP547" s="20"/>
      <c r="AQ547" s="20"/>
      <c r="AR547" s="20"/>
      <c r="AS547" s="20"/>
      <c r="AT547" s="20"/>
      <c r="AU547" s="20"/>
      <c r="AV547" s="20"/>
      <c r="AW547" s="20"/>
      <c r="AX547" s="20"/>
      <c r="AY547" s="20"/>
    </row>
    <row r="548" spans="4:51" ht="15" customHeight="1"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937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AI548" s="20"/>
      <c r="AJ548" s="20"/>
      <c r="AK548" s="20"/>
      <c r="AL548" s="20"/>
      <c r="AM548" s="20"/>
      <c r="AN548" s="20"/>
      <c r="AO548" s="20"/>
      <c r="AP548" s="20"/>
      <c r="AQ548" s="20"/>
      <c r="AR548" s="20"/>
      <c r="AS548" s="20"/>
      <c r="AT548" s="20"/>
      <c r="AU548" s="20"/>
      <c r="AV548" s="20"/>
      <c r="AW548" s="20"/>
      <c r="AX548" s="20"/>
      <c r="AY548" s="20"/>
    </row>
    <row r="549" spans="4:51" ht="15" customHeight="1"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937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  <c r="AF549" s="20"/>
      <c r="AG549" s="20"/>
      <c r="AH549" s="20"/>
      <c r="AI549" s="20"/>
      <c r="AJ549" s="20"/>
      <c r="AK549" s="20"/>
      <c r="AL549" s="20"/>
      <c r="AM549" s="20"/>
      <c r="AN549" s="20"/>
      <c r="AO549" s="20"/>
      <c r="AP549" s="20"/>
      <c r="AQ549" s="20"/>
      <c r="AR549" s="20"/>
      <c r="AS549" s="20"/>
      <c r="AT549" s="20"/>
      <c r="AU549" s="20"/>
      <c r="AV549" s="20"/>
      <c r="AW549" s="20"/>
      <c r="AX549" s="20"/>
      <c r="AY549" s="20"/>
    </row>
    <row r="550" spans="4:51" ht="15" customHeight="1"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937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AG550" s="20"/>
      <c r="AH550" s="20"/>
      <c r="AI550" s="20"/>
      <c r="AJ550" s="20"/>
      <c r="AK550" s="20"/>
      <c r="AL550" s="20"/>
      <c r="AM550" s="20"/>
      <c r="AN550" s="20"/>
      <c r="AO550" s="20"/>
      <c r="AP550" s="20"/>
      <c r="AQ550" s="20"/>
      <c r="AR550" s="20"/>
      <c r="AS550" s="20"/>
      <c r="AT550" s="20"/>
      <c r="AU550" s="20"/>
      <c r="AV550" s="20"/>
      <c r="AW550" s="20"/>
      <c r="AX550" s="20"/>
      <c r="AY550" s="20"/>
    </row>
    <row r="551" spans="4:51" ht="15" customHeight="1"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937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  <c r="AF551" s="20"/>
      <c r="AG551" s="20"/>
      <c r="AH551" s="20"/>
      <c r="AI551" s="20"/>
      <c r="AJ551" s="20"/>
      <c r="AK551" s="20"/>
      <c r="AL551" s="20"/>
      <c r="AM551" s="20"/>
      <c r="AN551" s="20"/>
      <c r="AO551" s="20"/>
      <c r="AP551" s="20"/>
      <c r="AQ551" s="20"/>
      <c r="AR551" s="20"/>
      <c r="AS551" s="20"/>
      <c r="AT551" s="20"/>
      <c r="AU551" s="20"/>
      <c r="AV551" s="20"/>
      <c r="AW551" s="20"/>
      <c r="AX551" s="20"/>
      <c r="AY551" s="20"/>
    </row>
    <row r="552" spans="4:51" ht="15" customHeight="1"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937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  <c r="AF552" s="20"/>
      <c r="AG552" s="20"/>
      <c r="AH552" s="20"/>
      <c r="AI552" s="20"/>
      <c r="AJ552" s="20"/>
      <c r="AK552" s="20"/>
      <c r="AL552" s="20"/>
      <c r="AM552" s="20"/>
      <c r="AN552" s="20"/>
      <c r="AO552" s="20"/>
      <c r="AP552" s="20"/>
      <c r="AQ552" s="20"/>
      <c r="AR552" s="20"/>
      <c r="AS552" s="20"/>
      <c r="AT552" s="20"/>
      <c r="AU552" s="20"/>
      <c r="AV552" s="20"/>
      <c r="AW552" s="20"/>
      <c r="AX552" s="20"/>
      <c r="AY552" s="20"/>
    </row>
    <row r="553" spans="4:51" ht="15" customHeight="1"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937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  <c r="AF553" s="20"/>
      <c r="AG553" s="20"/>
      <c r="AH553" s="20"/>
      <c r="AI553" s="20"/>
      <c r="AJ553" s="20"/>
      <c r="AK553" s="20"/>
      <c r="AL553" s="20"/>
      <c r="AM553" s="20"/>
      <c r="AN553" s="20"/>
      <c r="AO553" s="20"/>
      <c r="AP553" s="20"/>
      <c r="AQ553" s="20"/>
      <c r="AR553" s="20"/>
      <c r="AS553" s="20"/>
      <c r="AT553" s="20"/>
      <c r="AU553" s="20"/>
      <c r="AV553" s="20"/>
      <c r="AW553" s="20"/>
      <c r="AX553" s="20"/>
      <c r="AY553" s="20"/>
    </row>
    <row r="554" spans="4:51" ht="15" customHeight="1"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937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  <c r="AF554" s="20"/>
      <c r="AG554" s="20"/>
      <c r="AH554" s="20"/>
      <c r="AI554" s="20"/>
      <c r="AJ554" s="20"/>
      <c r="AK554" s="20"/>
      <c r="AL554" s="20"/>
      <c r="AM554" s="20"/>
      <c r="AN554" s="20"/>
      <c r="AO554" s="20"/>
      <c r="AP554" s="20"/>
      <c r="AQ554" s="20"/>
      <c r="AR554" s="20"/>
      <c r="AS554" s="20"/>
      <c r="AT554" s="20"/>
      <c r="AU554" s="20"/>
      <c r="AV554" s="20"/>
      <c r="AW554" s="20"/>
      <c r="AX554" s="20"/>
      <c r="AY554" s="20"/>
    </row>
    <row r="555" spans="4:51" ht="15" customHeight="1"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937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  <c r="AF555" s="20"/>
      <c r="AG555" s="20"/>
      <c r="AH555" s="20"/>
      <c r="AI555" s="20"/>
      <c r="AJ555" s="20"/>
      <c r="AK555" s="20"/>
      <c r="AL555" s="20"/>
      <c r="AM555" s="20"/>
      <c r="AN555" s="20"/>
      <c r="AO555" s="20"/>
      <c r="AP555" s="20"/>
      <c r="AQ555" s="20"/>
      <c r="AR555" s="20"/>
      <c r="AS555" s="20"/>
      <c r="AT555" s="20"/>
      <c r="AU555" s="20"/>
      <c r="AV555" s="20"/>
      <c r="AW555" s="20"/>
      <c r="AX555" s="20"/>
      <c r="AY555" s="20"/>
    </row>
    <row r="556" spans="4:51" ht="15" customHeight="1"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937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  <c r="AF556" s="20"/>
      <c r="AG556" s="20"/>
      <c r="AH556" s="20"/>
      <c r="AI556" s="20"/>
      <c r="AJ556" s="20"/>
      <c r="AK556" s="20"/>
      <c r="AL556" s="20"/>
      <c r="AM556" s="20"/>
      <c r="AN556" s="20"/>
      <c r="AO556" s="20"/>
      <c r="AP556" s="20"/>
      <c r="AQ556" s="20"/>
      <c r="AR556" s="20"/>
      <c r="AS556" s="20"/>
      <c r="AT556" s="20"/>
      <c r="AU556" s="20"/>
      <c r="AV556" s="20"/>
      <c r="AW556" s="20"/>
      <c r="AX556" s="20"/>
      <c r="AY556" s="20"/>
    </row>
    <row r="557" spans="4:51" ht="15" customHeight="1"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937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  <c r="AF557" s="20"/>
      <c r="AG557" s="20"/>
      <c r="AH557" s="20"/>
      <c r="AI557" s="20"/>
      <c r="AJ557" s="20"/>
      <c r="AK557" s="20"/>
      <c r="AL557" s="20"/>
      <c r="AM557" s="20"/>
      <c r="AN557" s="20"/>
      <c r="AO557" s="20"/>
      <c r="AP557" s="20"/>
      <c r="AQ557" s="20"/>
      <c r="AR557" s="20"/>
      <c r="AS557" s="20"/>
      <c r="AT557" s="20"/>
      <c r="AU557" s="20"/>
      <c r="AV557" s="20"/>
      <c r="AW557" s="20"/>
      <c r="AX557" s="20"/>
      <c r="AY557" s="20"/>
    </row>
    <row r="558" spans="4:51" ht="15" customHeight="1"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937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  <c r="AF558" s="20"/>
      <c r="AG558" s="20"/>
      <c r="AH558" s="20"/>
      <c r="AI558" s="20"/>
      <c r="AJ558" s="20"/>
      <c r="AK558" s="20"/>
      <c r="AL558" s="20"/>
      <c r="AM558" s="20"/>
      <c r="AN558" s="20"/>
      <c r="AO558" s="20"/>
      <c r="AP558" s="20"/>
      <c r="AQ558" s="20"/>
      <c r="AR558" s="20"/>
      <c r="AS558" s="20"/>
      <c r="AT558" s="20"/>
      <c r="AU558" s="20"/>
      <c r="AV558" s="20"/>
      <c r="AW558" s="20"/>
      <c r="AX558" s="20"/>
      <c r="AY558" s="20"/>
    </row>
    <row r="559" spans="4:51" ht="15" customHeight="1"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937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  <c r="AF559" s="20"/>
      <c r="AG559" s="20"/>
      <c r="AH559" s="20"/>
      <c r="AI559" s="20"/>
      <c r="AJ559" s="20"/>
      <c r="AK559" s="20"/>
      <c r="AL559" s="20"/>
      <c r="AM559" s="20"/>
      <c r="AN559" s="20"/>
      <c r="AO559" s="20"/>
      <c r="AP559" s="20"/>
      <c r="AQ559" s="20"/>
      <c r="AR559" s="20"/>
      <c r="AS559" s="20"/>
      <c r="AT559" s="20"/>
      <c r="AU559" s="20"/>
      <c r="AV559" s="20"/>
      <c r="AW559" s="20"/>
      <c r="AX559" s="20"/>
      <c r="AY559" s="20"/>
    </row>
    <row r="560" spans="4:51" ht="15" customHeight="1"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937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  <c r="AF560" s="20"/>
      <c r="AG560" s="20"/>
      <c r="AH560" s="20"/>
      <c r="AI560" s="20"/>
      <c r="AJ560" s="20"/>
      <c r="AK560" s="20"/>
      <c r="AL560" s="20"/>
      <c r="AM560" s="20"/>
      <c r="AN560" s="20"/>
      <c r="AO560" s="20"/>
      <c r="AP560" s="20"/>
      <c r="AQ560" s="20"/>
      <c r="AR560" s="20"/>
      <c r="AS560" s="20"/>
      <c r="AT560" s="20"/>
      <c r="AU560" s="20"/>
      <c r="AV560" s="20"/>
      <c r="AW560" s="20"/>
      <c r="AX560" s="20"/>
      <c r="AY560" s="20"/>
    </row>
    <row r="561" spans="4:51" ht="15" customHeight="1"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937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  <c r="AF561" s="20"/>
      <c r="AG561" s="20"/>
      <c r="AH561" s="20"/>
      <c r="AI561" s="20"/>
      <c r="AJ561" s="20"/>
      <c r="AK561" s="20"/>
      <c r="AL561" s="20"/>
      <c r="AM561" s="20"/>
      <c r="AN561" s="20"/>
      <c r="AO561" s="20"/>
      <c r="AP561" s="20"/>
      <c r="AQ561" s="20"/>
      <c r="AR561" s="20"/>
      <c r="AS561" s="20"/>
      <c r="AT561" s="20"/>
      <c r="AU561" s="20"/>
      <c r="AV561" s="20"/>
      <c r="AW561" s="20"/>
      <c r="AX561" s="20"/>
      <c r="AY561" s="20"/>
    </row>
    <row r="562" spans="4:51" ht="15" customHeight="1"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937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  <c r="AF562" s="20"/>
      <c r="AG562" s="20"/>
      <c r="AH562" s="20"/>
      <c r="AI562" s="20"/>
      <c r="AJ562" s="20"/>
      <c r="AK562" s="20"/>
      <c r="AL562" s="20"/>
      <c r="AM562" s="20"/>
      <c r="AN562" s="20"/>
      <c r="AO562" s="20"/>
      <c r="AP562" s="20"/>
      <c r="AQ562" s="20"/>
      <c r="AR562" s="20"/>
      <c r="AS562" s="20"/>
      <c r="AT562" s="20"/>
      <c r="AU562" s="20"/>
      <c r="AV562" s="20"/>
      <c r="AW562" s="20"/>
      <c r="AX562" s="20"/>
      <c r="AY562" s="20"/>
    </row>
    <row r="563" spans="4:51" ht="15" customHeight="1"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937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20"/>
      <c r="AM563" s="20"/>
      <c r="AN563" s="20"/>
      <c r="AO563" s="20"/>
      <c r="AP563" s="20"/>
      <c r="AQ563" s="20"/>
      <c r="AR563" s="20"/>
      <c r="AS563" s="20"/>
      <c r="AT563" s="20"/>
      <c r="AU563" s="20"/>
      <c r="AV563" s="20"/>
      <c r="AW563" s="20"/>
      <c r="AX563" s="20"/>
      <c r="AY563" s="20"/>
    </row>
    <row r="564" spans="4:51" ht="15" customHeight="1"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937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  <c r="AJ564" s="20"/>
      <c r="AK564" s="20"/>
      <c r="AL564" s="20"/>
      <c r="AM564" s="20"/>
      <c r="AN564" s="20"/>
      <c r="AO564" s="20"/>
      <c r="AP564" s="20"/>
      <c r="AQ564" s="20"/>
      <c r="AR564" s="20"/>
      <c r="AS564" s="20"/>
      <c r="AT564" s="20"/>
      <c r="AU564" s="20"/>
      <c r="AV564" s="20"/>
      <c r="AW564" s="20"/>
      <c r="AX564" s="20"/>
      <c r="AY564" s="20"/>
    </row>
    <row r="565" spans="4:51" ht="15" customHeight="1"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937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  <c r="AI565" s="20"/>
      <c r="AJ565" s="20"/>
      <c r="AK565" s="20"/>
      <c r="AL565" s="20"/>
      <c r="AM565" s="20"/>
      <c r="AN565" s="20"/>
      <c r="AO565" s="20"/>
      <c r="AP565" s="20"/>
      <c r="AQ565" s="20"/>
      <c r="AR565" s="20"/>
      <c r="AS565" s="20"/>
      <c r="AT565" s="20"/>
      <c r="AU565" s="20"/>
      <c r="AV565" s="20"/>
      <c r="AW565" s="20"/>
      <c r="AX565" s="20"/>
      <c r="AY565" s="20"/>
    </row>
    <row r="566" spans="4:51" ht="15" customHeight="1"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937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AI566" s="20"/>
      <c r="AJ566" s="20"/>
      <c r="AK566" s="20"/>
      <c r="AL566" s="20"/>
      <c r="AM566" s="20"/>
      <c r="AN566" s="20"/>
      <c r="AO566" s="20"/>
      <c r="AP566" s="20"/>
      <c r="AQ566" s="20"/>
      <c r="AR566" s="20"/>
      <c r="AS566" s="20"/>
      <c r="AT566" s="20"/>
      <c r="AU566" s="20"/>
      <c r="AV566" s="20"/>
      <c r="AW566" s="20"/>
      <c r="AX566" s="20"/>
      <c r="AY566" s="20"/>
    </row>
    <row r="567" spans="4:51" ht="15" customHeight="1"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937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  <c r="AF567" s="20"/>
      <c r="AG567" s="20"/>
      <c r="AH567" s="20"/>
      <c r="AI567" s="20"/>
      <c r="AJ567" s="20"/>
      <c r="AK567" s="20"/>
      <c r="AL567" s="20"/>
      <c r="AM567" s="20"/>
      <c r="AN567" s="20"/>
      <c r="AO567" s="20"/>
      <c r="AP567" s="20"/>
      <c r="AQ567" s="20"/>
      <c r="AR567" s="20"/>
      <c r="AS567" s="20"/>
      <c r="AT567" s="20"/>
      <c r="AU567" s="20"/>
      <c r="AV567" s="20"/>
      <c r="AW567" s="20"/>
      <c r="AX567" s="20"/>
      <c r="AY567" s="20"/>
    </row>
    <row r="568" spans="4:51" ht="15" customHeight="1"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937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AI568" s="20"/>
      <c r="AJ568" s="20"/>
      <c r="AK568" s="20"/>
      <c r="AL568" s="20"/>
      <c r="AM568" s="20"/>
      <c r="AN568" s="20"/>
      <c r="AO568" s="20"/>
      <c r="AP568" s="20"/>
      <c r="AQ568" s="20"/>
      <c r="AR568" s="20"/>
      <c r="AS568" s="20"/>
      <c r="AT568" s="20"/>
      <c r="AU568" s="20"/>
      <c r="AV568" s="20"/>
      <c r="AW568" s="20"/>
      <c r="AX568" s="20"/>
      <c r="AY568" s="20"/>
    </row>
    <row r="569" spans="4:51" ht="15" customHeight="1"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937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AG569" s="20"/>
      <c r="AH569" s="20"/>
      <c r="AI569" s="20"/>
      <c r="AJ569" s="20"/>
      <c r="AK569" s="20"/>
      <c r="AL569" s="20"/>
      <c r="AM569" s="20"/>
      <c r="AN569" s="20"/>
      <c r="AO569" s="20"/>
      <c r="AP569" s="20"/>
      <c r="AQ569" s="20"/>
      <c r="AR569" s="20"/>
      <c r="AS569" s="20"/>
      <c r="AT569" s="20"/>
      <c r="AU569" s="20"/>
      <c r="AV569" s="20"/>
      <c r="AW569" s="20"/>
      <c r="AX569" s="20"/>
      <c r="AY569" s="20"/>
    </row>
    <row r="570" spans="4:51" ht="15" customHeight="1"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937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  <c r="AI570" s="20"/>
      <c r="AJ570" s="20"/>
      <c r="AK570" s="20"/>
      <c r="AL570" s="20"/>
      <c r="AM570" s="20"/>
      <c r="AN570" s="20"/>
      <c r="AO570" s="20"/>
      <c r="AP570" s="20"/>
      <c r="AQ570" s="20"/>
      <c r="AR570" s="20"/>
      <c r="AS570" s="20"/>
      <c r="AT570" s="20"/>
      <c r="AU570" s="20"/>
      <c r="AV570" s="20"/>
      <c r="AW570" s="20"/>
      <c r="AX570" s="20"/>
      <c r="AY570" s="20"/>
    </row>
    <row r="571" spans="4:51" ht="15" customHeight="1"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937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  <c r="AJ571" s="20"/>
      <c r="AK571" s="20"/>
      <c r="AL571" s="20"/>
      <c r="AM571" s="20"/>
      <c r="AN571" s="20"/>
      <c r="AO571" s="20"/>
      <c r="AP571" s="20"/>
      <c r="AQ571" s="20"/>
      <c r="AR571" s="20"/>
      <c r="AS571" s="20"/>
      <c r="AT571" s="20"/>
      <c r="AU571" s="20"/>
      <c r="AV571" s="20"/>
      <c r="AW571" s="20"/>
      <c r="AX571" s="20"/>
      <c r="AY571" s="20"/>
    </row>
    <row r="572" spans="4:51" ht="15" customHeight="1"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937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0"/>
      <c r="AI572" s="20"/>
      <c r="AJ572" s="20"/>
      <c r="AK572" s="20"/>
      <c r="AL572" s="20"/>
      <c r="AM572" s="20"/>
      <c r="AN572" s="20"/>
      <c r="AO572" s="20"/>
      <c r="AP572" s="20"/>
      <c r="AQ572" s="20"/>
      <c r="AR572" s="20"/>
      <c r="AS572" s="20"/>
      <c r="AT572" s="20"/>
      <c r="AU572" s="20"/>
      <c r="AV572" s="20"/>
      <c r="AW572" s="20"/>
      <c r="AX572" s="20"/>
      <c r="AY572" s="20"/>
    </row>
    <row r="573" spans="4:51" ht="15" customHeight="1"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937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20"/>
      <c r="AM573" s="20"/>
      <c r="AN573" s="20"/>
      <c r="AO573" s="20"/>
      <c r="AP573" s="20"/>
      <c r="AQ573" s="20"/>
      <c r="AR573" s="20"/>
      <c r="AS573" s="20"/>
      <c r="AT573" s="20"/>
      <c r="AU573" s="20"/>
      <c r="AV573" s="20"/>
      <c r="AW573" s="20"/>
      <c r="AX573" s="20"/>
      <c r="AY573" s="20"/>
    </row>
    <row r="574" spans="4:51" ht="15" customHeight="1"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937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0"/>
      <c r="AM574" s="20"/>
      <c r="AN574" s="20"/>
      <c r="AO574" s="20"/>
      <c r="AP574" s="20"/>
      <c r="AQ574" s="20"/>
      <c r="AR574" s="20"/>
      <c r="AS574" s="20"/>
      <c r="AT574" s="20"/>
      <c r="AU574" s="20"/>
      <c r="AV574" s="20"/>
      <c r="AW574" s="20"/>
      <c r="AX574" s="20"/>
      <c r="AY574" s="20"/>
    </row>
    <row r="575" spans="4:51" ht="15" customHeight="1"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937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  <c r="AI575" s="20"/>
      <c r="AJ575" s="20"/>
      <c r="AK575" s="20"/>
      <c r="AL575" s="20"/>
      <c r="AM575" s="20"/>
      <c r="AN575" s="20"/>
      <c r="AO575" s="20"/>
      <c r="AP575" s="20"/>
      <c r="AQ575" s="20"/>
      <c r="AR575" s="20"/>
      <c r="AS575" s="20"/>
      <c r="AT575" s="20"/>
      <c r="AU575" s="20"/>
      <c r="AV575" s="20"/>
      <c r="AW575" s="20"/>
      <c r="AX575" s="20"/>
      <c r="AY575" s="20"/>
    </row>
    <row r="576" spans="4:51" ht="15" customHeight="1"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937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  <c r="AF576" s="20"/>
      <c r="AG576" s="20"/>
      <c r="AH576" s="20"/>
      <c r="AI576" s="20"/>
      <c r="AJ576" s="20"/>
      <c r="AK576" s="20"/>
      <c r="AL576" s="20"/>
      <c r="AM576" s="20"/>
      <c r="AN576" s="20"/>
      <c r="AO576" s="20"/>
      <c r="AP576" s="20"/>
      <c r="AQ576" s="20"/>
      <c r="AR576" s="20"/>
      <c r="AS576" s="20"/>
      <c r="AT576" s="20"/>
      <c r="AU576" s="20"/>
      <c r="AV576" s="20"/>
      <c r="AW576" s="20"/>
      <c r="AX576" s="20"/>
      <c r="AY576" s="20"/>
    </row>
    <row r="577" spans="4:51" ht="15" customHeight="1"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937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/>
      <c r="AI577" s="20"/>
      <c r="AJ577" s="20"/>
      <c r="AK577" s="20"/>
      <c r="AL577" s="20"/>
      <c r="AM577" s="20"/>
      <c r="AN577" s="20"/>
      <c r="AO577" s="20"/>
      <c r="AP577" s="20"/>
      <c r="AQ577" s="20"/>
      <c r="AR577" s="20"/>
      <c r="AS577" s="20"/>
      <c r="AT577" s="20"/>
      <c r="AU577" s="20"/>
      <c r="AV577" s="20"/>
      <c r="AW577" s="20"/>
      <c r="AX577" s="20"/>
      <c r="AY577" s="20"/>
    </row>
    <row r="578" spans="4:51" ht="15" customHeight="1"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937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  <c r="AF578" s="20"/>
      <c r="AG578" s="20"/>
      <c r="AH578" s="20"/>
      <c r="AI578" s="20"/>
      <c r="AJ578" s="20"/>
      <c r="AK578" s="20"/>
      <c r="AL578" s="20"/>
      <c r="AM578" s="20"/>
      <c r="AN578" s="20"/>
      <c r="AO578" s="20"/>
      <c r="AP578" s="20"/>
      <c r="AQ578" s="20"/>
      <c r="AR578" s="20"/>
      <c r="AS578" s="20"/>
      <c r="AT578" s="20"/>
      <c r="AU578" s="20"/>
      <c r="AV578" s="20"/>
      <c r="AW578" s="20"/>
      <c r="AX578" s="20"/>
      <c r="AY578" s="20"/>
    </row>
    <row r="579" spans="4:51" ht="15" customHeight="1"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937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  <c r="AF579" s="20"/>
      <c r="AG579" s="20"/>
      <c r="AH579" s="20"/>
      <c r="AI579" s="20"/>
      <c r="AJ579" s="20"/>
      <c r="AK579" s="20"/>
      <c r="AL579" s="20"/>
      <c r="AM579" s="20"/>
      <c r="AN579" s="20"/>
      <c r="AO579" s="20"/>
      <c r="AP579" s="20"/>
      <c r="AQ579" s="20"/>
      <c r="AR579" s="20"/>
      <c r="AS579" s="20"/>
      <c r="AT579" s="20"/>
      <c r="AU579" s="20"/>
      <c r="AV579" s="20"/>
      <c r="AW579" s="20"/>
      <c r="AX579" s="20"/>
      <c r="AY579" s="20"/>
    </row>
    <row r="580" spans="4:51" ht="15" customHeight="1"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937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20"/>
      <c r="AM580" s="20"/>
      <c r="AN580" s="20"/>
      <c r="AO580" s="20"/>
      <c r="AP580" s="20"/>
      <c r="AQ580" s="20"/>
      <c r="AR580" s="20"/>
      <c r="AS580" s="20"/>
      <c r="AT580" s="20"/>
      <c r="AU580" s="20"/>
      <c r="AV580" s="20"/>
      <c r="AW580" s="20"/>
      <c r="AX580" s="20"/>
      <c r="AY580" s="20"/>
    </row>
    <row r="581" spans="4:51" ht="15" customHeight="1"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937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20"/>
      <c r="AM581" s="20"/>
      <c r="AN581" s="20"/>
      <c r="AO581" s="20"/>
      <c r="AP581" s="20"/>
      <c r="AQ581" s="20"/>
      <c r="AR581" s="20"/>
      <c r="AS581" s="20"/>
      <c r="AT581" s="20"/>
      <c r="AU581" s="20"/>
      <c r="AV581" s="20"/>
      <c r="AW581" s="20"/>
      <c r="AX581" s="20"/>
      <c r="AY581" s="20"/>
    </row>
    <row r="582" spans="4:51" ht="15" customHeight="1"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937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20"/>
      <c r="AM582" s="20"/>
      <c r="AN582" s="20"/>
      <c r="AO582" s="20"/>
      <c r="AP582" s="20"/>
      <c r="AQ582" s="20"/>
      <c r="AR582" s="20"/>
      <c r="AS582" s="20"/>
      <c r="AT582" s="20"/>
      <c r="AU582" s="20"/>
      <c r="AV582" s="20"/>
      <c r="AW582" s="20"/>
      <c r="AX582" s="20"/>
      <c r="AY582" s="20"/>
    </row>
    <row r="583" spans="4:51" ht="15" customHeight="1"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937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20"/>
      <c r="AM583" s="20"/>
      <c r="AN583" s="20"/>
      <c r="AO583" s="20"/>
      <c r="AP583" s="20"/>
      <c r="AQ583" s="20"/>
      <c r="AR583" s="20"/>
      <c r="AS583" s="20"/>
      <c r="AT583" s="20"/>
      <c r="AU583" s="20"/>
      <c r="AV583" s="20"/>
      <c r="AW583" s="20"/>
      <c r="AX583" s="20"/>
      <c r="AY583" s="20"/>
    </row>
    <row r="584" spans="4:51" ht="15" customHeight="1"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937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AI584" s="20"/>
      <c r="AJ584" s="20"/>
      <c r="AK584" s="20"/>
      <c r="AL584" s="20"/>
      <c r="AM584" s="20"/>
      <c r="AN584" s="20"/>
      <c r="AO584" s="20"/>
      <c r="AP584" s="20"/>
      <c r="AQ584" s="20"/>
      <c r="AR584" s="20"/>
      <c r="AS584" s="20"/>
      <c r="AT584" s="20"/>
      <c r="AU584" s="20"/>
      <c r="AV584" s="20"/>
      <c r="AW584" s="20"/>
      <c r="AX584" s="20"/>
      <c r="AY584" s="20"/>
    </row>
    <row r="585" spans="4:51" ht="15" customHeight="1"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937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  <c r="AF585" s="20"/>
      <c r="AG585" s="20"/>
      <c r="AH585" s="20"/>
      <c r="AI585" s="20"/>
      <c r="AJ585" s="20"/>
      <c r="AK585" s="20"/>
      <c r="AL585" s="20"/>
      <c r="AM585" s="20"/>
      <c r="AN585" s="20"/>
      <c r="AO585" s="20"/>
      <c r="AP585" s="20"/>
      <c r="AQ585" s="20"/>
      <c r="AR585" s="20"/>
      <c r="AS585" s="20"/>
      <c r="AT585" s="20"/>
      <c r="AU585" s="20"/>
      <c r="AV585" s="20"/>
      <c r="AW585" s="20"/>
      <c r="AX585" s="20"/>
      <c r="AY585" s="20"/>
    </row>
    <row r="586" spans="4:51" ht="15" customHeight="1"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937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AI586" s="20"/>
      <c r="AJ586" s="20"/>
      <c r="AK586" s="20"/>
      <c r="AL586" s="20"/>
      <c r="AM586" s="20"/>
      <c r="AN586" s="20"/>
      <c r="AO586" s="20"/>
      <c r="AP586" s="20"/>
      <c r="AQ586" s="20"/>
      <c r="AR586" s="20"/>
      <c r="AS586" s="20"/>
      <c r="AT586" s="20"/>
      <c r="AU586" s="20"/>
      <c r="AV586" s="20"/>
      <c r="AW586" s="20"/>
      <c r="AX586" s="20"/>
      <c r="AY586" s="20"/>
    </row>
    <row r="587" spans="4:51" ht="15" customHeight="1"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937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AG587" s="20"/>
      <c r="AH587" s="20"/>
      <c r="AI587" s="20"/>
      <c r="AJ587" s="20"/>
      <c r="AK587" s="20"/>
      <c r="AL587" s="20"/>
      <c r="AM587" s="20"/>
      <c r="AN587" s="20"/>
      <c r="AO587" s="20"/>
      <c r="AP587" s="20"/>
      <c r="AQ587" s="20"/>
      <c r="AR587" s="20"/>
      <c r="AS587" s="20"/>
      <c r="AT587" s="20"/>
      <c r="AU587" s="20"/>
      <c r="AV587" s="20"/>
      <c r="AW587" s="20"/>
      <c r="AX587" s="20"/>
      <c r="AY587" s="20"/>
    </row>
    <row r="588" spans="4:51" ht="15" customHeight="1"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937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  <c r="AI588" s="20"/>
      <c r="AJ588" s="20"/>
      <c r="AK588" s="20"/>
      <c r="AL588" s="20"/>
      <c r="AM588" s="20"/>
      <c r="AN588" s="20"/>
      <c r="AO588" s="20"/>
      <c r="AP588" s="20"/>
      <c r="AQ588" s="20"/>
      <c r="AR588" s="20"/>
      <c r="AS588" s="20"/>
      <c r="AT588" s="20"/>
      <c r="AU588" s="20"/>
      <c r="AV588" s="20"/>
      <c r="AW588" s="20"/>
      <c r="AX588" s="20"/>
      <c r="AY588" s="20"/>
    </row>
    <row r="589" spans="4:51" ht="15" customHeight="1"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937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20"/>
      <c r="AH589" s="20"/>
      <c r="AI589" s="20"/>
      <c r="AJ589" s="20"/>
      <c r="AK589" s="20"/>
      <c r="AL589" s="20"/>
      <c r="AM589" s="20"/>
      <c r="AN589" s="20"/>
      <c r="AO589" s="20"/>
      <c r="AP589" s="20"/>
      <c r="AQ589" s="20"/>
      <c r="AR589" s="20"/>
      <c r="AS589" s="20"/>
      <c r="AT589" s="20"/>
      <c r="AU589" s="20"/>
      <c r="AV589" s="20"/>
      <c r="AW589" s="20"/>
      <c r="AX589" s="20"/>
      <c r="AY589" s="20"/>
    </row>
    <row r="590" spans="4:51" ht="15" customHeight="1"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937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  <c r="AF590" s="20"/>
      <c r="AG590" s="20"/>
      <c r="AH590" s="20"/>
      <c r="AI590" s="20"/>
      <c r="AJ590" s="20"/>
      <c r="AK590" s="20"/>
      <c r="AL590" s="20"/>
      <c r="AM590" s="20"/>
      <c r="AN590" s="20"/>
      <c r="AO590" s="20"/>
      <c r="AP590" s="20"/>
      <c r="AQ590" s="20"/>
      <c r="AR590" s="20"/>
      <c r="AS590" s="20"/>
      <c r="AT590" s="20"/>
      <c r="AU590" s="20"/>
      <c r="AV590" s="20"/>
      <c r="AW590" s="20"/>
      <c r="AX590" s="20"/>
      <c r="AY590" s="20"/>
    </row>
    <row r="591" spans="4:51" ht="15" customHeight="1"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937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  <c r="AF591" s="20"/>
      <c r="AG591" s="20"/>
      <c r="AH591" s="20"/>
      <c r="AI591" s="20"/>
      <c r="AJ591" s="20"/>
      <c r="AK591" s="20"/>
      <c r="AL591" s="20"/>
      <c r="AM591" s="20"/>
      <c r="AN591" s="20"/>
      <c r="AO591" s="20"/>
      <c r="AP591" s="20"/>
      <c r="AQ591" s="20"/>
      <c r="AR591" s="20"/>
      <c r="AS591" s="20"/>
      <c r="AT591" s="20"/>
      <c r="AU591" s="20"/>
      <c r="AV591" s="20"/>
      <c r="AW591" s="20"/>
      <c r="AX591" s="20"/>
      <c r="AY591" s="20"/>
    </row>
    <row r="592" spans="4:51" ht="15" customHeight="1"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937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  <c r="AF592" s="20"/>
      <c r="AG592" s="20"/>
      <c r="AH592" s="20"/>
      <c r="AI592" s="20"/>
      <c r="AJ592" s="20"/>
      <c r="AK592" s="20"/>
      <c r="AL592" s="20"/>
      <c r="AM592" s="20"/>
      <c r="AN592" s="20"/>
      <c r="AO592" s="20"/>
      <c r="AP592" s="20"/>
      <c r="AQ592" s="20"/>
      <c r="AR592" s="20"/>
      <c r="AS592" s="20"/>
      <c r="AT592" s="20"/>
      <c r="AU592" s="20"/>
      <c r="AV592" s="20"/>
      <c r="AW592" s="20"/>
      <c r="AX592" s="20"/>
      <c r="AY592" s="20"/>
    </row>
    <row r="593" spans="4:51" ht="15" customHeight="1"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937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  <c r="AF593" s="20"/>
      <c r="AG593" s="20"/>
      <c r="AH593" s="20"/>
      <c r="AI593" s="20"/>
      <c r="AJ593" s="20"/>
      <c r="AK593" s="20"/>
      <c r="AL593" s="20"/>
      <c r="AM593" s="20"/>
      <c r="AN593" s="20"/>
      <c r="AO593" s="20"/>
      <c r="AP593" s="20"/>
      <c r="AQ593" s="20"/>
      <c r="AR593" s="20"/>
      <c r="AS593" s="20"/>
      <c r="AT593" s="20"/>
      <c r="AU593" s="20"/>
      <c r="AV593" s="20"/>
      <c r="AW593" s="20"/>
      <c r="AX593" s="20"/>
      <c r="AY593" s="20"/>
    </row>
    <row r="594" spans="4:51" ht="15" customHeight="1"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937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  <c r="AF594" s="20"/>
      <c r="AG594" s="20"/>
      <c r="AH594" s="20"/>
      <c r="AI594" s="20"/>
      <c r="AJ594" s="20"/>
      <c r="AK594" s="20"/>
      <c r="AL594" s="20"/>
      <c r="AM594" s="20"/>
      <c r="AN594" s="20"/>
      <c r="AO594" s="20"/>
      <c r="AP594" s="20"/>
      <c r="AQ594" s="20"/>
      <c r="AR594" s="20"/>
      <c r="AS594" s="20"/>
      <c r="AT594" s="20"/>
      <c r="AU594" s="20"/>
      <c r="AV594" s="20"/>
      <c r="AW594" s="20"/>
      <c r="AX594" s="20"/>
      <c r="AY594" s="20"/>
    </row>
    <row r="595" spans="4:51" ht="15" customHeight="1"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937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  <c r="AF595" s="20"/>
      <c r="AG595" s="20"/>
      <c r="AH595" s="20"/>
      <c r="AI595" s="20"/>
      <c r="AJ595" s="20"/>
      <c r="AK595" s="20"/>
      <c r="AL595" s="20"/>
      <c r="AM595" s="20"/>
      <c r="AN595" s="20"/>
      <c r="AO595" s="20"/>
      <c r="AP595" s="20"/>
      <c r="AQ595" s="20"/>
      <c r="AR595" s="20"/>
      <c r="AS595" s="20"/>
      <c r="AT595" s="20"/>
      <c r="AU595" s="20"/>
      <c r="AV595" s="20"/>
      <c r="AW595" s="20"/>
      <c r="AX595" s="20"/>
      <c r="AY595" s="20"/>
    </row>
    <row r="596" spans="4:51" ht="15" customHeight="1"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937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  <c r="AF596" s="20"/>
      <c r="AG596" s="20"/>
      <c r="AH596" s="20"/>
      <c r="AI596" s="20"/>
      <c r="AJ596" s="20"/>
      <c r="AK596" s="20"/>
      <c r="AL596" s="20"/>
      <c r="AM596" s="20"/>
      <c r="AN596" s="20"/>
      <c r="AO596" s="20"/>
      <c r="AP596" s="20"/>
      <c r="AQ596" s="20"/>
      <c r="AR596" s="20"/>
      <c r="AS596" s="20"/>
      <c r="AT596" s="20"/>
      <c r="AU596" s="20"/>
      <c r="AV596" s="20"/>
      <c r="AW596" s="20"/>
      <c r="AX596" s="20"/>
      <c r="AY596" s="20"/>
    </row>
    <row r="597" spans="4:51" ht="15" customHeight="1"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937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  <c r="AF597" s="20"/>
      <c r="AG597" s="20"/>
      <c r="AH597" s="20"/>
      <c r="AI597" s="20"/>
      <c r="AJ597" s="20"/>
      <c r="AK597" s="20"/>
      <c r="AL597" s="20"/>
      <c r="AM597" s="20"/>
      <c r="AN597" s="20"/>
      <c r="AO597" s="20"/>
      <c r="AP597" s="20"/>
      <c r="AQ597" s="20"/>
      <c r="AR597" s="20"/>
      <c r="AS597" s="20"/>
      <c r="AT597" s="20"/>
      <c r="AU597" s="20"/>
      <c r="AV597" s="20"/>
      <c r="AW597" s="20"/>
      <c r="AX597" s="20"/>
      <c r="AY597" s="20"/>
    </row>
    <row r="598" spans="4:51" ht="15" customHeight="1"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937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  <c r="AF598" s="20"/>
      <c r="AG598" s="20"/>
      <c r="AH598" s="20"/>
      <c r="AI598" s="20"/>
      <c r="AJ598" s="20"/>
      <c r="AK598" s="20"/>
      <c r="AL598" s="20"/>
      <c r="AM598" s="20"/>
      <c r="AN598" s="20"/>
      <c r="AO598" s="20"/>
      <c r="AP598" s="20"/>
      <c r="AQ598" s="20"/>
      <c r="AR598" s="20"/>
      <c r="AS598" s="20"/>
      <c r="AT598" s="20"/>
      <c r="AU598" s="20"/>
      <c r="AV598" s="20"/>
      <c r="AW598" s="20"/>
      <c r="AX598" s="20"/>
      <c r="AY598" s="20"/>
    </row>
    <row r="599" spans="4:51" ht="15" customHeight="1"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937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  <c r="AF599" s="20"/>
      <c r="AG599" s="20"/>
      <c r="AH599" s="20"/>
      <c r="AI599" s="20"/>
      <c r="AJ599" s="20"/>
      <c r="AK599" s="20"/>
      <c r="AL599" s="20"/>
      <c r="AM599" s="20"/>
      <c r="AN599" s="20"/>
      <c r="AO599" s="20"/>
      <c r="AP599" s="20"/>
      <c r="AQ599" s="20"/>
      <c r="AR599" s="20"/>
      <c r="AS599" s="20"/>
      <c r="AT599" s="20"/>
      <c r="AU599" s="20"/>
      <c r="AV599" s="20"/>
      <c r="AW599" s="20"/>
      <c r="AX599" s="20"/>
      <c r="AY599" s="20"/>
    </row>
    <row r="600" spans="4:51" ht="15" customHeight="1"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937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  <c r="AF600" s="20"/>
      <c r="AG600" s="20"/>
      <c r="AH600" s="20"/>
      <c r="AI600" s="20"/>
      <c r="AJ600" s="20"/>
      <c r="AK600" s="20"/>
      <c r="AL600" s="20"/>
      <c r="AM600" s="20"/>
      <c r="AN600" s="20"/>
      <c r="AO600" s="20"/>
      <c r="AP600" s="20"/>
      <c r="AQ600" s="20"/>
      <c r="AR600" s="20"/>
      <c r="AS600" s="20"/>
      <c r="AT600" s="20"/>
      <c r="AU600" s="20"/>
      <c r="AV600" s="20"/>
      <c r="AW600" s="20"/>
      <c r="AX600" s="20"/>
      <c r="AY600" s="20"/>
    </row>
    <row r="601" spans="4:51" ht="15" customHeight="1"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937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  <c r="AF601" s="20"/>
      <c r="AG601" s="20"/>
      <c r="AH601" s="20"/>
      <c r="AI601" s="20"/>
      <c r="AJ601" s="20"/>
      <c r="AK601" s="20"/>
      <c r="AL601" s="20"/>
      <c r="AM601" s="20"/>
      <c r="AN601" s="20"/>
      <c r="AO601" s="20"/>
      <c r="AP601" s="20"/>
      <c r="AQ601" s="20"/>
      <c r="AR601" s="20"/>
      <c r="AS601" s="20"/>
      <c r="AT601" s="20"/>
      <c r="AU601" s="20"/>
      <c r="AV601" s="20"/>
      <c r="AW601" s="20"/>
      <c r="AX601" s="20"/>
      <c r="AY601" s="20"/>
    </row>
    <row r="602" spans="4:51" ht="15" customHeight="1"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937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AG602" s="20"/>
      <c r="AH602" s="20"/>
      <c r="AI602" s="20"/>
      <c r="AJ602" s="20"/>
      <c r="AK602" s="20"/>
      <c r="AL602" s="20"/>
      <c r="AM602" s="20"/>
      <c r="AN602" s="20"/>
      <c r="AO602" s="20"/>
      <c r="AP602" s="20"/>
      <c r="AQ602" s="20"/>
      <c r="AR602" s="20"/>
      <c r="AS602" s="20"/>
      <c r="AT602" s="20"/>
      <c r="AU602" s="20"/>
      <c r="AV602" s="20"/>
      <c r="AW602" s="20"/>
      <c r="AX602" s="20"/>
      <c r="AY602" s="20"/>
    </row>
    <row r="603" spans="4:51" ht="15" customHeight="1"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937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AI603" s="20"/>
      <c r="AJ603" s="20"/>
      <c r="AK603" s="20"/>
      <c r="AL603" s="20"/>
      <c r="AM603" s="20"/>
      <c r="AN603" s="20"/>
      <c r="AO603" s="20"/>
      <c r="AP603" s="20"/>
      <c r="AQ603" s="20"/>
      <c r="AR603" s="20"/>
      <c r="AS603" s="20"/>
      <c r="AT603" s="20"/>
      <c r="AU603" s="20"/>
      <c r="AV603" s="20"/>
      <c r="AW603" s="20"/>
      <c r="AX603" s="20"/>
      <c r="AY603" s="20"/>
    </row>
    <row r="604" spans="4:51" ht="15" customHeight="1"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937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  <c r="AF604" s="20"/>
      <c r="AG604" s="20"/>
      <c r="AH604" s="20"/>
      <c r="AI604" s="20"/>
      <c r="AJ604" s="20"/>
      <c r="AK604" s="20"/>
      <c r="AL604" s="20"/>
      <c r="AM604" s="20"/>
      <c r="AN604" s="20"/>
      <c r="AO604" s="20"/>
      <c r="AP604" s="20"/>
      <c r="AQ604" s="20"/>
      <c r="AR604" s="20"/>
      <c r="AS604" s="20"/>
      <c r="AT604" s="20"/>
      <c r="AU604" s="20"/>
      <c r="AV604" s="20"/>
      <c r="AW604" s="20"/>
      <c r="AX604" s="20"/>
      <c r="AY604" s="20"/>
    </row>
    <row r="605" spans="4:51" ht="15" customHeight="1"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937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  <c r="AI605" s="20"/>
      <c r="AJ605" s="20"/>
      <c r="AK605" s="20"/>
      <c r="AL605" s="20"/>
      <c r="AM605" s="20"/>
      <c r="AN605" s="20"/>
      <c r="AO605" s="20"/>
      <c r="AP605" s="20"/>
      <c r="AQ605" s="20"/>
      <c r="AR605" s="20"/>
      <c r="AS605" s="20"/>
      <c r="AT605" s="20"/>
      <c r="AU605" s="20"/>
      <c r="AV605" s="20"/>
      <c r="AW605" s="20"/>
      <c r="AX605" s="20"/>
      <c r="AY605" s="20"/>
    </row>
    <row r="606" spans="4:51" ht="15" customHeight="1"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937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  <c r="AF606" s="20"/>
      <c r="AG606" s="20"/>
      <c r="AH606" s="20"/>
      <c r="AI606" s="20"/>
      <c r="AJ606" s="20"/>
      <c r="AK606" s="20"/>
      <c r="AL606" s="20"/>
      <c r="AM606" s="20"/>
      <c r="AN606" s="20"/>
      <c r="AO606" s="20"/>
      <c r="AP606" s="20"/>
      <c r="AQ606" s="20"/>
      <c r="AR606" s="20"/>
      <c r="AS606" s="20"/>
      <c r="AT606" s="20"/>
      <c r="AU606" s="20"/>
      <c r="AV606" s="20"/>
      <c r="AW606" s="20"/>
      <c r="AX606" s="20"/>
      <c r="AY606" s="20"/>
    </row>
    <row r="607" spans="4:51" ht="15" customHeight="1"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937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  <c r="AI607" s="20"/>
      <c r="AJ607" s="20"/>
      <c r="AK607" s="20"/>
      <c r="AL607" s="20"/>
      <c r="AM607" s="20"/>
      <c r="AN607" s="20"/>
      <c r="AO607" s="20"/>
      <c r="AP607" s="20"/>
      <c r="AQ607" s="20"/>
      <c r="AR607" s="20"/>
      <c r="AS607" s="20"/>
      <c r="AT607" s="20"/>
      <c r="AU607" s="20"/>
      <c r="AV607" s="20"/>
      <c r="AW607" s="20"/>
      <c r="AX607" s="20"/>
      <c r="AY607" s="20"/>
    </row>
    <row r="608" spans="4:51" ht="15" customHeight="1"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937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  <c r="AF608" s="20"/>
      <c r="AG608" s="20"/>
      <c r="AH608" s="20"/>
      <c r="AI608" s="20"/>
      <c r="AJ608" s="20"/>
      <c r="AK608" s="20"/>
      <c r="AL608" s="20"/>
      <c r="AM608" s="20"/>
      <c r="AN608" s="20"/>
      <c r="AO608" s="20"/>
      <c r="AP608" s="20"/>
      <c r="AQ608" s="20"/>
      <c r="AR608" s="20"/>
      <c r="AS608" s="20"/>
      <c r="AT608" s="20"/>
      <c r="AU608" s="20"/>
      <c r="AV608" s="20"/>
      <c r="AW608" s="20"/>
      <c r="AX608" s="20"/>
      <c r="AY608" s="20"/>
    </row>
    <row r="609" spans="4:51" ht="15" customHeight="1"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937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  <c r="AF609" s="20"/>
      <c r="AG609" s="20"/>
      <c r="AH609" s="20"/>
      <c r="AI609" s="20"/>
      <c r="AJ609" s="20"/>
      <c r="AK609" s="20"/>
      <c r="AL609" s="20"/>
      <c r="AM609" s="20"/>
      <c r="AN609" s="20"/>
      <c r="AO609" s="20"/>
      <c r="AP609" s="20"/>
      <c r="AQ609" s="20"/>
      <c r="AR609" s="20"/>
      <c r="AS609" s="20"/>
      <c r="AT609" s="20"/>
      <c r="AU609" s="20"/>
      <c r="AV609" s="20"/>
      <c r="AW609" s="20"/>
      <c r="AX609" s="20"/>
      <c r="AY609" s="20"/>
    </row>
    <row r="610" spans="4:51" ht="15" customHeight="1"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937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  <c r="AH610" s="20"/>
      <c r="AI610" s="20"/>
      <c r="AJ610" s="20"/>
      <c r="AK610" s="20"/>
      <c r="AL610" s="20"/>
      <c r="AM610" s="20"/>
      <c r="AN610" s="20"/>
      <c r="AO610" s="20"/>
      <c r="AP610" s="20"/>
      <c r="AQ610" s="20"/>
      <c r="AR610" s="20"/>
      <c r="AS610" s="20"/>
      <c r="AT610" s="20"/>
      <c r="AU610" s="20"/>
      <c r="AV610" s="20"/>
      <c r="AW610" s="20"/>
      <c r="AX610" s="20"/>
      <c r="AY610" s="20"/>
    </row>
    <row r="611" spans="4:51" ht="15" customHeight="1"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937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  <c r="AI611" s="20"/>
      <c r="AJ611" s="20"/>
      <c r="AK611" s="20"/>
      <c r="AL611" s="20"/>
      <c r="AM611" s="20"/>
      <c r="AN611" s="20"/>
      <c r="AO611" s="20"/>
      <c r="AP611" s="20"/>
      <c r="AQ611" s="20"/>
      <c r="AR611" s="20"/>
      <c r="AS611" s="20"/>
      <c r="AT611" s="20"/>
      <c r="AU611" s="20"/>
      <c r="AV611" s="20"/>
      <c r="AW611" s="20"/>
      <c r="AX611" s="20"/>
      <c r="AY611" s="20"/>
    </row>
    <row r="612" spans="4:51" ht="15" customHeight="1"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937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0"/>
      <c r="AM612" s="20"/>
      <c r="AN612" s="20"/>
      <c r="AO612" s="20"/>
      <c r="AP612" s="20"/>
      <c r="AQ612" s="20"/>
      <c r="AR612" s="20"/>
      <c r="AS612" s="20"/>
      <c r="AT612" s="20"/>
      <c r="AU612" s="20"/>
      <c r="AV612" s="20"/>
      <c r="AW612" s="20"/>
      <c r="AX612" s="20"/>
      <c r="AY612" s="20"/>
    </row>
    <row r="613" spans="4:51" ht="15" customHeight="1"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937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  <c r="AJ613" s="20"/>
      <c r="AK613" s="20"/>
      <c r="AL613" s="20"/>
      <c r="AM613" s="20"/>
      <c r="AN613" s="20"/>
      <c r="AO613" s="20"/>
      <c r="AP613" s="20"/>
      <c r="AQ613" s="20"/>
      <c r="AR613" s="20"/>
      <c r="AS613" s="20"/>
      <c r="AT613" s="20"/>
      <c r="AU613" s="20"/>
      <c r="AV613" s="20"/>
      <c r="AW613" s="20"/>
      <c r="AX613" s="20"/>
      <c r="AY613" s="20"/>
    </row>
    <row r="614" spans="4:51" ht="15" customHeight="1"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937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  <c r="AH614" s="20"/>
      <c r="AI614" s="20"/>
      <c r="AJ614" s="20"/>
      <c r="AK614" s="20"/>
      <c r="AL614" s="20"/>
      <c r="AM614" s="20"/>
      <c r="AN614" s="20"/>
      <c r="AO614" s="20"/>
      <c r="AP614" s="20"/>
      <c r="AQ614" s="20"/>
      <c r="AR614" s="20"/>
      <c r="AS614" s="20"/>
      <c r="AT614" s="20"/>
      <c r="AU614" s="20"/>
      <c r="AV614" s="20"/>
      <c r="AW614" s="20"/>
      <c r="AX614" s="20"/>
      <c r="AY614" s="20"/>
    </row>
    <row r="615" spans="4:51" ht="15" customHeight="1"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937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0"/>
      <c r="AM615" s="20"/>
      <c r="AN615" s="20"/>
      <c r="AO615" s="20"/>
      <c r="AP615" s="20"/>
      <c r="AQ615" s="20"/>
      <c r="AR615" s="20"/>
      <c r="AS615" s="20"/>
      <c r="AT615" s="20"/>
      <c r="AU615" s="20"/>
      <c r="AV615" s="20"/>
      <c r="AW615" s="20"/>
      <c r="AX615" s="20"/>
      <c r="AY615" s="20"/>
    </row>
    <row r="616" spans="4:51" ht="15" customHeight="1"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937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  <c r="AJ616" s="20"/>
      <c r="AK616" s="20"/>
      <c r="AL616" s="20"/>
      <c r="AM616" s="20"/>
      <c r="AN616" s="20"/>
      <c r="AO616" s="20"/>
      <c r="AP616" s="20"/>
      <c r="AQ616" s="20"/>
      <c r="AR616" s="20"/>
      <c r="AS616" s="20"/>
      <c r="AT616" s="20"/>
      <c r="AU616" s="20"/>
      <c r="AV616" s="20"/>
      <c r="AW616" s="20"/>
      <c r="AX616" s="20"/>
      <c r="AY616" s="20"/>
    </row>
    <row r="617" spans="4:51" ht="15" customHeight="1"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937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  <c r="AF617" s="20"/>
      <c r="AG617" s="20"/>
      <c r="AH617" s="20"/>
      <c r="AI617" s="20"/>
      <c r="AJ617" s="20"/>
      <c r="AK617" s="20"/>
      <c r="AL617" s="20"/>
      <c r="AM617" s="20"/>
      <c r="AN617" s="20"/>
      <c r="AO617" s="20"/>
      <c r="AP617" s="20"/>
      <c r="AQ617" s="20"/>
      <c r="AR617" s="20"/>
      <c r="AS617" s="20"/>
      <c r="AT617" s="20"/>
      <c r="AU617" s="20"/>
      <c r="AV617" s="20"/>
      <c r="AW617" s="20"/>
      <c r="AX617" s="20"/>
      <c r="AY617" s="20"/>
    </row>
    <row r="618" spans="4:51" ht="15" customHeight="1"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937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  <c r="AF618" s="20"/>
      <c r="AG618" s="20"/>
      <c r="AH618" s="20"/>
      <c r="AI618" s="20"/>
      <c r="AJ618" s="20"/>
      <c r="AK618" s="20"/>
      <c r="AL618" s="20"/>
      <c r="AM618" s="20"/>
      <c r="AN618" s="20"/>
      <c r="AO618" s="20"/>
      <c r="AP618" s="20"/>
      <c r="AQ618" s="20"/>
      <c r="AR618" s="20"/>
      <c r="AS618" s="20"/>
      <c r="AT618" s="20"/>
      <c r="AU618" s="20"/>
      <c r="AV618" s="20"/>
      <c r="AW618" s="20"/>
      <c r="AX618" s="20"/>
      <c r="AY618" s="20"/>
    </row>
    <row r="619" spans="4:51" ht="15" customHeight="1"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937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20"/>
      <c r="AM619" s="20"/>
      <c r="AN619" s="20"/>
      <c r="AO619" s="20"/>
      <c r="AP619" s="20"/>
      <c r="AQ619" s="20"/>
      <c r="AR619" s="20"/>
      <c r="AS619" s="20"/>
      <c r="AT619" s="20"/>
      <c r="AU619" s="20"/>
      <c r="AV619" s="20"/>
      <c r="AW619" s="20"/>
      <c r="AX619" s="20"/>
      <c r="AY619" s="20"/>
    </row>
    <row r="620" spans="4:51" ht="15" customHeight="1"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937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  <c r="AI620" s="20"/>
      <c r="AJ620" s="20"/>
      <c r="AK620" s="20"/>
      <c r="AL620" s="20"/>
      <c r="AM620" s="20"/>
      <c r="AN620" s="20"/>
      <c r="AO620" s="20"/>
      <c r="AP620" s="20"/>
      <c r="AQ620" s="20"/>
      <c r="AR620" s="20"/>
      <c r="AS620" s="20"/>
      <c r="AT620" s="20"/>
      <c r="AU620" s="20"/>
      <c r="AV620" s="20"/>
      <c r="AW620" s="20"/>
      <c r="AX620" s="20"/>
      <c r="AY620" s="20"/>
    </row>
    <row r="621" spans="4:51" ht="15" customHeight="1"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937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0"/>
      <c r="AM621" s="20"/>
      <c r="AN621" s="20"/>
      <c r="AO621" s="20"/>
      <c r="AP621" s="20"/>
      <c r="AQ621" s="20"/>
      <c r="AR621" s="20"/>
      <c r="AS621" s="20"/>
      <c r="AT621" s="20"/>
      <c r="AU621" s="20"/>
      <c r="AV621" s="20"/>
      <c r="AW621" s="20"/>
      <c r="AX621" s="20"/>
      <c r="AY621" s="20"/>
    </row>
    <row r="622" spans="4:51" ht="15" customHeight="1"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937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20"/>
      <c r="AM622" s="20"/>
      <c r="AN622" s="20"/>
      <c r="AO622" s="20"/>
      <c r="AP622" s="20"/>
      <c r="AQ622" s="20"/>
      <c r="AR622" s="20"/>
      <c r="AS622" s="20"/>
      <c r="AT622" s="20"/>
      <c r="AU622" s="20"/>
      <c r="AV622" s="20"/>
      <c r="AW622" s="20"/>
      <c r="AX622" s="20"/>
      <c r="AY622" s="20"/>
    </row>
    <row r="623" spans="4:51" ht="15" customHeight="1"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937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0"/>
      <c r="AM623" s="20"/>
      <c r="AN623" s="20"/>
      <c r="AO623" s="20"/>
      <c r="AP623" s="20"/>
      <c r="AQ623" s="20"/>
      <c r="AR623" s="20"/>
      <c r="AS623" s="20"/>
      <c r="AT623" s="20"/>
      <c r="AU623" s="20"/>
      <c r="AV623" s="20"/>
      <c r="AW623" s="20"/>
      <c r="AX623" s="20"/>
      <c r="AY623" s="20"/>
    </row>
    <row r="624" spans="4:51" ht="15" customHeight="1"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937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0"/>
      <c r="AM624" s="20"/>
      <c r="AN624" s="20"/>
      <c r="AO624" s="20"/>
      <c r="AP624" s="20"/>
      <c r="AQ624" s="20"/>
      <c r="AR624" s="20"/>
      <c r="AS624" s="20"/>
      <c r="AT624" s="20"/>
      <c r="AU624" s="20"/>
      <c r="AV624" s="20"/>
      <c r="AW624" s="20"/>
      <c r="AX624" s="20"/>
      <c r="AY624" s="20"/>
    </row>
    <row r="625" spans="4:51" ht="15" customHeight="1"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937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20"/>
      <c r="AM625" s="20"/>
      <c r="AN625" s="20"/>
      <c r="AO625" s="20"/>
      <c r="AP625" s="20"/>
      <c r="AQ625" s="20"/>
      <c r="AR625" s="20"/>
      <c r="AS625" s="20"/>
      <c r="AT625" s="20"/>
      <c r="AU625" s="20"/>
      <c r="AV625" s="20"/>
      <c r="AW625" s="20"/>
      <c r="AX625" s="20"/>
      <c r="AY625" s="20"/>
    </row>
    <row r="626" spans="4:51" ht="15" customHeight="1"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937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0"/>
      <c r="AM626" s="20"/>
      <c r="AN626" s="20"/>
      <c r="AO626" s="20"/>
      <c r="AP626" s="20"/>
      <c r="AQ626" s="20"/>
      <c r="AR626" s="20"/>
      <c r="AS626" s="20"/>
      <c r="AT626" s="20"/>
      <c r="AU626" s="20"/>
      <c r="AV626" s="20"/>
      <c r="AW626" s="20"/>
      <c r="AX626" s="20"/>
      <c r="AY626" s="20"/>
    </row>
    <row r="627" spans="4:51" ht="15" customHeight="1"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937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  <c r="AI627" s="20"/>
      <c r="AJ627" s="20"/>
      <c r="AK627" s="20"/>
      <c r="AL627" s="20"/>
      <c r="AM627" s="20"/>
      <c r="AN627" s="20"/>
      <c r="AO627" s="20"/>
      <c r="AP627" s="20"/>
      <c r="AQ627" s="20"/>
      <c r="AR627" s="20"/>
      <c r="AS627" s="20"/>
      <c r="AT627" s="20"/>
      <c r="AU627" s="20"/>
      <c r="AV627" s="20"/>
      <c r="AW627" s="20"/>
      <c r="AX627" s="20"/>
      <c r="AY627" s="20"/>
    </row>
    <row r="628" spans="4:51" ht="15" customHeight="1"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937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  <c r="AI628" s="20"/>
      <c r="AJ628" s="20"/>
      <c r="AK628" s="20"/>
      <c r="AL628" s="20"/>
      <c r="AM628" s="20"/>
      <c r="AN628" s="20"/>
      <c r="AO628" s="20"/>
      <c r="AP628" s="20"/>
      <c r="AQ628" s="20"/>
      <c r="AR628" s="20"/>
      <c r="AS628" s="20"/>
      <c r="AT628" s="20"/>
      <c r="AU628" s="20"/>
      <c r="AV628" s="20"/>
      <c r="AW628" s="20"/>
      <c r="AX628" s="20"/>
      <c r="AY628" s="20"/>
    </row>
    <row r="629" spans="4:51" ht="15" customHeight="1"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937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  <c r="AF629" s="20"/>
      <c r="AG629" s="20"/>
      <c r="AH629" s="20"/>
      <c r="AI629" s="20"/>
      <c r="AJ629" s="20"/>
      <c r="AK629" s="20"/>
      <c r="AL629" s="20"/>
      <c r="AM629" s="20"/>
      <c r="AN629" s="20"/>
      <c r="AO629" s="20"/>
      <c r="AP629" s="20"/>
      <c r="AQ629" s="20"/>
      <c r="AR629" s="20"/>
      <c r="AS629" s="20"/>
      <c r="AT629" s="20"/>
      <c r="AU629" s="20"/>
      <c r="AV629" s="20"/>
      <c r="AW629" s="20"/>
      <c r="AX629" s="20"/>
      <c r="AY629" s="20"/>
    </row>
    <row r="630" spans="4:51" ht="15" customHeight="1"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937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  <c r="AF630" s="20"/>
      <c r="AG630" s="20"/>
      <c r="AH630" s="20"/>
      <c r="AI630" s="20"/>
      <c r="AJ630" s="20"/>
      <c r="AK630" s="20"/>
      <c r="AL630" s="20"/>
      <c r="AM630" s="20"/>
      <c r="AN630" s="20"/>
      <c r="AO630" s="20"/>
      <c r="AP630" s="20"/>
      <c r="AQ630" s="20"/>
      <c r="AR630" s="20"/>
      <c r="AS630" s="20"/>
      <c r="AT630" s="20"/>
      <c r="AU630" s="20"/>
      <c r="AV630" s="20"/>
      <c r="AW630" s="20"/>
      <c r="AX630" s="20"/>
      <c r="AY630" s="20"/>
    </row>
    <row r="631" spans="4:51" ht="15" customHeight="1"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937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  <c r="AI631" s="20"/>
      <c r="AJ631" s="20"/>
      <c r="AK631" s="20"/>
      <c r="AL631" s="20"/>
      <c r="AM631" s="20"/>
      <c r="AN631" s="20"/>
      <c r="AO631" s="20"/>
      <c r="AP631" s="20"/>
      <c r="AQ631" s="20"/>
      <c r="AR631" s="20"/>
      <c r="AS631" s="20"/>
      <c r="AT631" s="20"/>
      <c r="AU631" s="20"/>
      <c r="AV631" s="20"/>
      <c r="AW631" s="20"/>
      <c r="AX631" s="20"/>
      <c r="AY631" s="20"/>
    </row>
    <row r="632" spans="4:51" ht="15" customHeight="1"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937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  <c r="AF632" s="20"/>
      <c r="AG632" s="20"/>
      <c r="AH632" s="20"/>
      <c r="AI632" s="20"/>
      <c r="AJ632" s="20"/>
      <c r="AK632" s="20"/>
      <c r="AL632" s="20"/>
      <c r="AM632" s="20"/>
      <c r="AN632" s="20"/>
      <c r="AO632" s="20"/>
      <c r="AP632" s="20"/>
      <c r="AQ632" s="20"/>
      <c r="AR632" s="20"/>
      <c r="AS632" s="20"/>
      <c r="AT632" s="20"/>
      <c r="AU632" s="20"/>
      <c r="AV632" s="20"/>
      <c r="AW632" s="20"/>
      <c r="AX632" s="20"/>
      <c r="AY632" s="20"/>
    </row>
    <row r="633" spans="4:51" ht="15" customHeight="1"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937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  <c r="AF633" s="20"/>
      <c r="AG633" s="20"/>
      <c r="AH633" s="20"/>
      <c r="AI633" s="20"/>
      <c r="AJ633" s="20"/>
      <c r="AK633" s="20"/>
      <c r="AL633" s="20"/>
      <c r="AM633" s="20"/>
      <c r="AN633" s="20"/>
      <c r="AO633" s="20"/>
      <c r="AP633" s="20"/>
      <c r="AQ633" s="20"/>
      <c r="AR633" s="20"/>
      <c r="AS633" s="20"/>
      <c r="AT633" s="20"/>
      <c r="AU633" s="20"/>
      <c r="AV633" s="20"/>
      <c r="AW633" s="20"/>
      <c r="AX633" s="20"/>
      <c r="AY633" s="20"/>
    </row>
    <row r="634" spans="4:51" ht="15" customHeight="1"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937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  <c r="AF634" s="20"/>
      <c r="AG634" s="20"/>
      <c r="AH634" s="20"/>
      <c r="AI634" s="20"/>
      <c r="AJ634" s="20"/>
      <c r="AK634" s="20"/>
      <c r="AL634" s="20"/>
      <c r="AM634" s="20"/>
      <c r="AN634" s="20"/>
      <c r="AO634" s="20"/>
      <c r="AP634" s="20"/>
      <c r="AQ634" s="20"/>
      <c r="AR634" s="20"/>
      <c r="AS634" s="20"/>
      <c r="AT634" s="20"/>
      <c r="AU634" s="20"/>
      <c r="AV634" s="20"/>
      <c r="AW634" s="20"/>
      <c r="AX634" s="20"/>
      <c r="AY634" s="20"/>
    </row>
    <row r="635" spans="4:51" ht="15" customHeight="1"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937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  <c r="AF635" s="20"/>
      <c r="AG635" s="20"/>
      <c r="AH635" s="20"/>
      <c r="AI635" s="20"/>
      <c r="AJ635" s="20"/>
      <c r="AK635" s="20"/>
      <c r="AL635" s="20"/>
      <c r="AM635" s="20"/>
      <c r="AN635" s="20"/>
      <c r="AO635" s="20"/>
      <c r="AP635" s="20"/>
      <c r="AQ635" s="20"/>
      <c r="AR635" s="20"/>
      <c r="AS635" s="20"/>
      <c r="AT635" s="20"/>
      <c r="AU635" s="20"/>
      <c r="AV635" s="20"/>
      <c r="AW635" s="20"/>
      <c r="AX635" s="20"/>
      <c r="AY635" s="20"/>
    </row>
    <row r="636" spans="4:51" ht="15" customHeight="1"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937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  <c r="AF636" s="20"/>
      <c r="AG636" s="20"/>
      <c r="AH636" s="20"/>
      <c r="AI636" s="20"/>
      <c r="AJ636" s="20"/>
      <c r="AK636" s="20"/>
      <c r="AL636" s="20"/>
      <c r="AM636" s="20"/>
      <c r="AN636" s="20"/>
      <c r="AO636" s="20"/>
      <c r="AP636" s="20"/>
      <c r="AQ636" s="20"/>
      <c r="AR636" s="20"/>
      <c r="AS636" s="20"/>
      <c r="AT636" s="20"/>
      <c r="AU636" s="20"/>
      <c r="AV636" s="20"/>
      <c r="AW636" s="20"/>
      <c r="AX636" s="20"/>
      <c r="AY636" s="20"/>
    </row>
    <row r="637" spans="4:51" ht="15" customHeight="1"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937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  <c r="AF637" s="20"/>
      <c r="AG637" s="20"/>
      <c r="AH637" s="20"/>
      <c r="AI637" s="20"/>
      <c r="AJ637" s="20"/>
      <c r="AK637" s="20"/>
      <c r="AL637" s="20"/>
      <c r="AM637" s="20"/>
      <c r="AN637" s="20"/>
      <c r="AO637" s="20"/>
      <c r="AP637" s="20"/>
      <c r="AQ637" s="20"/>
      <c r="AR637" s="20"/>
      <c r="AS637" s="20"/>
      <c r="AT637" s="20"/>
      <c r="AU637" s="20"/>
      <c r="AV637" s="20"/>
      <c r="AW637" s="20"/>
      <c r="AX637" s="20"/>
      <c r="AY637" s="20"/>
    </row>
    <row r="638" spans="4:51" ht="15" customHeight="1"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937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  <c r="AF638" s="20"/>
      <c r="AG638" s="20"/>
      <c r="AH638" s="20"/>
      <c r="AI638" s="20"/>
      <c r="AJ638" s="20"/>
      <c r="AK638" s="20"/>
      <c r="AL638" s="20"/>
      <c r="AM638" s="20"/>
      <c r="AN638" s="20"/>
      <c r="AO638" s="20"/>
      <c r="AP638" s="20"/>
      <c r="AQ638" s="20"/>
      <c r="AR638" s="20"/>
      <c r="AS638" s="20"/>
      <c r="AT638" s="20"/>
      <c r="AU638" s="20"/>
      <c r="AV638" s="20"/>
      <c r="AW638" s="20"/>
      <c r="AX638" s="20"/>
      <c r="AY638" s="20"/>
    </row>
    <row r="639" spans="4:51" ht="15" customHeight="1"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937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  <c r="AF639" s="20"/>
      <c r="AG639" s="20"/>
      <c r="AH639" s="20"/>
      <c r="AI639" s="20"/>
      <c r="AJ639" s="20"/>
      <c r="AK639" s="20"/>
      <c r="AL639" s="20"/>
      <c r="AM639" s="20"/>
      <c r="AN639" s="20"/>
      <c r="AO639" s="20"/>
      <c r="AP639" s="20"/>
      <c r="AQ639" s="20"/>
      <c r="AR639" s="20"/>
      <c r="AS639" s="20"/>
      <c r="AT639" s="20"/>
      <c r="AU639" s="20"/>
      <c r="AV639" s="20"/>
      <c r="AW639" s="20"/>
      <c r="AX639" s="20"/>
      <c r="AY639" s="20"/>
    </row>
    <row r="640" spans="4:51" ht="15" customHeight="1"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937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  <c r="AF640" s="20"/>
      <c r="AG640" s="20"/>
      <c r="AH640" s="20"/>
      <c r="AI640" s="20"/>
      <c r="AJ640" s="20"/>
      <c r="AK640" s="20"/>
      <c r="AL640" s="20"/>
      <c r="AM640" s="20"/>
      <c r="AN640" s="20"/>
      <c r="AO640" s="20"/>
      <c r="AP640" s="20"/>
      <c r="AQ640" s="20"/>
      <c r="AR640" s="20"/>
      <c r="AS640" s="20"/>
      <c r="AT640" s="20"/>
      <c r="AU640" s="20"/>
      <c r="AV640" s="20"/>
      <c r="AW640" s="20"/>
      <c r="AX640" s="20"/>
      <c r="AY640" s="20"/>
    </row>
    <row r="641" spans="4:51" ht="15" customHeight="1"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937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  <c r="AJ641" s="20"/>
      <c r="AK641" s="20"/>
      <c r="AL641" s="20"/>
      <c r="AM641" s="20"/>
      <c r="AN641" s="20"/>
      <c r="AO641" s="20"/>
      <c r="AP641" s="20"/>
      <c r="AQ641" s="20"/>
      <c r="AR641" s="20"/>
      <c r="AS641" s="20"/>
      <c r="AT641" s="20"/>
      <c r="AU641" s="20"/>
      <c r="AV641" s="20"/>
      <c r="AW641" s="20"/>
      <c r="AX641" s="20"/>
      <c r="AY641" s="20"/>
    </row>
    <row r="642" spans="4:51" ht="15" customHeight="1"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937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  <c r="AF642" s="20"/>
      <c r="AG642" s="20"/>
      <c r="AH642" s="20"/>
      <c r="AI642" s="20"/>
      <c r="AJ642" s="20"/>
      <c r="AK642" s="20"/>
      <c r="AL642" s="20"/>
      <c r="AM642" s="20"/>
      <c r="AN642" s="20"/>
      <c r="AO642" s="20"/>
      <c r="AP642" s="20"/>
      <c r="AQ642" s="20"/>
      <c r="AR642" s="20"/>
      <c r="AS642" s="20"/>
      <c r="AT642" s="20"/>
      <c r="AU642" s="20"/>
      <c r="AV642" s="20"/>
      <c r="AW642" s="20"/>
      <c r="AX642" s="20"/>
      <c r="AY642" s="20"/>
    </row>
    <row r="643" spans="4:51" ht="15" customHeight="1"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937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  <c r="AI643" s="20"/>
      <c r="AJ643" s="20"/>
      <c r="AK643" s="20"/>
      <c r="AL643" s="20"/>
      <c r="AM643" s="20"/>
      <c r="AN643" s="20"/>
      <c r="AO643" s="20"/>
      <c r="AP643" s="20"/>
      <c r="AQ643" s="20"/>
      <c r="AR643" s="20"/>
      <c r="AS643" s="20"/>
      <c r="AT643" s="20"/>
      <c r="AU643" s="20"/>
      <c r="AV643" s="20"/>
      <c r="AW643" s="20"/>
      <c r="AX643" s="20"/>
      <c r="AY643" s="20"/>
    </row>
    <row r="644" spans="4:51" ht="15" customHeight="1"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937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  <c r="AI644" s="20"/>
      <c r="AJ644" s="20"/>
      <c r="AK644" s="20"/>
      <c r="AL644" s="20"/>
      <c r="AM644" s="20"/>
      <c r="AN644" s="20"/>
      <c r="AO644" s="20"/>
      <c r="AP644" s="20"/>
      <c r="AQ644" s="20"/>
      <c r="AR644" s="20"/>
      <c r="AS644" s="20"/>
      <c r="AT644" s="20"/>
      <c r="AU644" s="20"/>
      <c r="AV644" s="20"/>
      <c r="AW644" s="20"/>
      <c r="AX644" s="20"/>
      <c r="AY644" s="20"/>
    </row>
    <row r="645" spans="4:51" ht="15" customHeight="1"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937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  <c r="AF645" s="20"/>
      <c r="AG645" s="20"/>
      <c r="AH645" s="20"/>
      <c r="AI645" s="20"/>
      <c r="AJ645" s="20"/>
      <c r="AK645" s="20"/>
      <c r="AL645" s="20"/>
      <c r="AM645" s="20"/>
      <c r="AN645" s="20"/>
      <c r="AO645" s="20"/>
      <c r="AP645" s="20"/>
      <c r="AQ645" s="20"/>
      <c r="AR645" s="20"/>
      <c r="AS645" s="20"/>
      <c r="AT645" s="20"/>
      <c r="AU645" s="20"/>
      <c r="AV645" s="20"/>
      <c r="AW645" s="20"/>
      <c r="AX645" s="20"/>
      <c r="AY645" s="20"/>
    </row>
    <row r="646" spans="4:51" ht="15" customHeight="1"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937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  <c r="AF646" s="20"/>
      <c r="AG646" s="20"/>
      <c r="AH646" s="20"/>
      <c r="AI646" s="20"/>
      <c r="AJ646" s="20"/>
      <c r="AK646" s="20"/>
      <c r="AL646" s="20"/>
      <c r="AM646" s="20"/>
      <c r="AN646" s="20"/>
      <c r="AO646" s="20"/>
      <c r="AP646" s="20"/>
      <c r="AQ646" s="20"/>
      <c r="AR646" s="20"/>
      <c r="AS646" s="20"/>
      <c r="AT646" s="20"/>
      <c r="AU646" s="20"/>
      <c r="AV646" s="20"/>
      <c r="AW646" s="20"/>
      <c r="AX646" s="20"/>
      <c r="AY646" s="20"/>
    </row>
    <row r="647" spans="4:51" ht="15" customHeight="1"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937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  <c r="AI647" s="20"/>
      <c r="AJ647" s="20"/>
      <c r="AK647" s="20"/>
      <c r="AL647" s="20"/>
      <c r="AM647" s="20"/>
      <c r="AN647" s="20"/>
      <c r="AO647" s="20"/>
      <c r="AP647" s="20"/>
      <c r="AQ647" s="20"/>
      <c r="AR647" s="20"/>
      <c r="AS647" s="20"/>
      <c r="AT647" s="20"/>
      <c r="AU647" s="20"/>
      <c r="AV647" s="20"/>
      <c r="AW647" s="20"/>
      <c r="AX647" s="20"/>
      <c r="AY647" s="20"/>
    </row>
    <row r="648" spans="4:51" ht="15" customHeight="1"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937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  <c r="AI648" s="20"/>
      <c r="AJ648" s="20"/>
      <c r="AK648" s="20"/>
      <c r="AL648" s="20"/>
      <c r="AM648" s="20"/>
      <c r="AN648" s="20"/>
      <c r="AO648" s="20"/>
      <c r="AP648" s="20"/>
      <c r="AQ648" s="20"/>
      <c r="AR648" s="20"/>
      <c r="AS648" s="20"/>
      <c r="AT648" s="20"/>
      <c r="AU648" s="20"/>
      <c r="AV648" s="20"/>
      <c r="AW648" s="20"/>
      <c r="AX648" s="20"/>
      <c r="AY648" s="20"/>
    </row>
    <row r="649" spans="4:51" ht="15" customHeight="1"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937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20"/>
      <c r="AM649" s="20"/>
      <c r="AN649" s="20"/>
      <c r="AO649" s="20"/>
      <c r="AP649" s="20"/>
      <c r="AQ649" s="20"/>
      <c r="AR649" s="20"/>
      <c r="AS649" s="20"/>
      <c r="AT649" s="20"/>
      <c r="AU649" s="20"/>
      <c r="AV649" s="20"/>
      <c r="AW649" s="20"/>
      <c r="AX649" s="20"/>
      <c r="AY649" s="20"/>
    </row>
    <row r="650" spans="4:51" ht="15" customHeight="1"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937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  <c r="AF650" s="20"/>
      <c r="AG650" s="20"/>
      <c r="AH650" s="20"/>
      <c r="AI650" s="20"/>
      <c r="AJ650" s="20"/>
      <c r="AK650" s="20"/>
      <c r="AL650" s="20"/>
      <c r="AM650" s="20"/>
      <c r="AN650" s="20"/>
      <c r="AO650" s="20"/>
      <c r="AP650" s="20"/>
      <c r="AQ650" s="20"/>
      <c r="AR650" s="20"/>
      <c r="AS650" s="20"/>
      <c r="AT650" s="20"/>
      <c r="AU650" s="20"/>
      <c r="AV650" s="20"/>
      <c r="AW650" s="20"/>
      <c r="AX650" s="20"/>
      <c r="AY650" s="20"/>
    </row>
    <row r="651" spans="4:51" ht="15" customHeight="1"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937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  <c r="AF651" s="20"/>
      <c r="AG651" s="20"/>
      <c r="AH651" s="20"/>
      <c r="AI651" s="20"/>
      <c r="AJ651" s="20"/>
      <c r="AK651" s="20"/>
      <c r="AL651" s="20"/>
      <c r="AM651" s="20"/>
      <c r="AN651" s="20"/>
      <c r="AO651" s="20"/>
      <c r="AP651" s="20"/>
      <c r="AQ651" s="20"/>
      <c r="AR651" s="20"/>
      <c r="AS651" s="20"/>
      <c r="AT651" s="20"/>
      <c r="AU651" s="20"/>
      <c r="AV651" s="20"/>
      <c r="AW651" s="20"/>
      <c r="AX651" s="20"/>
      <c r="AY651" s="20"/>
    </row>
    <row r="652" spans="4:51" ht="15" customHeight="1"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937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  <c r="AF652" s="20"/>
      <c r="AG652" s="20"/>
      <c r="AH652" s="20"/>
      <c r="AI652" s="20"/>
      <c r="AJ652" s="20"/>
      <c r="AK652" s="20"/>
      <c r="AL652" s="20"/>
      <c r="AM652" s="20"/>
      <c r="AN652" s="20"/>
      <c r="AO652" s="20"/>
      <c r="AP652" s="20"/>
      <c r="AQ652" s="20"/>
      <c r="AR652" s="20"/>
      <c r="AS652" s="20"/>
      <c r="AT652" s="20"/>
      <c r="AU652" s="20"/>
      <c r="AV652" s="20"/>
      <c r="AW652" s="20"/>
      <c r="AX652" s="20"/>
      <c r="AY652" s="20"/>
    </row>
    <row r="653" spans="4:51" ht="15" customHeight="1"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937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  <c r="AF653" s="20"/>
      <c r="AG653" s="20"/>
      <c r="AH653" s="20"/>
      <c r="AI653" s="20"/>
      <c r="AJ653" s="20"/>
      <c r="AK653" s="20"/>
      <c r="AL653" s="20"/>
      <c r="AM653" s="20"/>
      <c r="AN653" s="20"/>
      <c r="AO653" s="20"/>
      <c r="AP653" s="20"/>
      <c r="AQ653" s="20"/>
      <c r="AR653" s="20"/>
      <c r="AS653" s="20"/>
      <c r="AT653" s="20"/>
      <c r="AU653" s="20"/>
      <c r="AV653" s="20"/>
      <c r="AW653" s="20"/>
      <c r="AX653" s="20"/>
      <c r="AY653" s="20"/>
    </row>
    <row r="654" spans="4:51" ht="15" customHeight="1"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937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  <c r="AJ654" s="20"/>
      <c r="AK654" s="20"/>
      <c r="AL654" s="20"/>
      <c r="AM654" s="20"/>
      <c r="AN654" s="20"/>
      <c r="AO654" s="20"/>
      <c r="AP654" s="20"/>
      <c r="AQ654" s="20"/>
      <c r="AR654" s="20"/>
      <c r="AS654" s="20"/>
      <c r="AT654" s="20"/>
      <c r="AU654" s="20"/>
      <c r="AV654" s="20"/>
      <c r="AW654" s="20"/>
      <c r="AX654" s="20"/>
      <c r="AY654" s="20"/>
    </row>
    <row r="655" spans="4:51" ht="15" customHeight="1"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937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AF655" s="20"/>
      <c r="AG655" s="20"/>
      <c r="AH655" s="20"/>
      <c r="AI655" s="20"/>
      <c r="AJ655" s="20"/>
      <c r="AK655" s="20"/>
      <c r="AL655" s="20"/>
      <c r="AM655" s="20"/>
      <c r="AN655" s="20"/>
      <c r="AO655" s="20"/>
      <c r="AP655" s="20"/>
      <c r="AQ655" s="20"/>
      <c r="AR655" s="20"/>
      <c r="AS655" s="20"/>
      <c r="AT655" s="20"/>
      <c r="AU655" s="20"/>
      <c r="AV655" s="20"/>
      <c r="AW655" s="20"/>
      <c r="AX655" s="20"/>
      <c r="AY655" s="20"/>
    </row>
    <row r="656" spans="4:51" ht="15" customHeight="1"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937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  <c r="AF656" s="20"/>
      <c r="AG656" s="20"/>
      <c r="AH656" s="20"/>
      <c r="AI656" s="20"/>
      <c r="AJ656" s="20"/>
      <c r="AK656" s="20"/>
      <c r="AL656" s="20"/>
      <c r="AM656" s="20"/>
      <c r="AN656" s="20"/>
      <c r="AO656" s="20"/>
      <c r="AP656" s="20"/>
      <c r="AQ656" s="20"/>
      <c r="AR656" s="20"/>
      <c r="AS656" s="20"/>
      <c r="AT656" s="20"/>
      <c r="AU656" s="20"/>
      <c r="AV656" s="20"/>
      <c r="AW656" s="20"/>
      <c r="AX656" s="20"/>
      <c r="AY656" s="20"/>
    </row>
    <row r="657" spans="4:51" ht="15" customHeight="1"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937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  <c r="AF657" s="20"/>
      <c r="AG657" s="20"/>
      <c r="AH657" s="20"/>
      <c r="AI657" s="20"/>
      <c r="AJ657" s="20"/>
      <c r="AK657" s="20"/>
      <c r="AL657" s="20"/>
      <c r="AM657" s="20"/>
      <c r="AN657" s="20"/>
      <c r="AO657" s="20"/>
      <c r="AP657" s="20"/>
      <c r="AQ657" s="20"/>
      <c r="AR657" s="20"/>
      <c r="AS657" s="20"/>
      <c r="AT657" s="20"/>
      <c r="AU657" s="20"/>
      <c r="AV657" s="20"/>
      <c r="AW657" s="20"/>
      <c r="AX657" s="20"/>
      <c r="AY657" s="20"/>
    </row>
    <row r="658" spans="4:51" ht="15" customHeight="1"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937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  <c r="AI658" s="20"/>
      <c r="AJ658" s="20"/>
      <c r="AK658" s="20"/>
      <c r="AL658" s="20"/>
      <c r="AM658" s="20"/>
      <c r="AN658" s="20"/>
      <c r="AO658" s="20"/>
      <c r="AP658" s="20"/>
      <c r="AQ658" s="20"/>
      <c r="AR658" s="20"/>
      <c r="AS658" s="20"/>
      <c r="AT658" s="20"/>
      <c r="AU658" s="20"/>
      <c r="AV658" s="20"/>
      <c r="AW658" s="20"/>
      <c r="AX658" s="20"/>
      <c r="AY658" s="20"/>
    </row>
    <row r="659" spans="4:51" ht="15" customHeight="1"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937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  <c r="AF659" s="20"/>
      <c r="AG659" s="20"/>
      <c r="AH659" s="20"/>
      <c r="AI659" s="20"/>
      <c r="AJ659" s="20"/>
      <c r="AK659" s="20"/>
      <c r="AL659" s="20"/>
      <c r="AM659" s="20"/>
      <c r="AN659" s="20"/>
      <c r="AO659" s="20"/>
      <c r="AP659" s="20"/>
      <c r="AQ659" s="20"/>
      <c r="AR659" s="20"/>
      <c r="AS659" s="20"/>
      <c r="AT659" s="20"/>
      <c r="AU659" s="20"/>
      <c r="AV659" s="20"/>
      <c r="AW659" s="20"/>
      <c r="AX659" s="20"/>
      <c r="AY659" s="20"/>
    </row>
    <row r="660" spans="4:51" ht="15" customHeight="1"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937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  <c r="AI660" s="20"/>
      <c r="AJ660" s="20"/>
      <c r="AK660" s="20"/>
      <c r="AL660" s="20"/>
      <c r="AM660" s="20"/>
      <c r="AN660" s="20"/>
      <c r="AO660" s="20"/>
      <c r="AP660" s="20"/>
      <c r="AQ660" s="20"/>
      <c r="AR660" s="20"/>
      <c r="AS660" s="20"/>
      <c r="AT660" s="20"/>
      <c r="AU660" s="20"/>
      <c r="AV660" s="20"/>
      <c r="AW660" s="20"/>
      <c r="AX660" s="20"/>
      <c r="AY660" s="20"/>
    </row>
    <row r="661" spans="4:51" ht="15" customHeight="1"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937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  <c r="AF661" s="20"/>
      <c r="AG661" s="20"/>
      <c r="AH661" s="20"/>
      <c r="AI661" s="20"/>
      <c r="AJ661" s="20"/>
      <c r="AK661" s="20"/>
      <c r="AL661" s="20"/>
      <c r="AM661" s="20"/>
      <c r="AN661" s="20"/>
      <c r="AO661" s="20"/>
      <c r="AP661" s="20"/>
      <c r="AQ661" s="20"/>
      <c r="AR661" s="20"/>
      <c r="AS661" s="20"/>
      <c r="AT661" s="20"/>
      <c r="AU661" s="20"/>
      <c r="AV661" s="20"/>
      <c r="AW661" s="20"/>
      <c r="AX661" s="20"/>
      <c r="AY661" s="20"/>
    </row>
    <row r="662" spans="4:51" ht="15" customHeight="1"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937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  <c r="AE662" s="20"/>
      <c r="AF662" s="20"/>
      <c r="AG662" s="20"/>
      <c r="AH662" s="20"/>
      <c r="AI662" s="20"/>
      <c r="AJ662" s="20"/>
      <c r="AK662" s="20"/>
      <c r="AL662" s="20"/>
      <c r="AM662" s="20"/>
      <c r="AN662" s="20"/>
      <c r="AO662" s="20"/>
      <c r="AP662" s="20"/>
      <c r="AQ662" s="20"/>
      <c r="AR662" s="20"/>
      <c r="AS662" s="20"/>
      <c r="AT662" s="20"/>
      <c r="AU662" s="20"/>
      <c r="AV662" s="20"/>
      <c r="AW662" s="20"/>
      <c r="AX662" s="20"/>
      <c r="AY662" s="20"/>
    </row>
    <row r="663" spans="4:51" ht="15" customHeight="1"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937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  <c r="AE663" s="20"/>
      <c r="AF663" s="20"/>
      <c r="AG663" s="20"/>
      <c r="AH663" s="20"/>
      <c r="AI663" s="20"/>
      <c r="AJ663" s="20"/>
      <c r="AK663" s="20"/>
      <c r="AL663" s="20"/>
      <c r="AM663" s="20"/>
      <c r="AN663" s="20"/>
      <c r="AO663" s="20"/>
      <c r="AP663" s="20"/>
      <c r="AQ663" s="20"/>
      <c r="AR663" s="20"/>
      <c r="AS663" s="20"/>
      <c r="AT663" s="20"/>
      <c r="AU663" s="20"/>
      <c r="AV663" s="20"/>
      <c r="AW663" s="20"/>
      <c r="AX663" s="20"/>
      <c r="AY663" s="20"/>
    </row>
    <row r="664" spans="4:51" ht="15" customHeight="1"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937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AB664" s="20"/>
      <c r="AC664" s="20"/>
      <c r="AD664" s="20"/>
      <c r="AE664" s="20"/>
      <c r="AF664" s="20"/>
      <c r="AG664" s="20"/>
      <c r="AH664" s="20"/>
      <c r="AI664" s="20"/>
      <c r="AJ664" s="20"/>
      <c r="AK664" s="20"/>
      <c r="AL664" s="20"/>
      <c r="AM664" s="20"/>
      <c r="AN664" s="20"/>
      <c r="AO664" s="20"/>
      <c r="AP664" s="20"/>
      <c r="AQ664" s="20"/>
      <c r="AR664" s="20"/>
      <c r="AS664" s="20"/>
      <c r="AT664" s="20"/>
      <c r="AU664" s="20"/>
      <c r="AV664" s="20"/>
      <c r="AW664" s="20"/>
      <c r="AX664" s="20"/>
      <c r="AY664" s="20"/>
    </row>
    <row r="665" spans="4:51" ht="15" customHeight="1"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937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AB665" s="20"/>
      <c r="AC665" s="20"/>
      <c r="AD665" s="20"/>
      <c r="AE665" s="20"/>
      <c r="AF665" s="20"/>
      <c r="AG665" s="20"/>
      <c r="AH665" s="20"/>
      <c r="AI665" s="20"/>
      <c r="AJ665" s="20"/>
      <c r="AK665" s="20"/>
      <c r="AL665" s="20"/>
      <c r="AM665" s="20"/>
      <c r="AN665" s="20"/>
      <c r="AO665" s="20"/>
      <c r="AP665" s="20"/>
      <c r="AQ665" s="20"/>
      <c r="AR665" s="20"/>
      <c r="AS665" s="20"/>
      <c r="AT665" s="20"/>
      <c r="AU665" s="20"/>
      <c r="AV665" s="20"/>
      <c r="AW665" s="20"/>
      <c r="AX665" s="20"/>
      <c r="AY665" s="20"/>
    </row>
    <row r="666" spans="4:51" ht="15" customHeight="1"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937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  <c r="AE666" s="20"/>
      <c r="AF666" s="20"/>
      <c r="AG666" s="20"/>
      <c r="AH666" s="20"/>
      <c r="AI666" s="20"/>
      <c r="AJ666" s="20"/>
      <c r="AK666" s="20"/>
      <c r="AL666" s="20"/>
      <c r="AM666" s="20"/>
      <c r="AN666" s="20"/>
      <c r="AO666" s="20"/>
      <c r="AP666" s="20"/>
      <c r="AQ666" s="20"/>
      <c r="AR666" s="20"/>
      <c r="AS666" s="20"/>
      <c r="AT666" s="20"/>
      <c r="AU666" s="20"/>
      <c r="AV666" s="20"/>
      <c r="AW666" s="20"/>
      <c r="AX666" s="20"/>
      <c r="AY666" s="20"/>
    </row>
    <row r="667" spans="4:51" ht="15" customHeight="1"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937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  <c r="AE667" s="20"/>
      <c r="AF667" s="20"/>
      <c r="AG667" s="20"/>
      <c r="AH667" s="20"/>
      <c r="AI667" s="20"/>
      <c r="AJ667" s="20"/>
      <c r="AK667" s="20"/>
      <c r="AL667" s="20"/>
      <c r="AM667" s="20"/>
      <c r="AN667" s="20"/>
      <c r="AO667" s="20"/>
      <c r="AP667" s="20"/>
      <c r="AQ667" s="20"/>
      <c r="AR667" s="20"/>
      <c r="AS667" s="20"/>
      <c r="AT667" s="20"/>
      <c r="AU667" s="20"/>
      <c r="AV667" s="20"/>
      <c r="AW667" s="20"/>
      <c r="AX667" s="20"/>
      <c r="AY667" s="20"/>
    </row>
    <row r="668" spans="4:51" ht="15" customHeight="1"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937"/>
      <c r="R668" s="20"/>
      <c r="S668" s="20"/>
      <c r="T668" s="20"/>
      <c r="U668" s="20"/>
      <c r="V668" s="20"/>
      <c r="W668" s="20"/>
      <c r="X668" s="20"/>
      <c r="Y668" s="20"/>
      <c r="Z668" s="20"/>
      <c r="AA668" s="20"/>
      <c r="AB668" s="20"/>
      <c r="AC668" s="20"/>
      <c r="AD668" s="20"/>
      <c r="AE668" s="20"/>
      <c r="AF668" s="20"/>
      <c r="AG668" s="20"/>
      <c r="AH668" s="20"/>
      <c r="AI668" s="20"/>
      <c r="AJ668" s="20"/>
      <c r="AK668" s="20"/>
      <c r="AL668" s="20"/>
      <c r="AM668" s="20"/>
      <c r="AN668" s="20"/>
      <c r="AO668" s="20"/>
      <c r="AP668" s="20"/>
      <c r="AQ668" s="20"/>
      <c r="AR668" s="20"/>
      <c r="AS668" s="20"/>
      <c r="AT668" s="20"/>
      <c r="AU668" s="20"/>
      <c r="AV668" s="20"/>
      <c r="AW668" s="20"/>
      <c r="AX668" s="20"/>
      <c r="AY668" s="20"/>
    </row>
    <row r="669" spans="4:51" ht="15" customHeight="1"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937"/>
      <c r="R669" s="20"/>
      <c r="S669" s="20"/>
      <c r="T669" s="20"/>
      <c r="U669" s="20"/>
      <c r="V669" s="20"/>
      <c r="W669" s="20"/>
      <c r="X669" s="20"/>
      <c r="Y669" s="20"/>
      <c r="Z669" s="20"/>
      <c r="AA669" s="20"/>
      <c r="AB669" s="20"/>
      <c r="AC669" s="20"/>
      <c r="AD669" s="20"/>
      <c r="AE669" s="20"/>
      <c r="AF669" s="20"/>
      <c r="AG669" s="20"/>
      <c r="AH669" s="20"/>
      <c r="AI669" s="20"/>
      <c r="AJ669" s="20"/>
      <c r="AK669" s="20"/>
      <c r="AL669" s="20"/>
      <c r="AM669" s="20"/>
      <c r="AN669" s="20"/>
      <c r="AO669" s="20"/>
      <c r="AP669" s="20"/>
      <c r="AQ669" s="20"/>
      <c r="AR669" s="20"/>
      <c r="AS669" s="20"/>
      <c r="AT669" s="20"/>
      <c r="AU669" s="20"/>
      <c r="AV669" s="20"/>
      <c r="AW669" s="20"/>
      <c r="AX669" s="20"/>
      <c r="AY669" s="20"/>
    </row>
    <row r="670" spans="4:51" ht="15" customHeight="1"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937"/>
      <c r="R670" s="20"/>
      <c r="S670" s="20"/>
      <c r="T670" s="20"/>
      <c r="U670" s="20"/>
      <c r="V670" s="20"/>
      <c r="W670" s="20"/>
      <c r="X670" s="20"/>
      <c r="Y670" s="20"/>
      <c r="Z670" s="20"/>
      <c r="AA670" s="20"/>
      <c r="AB670" s="20"/>
      <c r="AC670" s="20"/>
      <c r="AD670" s="20"/>
      <c r="AE670" s="20"/>
      <c r="AF670" s="20"/>
      <c r="AG670" s="20"/>
      <c r="AH670" s="20"/>
      <c r="AI670" s="20"/>
      <c r="AJ670" s="20"/>
      <c r="AK670" s="20"/>
      <c r="AL670" s="20"/>
      <c r="AM670" s="20"/>
      <c r="AN670" s="20"/>
      <c r="AO670" s="20"/>
      <c r="AP670" s="20"/>
      <c r="AQ670" s="20"/>
      <c r="AR670" s="20"/>
      <c r="AS670" s="20"/>
      <c r="AT670" s="20"/>
      <c r="AU670" s="20"/>
      <c r="AV670" s="20"/>
      <c r="AW670" s="20"/>
      <c r="AX670" s="20"/>
      <c r="AY670" s="20"/>
    </row>
    <row r="671" spans="4:51" ht="15" customHeight="1"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937"/>
      <c r="R671" s="20"/>
      <c r="S671" s="20"/>
      <c r="T671" s="20"/>
      <c r="U671" s="20"/>
      <c r="V671" s="20"/>
      <c r="W671" s="20"/>
      <c r="X671" s="20"/>
      <c r="Y671" s="20"/>
      <c r="Z671" s="20"/>
      <c r="AA671" s="20"/>
      <c r="AB671" s="20"/>
      <c r="AC671" s="20"/>
      <c r="AD671" s="20"/>
      <c r="AE671" s="20"/>
      <c r="AF671" s="20"/>
      <c r="AG671" s="20"/>
      <c r="AH671" s="20"/>
      <c r="AI671" s="20"/>
      <c r="AJ671" s="20"/>
      <c r="AK671" s="20"/>
      <c r="AL671" s="20"/>
      <c r="AM671" s="20"/>
      <c r="AN671" s="20"/>
      <c r="AO671" s="20"/>
      <c r="AP671" s="20"/>
      <c r="AQ671" s="20"/>
      <c r="AR671" s="20"/>
      <c r="AS671" s="20"/>
      <c r="AT671" s="20"/>
      <c r="AU671" s="20"/>
      <c r="AV671" s="20"/>
      <c r="AW671" s="20"/>
      <c r="AX671" s="20"/>
      <c r="AY671" s="20"/>
    </row>
    <row r="672" spans="4:51" ht="15" customHeight="1"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937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  <c r="AC672" s="20"/>
      <c r="AD672" s="20"/>
      <c r="AE672" s="20"/>
      <c r="AF672" s="20"/>
      <c r="AG672" s="20"/>
      <c r="AH672" s="20"/>
      <c r="AI672" s="20"/>
      <c r="AJ672" s="20"/>
      <c r="AK672" s="20"/>
      <c r="AL672" s="20"/>
      <c r="AM672" s="20"/>
      <c r="AN672" s="20"/>
      <c r="AO672" s="20"/>
      <c r="AP672" s="20"/>
      <c r="AQ672" s="20"/>
      <c r="AR672" s="20"/>
      <c r="AS672" s="20"/>
      <c r="AT672" s="20"/>
      <c r="AU672" s="20"/>
      <c r="AV672" s="20"/>
      <c r="AW672" s="20"/>
      <c r="AX672" s="20"/>
      <c r="AY672" s="20"/>
    </row>
    <row r="673" spans="4:51" ht="15" customHeight="1"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937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AD673" s="20"/>
      <c r="AE673" s="20"/>
      <c r="AF673" s="20"/>
      <c r="AG673" s="20"/>
      <c r="AH673" s="20"/>
      <c r="AI673" s="20"/>
      <c r="AJ673" s="20"/>
      <c r="AK673" s="20"/>
      <c r="AL673" s="20"/>
      <c r="AM673" s="20"/>
      <c r="AN673" s="20"/>
      <c r="AO673" s="20"/>
      <c r="AP673" s="20"/>
      <c r="AQ673" s="20"/>
      <c r="AR673" s="20"/>
      <c r="AS673" s="20"/>
      <c r="AT673" s="20"/>
      <c r="AU673" s="20"/>
      <c r="AV673" s="20"/>
      <c r="AW673" s="20"/>
      <c r="AX673" s="20"/>
      <c r="AY673" s="20"/>
    </row>
    <row r="674" spans="4:51" ht="15" customHeight="1"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937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  <c r="AF674" s="20"/>
      <c r="AG674" s="20"/>
      <c r="AH674" s="20"/>
      <c r="AI674" s="20"/>
      <c r="AJ674" s="20"/>
      <c r="AK674" s="20"/>
      <c r="AL674" s="20"/>
      <c r="AM674" s="20"/>
      <c r="AN674" s="20"/>
      <c r="AO674" s="20"/>
      <c r="AP674" s="20"/>
      <c r="AQ674" s="20"/>
      <c r="AR674" s="20"/>
      <c r="AS674" s="20"/>
      <c r="AT674" s="20"/>
      <c r="AU674" s="20"/>
      <c r="AV674" s="20"/>
      <c r="AW674" s="20"/>
      <c r="AX674" s="20"/>
      <c r="AY674" s="20"/>
    </row>
    <row r="675" spans="4:51" ht="15" customHeight="1"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937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  <c r="AF675" s="20"/>
      <c r="AG675" s="20"/>
      <c r="AH675" s="20"/>
      <c r="AI675" s="20"/>
      <c r="AJ675" s="20"/>
      <c r="AK675" s="20"/>
      <c r="AL675" s="20"/>
      <c r="AM675" s="20"/>
      <c r="AN675" s="20"/>
      <c r="AO675" s="20"/>
      <c r="AP675" s="20"/>
      <c r="AQ675" s="20"/>
      <c r="AR675" s="20"/>
      <c r="AS675" s="20"/>
      <c r="AT675" s="20"/>
      <c r="AU675" s="20"/>
      <c r="AV675" s="20"/>
      <c r="AW675" s="20"/>
      <c r="AX675" s="20"/>
      <c r="AY675" s="20"/>
    </row>
    <row r="676" spans="4:51" ht="15" customHeight="1"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937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  <c r="AF676" s="20"/>
      <c r="AG676" s="20"/>
      <c r="AH676" s="20"/>
      <c r="AI676" s="20"/>
      <c r="AJ676" s="20"/>
      <c r="AK676" s="20"/>
      <c r="AL676" s="20"/>
      <c r="AM676" s="20"/>
      <c r="AN676" s="20"/>
      <c r="AO676" s="20"/>
      <c r="AP676" s="20"/>
      <c r="AQ676" s="20"/>
      <c r="AR676" s="20"/>
      <c r="AS676" s="20"/>
      <c r="AT676" s="20"/>
      <c r="AU676" s="20"/>
      <c r="AV676" s="20"/>
      <c r="AW676" s="20"/>
      <c r="AX676" s="20"/>
      <c r="AY676" s="20"/>
    </row>
    <row r="677" spans="4:51" ht="15" customHeight="1"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937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  <c r="AF677" s="20"/>
      <c r="AG677" s="20"/>
      <c r="AH677" s="20"/>
      <c r="AI677" s="20"/>
      <c r="AJ677" s="20"/>
      <c r="AK677" s="20"/>
      <c r="AL677" s="20"/>
      <c r="AM677" s="20"/>
      <c r="AN677" s="20"/>
      <c r="AO677" s="20"/>
      <c r="AP677" s="20"/>
      <c r="AQ677" s="20"/>
      <c r="AR677" s="20"/>
      <c r="AS677" s="20"/>
      <c r="AT677" s="20"/>
      <c r="AU677" s="20"/>
      <c r="AV677" s="20"/>
      <c r="AW677" s="20"/>
      <c r="AX677" s="20"/>
      <c r="AY677" s="20"/>
    </row>
    <row r="678" spans="4:51" ht="15" customHeight="1"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937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  <c r="AF678" s="20"/>
      <c r="AG678" s="20"/>
      <c r="AH678" s="20"/>
      <c r="AI678" s="20"/>
      <c r="AJ678" s="20"/>
      <c r="AK678" s="20"/>
      <c r="AL678" s="20"/>
      <c r="AM678" s="20"/>
      <c r="AN678" s="20"/>
      <c r="AO678" s="20"/>
      <c r="AP678" s="20"/>
      <c r="AQ678" s="20"/>
      <c r="AR678" s="20"/>
      <c r="AS678" s="20"/>
      <c r="AT678" s="20"/>
      <c r="AU678" s="20"/>
      <c r="AV678" s="20"/>
      <c r="AW678" s="20"/>
      <c r="AX678" s="20"/>
      <c r="AY678" s="20"/>
    </row>
    <row r="679" spans="4:51" ht="15" customHeight="1"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937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  <c r="AE679" s="20"/>
      <c r="AF679" s="20"/>
      <c r="AG679" s="20"/>
      <c r="AH679" s="20"/>
      <c r="AI679" s="20"/>
      <c r="AJ679" s="20"/>
      <c r="AK679" s="20"/>
      <c r="AL679" s="20"/>
      <c r="AM679" s="20"/>
      <c r="AN679" s="20"/>
      <c r="AO679" s="20"/>
      <c r="AP679" s="20"/>
      <c r="AQ679" s="20"/>
      <c r="AR679" s="20"/>
      <c r="AS679" s="20"/>
      <c r="AT679" s="20"/>
      <c r="AU679" s="20"/>
      <c r="AV679" s="20"/>
      <c r="AW679" s="20"/>
      <c r="AX679" s="20"/>
      <c r="AY679" s="20"/>
    </row>
    <row r="680" spans="4:51" ht="15" customHeight="1"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937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  <c r="AE680" s="20"/>
      <c r="AF680" s="20"/>
      <c r="AG680" s="20"/>
      <c r="AH680" s="20"/>
      <c r="AI680" s="20"/>
      <c r="AJ680" s="20"/>
      <c r="AK680" s="20"/>
      <c r="AL680" s="20"/>
      <c r="AM680" s="20"/>
      <c r="AN680" s="20"/>
      <c r="AO680" s="20"/>
      <c r="AP680" s="20"/>
      <c r="AQ680" s="20"/>
      <c r="AR680" s="20"/>
      <c r="AS680" s="20"/>
      <c r="AT680" s="20"/>
      <c r="AU680" s="20"/>
      <c r="AV680" s="20"/>
      <c r="AW680" s="20"/>
      <c r="AX680" s="20"/>
      <c r="AY680" s="20"/>
    </row>
    <row r="681" spans="4:51" ht="15" customHeight="1"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937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AC681" s="20"/>
      <c r="AD681" s="20"/>
      <c r="AE681" s="20"/>
      <c r="AF681" s="20"/>
      <c r="AG681" s="20"/>
      <c r="AH681" s="20"/>
      <c r="AI681" s="20"/>
      <c r="AJ681" s="20"/>
      <c r="AK681" s="20"/>
      <c r="AL681" s="20"/>
      <c r="AM681" s="20"/>
      <c r="AN681" s="20"/>
      <c r="AO681" s="20"/>
      <c r="AP681" s="20"/>
      <c r="AQ681" s="20"/>
      <c r="AR681" s="20"/>
      <c r="AS681" s="20"/>
      <c r="AT681" s="20"/>
      <c r="AU681" s="20"/>
      <c r="AV681" s="20"/>
      <c r="AW681" s="20"/>
      <c r="AX681" s="20"/>
      <c r="AY681" s="20"/>
    </row>
    <row r="682" spans="4:51" ht="15" customHeight="1"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937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AB682" s="20"/>
      <c r="AC682" s="20"/>
      <c r="AD682" s="20"/>
      <c r="AE682" s="20"/>
      <c r="AF682" s="20"/>
      <c r="AG682" s="20"/>
      <c r="AH682" s="20"/>
      <c r="AI682" s="20"/>
      <c r="AJ682" s="20"/>
      <c r="AK682" s="20"/>
      <c r="AL682" s="20"/>
      <c r="AM682" s="20"/>
      <c r="AN682" s="20"/>
      <c r="AO682" s="20"/>
      <c r="AP682" s="20"/>
      <c r="AQ682" s="20"/>
      <c r="AR682" s="20"/>
      <c r="AS682" s="20"/>
      <c r="AT682" s="20"/>
      <c r="AU682" s="20"/>
      <c r="AV682" s="20"/>
      <c r="AW682" s="20"/>
      <c r="AX682" s="20"/>
      <c r="AY682" s="20"/>
    </row>
    <row r="683" spans="4:51" ht="15" customHeight="1"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937"/>
      <c r="R683" s="20"/>
      <c r="S683" s="20"/>
      <c r="T683" s="20"/>
      <c r="U683" s="20"/>
      <c r="V683" s="20"/>
      <c r="W683" s="20"/>
      <c r="X683" s="20"/>
      <c r="Y683" s="20"/>
      <c r="Z683" s="20"/>
      <c r="AA683" s="20"/>
      <c r="AB683" s="20"/>
      <c r="AC683" s="20"/>
      <c r="AD683" s="20"/>
      <c r="AE683" s="20"/>
      <c r="AF683" s="20"/>
      <c r="AG683" s="20"/>
      <c r="AH683" s="20"/>
      <c r="AI683" s="20"/>
      <c r="AJ683" s="20"/>
      <c r="AK683" s="20"/>
      <c r="AL683" s="20"/>
      <c r="AM683" s="20"/>
      <c r="AN683" s="20"/>
      <c r="AO683" s="20"/>
      <c r="AP683" s="20"/>
      <c r="AQ683" s="20"/>
      <c r="AR683" s="20"/>
      <c r="AS683" s="20"/>
      <c r="AT683" s="20"/>
      <c r="AU683" s="20"/>
      <c r="AV683" s="20"/>
      <c r="AW683" s="20"/>
      <c r="AX683" s="20"/>
      <c r="AY683" s="20"/>
    </row>
    <row r="684" spans="4:51" ht="15" customHeight="1"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937"/>
      <c r="R684" s="20"/>
      <c r="S684" s="20"/>
      <c r="T684" s="20"/>
      <c r="U684" s="20"/>
      <c r="V684" s="20"/>
      <c r="W684" s="20"/>
      <c r="X684" s="20"/>
      <c r="Y684" s="20"/>
      <c r="Z684" s="20"/>
      <c r="AA684" s="20"/>
      <c r="AB684" s="20"/>
      <c r="AC684" s="20"/>
      <c r="AD684" s="20"/>
      <c r="AE684" s="20"/>
      <c r="AF684" s="20"/>
      <c r="AG684" s="20"/>
      <c r="AH684" s="20"/>
      <c r="AI684" s="20"/>
      <c r="AJ684" s="20"/>
      <c r="AK684" s="20"/>
      <c r="AL684" s="20"/>
      <c r="AM684" s="20"/>
      <c r="AN684" s="20"/>
      <c r="AO684" s="20"/>
      <c r="AP684" s="20"/>
      <c r="AQ684" s="20"/>
      <c r="AR684" s="20"/>
      <c r="AS684" s="20"/>
      <c r="AT684" s="20"/>
      <c r="AU684" s="20"/>
      <c r="AV684" s="20"/>
      <c r="AW684" s="20"/>
      <c r="AX684" s="20"/>
      <c r="AY684" s="20"/>
    </row>
    <row r="685" spans="4:51" ht="15" customHeight="1"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937"/>
      <c r="R685" s="20"/>
      <c r="S685" s="20"/>
      <c r="T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  <c r="AE685" s="20"/>
      <c r="AF685" s="20"/>
      <c r="AG685" s="20"/>
      <c r="AH685" s="20"/>
      <c r="AI685" s="20"/>
      <c r="AJ685" s="20"/>
      <c r="AK685" s="20"/>
      <c r="AL685" s="20"/>
      <c r="AM685" s="20"/>
      <c r="AN685" s="20"/>
      <c r="AO685" s="20"/>
      <c r="AP685" s="20"/>
      <c r="AQ685" s="20"/>
      <c r="AR685" s="20"/>
      <c r="AS685" s="20"/>
      <c r="AT685" s="20"/>
      <c r="AU685" s="20"/>
      <c r="AV685" s="20"/>
      <c r="AW685" s="20"/>
      <c r="AX685" s="20"/>
      <c r="AY685" s="20"/>
    </row>
    <row r="686" spans="4:51" ht="15" customHeight="1"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937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  <c r="AE686" s="20"/>
      <c r="AF686" s="20"/>
      <c r="AG686" s="20"/>
      <c r="AH686" s="20"/>
      <c r="AI686" s="20"/>
      <c r="AJ686" s="20"/>
      <c r="AK686" s="20"/>
      <c r="AL686" s="20"/>
      <c r="AM686" s="20"/>
      <c r="AN686" s="20"/>
      <c r="AO686" s="20"/>
      <c r="AP686" s="20"/>
      <c r="AQ686" s="20"/>
      <c r="AR686" s="20"/>
      <c r="AS686" s="20"/>
      <c r="AT686" s="20"/>
      <c r="AU686" s="20"/>
      <c r="AV686" s="20"/>
      <c r="AW686" s="20"/>
      <c r="AX686" s="20"/>
      <c r="AY686" s="20"/>
    </row>
    <row r="687" spans="4:51" ht="15" customHeight="1"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937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  <c r="AE687" s="20"/>
      <c r="AF687" s="20"/>
      <c r="AG687" s="20"/>
      <c r="AH687" s="20"/>
      <c r="AI687" s="20"/>
      <c r="AJ687" s="20"/>
      <c r="AK687" s="20"/>
      <c r="AL687" s="20"/>
      <c r="AM687" s="20"/>
      <c r="AN687" s="20"/>
      <c r="AO687" s="20"/>
      <c r="AP687" s="20"/>
      <c r="AQ687" s="20"/>
      <c r="AR687" s="20"/>
      <c r="AS687" s="20"/>
      <c r="AT687" s="20"/>
      <c r="AU687" s="20"/>
      <c r="AV687" s="20"/>
      <c r="AW687" s="20"/>
      <c r="AX687" s="20"/>
      <c r="AY687" s="20"/>
    </row>
    <row r="688" spans="4:51" ht="15" customHeight="1"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937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  <c r="AE688" s="20"/>
      <c r="AF688" s="20"/>
      <c r="AG688" s="20"/>
      <c r="AH688" s="20"/>
      <c r="AI688" s="20"/>
      <c r="AJ688" s="20"/>
      <c r="AK688" s="20"/>
      <c r="AL688" s="20"/>
      <c r="AM688" s="20"/>
      <c r="AN688" s="20"/>
      <c r="AO688" s="20"/>
      <c r="AP688" s="20"/>
      <c r="AQ688" s="20"/>
      <c r="AR688" s="20"/>
      <c r="AS688" s="20"/>
      <c r="AT688" s="20"/>
      <c r="AU688" s="20"/>
      <c r="AV688" s="20"/>
      <c r="AW688" s="20"/>
      <c r="AX688" s="20"/>
      <c r="AY688" s="20"/>
    </row>
    <row r="689" spans="4:51" ht="15" customHeight="1"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937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AE689" s="20"/>
      <c r="AF689" s="20"/>
      <c r="AG689" s="20"/>
      <c r="AH689" s="20"/>
      <c r="AI689" s="20"/>
      <c r="AJ689" s="20"/>
      <c r="AK689" s="20"/>
      <c r="AL689" s="20"/>
      <c r="AM689" s="20"/>
      <c r="AN689" s="20"/>
      <c r="AO689" s="20"/>
      <c r="AP689" s="20"/>
      <c r="AQ689" s="20"/>
      <c r="AR689" s="20"/>
      <c r="AS689" s="20"/>
      <c r="AT689" s="20"/>
      <c r="AU689" s="20"/>
      <c r="AV689" s="20"/>
      <c r="AW689" s="20"/>
      <c r="AX689" s="20"/>
      <c r="AY689" s="20"/>
    </row>
    <row r="690" spans="4:51" ht="15" customHeight="1"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937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0"/>
      <c r="AF690" s="20"/>
      <c r="AG690" s="20"/>
      <c r="AH690" s="20"/>
      <c r="AI690" s="20"/>
      <c r="AJ690" s="20"/>
      <c r="AK690" s="20"/>
      <c r="AL690" s="20"/>
      <c r="AM690" s="20"/>
      <c r="AN690" s="20"/>
      <c r="AO690" s="20"/>
      <c r="AP690" s="20"/>
      <c r="AQ690" s="20"/>
      <c r="AR690" s="20"/>
      <c r="AS690" s="20"/>
      <c r="AT690" s="20"/>
      <c r="AU690" s="20"/>
      <c r="AV690" s="20"/>
      <c r="AW690" s="20"/>
      <c r="AX690" s="20"/>
      <c r="AY690" s="20"/>
    </row>
    <row r="691" spans="4:51" ht="15" customHeight="1"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937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  <c r="AF691" s="20"/>
      <c r="AG691" s="20"/>
      <c r="AH691" s="20"/>
      <c r="AI691" s="20"/>
      <c r="AJ691" s="20"/>
      <c r="AK691" s="20"/>
      <c r="AL691" s="20"/>
      <c r="AM691" s="20"/>
      <c r="AN691" s="20"/>
      <c r="AO691" s="20"/>
      <c r="AP691" s="20"/>
      <c r="AQ691" s="20"/>
      <c r="AR691" s="20"/>
      <c r="AS691" s="20"/>
      <c r="AT691" s="20"/>
      <c r="AU691" s="20"/>
      <c r="AV691" s="20"/>
      <c r="AW691" s="20"/>
      <c r="AX691" s="20"/>
      <c r="AY691" s="20"/>
    </row>
    <row r="692" spans="4:51" ht="15" customHeight="1"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937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  <c r="AF692" s="20"/>
      <c r="AG692" s="20"/>
      <c r="AH692" s="20"/>
      <c r="AI692" s="20"/>
      <c r="AJ692" s="20"/>
      <c r="AK692" s="20"/>
      <c r="AL692" s="20"/>
      <c r="AM692" s="20"/>
      <c r="AN692" s="20"/>
      <c r="AO692" s="20"/>
      <c r="AP692" s="20"/>
      <c r="AQ692" s="20"/>
      <c r="AR692" s="20"/>
      <c r="AS692" s="20"/>
      <c r="AT692" s="20"/>
      <c r="AU692" s="20"/>
      <c r="AV692" s="20"/>
      <c r="AW692" s="20"/>
      <c r="AX692" s="20"/>
      <c r="AY692" s="20"/>
    </row>
    <row r="693" spans="4:51" ht="15" customHeight="1"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937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  <c r="AF693" s="20"/>
      <c r="AG693" s="20"/>
      <c r="AH693" s="20"/>
      <c r="AI693" s="20"/>
      <c r="AJ693" s="20"/>
      <c r="AK693" s="20"/>
      <c r="AL693" s="20"/>
      <c r="AM693" s="20"/>
      <c r="AN693" s="20"/>
      <c r="AO693" s="20"/>
      <c r="AP693" s="20"/>
      <c r="AQ693" s="20"/>
      <c r="AR693" s="20"/>
      <c r="AS693" s="20"/>
      <c r="AT693" s="20"/>
      <c r="AU693" s="20"/>
      <c r="AV693" s="20"/>
      <c r="AW693" s="20"/>
      <c r="AX693" s="20"/>
      <c r="AY693" s="20"/>
    </row>
    <row r="694" spans="4:51" ht="15" customHeight="1"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937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AE694" s="20"/>
      <c r="AF694" s="20"/>
      <c r="AG694" s="20"/>
      <c r="AH694" s="20"/>
      <c r="AI694" s="20"/>
      <c r="AJ694" s="20"/>
      <c r="AK694" s="20"/>
      <c r="AL694" s="20"/>
      <c r="AM694" s="20"/>
      <c r="AN694" s="20"/>
      <c r="AO694" s="20"/>
      <c r="AP694" s="20"/>
      <c r="AQ694" s="20"/>
      <c r="AR694" s="20"/>
      <c r="AS694" s="20"/>
      <c r="AT694" s="20"/>
      <c r="AU694" s="20"/>
      <c r="AV694" s="20"/>
      <c r="AW694" s="20"/>
      <c r="AX694" s="20"/>
      <c r="AY694" s="20"/>
    </row>
    <row r="695" spans="4:51" ht="15" customHeight="1"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937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0"/>
      <c r="AF695" s="20"/>
      <c r="AG695" s="20"/>
      <c r="AH695" s="20"/>
      <c r="AI695" s="20"/>
      <c r="AJ695" s="20"/>
      <c r="AK695" s="20"/>
      <c r="AL695" s="20"/>
      <c r="AM695" s="20"/>
      <c r="AN695" s="20"/>
      <c r="AO695" s="20"/>
      <c r="AP695" s="20"/>
      <c r="AQ695" s="20"/>
      <c r="AR695" s="20"/>
      <c r="AS695" s="20"/>
      <c r="AT695" s="20"/>
      <c r="AU695" s="20"/>
      <c r="AV695" s="20"/>
      <c r="AW695" s="20"/>
      <c r="AX695" s="20"/>
      <c r="AY695" s="20"/>
    </row>
    <row r="696" spans="4:51" ht="15" customHeight="1"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937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AE696" s="20"/>
      <c r="AF696" s="20"/>
      <c r="AG696" s="20"/>
      <c r="AH696" s="20"/>
      <c r="AI696" s="20"/>
      <c r="AJ696" s="20"/>
      <c r="AK696" s="20"/>
      <c r="AL696" s="20"/>
      <c r="AM696" s="20"/>
      <c r="AN696" s="20"/>
      <c r="AO696" s="20"/>
      <c r="AP696" s="20"/>
      <c r="AQ696" s="20"/>
      <c r="AR696" s="20"/>
      <c r="AS696" s="20"/>
      <c r="AT696" s="20"/>
      <c r="AU696" s="20"/>
      <c r="AV696" s="20"/>
      <c r="AW696" s="20"/>
      <c r="AX696" s="20"/>
      <c r="AY696" s="20"/>
    </row>
    <row r="697" spans="4:51" ht="15" customHeight="1"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937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  <c r="AF697" s="20"/>
      <c r="AG697" s="20"/>
      <c r="AH697" s="20"/>
      <c r="AI697" s="20"/>
      <c r="AJ697" s="20"/>
      <c r="AK697" s="20"/>
      <c r="AL697" s="20"/>
      <c r="AM697" s="20"/>
      <c r="AN697" s="20"/>
      <c r="AO697" s="20"/>
      <c r="AP697" s="20"/>
      <c r="AQ697" s="20"/>
      <c r="AR697" s="20"/>
      <c r="AS697" s="20"/>
      <c r="AT697" s="20"/>
      <c r="AU697" s="20"/>
      <c r="AV697" s="20"/>
      <c r="AW697" s="20"/>
      <c r="AX697" s="20"/>
      <c r="AY697" s="20"/>
    </row>
    <row r="698" spans="4:51" ht="15" customHeight="1"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937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0"/>
      <c r="AF698" s="20"/>
      <c r="AG698" s="20"/>
      <c r="AH698" s="20"/>
      <c r="AI698" s="20"/>
      <c r="AJ698" s="20"/>
      <c r="AK698" s="20"/>
      <c r="AL698" s="20"/>
      <c r="AM698" s="20"/>
      <c r="AN698" s="20"/>
      <c r="AO698" s="20"/>
      <c r="AP698" s="20"/>
      <c r="AQ698" s="20"/>
      <c r="AR698" s="20"/>
      <c r="AS698" s="20"/>
      <c r="AT698" s="20"/>
      <c r="AU698" s="20"/>
      <c r="AV698" s="20"/>
      <c r="AW698" s="20"/>
      <c r="AX698" s="20"/>
      <c r="AY698" s="20"/>
    </row>
    <row r="699" spans="4:51" ht="15" customHeight="1"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937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  <c r="AF699" s="20"/>
      <c r="AG699" s="20"/>
      <c r="AH699" s="20"/>
      <c r="AI699" s="20"/>
      <c r="AJ699" s="20"/>
      <c r="AK699" s="20"/>
      <c r="AL699" s="20"/>
      <c r="AM699" s="20"/>
      <c r="AN699" s="20"/>
      <c r="AO699" s="20"/>
      <c r="AP699" s="20"/>
      <c r="AQ699" s="20"/>
      <c r="AR699" s="20"/>
      <c r="AS699" s="20"/>
      <c r="AT699" s="20"/>
      <c r="AU699" s="20"/>
      <c r="AV699" s="20"/>
      <c r="AW699" s="20"/>
      <c r="AX699" s="20"/>
      <c r="AY699" s="20"/>
    </row>
    <row r="700" spans="4:51" ht="15" customHeight="1"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937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  <c r="AF700" s="20"/>
      <c r="AG700" s="20"/>
      <c r="AH700" s="20"/>
      <c r="AI700" s="20"/>
      <c r="AJ700" s="20"/>
      <c r="AK700" s="20"/>
      <c r="AL700" s="20"/>
      <c r="AM700" s="20"/>
      <c r="AN700" s="20"/>
      <c r="AO700" s="20"/>
      <c r="AP700" s="20"/>
      <c r="AQ700" s="20"/>
      <c r="AR700" s="20"/>
      <c r="AS700" s="20"/>
      <c r="AT700" s="20"/>
      <c r="AU700" s="20"/>
      <c r="AV700" s="20"/>
      <c r="AW700" s="20"/>
      <c r="AX700" s="20"/>
      <c r="AY700" s="20"/>
    </row>
    <row r="701" spans="4:51" ht="15" customHeight="1"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937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0"/>
      <c r="AF701" s="20"/>
      <c r="AG701" s="20"/>
      <c r="AH701" s="20"/>
      <c r="AI701" s="20"/>
      <c r="AJ701" s="20"/>
      <c r="AK701" s="20"/>
      <c r="AL701" s="20"/>
      <c r="AM701" s="20"/>
      <c r="AN701" s="20"/>
      <c r="AO701" s="20"/>
      <c r="AP701" s="20"/>
      <c r="AQ701" s="20"/>
      <c r="AR701" s="20"/>
      <c r="AS701" s="20"/>
      <c r="AT701" s="20"/>
      <c r="AU701" s="20"/>
      <c r="AV701" s="20"/>
      <c r="AW701" s="20"/>
      <c r="AX701" s="20"/>
      <c r="AY701" s="20"/>
    </row>
    <row r="702" spans="4:51" ht="15" customHeight="1"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937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  <c r="AE702" s="20"/>
      <c r="AF702" s="20"/>
      <c r="AG702" s="20"/>
      <c r="AH702" s="20"/>
      <c r="AI702" s="20"/>
      <c r="AJ702" s="20"/>
      <c r="AK702" s="20"/>
      <c r="AL702" s="20"/>
      <c r="AM702" s="20"/>
      <c r="AN702" s="20"/>
      <c r="AO702" s="20"/>
      <c r="AP702" s="20"/>
      <c r="AQ702" s="20"/>
      <c r="AR702" s="20"/>
      <c r="AS702" s="20"/>
      <c r="AT702" s="20"/>
      <c r="AU702" s="20"/>
      <c r="AV702" s="20"/>
      <c r="AW702" s="20"/>
      <c r="AX702" s="20"/>
      <c r="AY702" s="20"/>
    </row>
    <row r="703" spans="4:51" ht="15" customHeight="1"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937"/>
      <c r="R703" s="20"/>
      <c r="S703" s="20"/>
      <c r="T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  <c r="AE703" s="20"/>
      <c r="AF703" s="20"/>
      <c r="AG703" s="20"/>
      <c r="AH703" s="20"/>
      <c r="AI703" s="20"/>
      <c r="AJ703" s="20"/>
      <c r="AK703" s="20"/>
      <c r="AL703" s="20"/>
      <c r="AM703" s="20"/>
      <c r="AN703" s="20"/>
      <c r="AO703" s="20"/>
      <c r="AP703" s="20"/>
      <c r="AQ703" s="20"/>
      <c r="AR703" s="20"/>
      <c r="AS703" s="20"/>
      <c r="AT703" s="20"/>
      <c r="AU703" s="20"/>
      <c r="AV703" s="20"/>
      <c r="AW703" s="20"/>
      <c r="AX703" s="20"/>
      <c r="AY703" s="20"/>
    </row>
    <row r="704" spans="4:51" ht="15" customHeight="1"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937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  <c r="AE704" s="20"/>
      <c r="AF704" s="20"/>
      <c r="AG704" s="20"/>
      <c r="AH704" s="20"/>
      <c r="AI704" s="20"/>
      <c r="AJ704" s="20"/>
      <c r="AK704" s="20"/>
      <c r="AL704" s="20"/>
      <c r="AM704" s="20"/>
      <c r="AN704" s="20"/>
      <c r="AO704" s="20"/>
      <c r="AP704" s="20"/>
      <c r="AQ704" s="20"/>
      <c r="AR704" s="20"/>
      <c r="AS704" s="20"/>
      <c r="AT704" s="20"/>
      <c r="AU704" s="20"/>
      <c r="AV704" s="20"/>
      <c r="AW704" s="20"/>
      <c r="AX704" s="20"/>
      <c r="AY704" s="20"/>
    </row>
    <row r="705" spans="4:51" ht="15" customHeight="1"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937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  <c r="AE705" s="20"/>
      <c r="AF705" s="20"/>
      <c r="AG705" s="20"/>
      <c r="AH705" s="20"/>
      <c r="AI705" s="20"/>
      <c r="AJ705" s="20"/>
      <c r="AK705" s="20"/>
      <c r="AL705" s="20"/>
      <c r="AM705" s="20"/>
      <c r="AN705" s="20"/>
      <c r="AO705" s="20"/>
      <c r="AP705" s="20"/>
      <c r="AQ705" s="20"/>
      <c r="AR705" s="20"/>
      <c r="AS705" s="20"/>
      <c r="AT705" s="20"/>
      <c r="AU705" s="20"/>
      <c r="AV705" s="20"/>
      <c r="AW705" s="20"/>
      <c r="AX705" s="20"/>
      <c r="AY705" s="20"/>
    </row>
    <row r="706" spans="4:51" ht="15" customHeight="1"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937"/>
      <c r="R706" s="20"/>
      <c r="S706" s="20"/>
      <c r="T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  <c r="AE706" s="20"/>
      <c r="AF706" s="20"/>
      <c r="AG706" s="20"/>
      <c r="AH706" s="20"/>
      <c r="AI706" s="20"/>
      <c r="AJ706" s="20"/>
      <c r="AK706" s="20"/>
      <c r="AL706" s="20"/>
      <c r="AM706" s="20"/>
      <c r="AN706" s="20"/>
      <c r="AO706" s="20"/>
      <c r="AP706" s="20"/>
      <c r="AQ706" s="20"/>
      <c r="AR706" s="20"/>
      <c r="AS706" s="20"/>
      <c r="AT706" s="20"/>
      <c r="AU706" s="20"/>
      <c r="AV706" s="20"/>
      <c r="AW706" s="20"/>
      <c r="AX706" s="20"/>
      <c r="AY706" s="20"/>
    </row>
    <row r="707" spans="4:51" ht="15" customHeight="1"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937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  <c r="AE707" s="20"/>
      <c r="AF707" s="20"/>
      <c r="AG707" s="20"/>
      <c r="AH707" s="20"/>
      <c r="AI707" s="20"/>
      <c r="AJ707" s="20"/>
      <c r="AK707" s="20"/>
      <c r="AL707" s="20"/>
      <c r="AM707" s="20"/>
      <c r="AN707" s="20"/>
      <c r="AO707" s="20"/>
      <c r="AP707" s="20"/>
      <c r="AQ707" s="20"/>
      <c r="AR707" s="20"/>
      <c r="AS707" s="20"/>
      <c r="AT707" s="20"/>
      <c r="AU707" s="20"/>
      <c r="AV707" s="20"/>
      <c r="AW707" s="20"/>
      <c r="AX707" s="20"/>
      <c r="AY707" s="20"/>
    </row>
    <row r="708" spans="4:51" ht="15" customHeight="1"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937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  <c r="AF708" s="20"/>
      <c r="AG708" s="20"/>
      <c r="AH708" s="20"/>
      <c r="AI708" s="20"/>
      <c r="AJ708" s="20"/>
      <c r="AK708" s="20"/>
      <c r="AL708" s="20"/>
      <c r="AM708" s="20"/>
      <c r="AN708" s="20"/>
      <c r="AO708" s="20"/>
      <c r="AP708" s="20"/>
      <c r="AQ708" s="20"/>
      <c r="AR708" s="20"/>
      <c r="AS708" s="20"/>
      <c r="AT708" s="20"/>
      <c r="AU708" s="20"/>
      <c r="AV708" s="20"/>
      <c r="AW708" s="20"/>
      <c r="AX708" s="20"/>
      <c r="AY708" s="20"/>
    </row>
    <row r="709" spans="4:51" ht="15" customHeight="1"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937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0"/>
      <c r="AF709" s="20"/>
      <c r="AG709" s="20"/>
      <c r="AH709" s="20"/>
      <c r="AI709" s="20"/>
      <c r="AJ709" s="20"/>
      <c r="AK709" s="20"/>
      <c r="AL709" s="20"/>
      <c r="AM709" s="20"/>
      <c r="AN709" s="20"/>
      <c r="AO709" s="20"/>
      <c r="AP709" s="20"/>
      <c r="AQ709" s="20"/>
      <c r="AR709" s="20"/>
      <c r="AS709" s="20"/>
      <c r="AT709" s="20"/>
      <c r="AU709" s="20"/>
      <c r="AV709" s="20"/>
      <c r="AW709" s="20"/>
      <c r="AX709" s="20"/>
      <c r="AY709" s="20"/>
    </row>
    <row r="710" spans="4:51" ht="15" customHeight="1"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937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  <c r="AE710" s="20"/>
      <c r="AF710" s="20"/>
      <c r="AG710" s="20"/>
      <c r="AH710" s="20"/>
      <c r="AI710" s="20"/>
      <c r="AJ710" s="20"/>
      <c r="AK710" s="20"/>
      <c r="AL710" s="20"/>
      <c r="AM710" s="20"/>
      <c r="AN710" s="20"/>
      <c r="AO710" s="20"/>
      <c r="AP710" s="20"/>
      <c r="AQ710" s="20"/>
      <c r="AR710" s="20"/>
      <c r="AS710" s="20"/>
      <c r="AT710" s="20"/>
      <c r="AU710" s="20"/>
      <c r="AV710" s="20"/>
      <c r="AW710" s="20"/>
      <c r="AX710" s="20"/>
      <c r="AY710" s="20"/>
    </row>
    <row r="711" spans="4:51" ht="15" customHeight="1"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937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  <c r="AF711" s="20"/>
      <c r="AG711" s="20"/>
      <c r="AH711" s="20"/>
      <c r="AI711" s="20"/>
      <c r="AJ711" s="20"/>
      <c r="AK711" s="20"/>
      <c r="AL711" s="20"/>
      <c r="AM711" s="20"/>
      <c r="AN711" s="20"/>
      <c r="AO711" s="20"/>
      <c r="AP711" s="20"/>
      <c r="AQ711" s="20"/>
      <c r="AR711" s="20"/>
      <c r="AS711" s="20"/>
      <c r="AT711" s="20"/>
      <c r="AU711" s="20"/>
      <c r="AV711" s="20"/>
      <c r="AW711" s="20"/>
      <c r="AX711" s="20"/>
      <c r="AY711" s="20"/>
    </row>
    <row r="712" spans="4:51" ht="15" customHeight="1"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937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  <c r="AF712" s="20"/>
      <c r="AG712" s="20"/>
      <c r="AH712" s="20"/>
      <c r="AI712" s="20"/>
      <c r="AJ712" s="20"/>
      <c r="AK712" s="20"/>
      <c r="AL712" s="20"/>
      <c r="AM712" s="20"/>
      <c r="AN712" s="20"/>
      <c r="AO712" s="20"/>
      <c r="AP712" s="20"/>
      <c r="AQ712" s="20"/>
      <c r="AR712" s="20"/>
      <c r="AS712" s="20"/>
      <c r="AT712" s="20"/>
      <c r="AU712" s="20"/>
      <c r="AV712" s="20"/>
      <c r="AW712" s="20"/>
      <c r="AX712" s="20"/>
      <c r="AY712" s="20"/>
    </row>
    <row r="713" spans="4:51" ht="15" customHeight="1"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937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  <c r="AF713" s="20"/>
      <c r="AG713" s="20"/>
      <c r="AH713" s="20"/>
      <c r="AI713" s="20"/>
      <c r="AJ713" s="20"/>
      <c r="AK713" s="20"/>
      <c r="AL713" s="20"/>
      <c r="AM713" s="20"/>
      <c r="AN713" s="20"/>
      <c r="AO713" s="20"/>
      <c r="AP713" s="20"/>
      <c r="AQ713" s="20"/>
      <c r="AR713" s="20"/>
      <c r="AS713" s="20"/>
      <c r="AT713" s="20"/>
      <c r="AU713" s="20"/>
      <c r="AV713" s="20"/>
      <c r="AW713" s="20"/>
      <c r="AX713" s="20"/>
      <c r="AY713" s="20"/>
    </row>
    <row r="714" spans="4:51" ht="15" customHeight="1"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937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  <c r="AF714" s="20"/>
      <c r="AG714" s="20"/>
      <c r="AH714" s="20"/>
      <c r="AI714" s="20"/>
      <c r="AJ714" s="20"/>
      <c r="AK714" s="20"/>
      <c r="AL714" s="20"/>
      <c r="AM714" s="20"/>
      <c r="AN714" s="20"/>
      <c r="AO714" s="20"/>
      <c r="AP714" s="20"/>
      <c r="AQ714" s="20"/>
      <c r="AR714" s="20"/>
      <c r="AS714" s="20"/>
      <c r="AT714" s="20"/>
      <c r="AU714" s="20"/>
      <c r="AV714" s="20"/>
      <c r="AW714" s="20"/>
      <c r="AX714" s="20"/>
      <c r="AY714" s="20"/>
    </row>
    <row r="715" spans="4:51" ht="15" customHeight="1"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937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  <c r="AF715" s="20"/>
      <c r="AG715" s="20"/>
      <c r="AH715" s="20"/>
      <c r="AI715" s="20"/>
      <c r="AJ715" s="20"/>
      <c r="AK715" s="20"/>
      <c r="AL715" s="20"/>
      <c r="AM715" s="20"/>
      <c r="AN715" s="20"/>
      <c r="AO715" s="20"/>
      <c r="AP715" s="20"/>
      <c r="AQ715" s="20"/>
      <c r="AR715" s="20"/>
      <c r="AS715" s="20"/>
      <c r="AT715" s="20"/>
      <c r="AU715" s="20"/>
      <c r="AV715" s="20"/>
      <c r="AW715" s="20"/>
      <c r="AX715" s="20"/>
      <c r="AY715" s="20"/>
    </row>
    <row r="716" spans="4:51" ht="15" customHeight="1"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937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  <c r="AF716" s="20"/>
      <c r="AG716" s="20"/>
      <c r="AH716" s="20"/>
      <c r="AI716" s="20"/>
      <c r="AJ716" s="20"/>
      <c r="AK716" s="20"/>
      <c r="AL716" s="20"/>
      <c r="AM716" s="20"/>
      <c r="AN716" s="20"/>
      <c r="AO716" s="20"/>
      <c r="AP716" s="20"/>
      <c r="AQ716" s="20"/>
      <c r="AR716" s="20"/>
      <c r="AS716" s="20"/>
      <c r="AT716" s="20"/>
      <c r="AU716" s="20"/>
      <c r="AV716" s="20"/>
      <c r="AW716" s="20"/>
      <c r="AX716" s="20"/>
      <c r="AY716" s="20"/>
    </row>
    <row r="717" spans="4:51" ht="15" customHeight="1"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937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0"/>
      <c r="AF717" s="20"/>
      <c r="AG717" s="20"/>
      <c r="AH717" s="20"/>
      <c r="AI717" s="20"/>
      <c r="AJ717" s="20"/>
      <c r="AK717" s="20"/>
      <c r="AL717" s="20"/>
      <c r="AM717" s="20"/>
      <c r="AN717" s="20"/>
      <c r="AO717" s="20"/>
      <c r="AP717" s="20"/>
      <c r="AQ717" s="20"/>
      <c r="AR717" s="20"/>
      <c r="AS717" s="20"/>
      <c r="AT717" s="20"/>
      <c r="AU717" s="20"/>
      <c r="AV717" s="20"/>
      <c r="AW717" s="20"/>
      <c r="AX717" s="20"/>
      <c r="AY717" s="20"/>
    </row>
    <row r="718" spans="4:51" ht="15" customHeight="1"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937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  <c r="AE718" s="20"/>
      <c r="AF718" s="20"/>
      <c r="AG718" s="20"/>
      <c r="AH718" s="20"/>
      <c r="AI718" s="20"/>
      <c r="AJ718" s="20"/>
      <c r="AK718" s="20"/>
      <c r="AL718" s="20"/>
      <c r="AM718" s="20"/>
      <c r="AN718" s="20"/>
      <c r="AO718" s="20"/>
      <c r="AP718" s="20"/>
      <c r="AQ718" s="20"/>
      <c r="AR718" s="20"/>
      <c r="AS718" s="20"/>
      <c r="AT718" s="20"/>
      <c r="AU718" s="20"/>
      <c r="AV718" s="20"/>
      <c r="AW718" s="20"/>
      <c r="AX718" s="20"/>
      <c r="AY718" s="20"/>
    </row>
    <row r="719" spans="4:51" ht="15" customHeight="1"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937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  <c r="AE719" s="20"/>
      <c r="AF719" s="20"/>
      <c r="AG719" s="20"/>
      <c r="AH719" s="20"/>
      <c r="AI719" s="20"/>
      <c r="AJ719" s="20"/>
      <c r="AK719" s="20"/>
      <c r="AL719" s="20"/>
      <c r="AM719" s="20"/>
      <c r="AN719" s="20"/>
      <c r="AO719" s="20"/>
      <c r="AP719" s="20"/>
      <c r="AQ719" s="20"/>
      <c r="AR719" s="20"/>
      <c r="AS719" s="20"/>
      <c r="AT719" s="20"/>
      <c r="AU719" s="20"/>
      <c r="AV719" s="20"/>
      <c r="AW719" s="20"/>
      <c r="AX719" s="20"/>
      <c r="AY719" s="20"/>
    </row>
    <row r="720" spans="4:51" ht="15" customHeight="1"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937"/>
      <c r="R720" s="20"/>
      <c r="S720" s="20"/>
      <c r="T720" s="20"/>
      <c r="U720" s="20"/>
      <c r="V720" s="20"/>
      <c r="W720" s="20"/>
      <c r="X720" s="20"/>
      <c r="Y720" s="20"/>
      <c r="Z720" s="20"/>
      <c r="AA720" s="20"/>
      <c r="AB720" s="20"/>
      <c r="AC720" s="20"/>
      <c r="AD720" s="20"/>
      <c r="AE720" s="20"/>
      <c r="AF720" s="20"/>
      <c r="AG720" s="20"/>
      <c r="AH720" s="20"/>
      <c r="AI720" s="20"/>
      <c r="AJ720" s="20"/>
      <c r="AK720" s="20"/>
      <c r="AL720" s="20"/>
      <c r="AM720" s="20"/>
      <c r="AN720" s="20"/>
      <c r="AO720" s="20"/>
      <c r="AP720" s="20"/>
      <c r="AQ720" s="20"/>
      <c r="AR720" s="20"/>
      <c r="AS720" s="20"/>
      <c r="AT720" s="20"/>
      <c r="AU720" s="20"/>
      <c r="AV720" s="20"/>
      <c r="AW720" s="20"/>
      <c r="AX720" s="20"/>
      <c r="AY720" s="20"/>
    </row>
    <row r="721" spans="4:51" ht="15" customHeight="1"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937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  <c r="AE721" s="20"/>
      <c r="AF721" s="20"/>
      <c r="AG721" s="20"/>
      <c r="AH721" s="20"/>
      <c r="AI721" s="20"/>
      <c r="AJ721" s="20"/>
      <c r="AK721" s="20"/>
      <c r="AL721" s="20"/>
      <c r="AM721" s="20"/>
      <c r="AN721" s="20"/>
      <c r="AO721" s="20"/>
      <c r="AP721" s="20"/>
      <c r="AQ721" s="20"/>
      <c r="AR721" s="20"/>
      <c r="AS721" s="20"/>
      <c r="AT721" s="20"/>
      <c r="AU721" s="20"/>
      <c r="AV721" s="20"/>
      <c r="AW721" s="20"/>
      <c r="AX721" s="20"/>
      <c r="AY721" s="20"/>
    </row>
    <row r="722" spans="4:51" ht="15" customHeight="1"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937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  <c r="AF722" s="20"/>
      <c r="AG722" s="20"/>
      <c r="AH722" s="20"/>
      <c r="AI722" s="20"/>
      <c r="AJ722" s="20"/>
      <c r="AK722" s="20"/>
      <c r="AL722" s="20"/>
      <c r="AM722" s="20"/>
      <c r="AN722" s="20"/>
      <c r="AO722" s="20"/>
      <c r="AP722" s="20"/>
      <c r="AQ722" s="20"/>
      <c r="AR722" s="20"/>
      <c r="AS722" s="20"/>
      <c r="AT722" s="20"/>
      <c r="AU722" s="20"/>
      <c r="AV722" s="20"/>
      <c r="AW722" s="20"/>
      <c r="AX722" s="20"/>
      <c r="AY722" s="20"/>
    </row>
    <row r="723" spans="4:51" ht="15" customHeight="1"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937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  <c r="AF723" s="20"/>
      <c r="AG723" s="20"/>
      <c r="AH723" s="20"/>
      <c r="AI723" s="20"/>
      <c r="AJ723" s="20"/>
      <c r="AK723" s="20"/>
      <c r="AL723" s="20"/>
      <c r="AM723" s="20"/>
      <c r="AN723" s="20"/>
      <c r="AO723" s="20"/>
      <c r="AP723" s="20"/>
      <c r="AQ723" s="20"/>
      <c r="AR723" s="20"/>
      <c r="AS723" s="20"/>
      <c r="AT723" s="20"/>
      <c r="AU723" s="20"/>
      <c r="AV723" s="20"/>
      <c r="AW723" s="20"/>
      <c r="AX723" s="20"/>
      <c r="AY723" s="20"/>
    </row>
    <row r="724" spans="4:51" ht="15" customHeight="1"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937"/>
      <c r="R724" s="20"/>
      <c r="S724" s="20"/>
      <c r="T724" s="20"/>
      <c r="U724" s="20"/>
      <c r="V724" s="20"/>
      <c r="W724" s="20"/>
      <c r="X724" s="20"/>
      <c r="Y724" s="20"/>
      <c r="Z724" s="20"/>
      <c r="AA724" s="20"/>
      <c r="AB724" s="20"/>
      <c r="AC724" s="20"/>
      <c r="AD724" s="20"/>
      <c r="AE724" s="20"/>
      <c r="AF724" s="20"/>
      <c r="AG724" s="20"/>
      <c r="AH724" s="20"/>
      <c r="AI724" s="20"/>
      <c r="AJ724" s="20"/>
      <c r="AK724" s="20"/>
      <c r="AL724" s="20"/>
      <c r="AM724" s="20"/>
      <c r="AN724" s="20"/>
      <c r="AO724" s="20"/>
      <c r="AP724" s="20"/>
      <c r="AQ724" s="20"/>
      <c r="AR724" s="20"/>
      <c r="AS724" s="20"/>
      <c r="AT724" s="20"/>
      <c r="AU724" s="20"/>
      <c r="AV724" s="20"/>
      <c r="AW724" s="20"/>
      <c r="AX724" s="20"/>
      <c r="AY724" s="20"/>
    </row>
    <row r="725" spans="4:51" ht="15" customHeight="1"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937"/>
      <c r="R725" s="20"/>
      <c r="S725" s="20"/>
      <c r="T725" s="20"/>
      <c r="U725" s="20"/>
      <c r="V725" s="20"/>
      <c r="W725" s="20"/>
      <c r="X725" s="20"/>
      <c r="Y725" s="20"/>
      <c r="Z725" s="20"/>
      <c r="AA725" s="20"/>
      <c r="AB725" s="20"/>
      <c r="AC725" s="20"/>
      <c r="AD725" s="20"/>
      <c r="AE725" s="20"/>
      <c r="AF725" s="20"/>
      <c r="AG725" s="20"/>
      <c r="AH725" s="20"/>
      <c r="AI725" s="20"/>
      <c r="AJ725" s="20"/>
      <c r="AK725" s="20"/>
      <c r="AL725" s="20"/>
      <c r="AM725" s="20"/>
      <c r="AN725" s="20"/>
      <c r="AO725" s="20"/>
      <c r="AP725" s="20"/>
      <c r="AQ725" s="20"/>
      <c r="AR725" s="20"/>
      <c r="AS725" s="20"/>
      <c r="AT725" s="20"/>
      <c r="AU725" s="20"/>
      <c r="AV725" s="20"/>
      <c r="AW725" s="20"/>
      <c r="AX725" s="20"/>
      <c r="AY725" s="20"/>
    </row>
    <row r="726" spans="4:51" ht="15" customHeight="1"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937"/>
      <c r="R726" s="20"/>
      <c r="S726" s="20"/>
      <c r="T726" s="20"/>
      <c r="U726" s="20"/>
      <c r="V726" s="20"/>
      <c r="W726" s="20"/>
      <c r="X726" s="20"/>
      <c r="Y726" s="20"/>
      <c r="Z726" s="20"/>
      <c r="AA726" s="20"/>
      <c r="AB726" s="20"/>
      <c r="AC726" s="20"/>
      <c r="AD726" s="20"/>
      <c r="AE726" s="20"/>
      <c r="AF726" s="20"/>
      <c r="AG726" s="20"/>
      <c r="AH726" s="20"/>
      <c r="AI726" s="20"/>
      <c r="AJ726" s="20"/>
      <c r="AK726" s="20"/>
      <c r="AL726" s="20"/>
      <c r="AM726" s="20"/>
      <c r="AN726" s="20"/>
      <c r="AO726" s="20"/>
      <c r="AP726" s="20"/>
      <c r="AQ726" s="20"/>
      <c r="AR726" s="20"/>
      <c r="AS726" s="20"/>
      <c r="AT726" s="20"/>
      <c r="AU726" s="20"/>
      <c r="AV726" s="20"/>
      <c r="AW726" s="20"/>
      <c r="AX726" s="20"/>
      <c r="AY726" s="20"/>
    </row>
    <row r="727" spans="4:51" ht="15" customHeight="1"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937"/>
      <c r="R727" s="20"/>
      <c r="S727" s="20"/>
      <c r="T727" s="20"/>
      <c r="U727" s="20"/>
      <c r="V727" s="20"/>
      <c r="W727" s="20"/>
      <c r="X727" s="20"/>
      <c r="Y727" s="20"/>
      <c r="Z727" s="20"/>
      <c r="AA727" s="20"/>
      <c r="AB727" s="20"/>
      <c r="AC727" s="20"/>
      <c r="AD727" s="20"/>
      <c r="AE727" s="20"/>
      <c r="AF727" s="20"/>
      <c r="AG727" s="20"/>
      <c r="AH727" s="20"/>
      <c r="AI727" s="20"/>
      <c r="AJ727" s="20"/>
      <c r="AK727" s="20"/>
      <c r="AL727" s="20"/>
      <c r="AM727" s="20"/>
      <c r="AN727" s="20"/>
      <c r="AO727" s="20"/>
      <c r="AP727" s="20"/>
      <c r="AQ727" s="20"/>
      <c r="AR727" s="20"/>
      <c r="AS727" s="20"/>
      <c r="AT727" s="20"/>
      <c r="AU727" s="20"/>
      <c r="AV727" s="20"/>
      <c r="AW727" s="20"/>
      <c r="AX727" s="20"/>
      <c r="AY727" s="20"/>
    </row>
    <row r="728" spans="4:51" ht="15" customHeight="1"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937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  <c r="AE728" s="20"/>
      <c r="AF728" s="20"/>
      <c r="AG728" s="20"/>
      <c r="AH728" s="20"/>
      <c r="AI728" s="20"/>
      <c r="AJ728" s="20"/>
      <c r="AK728" s="20"/>
      <c r="AL728" s="20"/>
      <c r="AM728" s="20"/>
      <c r="AN728" s="20"/>
      <c r="AO728" s="20"/>
      <c r="AP728" s="20"/>
      <c r="AQ728" s="20"/>
      <c r="AR728" s="20"/>
      <c r="AS728" s="20"/>
      <c r="AT728" s="20"/>
      <c r="AU728" s="20"/>
      <c r="AV728" s="20"/>
      <c r="AW728" s="20"/>
      <c r="AX728" s="20"/>
      <c r="AY728" s="20"/>
    </row>
    <row r="729" spans="4:51" ht="15" customHeight="1"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937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AE729" s="20"/>
      <c r="AF729" s="20"/>
      <c r="AG729" s="20"/>
      <c r="AH729" s="20"/>
      <c r="AI729" s="20"/>
      <c r="AJ729" s="20"/>
      <c r="AK729" s="20"/>
      <c r="AL729" s="20"/>
      <c r="AM729" s="20"/>
      <c r="AN729" s="20"/>
      <c r="AO729" s="20"/>
      <c r="AP729" s="20"/>
      <c r="AQ729" s="20"/>
      <c r="AR729" s="20"/>
      <c r="AS729" s="20"/>
      <c r="AT729" s="20"/>
      <c r="AU729" s="20"/>
      <c r="AV729" s="20"/>
      <c r="AW729" s="20"/>
      <c r="AX729" s="20"/>
      <c r="AY729" s="20"/>
    </row>
    <row r="730" spans="4:51" ht="15" customHeight="1"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937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  <c r="AE730" s="20"/>
      <c r="AF730" s="20"/>
      <c r="AG730" s="20"/>
      <c r="AH730" s="20"/>
      <c r="AI730" s="20"/>
      <c r="AJ730" s="20"/>
      <c r="AK730" s="20"/>
      <c r="AL730" s="20"/>
      <c r="AM730" s="20"/>
      <c r="AN730" s="20"/>
      <c r="AO730" s="20"/>
      <c r="AP730" s="20"/>
      <c r="AQ730" s="20"/>
      <c r="AR730" s="20"/>
      <c r="AS730" s="20"/>
      <c r="AT730" s="20"/>
      <c r="AU730" s="20"/>
      <c r="AV730" s="20"/>
      <c r="AW730" s="20"/>
      <c r="AX730" s="20"/>
      <c r="AY730" s="20"/>
    </row>
    <row r="731" spans="4:51" ht="15" customHeight="1"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937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AE731" s="20"/>
      <c r="AF731" s="20"/>
      <c r="AG731" s="20"/>
      <c r="AH731" s="20"/>
      <c r="AI731" s="20"/>
      <c r="AJ731" s="20"/>
      <c r="AK731" s="20"/>
      <c r="AL731" s="20"/>
      <c r="AM731" s="20"/>
      <c r="AN731" s="20"/>
      <c r="AO731" s="20"/>
      <c r="AP731" s="20"/>
      <c r="AQ731" s="20"/>
      <c r="AR731" s="20"/>
      <c r="AS731" s="20"/>
      <c r="AT731" s="20"/>
      <c r="AU731" s="20"/>
      <c r="AV731" s="20"/>
      <c r="AW731" s="20"/>
      <c r="AX731" s="20"/>
      <c r="AY731" s="20"/>
    </row>
    <row r="732" spans="4:51" ht="15" customHeight="1"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937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  <c r="AF732" s="20"/>
      <c r="AG732" s="20"/>
      <c r="AH732" s="20"/>
      <c r="AI732" s="20"/>
      <c r="AJ732" s="20"/>
      <c r="AK732" s="20"/>
      <c r="AL732" s="20"/>
      <c r="AM732" s="20"/>
      <c r="AN732" s="20"/>
      <c r="AO732" s="20"/>
      <c r="AP732" s="20"/>
      <c r="AQ732" s="20"/>
      <c r="AR732" s="20"/>
      <c r="AS732" s="20"/>
      <c r="AT732" s="20"/>
      <c r="AU732" s="20"/>
      <c r="AV732" s="20"/>
      <c r="AW732" s="20"/>
      <c r="AX732" s="20"/>
      <c r="AY732" s="20"/>
    </row>
    <row r="733" spans="4:51" ht="15" customHeight="1"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937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  <c r="AF733" s="20"/>
      <c r="AG733" s="20"/>
      <c r="AH733" s="20"/>
      <c r="AI733" s="20"/>
      <c r="AJ733" s="20"/>
      <c r="AK733" s="20"/>
      <c r="AL733" s="20"/>
      <c r="AM733" s="20"/>
      <c r="AN733" s="20"/>
      <c r="AO733" s="20"/>
      <c r="AP733" s="20"/>
      <c r="AQ733" s="20"/>
      <c r="AR733" s="20"/>
      <c r="AS733" s="20"/>
      <c r="AT733" s="20"/>
      <c r="AU733" s="20"/>
      <c r="AV733" s="20"/>
      <c r="AW733" s="20"/>
      <c r="AX733" s="20"/>
      <c r="AY733" s="20"/>
    </row>
    <row r="734" spans="4:51" ht="15" customHeight="1"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937"/>
      <c r="R734" s="20"/>
      <c r="S734" s="20"/>
      <c r="T734" s="20"/>
      <c r="U734" s="20"/>
      <c r="V734" s="20"/>
      <c r="W734" s="20"/>
      <c r="X734" s="20"/>
      <c r="Y734" s="20"/>
      <c r="Z734" s="20"/>
      <c r="AA734" s="20"/>
      <c r="AB734" s="20"/>
      <c r="AC734" s="20"/>
      <c r="AD734" s="20"/>
      <c r="AE734" s="20"/>
      <c r="AF734" s="20"/>
      <c r="AG734" s="20"/>
      <c r="AH734" s="20"/>
      <c r="AI734" s="20"/>
      <c r="AJ734" s="20"/>
      <c r="AK734" s="20"/>
      <c r="AL734" s="20"/>
      <c r="AM734" s="20"/>
      <c r="AN734" s="20"/>
      <c r="AO734" s="20"/>
      <c r="AP734" s="20"/>
      <c r="AQ734" s="20"/>
      <c r="AR734" s="20"/>
      <c r="AS734" s="20"/>
      <c r="AT734" s="20"/>
      <c r="AU734" s="20"/>
      <c r="AV734" s="20"/>
      <c r="AW734" s="20"/>
      <c r="AX734" s="20"/>
      <c r="AY734" s="20"/>
    </row>
    <row r="735" spans="4:51" ht="15" customHeight="1"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937"/>
      <c r="R735" s="20"/>
      <c r="S735" s="20"/>
      <c r="T735" s="20"/>
      <c r="U735" s="20"/>
      <c r="V735" s="20"/>
      <c r="W735" s="20"/>
      <c r="X735" s="20"/>
      <c r="Y735" s="20"/>
      <c r="Z735" s="20"/>
      <c r="AA735" s="20"/>
      <c r="AB735" s="20"/>
      <c r="AC735" s="20"/>
      <c r="AD735" s="20"/>
      <c r="AE735" s="20"/>
      <c r="AF735" s="20"/>
      <c r="AG735" s="20"/>
      <c r="AH735" s="20"/>
      <c r="AI735" s="20"/>
      <c r="AJ735" s="20"/>
      <c r="AK735" s="20"/>
      <c r="AL735" s="20"/>
      <c r="AM735" s="20"/>
      <c r="AN735" s="20"/>
      <c r="AO735" s="20"/>
      <c r="AP735" s="20"/>
      <c r="AQ735" s="20"/>
      <c r="AR735" s="20"/>
      <c r="AS735" s="20"/>
      <c r="AT735" s="20"/>
      <c r="AU735" s="20"/>
      <c r="AV735" s="20"/>
      <c r="AW735" s="20"/>
      <c r="AX735" s="20"/>
      <c r="AY735" s="20"/>
    </row>
    <row r="736" spans="4:51" ht="15" customHeight="1"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937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AB736" s="20"/>
      <c r="AC736" s="20"/>
      <c r="AD736" s="20"/>
      <c r="AE736" s="20"/>
      <c r="AF736" s="20"/>
      <c r="AG736" s="20"/>
      <c r="AH736" s="20"/>
      <c r="AI736" s="20"/>
      <c r="AJ736" s="20"/>
      <c r="AK736" s="20"/>
      <c r="AL736" s="20"/>
      <c r="AM736" s="20"/>
      <c r="AN736" s="20"/>
      <c r="AO736" s="20"/>
      <c r="AP736" s="20"/>
      <c r="AQ736" s="20"/>
      <c r="AR736" s="20"/>
      <c r="AS736" s="20"/>
      <c r="AT736" s="20"/>
      <c r="AU736" s="20"/>
      <c r="AV736" s="20"/>
      <c r="AW736" s="20"/>
      <c r="AX736" s="20"/>
      <c r="AY736" s="20"/>
    </row>
    <row r="737" spans="4:51" ht="15" customHeight="1"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937"/>
      <c r="R737" s="20"/>
      <c r="S737" s="20"/>
      <c r="T737" s="20"/>
      <c r="U737" s="20"/>
      <c r="V737" s="20"/>
      <c r="W737" s="20"/>
      <c r="X737" s="20"/>
      <c r="Y737" s="20"/>
      <c r="Z737" s="20"/>
      <c r="AA737" s="20"/>
      <c r="AB737" s="20"/>
      <c r="AC737" s="20"/>
      <c r="AD737" s="20"/>
      <c r="AE737" s="20"/>
      <c r="AF737" s="20"/>
      <c r="AG737" s="20"/>
      <c r="AH737" s="20"/>
      <c r="AI737" s="20"/>
      <c r="AJ737" s="20"/>
      <c r="AK737" s="20"/>
      <c r="AL737" s="20"/>
      <c r="AM737" s="20"/>
      <c r="AN737" s="20"/>
      <c r="AO737" s="20"/>
      <c r="AP737" s="20"/>
      <c r="AQ737" s="20"/>
      <c r="AR737" s="20"/>
      <c r="AS737" s="20"/>
      <c r="AT737" s="20"/>
      <c r="AU737" s="20"/>
      <c r="AV737" s="20"/>
      <c r="AW737" s="20"/>
      <c r="AX737" s="20"/>
      <c r="AY737" s="20"/>
    </row>
    <row r="738" spans="4:51" ht="15" customHeight="1"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937"/>
      <c r="R738" s="20"/>
      <c r="S738" s="20"/>
      <c r="T738" s="20"/>
      <c r="U738" s="20"/>
      <c r="V738" s="20"/>
      <c r="W738" s="20"/>
      <c r="X738" s="20"/>
      <c r="Y738" s="20"/>
      <c r="Z738" s="20"/>
      <c r="AA738" s="20"/>
      <c r="AB738" s="20"/>
      <c r="AC738" s="20"/>
      <c r="AD738" s="20"/>
      <c r="AE738" s="20"/>
      <c r="AF738" s="20"/>
      <c r="AG738" s="20"/>
      <c r="AH738" s="20"/>
      <c r="AI738" s="20"/>
      <c r="AJ738" s="20"/>
      <c r="AK738" s="20"/>
      <c r="AL738" s="20"/>
      <c r="AM738" s="20"/>
      <c r="AN738" s="20"/>
      <c r="AO738" s="20"/>
      <c r="AP738" s="20"/>
      <c r="AQ738" s="20"/>
      <c r="AR738" s="20"/>
      <c r="AS738" s="20"/>
      <c r="AT738" s="20"/>
      <c r="AU738" s="20"/>
      <c r="AV738" s="20"/>
      <c r="AW738" s="20"/>
      <c r="AX738" s="20"/>
      <c r="AY738" s="20"/>
    </row>
    <row r="739" spans="4:51" ht="15" customHeight="1"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937"/>
      <c r="R739" s="20"/>
      <c r="S739" s="20"/>
      <c r="T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  <c r="AE739" s="20"/>
      <c r="AF739" s="20"/>
      <c r="AG739" s="20"/>
      <c r="AH739" s="20"/>
      <c r="AI739" s="20"/>
      <c r="AJ739" s="20"/>
      <c r="AK739" s="20"/>
      <c r="AL739" s="20"/>
      <c r="AM739" s="20"/>
      <c r="AN739" s="20"/>
      <c r="AO739" s="20"/>
      <c r="AP739" s="20"/>
      <c r="AQ739" s="20"/>
      <c r="AR739" s="20"/>
      <c r="AS739" s="20"/>
      <c r="AT739" s="20"/>
      <c r="AU739" s="20"/>
      <c r="AV739" s="20"/>
      <c r="AW739" s="20"/>
      <c r="AX739" s="20"/>
      <c r="AY739" s="20"/>
    </row>
    <row r="740" spans="4:51" ht="15" customHeight="1"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937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  <c r="AF740" s="20"/>
      <c r="AG740" s="20"/>
      <c r="AH740" s="20"/>
      <c r="AI740" s="20"/>
      <c r="AJ740" s="20"/>
      <c r="AK740" s="20"/>
      <c r="AL740" s="20"/>
      <c r="AM740" s="20"/>
      <c r="AN740" s="20"/>
      <c r="AO740" s="20"/>
      <c r="AP740" s="20"/>
      <c r="AQ740" s="20"/>
      <c r="AR740" s="20"/>
      <c r="AS740" s="20"/>
      <c r="AT740" s="20"/>
      <c r="AU740" s="20"/>
      <c r="AV740" s="20"/>
      <c r="AW740" s="20"/>
      <c r="AX740" s="20"/>
      <c r="AY740" s="20"/>
    </row>
    <row r="741" spans="4:51" ht="15" customHeight="1"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937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0"/>
      <c r="AF741" s="20"/>
      <c r="AG741" s="20"/>
      <c r="AH741" s="20"/>
      <c r="AI741" s="20"/>
      <c r="AJ741" s="20"/>
      <c r="AK741" s="20"/>
      <c r="AL741" s="20"/>
      <c r="AM741" s="20"/>
      <c r="AN741" s="20"/>
      <c r="AO741" s="20"/>
      <c r="AP741" s="20"/>
      <c r="AQ741" s="20"/>
      <c r="AR741" s="20"/>
      <c r="AS741" s="20"/>
      <c r="AT741" s="20"/>
      <c r="AU741" s="20"/>
      <c r="AV741" s="20"/>
      <c r="AW741" s="20"/>
      <c r="AX741" s="20"/>
      <c r="AY741" s="20"/>
    </row>
    <row r="742" spans="4:51" ht="15" customHeight="1"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937"/>
      <c r="R742" s="20"/>
      <c r="S742" s="20"/>
      <c r="T742" s="20"/>
      <c r="U742" s="20"/>
      <c r="V742" s="20"/>
      <c r="W742" s="20"/>
      <c r="X742" s="20"/>
      <c r="Y742" s="20"/>
      <c r="Z742" s="20"/>
      <c r="AA742" s="20"/>
      <c r="AB742" s="20"/>
      <c r="AC742" s="20"/>
      <c r="AD742" s="20"/>
      <c r="AE742" s="20"/>
      <c r="AF742" s="20"/>
      <c r="AG742" s="20"/>
      <c r="AH742" s="20"/>
      <c r="AI742" s="20"/>
      <c r="AJ742" s="20"/>
      <c r="AK742" s="20"/>
      <c r="AL742" s="20"/>
      <c r="AM742" s="20"/>
      <c r="AN742" s="20"/>
      <c r="AO742" s="20"/>
      <c r="AP742" s="20"/>
      <c r="AQ742" s="20"/>
      <c r="AR742" s="20"/>
      <c r="AS742" s="20"/>
      <c r="AT742" s="20"/>
      <c r="AU742" s="20"/>
      <c r="AV742" s="20"/>
      <c r="AW742" s="20"/>
      <c r="AX742" s="20"/>
      <c r="AY742" s="20"/>
    </row>
    <row r="743" spans="4:51" ht="15" customHeight="1"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937"/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  <c r="AE743" s="20"/>
      <c r="AF743" s="20"/>
      <c r="AG743" s="20"/>
      <c r="AH743" s="20"/>
      <c r="AI743" s="20"/>
      <c r="AJ743" s="20"/>
      <c r="AK743" s="20"/>
      <c r="AL743" s="20"/>
      <c r="AM743" s="20"/>
      <c r="AN743" s="20"/>
      <c r="AO743" s="20"/>
      <c r="AP743" s="20"/>
      <c r="AQ743" s="20"/>
      <c r="AR743" s="20"/>
      <c r="AS743" s="20"/>
      <c r="AT743" s="20"/>
      <c r="AU743" s="20"/>
      <c r="AV743" s="20"/>
      <c r="AW743" s="20"/>
      <c r="AX743" s="20"/>
      <c r="AY743" s="20"/>
    </row>
    <row r="744" spans="4:51" ht="15" customHeight="1"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937"/>
      <c r="R744" s="20"/>
      <c r="S744" s="20"/>
      <c r="T744" s="20"/>
      <c r="U744" s="20"/>
      <c r="V744" s="20"/>
      <c r="W744" s="20"/>
      <c r="X744" s="20"/>
      <c r="Y744" s="20"/>
      <c r="Z744" s="20"/>
      <c r="AA744" s="20"/>
      <c r="AB744" s="20"/>
      <c r="AC744" s="20"/>
      <c r="AD744" s="20"/>
      <c r="AE744" s="20"/>
      <c r="AF744" s="20"/>
      <c r="AG744" s="20"/>
      <c r="AH744" s="20"/>
      <c r="AI744" s="20"/>
      <c r="AJ744" s="20"/>
      <c r="AK744" s="20"/>
      <c r="AL744" s="20"/>
      <c r="AM744" s="20"/>
      <c r="AN744" s="20"/>
      <c r="AO744" s="20"/>
      <c r="AP744" s="20"/>
      <c r="AQ744" s="20"/>
      <c r="AR744" s="20"/>
      <c r="AS744" s="20"/>
      <c r="AT744" s="20"/>
      <c r="AU744" s="20"/>
      <c r="AV744" s="20"/>
      <c r="AW744" s="20"/>
      <c r="AX744" s="20"/>
      <c r="AY744" s="20"/>
    </row>
    <row r="745" spans="4:51"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937"/>
      <c r="R745" s="20"/>
      <c r="S745" s="20"/>
      <c r="T745" s="20"/>
      <c r="U745" s="20"/>
      <c r="V745" s="20"/>
      <c r="W745" s="20"/>
      <c r="X745" s="20"/>
      <c r="Y745" s="20"/>
      <c r="Z745" s="20"/>
      <c r="AA745" s="20"/>
      <c r="AB745" s="20"/>
      <c r="AC745" s="20"/>
      <c r="AD745" s="20"/>
      <c r="AE745" s="20"/>
      <c r="AF745" s="20"/>
      <c r="AG745" s="20"/>
      <c r="AH745" s="20"/>
      <c r="AI745" s="20"/>
      <c r="AJ745" s="20"/>
      <c r="AK745" s="20"/>
      <c r="AL745" s="20"/>
      <c r="AM745" s="20"/>
      <c r="AN745" s="20"/>
      <c r="AO745" s="20"/>
      <c r="AP745" s="20"/>
      <c r="AQ745" s="20"/>
      <c r="AR745" s="20"/>
      <c r="AS745" s="20"/>
      <c r="AT745" s="20"/>
      <c r="AU745" s="20"/>
      <c r="AV745" s="20"/>
      <c r="AW745" s="20"/>
      <c r="AX745" s="20"/>
      <c r="AY745" s="20"/>
    </row>
    <row r="746" spans="4:51"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937"/>
      <c r="R746" s="20"/>
      <c r="S746" s="20"/>
      <c r="T746" s="20"/>
      <c r="U746" s="20"/>
      <c r="V746" s="20"/>
      <c r="W746" s="20"/>
      <c r="X746" s="20"/>
      <c r="Y746" s="20"/>
      <c r="Z746" s="20"/>
      <c r="AA746" s="20"/>
      <c r="AB746" s="20"/>
      <c r="AC746" s="20"/>
      <c r="AD746" s="20"/>
      <c r="AE746" s="20"/>
      <c r="AF746" s="20"/>
      <c r="AG746" s="20"/>
      <c r="AH746" s="20"/>
      <c r="AI746" s="20"/>
      <c r="AJ746" s="20"/>
      <c r="AK746" s="20"/>
      <c r="AL746" s="20"/>
      <c r="AM746" s="20"/>
      <c r="AN746" s="20"/>
      <c r="AO746" s="20"/>
      <c r="AP746" s="20"/>
      <c r="AQ746" s="20"/>
      <c r="AR746" s="20"/>
      <c r="AS746" s="20"/>
      <c r="AT746" s="20"/>
      <c r="AU746" s="20"/>
      <c r="AV746" s="20"/>
      <c r="AW746" s="20"/>
      <c r="AX746" s="20"/>
      <c r="AY746" s="20"/>
    </row>
    <row r="747" spans="4:51"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937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  <c r="AE747" s="20"/>
      <c r="AF747" s="20"/>
      <c r="AG747" s="20"/>
      <c r="AH747" s="20"/>
      <c r="AI747" s="20"/>
      <c r="AJ747" s="20"/>
      <c r="AK747" s="20"/>
      <c r="AL747" s="20"/>
      <c r="AM747" s="20"/>
      <c r="AN747" s="20"/>
      <c r="AO747" s="20"/>
      <c r="AP747" s="20"/>
      <c r="AQ747" s="20"/>
      <c r="AR747" s="20"/>
      <c r="AS747" s="20"/>
      <c r="AT747" s="20"/>
      <c r="AU747" s="20"/>
      <c r="AV747" s="20"/>
      <c r="AW747" s="20"/>
      <c r="AX747" s="20"/>
      <c r="AY747" s="20"/>
    </row>
    <row r="748" spans="4:51"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937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AB748" s="20"/>
      <c r="AC748" s="20"/>
      <c r="AD748" s="20"/>
      <c r="AE748" s="20"/>
      <c r="AF748" s="20"/>
      <c r="AG748" s="20"/>
      <c r="AH748" s="20"/>
      <c r="AI748" s="20"/>
      <c r="AJ748" s="20"/>
      <c r="AK748" s="20"/>
      <c r="AL748" s="20"/>
      <c r="AM748" s="20"/>
      <c r="AN748" s="20"/>
      <c r="AO748" s="20"/>
      <c r="AP748" s="20"/>
      <c r="AQ748" s="20"/>
      <c r="AR748" s="20"/>
      <c r="AS748" s="20"/>
      <c r="AT748" s="20"/>
      <c r="AU748" s="20"/>
      <c r="AV748" s="20"/>
      <c r="AW748" s="20"/>
      <c r="AX748" s="20"/>
      <c r="AY748" s="20"/>
    </row>
    <row r="749" spans="4:51"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937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  <c r="AC749" s="20"/>
      <c r="AD749" s="20"/>
      <c r="AE749" s="20"/>
      <c r="AF749" s="20"/>
      <c r="AG749" s="20"/>
      <c r="AH749" s="20"/>
      <c r="AI749" s="20"/>
      <c r="AJ749" s="20"/>
      <c r="AK749" s="20"/>
      <c r="AL749" s="20"/>
      <c r="AM749" s="20"/>
      <c r="AN749" s="20"/>
      <c r="AO749" s="20"/>
      <c r="AP749" s="20"/>
      <c r="AQ749" s="20"/>
      <c r="AR749" s="20"/>
      <c r="AS749" s="20"/>
      <c r="AT749" s="20"/>
      <c r="AU749" s="20"/>
      <c r="AV749" s="20"/>
      <c r="AW749" s="20"/>
      <c r="AX749" s="20"/>
      <c r="AY749" s="20"/>
    </row>
    <row r="750" spans="4:51"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937"/>
      <c r="R750" s="20"/>
      <c r="S750" s="20"/>
      <c r="T750" s="20"/>
      <c r="U750" s="20"/>
      <c r="V750" s="20"/>
      <c r="W750" s="20"/>
      <c r="X750" s="20"/>
      <c r="Y750" s="20"/>
      <c r="Z750" s="20"/>
      <c r="AA750" s="20"/>
      <c r="AB750" s="20"/>
      <c r="AC750" s="20"/>
      <c r="AD750" s="20"/>
      <c r="AE750" s="20"/>
      <c r="AF750" s="20"/>
      <c r="AG750" s="20"/>
      <c r="AH750" s="20"/>
      <c r="AI750" s="20"/>
      <c r="AJ750" s="20"/>
      <c r="AK750" s="20"/>
      <c r="AL750" s="20"/>
      <c r="AM750" s="20"/>
      <c r="AN750" s="20"/>
      <c r="AO750" s="20"/>
      <c r="AP750" s="20"/>
      <c r="AQ750" s="20"/>
      <c r="AR750" s="20"/>
      <c r="AS750" s="20"/>
      <c r="AT750" s="20"/>
      <c r="AU750" s="20"/>
      <c r="AV750" s="20"/>
      <c r="AW750" s="20"/>
      <c r="AX750" s="20"/>
      <c r="AY750" s="20"/>
    </row>
    <row r="751" spans="4:51"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937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  <c r="AC751" s="20"/>
      <c r="AD751" s="20"/>
      <c r="AE751" s="20"/>
      <c r="AF751" s="20"/>
      <c r="AG751" s="20"/>
      <c r="AH751" s="20"/>
      <c r="AI751" s="20"/>
      <c r="AJ751" s="20"/>
      <c r="AK751" s="20"/>
      <c r="AL751" s="20"/>
      <c r="AM751" s="20"/>
      <c r="AN751" s="20"/>
      <c r="AO751" s="20"/>
      <c r="AP751" s="20"/>
      <c r="AQ751" s="20"/>
      <c r="AR751" s="20"/>
      <c r="AS751" s="20"/>
      <c r="AT751" s="20"/>
      <c r="AU751" s="20"/>
      <c r="AV751" s="20"/>
      <c r="AW751" s="20"/>
      <c r="AX751" s="20"/>
      <c r="AY751" s="20"/>
    </row>
    <row r="752" spans="4:51"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937"/>
      <c r="R752" s="20"/>
      <c r="S752" s="20"/>
      <c r="T752" s="20"/>
      <c r="U752" s="20"/>
      <c r="V752" s="20"/>
      <c r="W752" s="20"/>
      <c r="X752" s="20"/>
      <c r="Y752" s="20"/>
      <c r="Z752" s="20"/>
      <c r="AA752" s="20"/>
      <c r="AB752" s="20"/>
      <c r="AC752" s="20"/>
      <c r="AD752" s="20"/>
      <c r="AE752" s="20"/>
      <c r="AF752" s="20"/>
      <c r="AG752" s="20"/>
      <c r="AH752" s="20"/>
      <c r="AI752" s="20"/>
      <c r="AJ752" s="20"/>
      <c r="AK752" s="20"/>
      <c r="AL752" s="20"/>
      <c r="AM752" s="20"/>
      <c r="AN752" s="20"/>
      <c r="AO752" s="20"/>
      <c r="AP752" s="20"/>
      <c r="AQ752" s="20"/>
      <c r="AR752" s="20"/>
      <c r="AS752" s="20"/>
      <c r="AT752" s="20"/>
      <c r="AU752" s="20"/>
      <c r="AV752" s="20"/>
      <c r="AW752" s="20"/>
      <c r="AX752" s="20"/>
      <c r="AY752" s="20"/>
    </row>
    <row r="753" spans="4:51"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937"/>
      <c r="R753" s="20"/>
      <c r="S753" s="20"/>
      <c r="T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  <c r="AE753" s="20"/>
      <c r="AF753" s="20"/>
      <c r="AG753" s="20"/>
      <c r="AH753" s="20"/>
      <c r="AI753" s="20"/>
      <c r="AJ753" s="20"/>
      <c r="AK753" s="20"/>
      <c r="AL753" s="20"/>
      <c r="AM753" s="20"/>
      <c r="AN753" s="20"/>
      <c r="AO753" s="20"/>
      <c r="AP753" s="20"/>
      <c r="AQ753" s="20"/>
      <c r="AR753" s="20"/>
      <c r="AS753" s="20"/>
      <c r="AT753" s="20"/>
      <c r="AU753" s="20"/>
      <c r="AV753" s="20"/>
      <c r="AW753" s="20"/>
      <c r="AX753" s="20"/>
      <c r="AY753" s="20"/>
    </row>
    <row r="754" spans="4:51"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937"/>
      <c r="R754" s="20"/>
      <c r="S754" s="20"/>
      <c r="T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  <c r="AE754" s="20"/>
      <c r="AF754" s="20"/>
      <c r="AG754" s="20"/>
      <c r="AH754" s="20"/>
      <c r="AI754" s="20"/>
      <c r="AJ754" s="20"/>
      <c r="AK754" s="20"/>
      <c r="AL754" s="20"/>
      <c r="AM754" s="20"/>
      <c r="AN754" s="20"/>
      <c r="AO754" s="20"/>
      <c r="AP754" s="20"/>
      <c r="AQ754" s="20"/>
      <c r="AR754" s="20"/>
      <c r="AS754" s="20"/>
      <c r="AT754" s="20"/>
      <c r="AU754" s="20"/>
      <c r="AV754" s="20"/>
      <c r="AW754" s="20"/>
      <c r="AX754" s="20"/>
      <c r="AY754" s="20"/>
    </row>
    <row r="755" spans="4:51"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937"/>
      <c r="R755" s="20"/>
      <c r="S755" s="20"/>
      <c r="T755" s="20"/>
      <c r="U755" s="20"/>
      <c r="V755" s="20"/>
      <c r="W755" s="20"/>
      <c r="X755" s="20"/>
      <c r="Y755" s="20"/>
      <c r="Z755" s="20"/>
      <c r="AA755" s="20"/>
      <c r="AB755" s="20"/>
      <c r="AC755" s="20"/>
      <c r="AD755" s="20"/>
      <c r="AE755" s="20"/>
      <c r="AF755" s="20"/>
      <c r="AG755" s="20"/>
      <c r="AH755" s="20"/>
      <c r="AI755" s="20"/>
      <c r="AJ755" s="20"/>
      <c r="AK755" s="20"/>
      <c r="AL755" s="20"/>
      <c r="AM755" s="20"/>
      <c r="AN755" s="20"/>
      <c r="AO755" s="20"/>
      <c r="AP755" s="20"/>
      <c r="AQ755" s="20"/>
      <c r="AR755" s="20"/>
      <c r="AS755" s="20"/>
      <c r="AT755" s="20"/>
      <c r="AU755" s="20"/>
      <c r="AV755" s="20"/>
      <c r="AW755" s="20"/>
      <c r="AX755" s="20"/>
      <c r="AY755" s="20"/>
    </row>
    <row r="756" spans="4:51"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937"/>
      <c r="R756" s="20"/>
      <c r="S756" s="20"/>
      <c r="T756" s="20"/>
      <c r="U756" s="20"/>
      <c r="V756" s="20"/>
      <c r="W756" s="20"/>
      <c r="X756" s="20"/>
      <c r="Y756" s="20"/>
      <c r="Z756" s="20"/>
      <c r="AA756" s="20"/>
      <c r="AB756" s="20"/>
      <c r="AC756" s="20"/>
      <c r="AD756" s="20"/>
      <c r="AE756" s="20"/>
      <c r="AF756" s="20"/>
      <c r="AG756" s="20"/>
      <c r="AH756" s="20"/>
      <c r="AI756" s="20"/>
      <c r="AJ756" s="20"/>
      <c r="AK756" s="20"/>
      <c r="AL756" s="20"/>
      <c r="AM756" s="20"/>
      <c r="AN756" s="20"/>
      <c r="AO756" s="20"/>
      <c r="AP756" s="20"/>
      <c r="AQ756" s="20"/>
      <c r="AR756" s="20"/>
      <c r="AS756" s="20"/>
      <c r="AT756" s="20"/>
      <c r="AU756" s="20"/>
      <c r="AV756" s="20"/>
      <c r="AW756" s="20"/>
      <c r="AX756" s="20"/>
      <c r="AY756" s="20"/>
    </row>
    <row r="757" spans="4:51"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937"/>
      <c r="R757" s="20"/>
      <c r="S757" s="20"/>
      <c r="T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  <c r="AE757" s="20"/>
      <c r="AF757" s="20"/>
      <c r="AG757" s="20"/>
      <c r="AH757" s="20"/>
      <c r="AI757" s="20"/>
      <c r="AJ757" s="20"/>
      <c r="AK757" s="20"/>
      <c r="AL757" s="20"/>
      <c r="AM757" s="20"/>
      <c r="AN757" s="20"/>
      <c r="AO757" s="20"/>
      <c r="AP757" s="20"/>
      <c r="AQ757" s="20"/>
      <c r="AR757" s="20"/>
      <c r="AS757" s="20"/>
      <c r="AT757" s="20"/>
      <c r="AU757" s="20"/>
      <c r="AV757" s="20"/>
      <c r="AW757" s="20"/>
      <c r="AX757" s="20"/>
      <c r="AY757" s="20"/>
    </row>
    <row r="758" spans="4:51"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937"/>
      <c r="R758" s="20"/>
      <c r="S758" s="20"/>
      <c r="T758" s="20"/>
      <c r="U758" s="20"/>
      <c r="V758" s="20"/>
      <c r="W758" s="20"/>
      <c r="X758" s="20"/>
      <c r="Y758" s="20"/>
      <c r="Z758" s="20"/>
      <c r="AA758" s="20"/>
      <c r="AB758" s="20"/>
      <c r="AC758" s="20"/>
      <c r="AD758" s="20"/>
      <c r="AE758" s="20"/>
      <c r="AF758" s="20"/>
      <c r="AG758" s="20"/>
      <c r="AH758" s="20"/>
      <c r="AI758" s="20"/>
      <c r="AJ758" s="20"/>
      <c r="AK758" s="20"/>
      <c r="AL758" s="20"/>
      <c r="AM758" s="20"/>
      <c r="AN758" s="20"/>
      <c r="AO758" s="20"/>
      <c r="AP758" s="20"/>
      <c r="AQ758" s="20"/>
      <c r="AR758" s="20"/>
      <c r="AS758" s="20"/>
      <c r="AT758" s="20"/>
      <c r="AU758" s="20"/>
      <c r="AV758" s="20"/>
      <c r="AW758" s="20"/>
      <c r="AX758" s="20"/>
      <c r="AY758" s="20"/>
    </row>
    <row r="759" spans="4:51"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937"/>
      <c r="R759" s="20"/>
      <c r="S759" s="20"/>
      <c r="T759" s="20"/>
      <c r="U759" s="20"/>
      <c r="V759" s="20"/>
      <c r="W759" s="20"/>
      <c r="X759" s="20"/>
      <c r="Y759" s="20"/>
      <c r="Z759" s="20"/>
      <c r="AA759" s="20"/>
      <c r="AB759" s="20"/>
      <c r="AC759" s="20"/>
      <c r="AD759" s="20"/>
      <c r="AE759" s="20"/>
      <c r="AF759" s="20"/>
      <c r="AG759" s="20"/>
      <c r="AH759" s="20"/>
      <c r="AI759" s="20"/>
      <c r="AJ759" s="20"/>
      <c r="AK759" s="20"/>
      <c r="AL759" s="20"/>
      <c r="AM759" s="20"/>
      <c r="AN759" s="20"/>
      <c r="AO759" s="20"/>
      <c r="AP759" s="20"/>
      <c r="AQ759" s="20"/>
      <c r="AR759" s="20"/>
      <c r="AS759" s="20"/>
      <c r="AT759" s="20"/>
      <c r="AU759" s="20"/>
      <c r="AV759" s="20"/>
      <c r="AW759" s="20"/>
      <c r="AX759" s="20"/>
      <c r="AY759" s="20"/>
    </row>
    <row r="760" spans="4:51"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937"/>
      <c r="R760" s="20"/>
      <c r="S760" s="20"/>
      <c r="T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  <c r="AE760" s="20"/>
      <c r="AF760" s="20"/>
      <c r="AG760" s="20"/>
      <c r="AH760" s="20"/>
      <c r="AI760" s="20"/>
      <c r="AJ760" s="20"/>
      <c r="AK760" s="20"/>
      <c r="AL760" s="20"/>
      <c r="AM760" s="20"/>
      <c r="AN760" s="20"/>
      <c r="AO760" s="20"/>
      <c r="AP760" s="20"/>
      <c r="AQ760" s="20"/>
      <c r="AR760" s="20"/>
      <c r="AS760" s="20"/>
      <c r="AT760" s="20"/>
      <c r="AU760" s="20"/>
      <c r="AV760" s="20"/>
      <c r="AW760" s="20"/>
      <c r="AX760" s="20"/>
      <c r="AY760" s="20"/>
    </row>
    <row r="761" spans="4:51"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937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  <c r="AE761" s="20"/>
      <c r="AF761" s="20"/>
      <c r="AG761" s="20"/>
      <c r="AH761" s="20"/>
      <c r="AI761" s="20"/>
      <c r="AJ761" s="20"/>
      <c r="AK761" s="20"/>
      <c r="AL761" s="20"/>
      <c r="AM761" s="20"/>
      <c r="AN761" s="20"/>
      <c r="AO761" s="20"/>
      <c r="AP761" s="20"/>
      <c r="AQ761" s="20"/>
      <c r="AR761" s="20"/>
      <c r="AS761" s="20"/>
      <c r="AT761" s="20"/>
      <c r="AU761" s="20"/>
      <c r="AV761" s="20"/>
      <c r="AW761" s="20"/>
      <c r="AX761" s="20"/>
      <c r="AY761" s="20"/>
    </row>
    <row r="762" spans="4:51"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937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0"/>
      <c r="AF762" s="20"/>
      <c r="AG762" s="20"/>
      <c r="AH762" s="20"/>
      <c r="AI762" s="20"/>
      <c r="AJ762" s="20"/>
      <c r="AK762" s="20"/>
      <c r="AL762" s="20"/>
      <c r="AM762" s="20"/>
      <c r="AN762" s="20"/>
      <c r="AO762" s="20"/>
      <c r="AP762" s="20"/>
      <c r="AQ762" s="20"/>
      <c r="AR762" s="20"/>
      <c r="AS762" s="20"/>
      <c r="AT762" s="20"/>
      <c r="AU762" s="20"/>
      <c r="AV762" s="20"/>
      <c r="AW762" s="20"/>
      <c r="AX762" s="20"/>
      <c r="AY762" s="20"/>
    </row>
    <row r="763" spans="4:51"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937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0"/>
      <c r="AF763" s="20"/>
      <c r="AG763" s="20"/>
      <c r="AH763" s="20"/>
      <c r="AI763" s="20"/>
      <c r="AJ763" s="20"/>
      <c r="AK763" s="20"/>
      <c r="AL763" s="20"/>
      <c r="AM763" s="20"/>
      <c r="AN763" s="20"/>
      <c r="AO763" s="20"/>
      <c r="AP763" s="20"/>
      <c r="AQ763" s="20"/>
      <c r="AR763" s="20"/>
      <c r="AS763" s="20"/>
      <c r="AT763" s="20"/>
      <c r="AU763" s="20"/>
      <c r="AV763" s="20"/>
      <c r="AW763" s="20"/>
      <c r="AX763" s="20"/>
      <c r="AY763" s="20"/>
    </row>
    <row r="764" spans="4:51"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937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  <c r="AF764" s="20"/>
      <c r="AG764" s="20"/>
      <c r="AH764" s="20"/>
      <c r="AI764" s="20"/>
      <c r="AJ764" s="20"/>
      <c r="AK764" s="20"/>
      <c r="AL764" s="20"/>
      <c r="AM764" s="20"/>
      <c r="AN764" s="20"/>
      <c r="AO764" s="20"/>
      <c r="AP764" s="20"/>
      <c r="AQ764" s="20"/>
      <c r="AR764" s="20"/>
      <c r="AS764" s="20"/>
      <c r="AT764" s="20"/>
      <c r="AU764" s="20"/>
      <c r="AV764" s="20"/>
      <c r="AW764" s="20"/>
      <c r="AX764" s="20"/>
      <c r="AY764" s="20"/>
    </row>
    <row r="765" spans="4:51"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937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  <c r="AF765" s="20"/>
      <c r="AG765" s="20"/>
      <c r="AH765" s="20"/>
      <c r="AI765" s="20"/>
      <c r="AJ765" s="20"/>
      <c r="AK765" s="20"/>
      <c r="AL765" s="20"/>
      <c r="AM765" s="20"/>
      <c r="AN765" s="20"/>
      <c r="AO765" s="20"/>
      <c r="AP765" s="20"/>
      <c r="AQ765" s="20"/>
      <c r="AR765" s="20"/>
      <c r="AS765" s="20"/>
      <c r="AT765" s="20"/>
      <c r="AU765" s="20"/>
      <c r="AV765" s="20"/>
      <c r="AW765" s="20"/>
      <c r="AX765" s="20"/>
      <c r="AY765" s="20"/>
    </row>
    <row r="766" spans="4:51"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937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  <c r="AE766" s="20"/>
      <c r="AF766" s="20"/>
      <c r="AG766" s="20"/>
      <c r="AH766" s="20"/>
      <c r="AI766" s="20"/>
      <c r="AJ766" s="20"/>
      <c r="AK766" s="20"/>
      <c r="AL766" s="20"/>
      <c r="AM766" s="20"/>
      <c r="AN766" s="20"/>
      <c r="AO766" s="20"/>
      <c r="AP766" s="20"/>
      <c r="AQ766" s="20"/>
      <c r="AR766" s="20"/>
      <c r="AS766" s="20"/>
      <c r="AT766" s="20"/>
      <c r="AU766" s="20"/>
      <c r="AV766" s="20"/>
      <c r="AW766" s="20"/>
      <c r="AX766" s="20"/>
      <c r="AY766" s="20"/>
    </row>
    <row r="767" spans="4:51"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937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  <c r="AE767" s="20"/>
      <c r="AF767" s="20"/>
      <c r="AG767" s="20"/>
      <c r="AH767" s="20"/>
      <c r="AI767" s="20"/>
      <c r="AJ767" s="20"/>
      <c r="AK767" s="20"/>
      <c r="AL767" s="20"/>
      <c r="AM767" s="20"/>
      <c r="AN767" s="20"/>
      <c r="AO767" s="20"/>
      <c r="AP767" s="20"/>
      <c r="AQ767" s="20"/>
      <c r="AR767" s="20"/>
      <c r="AS767" s="20"/>
      <c r="AT767" s="20"/>
      <c r="AU767" s="20"/>
      <c r="AV767" s="20"/>
      <c r="AW767" s="20"/>
      <c r="AX767" s="20"/>
      <c r="AY767" s="20"/>
    </row>
    <row r="768" spans="4:51"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937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  <c r="AF768" s="20"/>
      <c r="AG768" s="20"/>
      <c r="AH768" s="20"/>
      <c r="AI768" s="20"/>
      <c r="AJ768" s="20"/>
      <c r="AK768" s="20"/>
      <c r="AL768" s="20"/>
      <c r="AM768" s="20"/>
      <c r="AN768" s="20"/>
      <c r="AO768" s="20"/>
      <c r="AP768" s="20"/>
      <c r="AQ768" s="20"/>
      <c r="AR768" s="20"/>
      <c r="AS768" s="20"/>
      <c r="AT768" s="20"/>
      <c r="AU768" s="20"/>
      <c r="AV768" s="20"/>
      <c r="AW768" s="20"/>
      <c r="AX768" s="20"/>
      <c r="AY768" s="20"/>
    </row>
    <row r="769" spans="4:51"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937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  <c r="AE769" s="20"/>
      <c r="AF769" s="20"/>
      <c r="AG769" s="20"/>
      <c r="AH769" s="20"/>
      <c r="AI769" s="20"/>
      <c r="AJ769" s="20"/>
      <c r="AK769" s="20"/>
      <c r="AL769" s="20"/>
      <c r="AM769" s="20"/>
      <c r="AN769" s="20"/>
      <c r="AO769" s="20"/>
      <c r="AP769" s="20"/>
      <c r="AQ769" s="20"/>
      <c r="AR769" s="20"/>
      <c r="AS769" s="20"/>
      <c r="AT769" s="20"/>
      <c r="AU769" s="20"/>
      <c r="AV769" s="20"/>
      <c r="AW769" s="20"/>
      <c r="AX769" s="20"/>
      <c r="AY769" s="20"/>
    </row>
    <row r="770" spans="4:51"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937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  <c r="AF770" s="20"/>
      <c r="AG770" s="20"/>
      <c r="AH770" s="20"/>
      <c r="AI770" s="20"/>
      <c r="AJ770" s="20"/>
      <c r="AK770" s="20"/>
      <c r="AL770" s="20"/>
      <c r="AM770" s="20"/>
      <c r="AN770" s="20"/>
      <c r="AO770" s="20"/>
      <c r="AP770" s="20"/>
      <c r="AQ770" s="20"/>
      <c r="AR770" s="20"/>
      <c r="AS770" s="20"/>
      <c r="AT770" s="20"/>
      <c r="AU770" s="20"/>
      <c r="AV770" s="20"/>
      <c r="AW770" s="20"/>
      <c r="AX770" s="20"/>
      <c r="AY770" s="20"/>
    </row>
    <row r="771" spans="4:51"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937"/>
      <c r="R771" s="20"/>
      <c r="S771" s="20"/>
      <c r="T771" s="20"/>
      <c r="U771" s="20"/>
      <c r="V771" s="20"/>
      <c r="W771" s="20"/>
      <c r="X771" s="20"/>
      <c r="Y771" s="20"/>
      <c r="Z771" s="20"/>
      <c r="AA771" s="20"/>
      <c r="AB771" s="20"/>
      <c r="AC771" s="20"/>
      <c r="AD771" s="20"/>
      <c r="AE771" s="20"/>
      <c r="AF771" s="20"/>
      <c r="AG771" s="20"/>
      <c r="AH771" s="20"/>
      <c r="AI771" s="20"/>
      <c r="AJ771" s="20"/>
      <c r="AK771" s="20"/>
      <c r="AL771" s="20"/>
      <c r="AM771" s="20"/>
      <c r="AN771" s="20"/>
      <c r="AO771" s="20"/>
      <c r="AP771" s="20"/>
      <c r="AQ771" s="20"/>
      <c r="AR771" s="20"/>
      <c r="AS771" s="20"/>
      <c r="AT771" s="20"/>
      <c r="AU771" s="20"/>
      <c r="AV771" s="20"/>
      <c r="AW771" s="20"/>
      <c r="AX771" s="20"/>
      <c r="AY771" s="20"/>
    </row>
    <row r="772" spans="4:51"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937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  <c r="AE772" s="20"/>
      <c r="AF772" s="20"/>
      <c r="AG772" s="20"/>
      <c r="AH772" s="20"/>
      <c r="AI772" s="20"/>
      <c r="AJ772" s="20"/>
      <c r="AK772" s="20"/>
      <c r="AL772" s="20"/>
      <c r="AM772" s="20"/>
      <c r="AN772" s="20"/>
      <c r="AO772" s="20"/>
      <c r="AP772" s="20"/>
      <c r="AQ772" s="20"/>
      <c r="AR772" s="20"/>
      <c r="AS772" s="20"/>
      <c r="AT772" s="20"/>
      <c r="AU772" s="20"/>
      <c r="AV772" s="20"/>
      <c r="AW772" s="20"/>
      <c r="AX772" s="20"/>
      <c r="AY772" s="20"/>
    </row>
    <row r="773" spans="4:51"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937"/>
      <c r="R773" s="20"/>
      <c r="S773" s="20"/>
      <c r="T773" s="20"/>
      <c r="U773" s="20"/>
      <c r="V773" s="20"/>
      <c r="W773" s="20"/>
      <c r="X773" s="20"/>
      <c r="Y773" s="20"/>
      <c r="Z773" s="20"/>
      <c r="AA773" s="20"/>
      <c r="AB773" s="20"/>
      <c r="AC773" s="20"/>
      <c r="AD773" s="20"/>
      <c r="AE773" s="20"/>
      <c r="AF773" s="20"/>
      <c r="AG773" s="20"/>
      <c r="AH773" s="20"/>
      <c r="AI773" s="20"/>
      <c r="AJ773" s="20"/>
      <c r="AK773" s="20"/>
      <c r="AL773" s="20"/>
      <c r="AM773" s="20"/>
      <c r="AN773" s="20"/>
      <c r="AO773" s="20"/>
      <c r="AP773" s="20"/>
      <c r="AQ773" s="20"/>
      <c r="AR773" s="20"/>
      <c r="AS773" s="20"/>
      <c r="AT773" s="20"/>
      <c r="AU773" s="20"/>
      <c r="AV773" s="20"/>
      <c r="AW773" s="20"/>
      <c r="AX773" s="20"/>
      <c r="AY773" s="20"/>
    </row>
    <row r="774" spans="4:51"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937"/>
      <c r="R774" s="20"/>
      <c r="S774" s="20"/>
      <c r="T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  <c r="AE774" s="20"/>
      <c r="AF774" s="20"/>
      <c r="AG774" s="20"/>
      <c r="AH774" s="20"/>
      <c r="AI774" s="20"/>
      <c r="AJ774" s="20"/>
      <c r="AK774" s="20"/>
      <c r="AL774" s="20"/>
      <c r="AM774" s="20"/>
      <c r="AN774" s="20"/>
      <c r="AO774" s="20"/>
      <c r="AP774" s="20"/>
      <c r="AQ774" s="20"/>
      <c r="AR774" s="20"/>
      <c r="AS774" s="20"/>
      <c r="AT774" s="20"/>
      <c r="AU774" s="20"/>
      <c r="AV774" s="20"/>
      <c r="AW774" s="20"/>
      <c r="AX774" s="20"/>
      <c r="AY774" s="20"/>
    </row>
    <row r="775" spans="4:51"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937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  <c r="AE775" s="20"/>
      <c r="AF775" s="20"/>
      <c r="AG775" s="20"/>
      <c r="AH775" s="20"/>
      <c r="AI775" s="20"/>
      <c r="AJ775" s="20"/>
      <c r="AK775" s="20"/>
      <c r="AL775" s="20"/>
      <c r="AM775" s="20"/>
      <c r="AN775" s="20"/>
      <c r="AO775" s="20"/>
      <c r="AP775" s="20"/>
      <c r="AQ775" s="20"/>
      <c r="AR775" s="20"/>
      <c r="AS775" s="20"/>
      <c r="AT775" s="20"/>
      <c r="AU775" s="20"/>
      <c r="AV775" s="20"/>
      <c r="AW775" s="20"/>
      <c r="AX775" s="20"/>
      <c r="AY775" s="20"/>
    </row>
    <row r="776" spans="4:51"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937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  <c r="AE776" s="20"/>
      <c r="AF776" s="20"/>
      <c r="AG776" s="20"/>
      <c r="AH776" s="20"/>
      <c r="AI776" s="20"/>
      <c r="AJ776" s="20"/>
      <c r="AK776" s="20"/>
      <c r="AL776" s="20"/>
      <c r="AM776" s="20"/>
      <c r="AN776" s="20"/>
      <c r="AO776" s="20"/>
      <c r="AP776" s="20"/>
      <c r="AQ776" s="20"/>
      <c r="AR776" s="20"/>
      <c r="AS776" s="20"/>
      <c r="AT776" s="20"/>
      <c r="AU776" s="20"/>
      <c r="AV776" s="20"/>
      <c r="AW776" s="20"/>
      <c r="AX776" s="20"/>
      <c r="AY776" s="20"/>
    </row>
    <row r="777" spans="4:51"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937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0"/>
      <c r="AF777" s="20"/>
      <c r="AG777" s="20"/>
      <c r="AH777" s="20"/>
      <c r="AI777" s="20"/>
      <c r="AJ777" s="20"/>
      <c r="AK777" s="20"/>
      <c r="AL777" s="20"/>
      <c r="AM777" s="20"/>
      <c r="AN777" s="20"/>
      <c r="AO777" s="20"/>
      <c r="AP777" s="20"/>
      <c r="AQ777" s="20"/>
      <c r="AR777" s="20"/>
      <c r="AS777" s="20"/>
      <c r="AT777" s="20"/>
      <c r="AU777" s="20"/>
      <c r="AV777" s="20"/>
      <c r="AW777" s="20"/>
      <c r="AX777" s="20"/>
      <c r="AY777" s="20"/>
    </row>
    <row r="778" spans="4:51"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937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  <c r="AE778" s="20"/>
      <c r="AF778" s="20"/>
      <c r="AG778" s="20"/>
      <c r="AH778" s="20"/>
      <c r="AI778" s="20"/>
      <c r="AJ778" s="20"/>
      <c r="AK778" s="20"/>
      <c r="AL778" s="20"/>
      <c r="AM778" s="20"/>
      <c r="AN778" s="20"/>
      <c r="AO778" s="20"/>
      <c r="AP778" s="20"/>
      <c r="AQ778" s="20"/>
      <c r="AR778" s="20"/>
      <c r="AS778" s="20"/>
      <c r="AT778" s="20"/>
      <c r="AU778" s="20"/>
      <c r="AV778" s="20"/>
      <c r="AW778" s="20"/>
      <c r="AX778" s="20"/>
      <c r="AY778" s="20"/>
    </row>
    <row r="779" spans="4:51"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937"/>
      <c r="R779" s="20"/>
      <c r="S779" s="20"/>
      <c r="T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  <c r="AE779" s="20"/>
      <c r="AF779" s="20"/>
      <c r="AG779" s="20"/>
      <c r="AH779" s="20"/>
      <c r="AI779" s="20"/>
      <c r="AJ779" s="20"/>
      <c r="AK779" s="20"/>
      <c r="AL779" s="20"/>
      <c r="AM779" s="20"/>
      <c r="AN779" s="20"/>
      <c r="AO779" s="20"/>
      <c r="AP779" s="20"/>
      <c r="AQ779" s="20"/>
      <c r="AR779" s="20"/>
      <c r="AS779" s="20"/>
      <c r="AT779" s="20"/>
      <c r="AU779" s="20"/>
      <c r="AV779" s="20"/>
      <c r="AW779" s="20"/>
      <c r="AX779" s="20"/>
      <c r="AY779" s="20"/>
    </row>
    <row r="780" spans="4:51"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937"/>
      <c r="R780" s="20"/>
      <c r="S780" s="20"/>
      <c r="T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  <c r="AE780" s="20"/>
      <c r="AF780" s="20"/>
      <c r="AG780" s="20"/>
      <c r="AH780" s="20"/>
      <c r="AI780" s="20"/>
      <c r="AJ780" s="20"/>
      <c r="AK780" s="20"/>
      <c r="AL780" s="20"/>
      <c r="AM780" s="20"/>
      <c r="AN780" s="20"/>
      <c r="AO780" s="20"/>
      <c r="AP780" s="20"/>
      <c r="AQ780" s="20"/>
      <c r="AR780" s="20"/>
      <c r="AS780" s="20"/>
      <c r="AT780" s="20"/>
      <c r="AU780" s="20"/>
      <c r="AV780" s="20"/>
      <c r="AW780" s="20"/>
      <c r="AX780" s="20"/>
      <c r="AY780" s="20"/>
    </row>
    <row r="781" spans="4:51"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937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  <c r="AF781" s="20"/>
      <c r="AG781" s="20"/>
      <c r="AH781" s="20"/>
      <c r="AI781" s="20"/>
      <c r="AJ781" s="20"/>
      <c r="AK781" s="20"/>
      <c r="AL781" s="20"/>
      <c r="AM781" s="20"/>
      <c r="AN781" s="20"/>
      <c r="AO781" s="20"/>
      <c r="AP781" s="20"/>
      <c r="AQ781" s="20"/>
      <c r="AR781" s="20"/>
      <c r="AS781" s="20"/>
      <c r="AT781" s="20"/>
      <c r="AU781" s="20"/>
      <c r="AV781" s="20"/>
      <c r="AW781" s="20"/>
      <c r="AX781" s="20"/>
      <c r="AY781" s="20"/>
    </row>
    <row r="782" spans="4:51"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937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  <c r="AF782" s="20"/>
      <c r="AG782" s="20"/>
      <c r="AH782" s="20"/>
      <c r="AI782" s="20"/>
      <c r="AJ782" s="20"/>
      <c r="AK782" s="20"/>
      <c r="AL782" s="20"/>
      <c r="AM782" s="20"/>
      <c r="AN782" s="20"/>
      <c r="AO782" s="20"/>
      <c r="AP782" s="20"/>
      <c r="AQ782" s="20"/>
      <c r="AR782" s="20"/>
      <c r="AS782" s="20"/>
      <c r="AT782" s="20"/>
      <c r="AU782" s="20"/>
      <c r="AV782" s="20"/>
      <c r="AW782" s="20"/>
      <c r="AX782" s="20"/>
      <c r="AY782" s="20"/>
    </row>
    <row r="783" spans="4:51"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937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  <c r="AF783" s="20"/>
      <c r="AG783" s="20"/>
      <c r="AH783" s="20"/>
      <c r="AI783" s="20"/>
      <c r="AJ783" s="20"/>
      <c r="AK783" s="20"/>
      <c r="AL783" s="20"/>
      <c r="AM783" s="20"/>
      <c r="AN783" s="20"/>
      <c r="AO783" s="20"/>
      <c r="AP783" s="20"/>
      <c r="AQ783" s="20"/>
      <c r="AR783" s="20"/>
      <c r="AS783" s="20"/>
      <c r="AT783" s="20"/>
      <c r="AU783" s="20"/>
      <c r="AV783" s="20"/>
      <c r="AW783" s="20"/>
      <c r="AX783" s="20"/>
      <c r="AY783" s="20"/>
    </row>
    <row r="784" spans="4:51"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937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  <c r="AE784" s="20"/>
      <c r="AF784" s="20"/>
      <c r="AG784" s="20"/>
      <c r="AH784" s="20"/>
      <c r="AI784" s="20"/>
      <c r="AJ784" s="20"/>
      <c r="AK784" s="20"/>
      <c r="AL784" s="20"/>
      <c r="AM784" s="20"/>
      <c r="AN784" s="20"/>
      <c r="AO784" s="20"/>
      <c r="AP784" s="20"/>
      <c r="AQ784" s="20"/>
      <c r="AR784" s="20"/>
      <c r="AS784" s="20"/>
      <c r="AT784" s="20"/>
      <c r="AU784" s="20"/>
      <c r="AV784" s="20"/>
      <c r="AW784" s="20"/>
      <c r="AX784" s="20"/>
      <c r="AY784" s="20"/>
    </row>
    <row r="785" spans="4:51"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937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AD785" s="20"/>
      <c r="AE785" s="20"/>
      <c r="AF785" s="20"/>
      <c r="AG785" s="20"/>
      <c r="AH785" s="20"/>
      <c r="AI785" s="20"/>
      <c r="AJ785" s="20"/>
      <c r="AK785" s="20"/>
      <c r="AL785" s="20"/>
      <c r="AM785" s="20"/>
      <c r="AN785" s="20"/>
      <c r="AO785" s="20"/>
      <c r="AP785" s="20"/>
      <c r="AQ785" s="20"/>
      <c r="AR785" s="20"/>
      <c r="AS785" s="20"/>
      <c r="AT785" s="20"/>
      <c r="AU785" s="20"/>
      <c r="AV785" s="20"/>
      <c r="AW785" s="20"/>
      <c r="AX785" s="20"/>
      <c r="AY785" s="20"/>
    </row>
    <row r="786" spans="4:51"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937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  <c r="AE786" s="20"/>
      <c r="AF786" s="20"/>
      <c r="AG786" s="20"/>
      <c r="AH786" s="20"/>
      <c r="AI786" s="20"/>
      <c r="AJ786" s="20"/>
      <c r="AK786" s="20"/>
      <c r="AL786" s="20"/>
      <c r="AM786" s="20"/>
      <c r="AN786" s="20"/>
      <c r="AO786" s="20"/>
      <c r="AP786" s="20"/>
      <c r="AQ786" s="20"/>
      <c r="AR786" s="20"/>
      <c r="AS786" s="20"/>
      <c r="AT786" s="20"/>
      <c r="AU786" s="20"/>
      <c r="AV786" s="20"/>
      <c r="AW786" s="20"/>
      <c r="AX786" s="20"/>
      <c r="AY786" s="20"/>
    </row>
    <row r="787" spans="4:51"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937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  <c r="AE787" s="20"/>
      <c r="AF787" s="20"/>
      <c r="AG787" s="20"/>
      <c r="AH787" s="20"/>
      <c r="AI787" s="20"/>
      <c r="AJ787" s="20"/>
      <c r="AK787" s="20"/>
      <c r="AL787" s="20"/>
      <c r="AM787" s="20"/>
      <c r="AN787" s="20"/>
      <c r="AO787" s="20"/>
      <c r="AP787" s="20"/>
      <c r="AQ787" s="20"/>
      <c r="AR787" s="20"/>
      <c r="AS787" s="20"/>
      <c r="AT787" s="20"/>
      <c r="AU787" s="20"/>
      <c r="AV787" s="20"/>
      <c r="AW787" s="20"/>
      <c r="AX787" s="20"/>
      <c r="AY787" s="20"/>
    </row>
    <row r="788" spans="4:51"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937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  <c r="AF788" s="20"/>
      <c r="AG788" s="20"/>
      <c r="AH788" s="20"/>
      <c r="AI788" s="20"/>
      <c r="AJ788" s="20"/>
      <c r="AK788" s="20"/>
      <c r="AL788" s="20"/>
      <c r="AM788" s="20"/>
      <c r="AN788" s="20"/>
      <c r="AO788" s="20"/>
      <c r="AP788" s="20"/>
      <c r="AQ788" s="20"/>
      <c r="AR788" s="20"/>
      <c r="AS788" s="20"/>
      <c r="AT788" s="20"/>
      <c r="AU788" s="20"/>
      <c r="AV788" s="20"/>
      <c r="AW788" s="20"/>
      <c r="AX788" s="20"/>
      <c r="AY788" s="20"/>
    </row>
    <row r="789" spans="4:51"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937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  <c r="AF789" s="20"/>
      <c r="AG789" s="20"/>
      <c r="AH789" s="20"/>
      <c r="AI789" s="20"/>
      <c r="AJ789" s="20"/>
      <c r="AK789" s="20"/>
      <c r="AL789" s="20"/>
      <c r="AM789" s="20"/>
      <c r="AN789" s="20"/>
      <c r="AO789" s="20"/>
      <c r="AP789" s="20"/>
      <c r="AQ789" s="20"/>
      <c r="AR789" s="20"/>
      <c r="AS789" s="20"/>
      <c r="AT789" s="20"/>
      <c r="AU789" s="20"/>
      <c r="AV789" s="20"/>
      <c r="AW789" s="20"/>
      <c r="AX789" s="20"/>
      <c r="AY789" s="20"/>
    </row>
    <row r="790" spans="4:51"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937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  <c r="AF790" s="20"/>
      <c r="AG790" s="20"/>
      <c r="AH790" s="20"/>
      <c r="AI790" s="20"/>
      <c r="AJ790" s="20"/>
      <c r="AK790" s="20"/>
      <c r="AL790" s="20"/>
      <c r="AM790" s="20"/>
      <c r="AN790" s="20"/>
      <c r="AO790" s="20"/>
      <c r="AP790" s="20"/>
      <c r="AQ790" s="20"/>
      <c r="AR790" s="20"/>
      <c r="AS790" s="20"/>
      <c r="AT790" s="20"/>
      <c r="AU790" s="20"/>
      <c r="AV790" s="20"/>
      <c r="AW790" s="20"/>
      <c r="AX790" s="20"/>
      <c r="AY790" s="20"/>
    </row>
    <row r="791" spans="4:51"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937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0"/>
      <c r="AF791" s="20"/>
      <c r="AG791" s="20"/>
      <c r="AH791" s="20"/>
      <c r="AI791" s="20"/>
      <c r="AJ791" s="20"/>
      <c r="AK791" s="20"/>
      <c r="AL791" s="20"/>
      <c r="AM791" s="20"/>
      <c r="AN791" s="20"/>
      <c r="AO791" s="20"/>
      <c r="AP791" s="20"/>
      <c r="AQ791" s="20"/>
      <c r="AR791" s="20"/>
      <c r="AS791" s="20"/>
      <c r="AT791" s="20"/>
      <c r="AU791" s="20"/>
      <c r="AV791" s="20"/>
      <c r="AW791" s="20"/>
      <c r="AX791" s="20"/>
      <c r="AY791" s="20"/>
    </row>
    <row r="792" spans="4:51"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937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  <c r="AE792" s="20"/>
      <c r="AF792" s="20"/>
      <c r="AG792" s="20"/>
      <c r="AH792" s="20"/>
      <c r="AI792" s="20"/>
      <c r="AJ792" s="20"/>
      <c r="AK792" s="20"/>
      <c r="AL792" s="20"/>
      <c r="AM792" s="20"/>
      <c r="AN792" s="20"/>
      <c r="AO792" s="20"/>
      <c r="AP792" s="20"/>
      <c r="AQ792" s="20"/>
      <c r="AR792" s="20"/>
      <c r="AS792" s="20"/>
      <c r="AT792" s="20"/>
      <c r="AU792" s="20"/>
      <c r="AV792" s="20"/>
      <c r="AW792" s="20"/>
      <c r="AX792" s="20"/>
      <c r="AY792" s="20"/>
    </row>
    <row r="793" spans="4:51"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937"/>
      <c r="R793" s="20"/>
      <c r="S793" s="20"/>
      <c r="T793" s="20"/>
      <c r="U793" s="20"/>
      <c r="V793" s="20"/>
      <c r="W793" s="20"/>
      <c r="X793" s="20"/>
      <c r="Y793" s="20"/>
      <c r="Z793" s="20"/>
      <c r="AA793" s="20"/>
      <c r="AB793" s="20"/>
      <c r="AC793" s="20"/>
      <c r="AD793" s="20"/>
      <c r="AE793" s="20"/>
      <c r="AF793" s="20"/>
      <c r="AG793" s="20"/>
      <c r="AH793" s="20"/>
      <c r="AI793" s="20"/>
      <c r="AJ793" s="20"/>
      <c r="AK793" s="20"/>
      <c r="AL793" s="20"/>
      <c r="AM793" s="20"/>
      <c r="AN793" s="20"/>
      <c r="AO793" s="20"/>
      <c r="AP793" s="20"/>
      <c r="AQ793" s="20"/>
      <c r="AR793" s="20"/>
      <c r="AS793" s="20"/>
      <c r="AT793" s="20"/>
      <c r="AU793" s="20"/>
      <c r="AV793" s="20"/>
      <c r="AW793" s="20"/>
      <c r="AX793" s="20"/>
      <c r="AY793" s="20"/>
    </row>
    <row r="794" spans="4:51"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937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0"/>
      <c r="AF794" s="20"/>
      <c r="AG794" s="20"/>
      <c r="AH794" s="20"/>
      <c r="AI794" s="20"/>
      <c r="AJ794" s="20"/>
      <c r="AK794" s="20"/>
      <c r="AL794" s="20"/>
      <c r="AM794" s="20"/>
      <c r="AN794" s="20"/>
      <c r="AO794" s="20"/>
      <c r="AP794" s="20"/>
      <c r="AQ794" s="20"/>
      <c r="AR794" s="20"/>
      <c r="AS794" s="20"/>
      <c r="AT794" s="20"/>
      <c r="AU794" s="20"/>
      <c r="AV794" s="20"/>
      <c r="AW794" s="20"/>
      <c r="AX794" s="20"/>
      <c r="AY794" s="20"/>
    </row>
    <row r="795" spans="4:51"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937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0"/>
      <c r="AF795" s="20"/>
      <c r="AG795" s="20"/>
      <c r="AH795" s="20"/>
      <c r="AI795" s="20"/>
      <c r="AJ795" s="20"/>
      <c r="AK795" s="20"/>
      <c r="AL795" s="20"/>
      <c r="AM795" s="20"/>
      <c r="AN795" s="20"/>
      <c r="AO795" s="20"/>
      <c r="AP795" s="20"/>
      <c r="AQ795" s="20"/>
      <c r="AR795" s="20"/>
      <c r="AS795" s="20"/>
      <c r="AT795" s="20"/>
      <c r="AU795" s="20"/>
      <c r="AV795" s="20"/>
      <c r="AW795" s="20"/>
      <c r="AX795" s="20"/>
      <c r="AY795" s="20"/>
    </row>
    <row r="796" spans="4:51"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937"/>
      <c r="R796" s="20"/>
      <c r="S796" s="20"/>
      <c r="T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  <c r="AE796" s="20"/>
      <c r="AF796" s="20"/>
      <c r="AG796" s="20"/>
      <c r="AH796" s="20"/>
      <c r="AI796" s="20"/>
      <c r="AJ796" s="20"/>
      <c r="AK796" s="20"/>
      <c r="AL796" s="20"/>
      <c r="AM796" s="20"/>
      <c r="AN796" s="20"/>
      <c r="AO796" s="20"/>
      <c r="AP796" s="20"/>
      <c r="AQ796" s="20"/>
      <c r="AR796" s="20"/>
      <c r="AS796" s="20"/>
      <c r="AT796" s="20"/>
      <c r="AU796" s="20"/>
      <c r="AV796" s="20"/>
      <c r="AW796" s="20"/>
      <c r="AX796" s="20"/>
      <c r="AY796" s="20"/>
    </row>
    <row r="797" spans="4:51"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937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0"/>
      <c r="AF797" s="20"/>
      <c r="AG797" s="20"/>
      <c r="AH797" s="20"/>
      <c r="AI797" s="20"/>
      <c r="AJ797" s="20"/>
      <c r="AK797" s="20"/>
      <c r="AL797" s="20"/>
      <c r="AM797" s="20"/>
      <c r="AN797" s="20"/>
      <c r="AO797" s="20"/>
      <c r="AP797" s="20"/>
      <c r="AQ797" s="20"/>
      <c r="AR797" s="20"/>
      <c r="AS797" s="20"/>
      <c r="AT797" s="20"/>
      <c r="AU797" s="20"/>
      <c r="AV797" s="20"/>
      <c r="AW797" s="20"/>
      <c r="AX797" s="20"/>
      <c r="AY797" s="20"/>
    </row>
    <row r="798" spans="4:51"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937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  <c r="AE798" s="20"/>
      <c r="AF798" s="20"/>
      <c r="AG798" s="20"/>
      <c r="AH798" s="20"/>
      <c r="AI798" s="20"/>
      <c r="AJ798" s="20"/>
      <c r="AK798" s="20"/>
      <c r="AL798" s="20"/>
      <c r="AM798" s="20"/>
      <c r="AN798" s="20"/>
      <c r="AO798" s="20"/>
      <c r="AP798" s="20"/>
      <c r="AQ798" s="20"/>
      <c r="AR798" s="20"/>
      <c r="AS798" s="20"/>
      <c r="AT798" s="20"/>
      <c r="AU798" s="20"/>
      <c r="AV798" s="20"/>
      <c r="AW798" s="20"/>
      <c r="AX798" s="20"/>
      <c r="AY798" s="20"/>
    </row>
    <row r="799" spans="4:51"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937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  <c r="AE799" s="20"/>
      <c r="AF799" s="20"/>
      <c r="AG799" s="20"/>
      <c r="AH799" s="20"/>
      <c r="AI799" s="20"/>
      <c r="AJ799" s="20"/>
      <c r="AK799" s="20"/>
      <c r="AL799" s="20"/>
      <c r="AM799" s="20"/>
      <c r="AN799" s="20"/>
      <c r="AO799" s="20"/>
      <c r="AP799" s="20"/>
      <c r="AQ799" s="20"/>
      <c r="AR799" s="20"/>
      <c r="AS799" s="20"/>
      <c r="AT799" s="20"/>
      <c r="AU799" s="20"/>
      <c r="AV799" s="20"/>
      <c r="AW799" s="20"/>
      <c r="AX799" s="20"/>
      <c r="AY799" s="20"/>
    </row>
    <row r="800" spans="4:51"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937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  <c r="AE800" s="20"/>
      <c r="AF800" s="20"/>
      <c r="AG800" s="20"/>
      <c r="AH800" s="20"/>
      <c r="AI800" s="20"/>
      <c r="AJ800" s="20"/>
      <c r="AK800" s="20"/>
      <c r="AL800" s="20"/>
      <c r="AM800" s="20"/>
      <c r="AN800" s="20"/>
      <c r="AO800" s="20"/>
      <c r="AP800" s="20"/>
      <c r="AQ800" s="20"/>
      <c r="AR800" s="20"/>
      <c r="AS800" s="20"/>
      <c r="AT800" s="20"/>
      <c r="AU800" s="20"/>
      <c r="AV800" s="20"/>
      <c r="AW800" s="20"/>
      <c r="AX800" s="20"/>
      <c r="AY800" s="20"/>
    </row>
    <row r="801" spans="4:51"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937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AE801" s="20"/>
      <c r="AF801" s="20"/>
      <c r="AG801" s="20"/>
      <c r="AH801" s="20"/>
      <c r="AI801" s="20"/>
      <c r="AJ801" s="20"/>
      <c r="AK801" s="20"/>
      <c r="AL801" s="20"/>
      <c r="AM801" s="20"/>
      <c r="AN801" s="20"/>
      <c r="AO801" s="20"/>
      <c r="AP801" s="20"/>
      <c r="AQ801" s="20"/>
      <c r="AR801" s="20"/>
      <c r="AS801" s="20"/>
      <c r="AT801" s="20"/>
      <c r="AU801" s="20"/>
      <c r="AV801" s="20"/>
      <c r="AW801" s="20"/>
      <c r="AX801" s="20"/>
      <c r="AY801" s="20"/>
    </row>
    <row r="802" spans="4:51"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937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  <c r="AE802" s="20"/>
      <c r="AF802" s="20"/>
      <c r="AG802" s="20"/>
      <c r="AH802" s="20"/>
      <c r="AI802" s="20"/>
      <c r="AJ802" s="20"/>
      <c r="AK802" s="20"/>
      <c r="AL802" s="20"/>
      <c r="AM802" s="20"/>
      <c r="AN802" s="20"/>
      <c r="AO802" s="20"/>
      <c r="AP802" s="20"/>
      <c r="AQ802" s="20"/>
      <c r="AR802" s="20"/>
      <c r="AS802" s="20"/>
      <c r="AT802" s="20"/>
      <c r="AU802" s="20"/>
      <c r="AV802" s="20"/>
      <c r="AW802" s="20"/>
      <c r="AX802" s="20"/>
      <c r="AY802" s="20"/>
    </row>
    <row r="803" spans="4:51"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937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AE803" s="20"/>
      <c r="AF803" s="20"/>
      <c r="AG803" s="20"/>
      <c r="AH803" s="20"/>
      <c r="AI803" s="20"/>
      <c r="AJ803" s="20"/>
      <c r="AK803" s="20"/>
      <c r="AL803" s="20"/>
      <c r="AM803" s="20"/>
      <c r="AN803" s="20"/>
      <c r="AO803" s="20"/>
      <c r="AP803" s="20"/>
      <c r="AQ803" s="20"/>
      <c r="AR803" s="20"/>
      <c r="AS803" s="20"/>
      <c r="AT803" s="20"/>
      <c r="AU803" s="20"/>
      <c r="AV803" s="20"/>
      <c r="AW803" s="20"/>
      <c r="AX803" s="20"/>
      <c r="AY803" s="20"/>
    </row>
    <row r="804" spans="4:51"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937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0"/>
      <c r="AF804" s="20"/>
      <c r="AG804" s="20"/>
      <c r="AH804" s="20"/>
      <c r="AI804" s="20"/>
      <c r="AJ804" s="20"/>
      <c r="AK804" s="20"/>
      <c r="AL804" s="20"/>
      <c r="AM804" s="20"/>
      <c r="AN804" s="20"/>
      <c r="AO804" s="20"/>
      <c r="AP804" s="20"/>
      <c r="AQ804" s="20"/>
      <c r="AR804" s="20"/>
      <c r="AS804" s="20"/>
      <c r="AT804" s="20"/>
      <c r="AU804" s="20"/>
      <c r="AV804" s="20"/>
      <c r="AW804" s="20"/>
      <c r="AX804" s="20"/>
      <c r="AY804" s="20"/>
    </row>
    <row r="805" spans="4:51"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937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0"/>
      <c r="AF805" s="20"/>
      <c r="AG805" s="20"/>
      <c r="AH805" s="20"/>
      <c r="AI805" s="20"/>
      <c r="AJ805" s="20"/>
      <c r="AK805" s="20"/>
      <c r="AL805" s="20"/>
      <c r="AM805" s="20"/>
      <c r="AN805" s="20"/>
      <c r="AO805" s="20"/>
      <c r="AP805" s="20"/>
      <c r="AQ805" s="20"/>
      <c r="AR805" s="20"/>
      <c r="AS805" s="20"/>
      <c r="AT805" s="20"/>
      <c r="AU805" s="20"/>
      <c r="AV805" s="20"/>
      <c r="AW805" s="20"/>
      <c r="AX805" s="20"/>
      <c r="AY805" s="20"/>
    </row>
    <row r="806" spans="4:51"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937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  <c r="AF806" s="20"/>
      <c r="AG806" s="20"/>
      <c r="AH806" s="20"/>
      <c r="AI806" s="20"/>
      <c r="AJ806" s="20"/>
      <c r="AK806" s="20"/>
      <c r="AL806" s="20"/>
      <c r="AM806" s="20"/>
      <c r="AN806" s="20"/>
      <c r="AO806" s="20"/>
      <c r="AP806" s="20"/>
      <c r="AQ806" s="20"/>
      <c r="AR806" s="20"/>
      <c r="AS806" s="20"/>
      <c r="AT806" s="20"/>
      <c r="AU806" s="20"/>
      <c r="AV806" s="20"/>
      <c r="AW806" s="20"/>
      <c r="AX806" s="20"/>
      <c r="AY806" s="20"/>
    </row>
    <row r="807" spans="4:51"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937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0"/>
      <c r="AF807" s="20"/>
      <c r="AG807" s="20"/>
      <c r="AH807" s="20"/>
      <c r="AI807" s="20"/>
      <c r="AJ807" s="20"/>
      <c r="AK807" s="20"/>
      <c r="AL807" s="20"/>
      <c r="AM807" s="20"/>
      <c r="AN807" s="20"/>
      <c r="AO807" s="20"/>
      <c r="AP807" s="20"/>
      <c r="AQ807" s="20"/>
      <c r="AR807" s="20"/>
      <c r="AS807" s="20"/>
      <c r="AT807" s="20"/>
      <c r="AU807" s="20"/>
      <c r="AV807" s="20"/>
      <c r="AW807" s="20"/>
      <c r="AX807" s="20"/>
      <c r="AY807" s="20"/>
    </row>
    <row r="808" spans="4:51"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937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  <c r="AE808" s="20"/>
      <c r="AF808" s="20"/>
      <c r="AG808" s="20"/>
      <c r="AH808" s="20"/>
      <c r="AI808" s="20"/>
      <c r="AJ808" s="20"/>
      <c r="AK808" s="20"/>
      <c r="AL808" s="20"/>
      <c r="AM808" s="20"/>
      <c r="AN808" s="20"/>
      <c r="AO808" s="20"/>
      <c r="AP808" s="20"/>
      <c r="AQ808" s="20"/>
      <c r="AR808" s="20"/>
      <c r="AS808" s="20"/>
      <c r="AT808" s="20"/>
      <c r="AU808" s="20"/>
      <c r="AV808" s="20"/>
      <c r="AW808" s="20"/>
      <c r="AX808" s="20"/>
      <c r="AY808" s="20"/>
    </row>
    <row r="809" spans="4:51"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937"/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AB809" s="20"/>
      <c r="AC809" s="20"/>
      <c r="AD809" s="20"/>
      <c r="AE809" s="20"/>
      <c r="AF809" s="20"/>
      <c r="AG809" s="20"/>
      <c r="AH809" s="20"/>
      <c r="AI809" s="20"/>
      <c r="AJ809" s="20"/>
      <c r="AK809" s="20"/>
      <c r="AL809" s="20"/>
      <c r="AM809" s="20"/>
      <c r="AN809" s="20"/>
      <c r="AO809" s="20"/>
      <c r="AP809" s="20"/>
      <c r="AQ809" s="20"/>
      <c r="AR809" s="20"/>
      <c r="AS809" s="20"/>
      <c r="AT809" s="20"/>
      <c r="AU809" s="20"/>
      <c r="AV809" s="20"/>
      <c r="AW809" s="20"/>
      <c r="AX809" s="20"/>
      <c r="AY809" s="20"/>
    </row>
    <row r="810" spans="4:51"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937"/>
      <c r="R810" s="20"/>
      <c r="S810" s="20"/>
      <c r="T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  <c r="AE810" s="20"/>
      <c r="AF810" s="20"/>
      <c r="AG810" s="20"/>
      <c r="AH810" s="20"/>
      <c r="AI810" s="20"/>
      <c r="AJ810" s="20"/>
      <c r="AK810" s="20"/>
      <c r="AL810" s="20"/>
      <c r="AM810" s="20"/>
      <c r="AN810" s="20"/>
      <c r="AO810" s="20"/>
      <c r="AP810" s="20"/>
      <c r="AQ810" s="20"/>
      <c r="AR810" s="20"/>
      <c r="AS810" s="20"/>
      <c r="AT810" s="20"/>
      <c r="AU810" s="20"/>
      <c r="AV810" s="20"/>
      <c r="AW810" s="20"/>
      <c r="AX810" s="20"/>
      <c r="AY810" s="20"/>
    </row>
    <row r="811" spans="4:51"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937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  <c r="AC811" s="20"/>
      <c r="AD811" s="20"/>
      <c r="AE811" s="20"/>
      <c r="AF811" s="20"/>
      <c r="AG811" s="20"/>
      <c r="AH811" s="20"/>
      <c r="AI811" s="20"/>
      <c r="AJ811" s="20"/>
      <c r="AK811" s="20"/>
      <c r="AL811" s="20"/>
      <c r="AM811" s="20"/>
      <c r="AN811" s="20"/>
      <c r="AO811" s="20"/>
      <c r="AP811" s="20"/>
      <c r="AQ811" s="20"/>
      <c r="AR811" s="20"/>
      <c r="AS811" s="20"/>
      <c r="AT811" s="20"/>
      <c r="AU811" s="20"/>
      <c r="AV811" s="20"/>
      <c r="AW811" s="20"/>
      <c r="AX811" s="20"/>
      <c r="AY811" s="20"/>
    </row>
    <row r="812" spans="4:51"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937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  <c r="AF812" s="20"/>
      <c r="AG812" s="20"/>
      <c r="AH812" s="20"/>
      <c r="AI812" s="20"/>
      <c r="AJ812" s="20"/>
      <c r="AK812" s="20"/>
      <c r="AL812" s="20"/>
      <c r="AM812" s="20"/>
      <c r="AN812" s="20"/>
      <c r="AO812" s="20"/>
      <c r="AP812" s="20"/>
      <c r="AQ812" s="20"/>
      <c r="AR812" s="20"/>
      <c r="AS812" s="20"/>
      <c r="AT812" s="20"/>
      <c r="AU812" s="20"/>
      <c r="AV812" s="20"/>
      <c r="AW812" s="20"/>
      <c r="AX812" s="20"/>
      <c r="AY812" s="20"/>
    </row>
    <row r="813" spans="4:51"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937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0"/>
      <c r="AF813" s="20"/>
      <c r="AG813" s="20"/>
      <c r="AH813" s="20"/>
      <c r="AI813" s="20"/>
      <c r="AJ813" s="20"/>
      <c r="AK813" s="20"/>
      <c r="AL813" s="20"/>
      <c r="AM813" s="20"/>
      <c r="AN813" s="20"/>
      <c r="AO813" s="20"/>
      <c r="AP813" s="20"/>
      <c r="AQ813" s="20"/>
      <c r="AR813" s="20"/>
      <c r="AS813" s="20"/>
      <c r="AT813" s="20"/>
      <c r="AU813" s="20"/>
      <c r="AV813" s="20"/>
      <c r="AW813" s="20"/>
      <c r="AX813" s="20"/>
      <c r="AY813" s="20"/>
    </row>
    <row r="814" spans="4:51"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937"/>
      <c r="R814" s="20"/>
      <c r="S814" s="20"/>
      <c r="T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  <c r="AE814" s="20"/>
      <c r="AF814" s="20"/>
      <c r="AG814" s="20"/>
      <c r="AH814" s="20"/>
      <c r="AI814" s="20"/>
      <c r="AJ814" s="20"/>
      <c r="AK814" s="20"/>
      <c r="AL814" s="20"/>
      <c r="AM814" s="20"/>
      <c r="AN814" s="20"/>
      <c r="AO814" s="20"/>
      <c r="AP814" s="20"/>
      <c r="AQ814" s="20"/>
      <c r="AR814" s="20"/>
      <c r="AS814" s="20"/>
      <c r="AT814" s="20"/>
      <c r="AU814" s="20"/>
      <c r="AV814" s="20"/>
      <c r="AW814" s="20"/>
      <c r="AX814" s="20"/>
      <c r="AY814" s="20"/>
    </row>
    <row r="815" spans="4:51"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937"/>
      <c r="R815" s="20"/>
      <c r="S815" s="20"/>
      <c r="T815" s="20"/>
      <c r="U815" s="20"/>
      <c r="V815" s="20"/>
      <c r="W815" s="20"/>
      <c r="X815" s="20"/>
      <c r="Y815" s="20"/>
      <c r="Z815" s="20"/>
      <c r="AA815" s="20"/>
      <c r="AB815" s="20"/>
      <c r="AC815" s="20"/>
      <c r="AD815" s="20"/>
      <c r="AE815" s="20"/>
      <c r="AF815" s="20"/>
      <c r="AG815" s="20"/>
      <c r="AH815" s="20"/>
      <c r="AI815" s="20"/>
      <c r="AJ815" s="20"/>
      <c r="AK815" s="20"/>
      <c r="AL815" s="20"/>
      <c r="AM815" s="20"/>
      <c r="AN815" s="20"/>
      <c r="AO815" s="20"/>
      <c r="AP815" s="20"/>
      <c r="AQ815" s="20"/>
      <c r="AR815" s="20"/>
      <c r="AS815" s="20"/>
      <c r="AT815" s="20"/>
      <c r="AU815" s="20"/>
      <c r="AV815" s="20"/>
      <c r="AW815" s="20"/>
      <c r="AX815" s="20"/>
      <c r="AY815" s="20"/>
    </row>
    <row r="816" spans="4:51"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937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  <c r="AE816" s="20"/>
      <c r="AF816" s="20"/>
      <c r="AG816" s="20"/>
      <c r="AH816" s="20"/>
      <c r="AI816" s="20"/>
      <c r="AJ816" s="20"/>
      <c r="AK816" s="20"/>
      <c r="AL816" s="20"/>
      <c r="AM816" s="20"/>
      <c r="AN816" s="20"/>
      <c r="AO816" s="20"/>
      <c r="AP816" s="20"/>
      <c r="AQ816" s="20"/>
      <c r="AR816" s="20"/>
      <c r="AS816" s="20"/>
      <c r="AT816" s="20"/>
      <c r="AU816" s="20"/>
      <c r="AV816" s="20"/>
      <c r="AW816" s="20"/>
      <c r="AX816" s="20"/>
      <c r="AY816" s="20"/>
    </row>
    <row r="817" spans="4:51"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937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  <c r="AE817" s="20"/>
      <c r="AF817" s="20"/>
      <c r="AG817" s="20"/>
      <c r="AH817" s="20"/>
      <c r="AI817" s="20"/>
      <c r="AJ817" s="20"/>
      <c r="AK817" s="20"/>
      <c r="AL817" s="20"/>
      <c r="AM817" s="20"/>
      <c r="AN817" s="20"/>
      <c r="AO817" s="20"/>
      <c r="AP817" s="20"/>
      <c r="AQ817" s="20"/>
      <c r="AR817" s="20"/>
      <c r="AS817" s="20"/>
      <c r="AT817" s="20"/>
      <c r="AU817" s="20"/>
      <c r="AV817" s="20"/>
      <c r="AW817" s="20"/>
      <c r="AX817" s="20"/>
      <c r="AY817" s="20"/>
    </row>
    <row r="818" spans="4:51"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937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  <c r="AE818" s="20"/>
      <c r="AF818" s="20"/>
      <c r="AG818" s="20"/>
      <c r="AH818" s="20"/>
      <c r="AI818" s="20"/>
      <c r="AJ818" s="20"/>
      <c r="AK818" s="20"/>
      <c r="AL818" s="20"/>
      <c r="AM818" s="20"/>
      <c r="AN818" s="20"/>
      <c r="AO818" s="20"/>
      <c r="AP818" s="20"/>
      <c r="AQ818" s="20"/>
      <c r="AR818" s="20"/>
      <c r="AS818" s="20"/>
      <c r="AT818" s="20"/>
      <c r="AU818" s="20"/>
      <c r="AV818" s="20"/>
      <c r="AW818" s="20"/>
      <c r="AX818" s="20"/>
      <c r="AY818" s="20"/>
    </row>
    <row r="819" spans="4:51"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937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  <c r="AF819" s="20"/>
      <c r="AG819" s="20"/>
      <c r="AH819" s="20"/>
      <c r="AI819" s="20"/>
      <c r="AJ819" s="20"/>
      <c r="AK819" s="20"/>
      <c r="AL819" s="20"/>
      <c r="AM819" s="20"/>
      <c r="AN819" s="20"/>
      <c r="AO819" s="20"/>
      <c r="AP819" s="20"/>
      <c r="AQ819" s="20"/>
      <c r="AR819" s="20"/>
      <c r="AS819" s="20"/>
      <c r="AT819" s="20"/>
      <c r="AU819" s="20"/>
      <c r="AV819" s="20"/>
      <c r="AW819" s="20"/>
      <c r="AX819" s="20"/>
      <c r="AY819" s="20"/>
    </row>
    <row r="820" spans="4:51"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937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AE820" s="20"/>
      <c r="AF820" s="20"/>
      <c r="AG820" s="20"/>
      <c r="AH820" s="20"/>
      <c r="AI820" s="20"/>
      <c r="AJ820" s="20"/>
      <c r="AK820" s="20"/>
      <c r="AL820" s="20"/>
      <c r="AM820" s="20"/>
      <c r="AN820" s="20"/>
      <c r="AO820" s="20"/>
      <c r="AP820" s="20"/>
      <c r="AQ820" s="20"/>
      <c r="AR820" s="20"/>
      <c r="AS820" s="20"/>
      <c r="AT820" s="20"/>
      <c r="AU820" s="20"/>
      <c r="AV820" s="20"/>
      <c r="AW820" s="20"/>
      <c r="AX820" s="20"/>
      <c r="AY820" s="20"/>
    </row>
    <row r="821" spans="4:51"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937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0"/>
      <c r="AF821" s="20"/>
      <c r="AG821" s="20"/>
      <c r="AH821" s="20"/>
      <c r="AI821" s="20"/>
      <c r="AJ821" s="20"/>
      <c r="AK821" s="20"/>
      <c r="AL821" s="20"/>
      <c r="AM821" s="20"/>
      <c r="AN821" s="20"/>
      <c r="AO821" s="20"/>
      <c r="AP821" s="20"/>
      <c r="AQ821" s="20"/>
      <c r="AR821" s="20"/>
      <c r="AS821" s="20"/>
      <c r="AT821" s="20"/>
      <c r="AU821" s="20"/>
      <c r="AV821" s="20"/>
      <c r="AW821" s="20"/>
      <c r="AX821" s="20"/>
      <c r="AY821" s="20"/>
    </row>
    <row r="822" spans="4:51"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937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  <c r="AE822" s="20"/>
      <c r="AF822" s="20"/>
      <c r="AG822" s="20"/>
      <c r="AH822" s="20"/>
      <c r="AI822" s="20"/>
      <c r="AJ822" s="20"/>
      <c r="AK822" s="20"/>
      <c r="AL822" s="20"/>
      <c r="AM822" s="20"/>
      <c r="AN822" s="20"/>
      <c r="AO822" s="20"/>
      <c r="AP822" s="20"/>
      <c r="AQ822" s="20"/>
      <c r="AR822" s="20"/>
      <c r="AS822" s="20"/>
      <c r="AT822" s="20"/>
      <c r="AU822" s="20"/>
      <c r="AV822" s="20"/>
      <c r="AW822" s="20"/>
      <c r="AX822" s="20"/>
      <c r="AY822" s="20"/>
    </row>
    <row r="823" spans="4:51"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937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  <c r="AE823" s="20"/>
      <c r="AF823" s="20"/>
      <c r="AG823" s="20"/>
      <c r="AH823" s="20"/>
      <c r="AI823" s="20"/>
      <c r="AJ823" s="20"/>
      <c r="AK823" s="20"/>
      <c r="AL823" s="20"/>
      <c r="AM823" s="20"/>
      <c r="AN823" s="20"/>
      <c r="AO823" s="20"/>
      <c r="AP823" s="20"/>
      <c r="AQ823" s="20"/>
      <c r="AR823" s="20"/>
      <c r="AS823" s="20"/>
      <c r="AT823" s="20"/>
      <c r="AU823" s="20"/>
      <c r="AV823" s="20"/>
      <c r="AW823" s="20"/>
      <c r="AX823" s="20"/>
      <c r="AY823" s="20"/>
    </row>
    <row r="824" spans="4:51"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937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  <c r="AE824" s="20"/>
      <c r="AF824" s="20"/>
      <c r="AG824" s="20"/>
      <c r="AH824" s="20"/>
      <c r="AI824" s="20"/>
      <c r="AJ824" s="20"/>
      <c r="AK824" s="20"/>
      <c r="AL824" s="20"/>
      <c r="AM824" s="20"/>
      <c r="AN824" s="20"/>
      <c r="AO824" s="20"/>
      <c r="AP824" s="20"/>
      <c r="AQ824" s="20"/>
      <c r="AR824" s="20"/>
      <c r="AS824" s="20"/>
      <c r="AT824" s="20"/>
      <c r="AU824" s="20"/>
      <c r="AV824" s="20"/>
      <c r="AW824" s="20"/>
      <c r="AX824" s="20"/>
      <c r="AY824" s="20"/>
    </row>
    <row r="825" spans="4:51"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937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  <c r="AE825" s="20"/>
      <c r="AF825" s="20"/>
      <c r="AG825" s="20"/>
      <c r="AH825" s="20"/>
      <c r="AI825" s="20"/>
      <c r="AJ825" s="20"/>
      <c r="AK825" s="20"/>
      <c r="AL825" s="20"/>
      <c r="AM825" s="20"/>
      <c r="AN825" s="20"/>
      <c r="AO825" s="20"/>
      <c r="AP825" s="20"/>
      <c r="AQ825" s="20"/>
      <c r="AR825" s="20"/>
      <c r="AS825" s="20"/>
      <c r="AT825" s="20"/>
      <c r="AU825" s="20"/>
      <c r="AV825" s="20"/>
      <c r="AW825" s="20"/>
      <c r="AX825" s="20"/>
      <c r="AY825" s="20"/>
    </row>
    <row r="826" spans="4:51"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937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AB826" s="20"/>
      <c r="AC826" s="20"/>
      <c r="AD826" s="20"/>
      <c r="AE826" s="20"/>
      <c r="AF826" s="20"/>
      <c r="AG826" s="20"/>
      <c r="AH826" s="20"/>
      <c r="AI826" s="20"/>
      <c r="AJ826" s="20"/>
      <c r="AK826" s="20"/>
      <c r="AL826" s="20"/>
      <c r="AM826" s="20"/>
      <c r="AN826" s="20"/>
      <c r="AO826" s="20"/>
      <c r="AP826" s="20"/>
      <c r="AQ826" s="20"/>
      <c r="AR826" s="20"/>
      <c r="AS826" s="20"/>
      <c r="AT826" s="20"/>
      <c r="AU826" s="20"/>
      <c r="AV826" s="20"/>
      <c r="AW826" s="20"/>
      <c r="AX826" s="20"/>
      <c r="AY826" s="20"/>
    </row>
    <row r="827" spans="4:51"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937"/>
      <c r="R827" s="20"/>
      <c r="S827" s="20"/>
      <c r="T827" s="20"/>
      <c r="U827" s="20"/>
      <c r="V827" s="20"/>
      <c r="W827" s="20"/>
      <c r="X827" s="20"/>
      <c r="Y827" s="20"/>
      <c r="Z827" s="20"/>
      <c r="AA827" s="20"/>
      <c r="AB827" s="20"/>
      <c r="AC827" s="20"/>
      <c r="AD827" s="20"/>
      <c r="AE827" s="20"/>
      <c r="AF827" s="20"/>
      <c r="AG827" s="20"/>
      <c r="AH827" s="20"/>
      <c r="AI827" s="20"/>
      <c r="AJ827" s="20"/>
      <c r="AK827" s="20"/>
      <c r="AL827" s="20"/>
      <c r="AM827" s="20"/>
      <c r="AN827" s="20"/>
      <c r="AO827" s="20"/>
      <c r="AP827" s="20"/>
      <c r="AQ827" s="20"/>
      <c r="AR827" s="20"/>
      <c r="AS827" s="20"/>
      <c r="AT827" s="20"/>
      <c r="AU827" s="20"/>
      <c r="AV827" s="20"/>
      <c r="AW827" s="20"/>
      <c r="AX827" s="20"/>
      <c r="AY827" s="20"/>
    </row>
    <row r="828" spans="4:51"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937"/>
      <c r="R828" s="20"/>
      <c r="S828" s="20"/>
      <c r="T828" s="20"/>
      <c r="U828" s="20"/>
      <c r="V828" s="20"/>
      <c r="W828" s="20"/>
      <c r="X828" s="20"/>
      <c r="Y828" s="20"/>
      <c r="Z828" s="20"/>
      <c r="AA828" s="20"/>
      <c r="AB828" s="20"/>
      <c r="AC828" s="20"/>
      <c r="AD828" s="20"/>
      <c r="AE828" s="20"/>
      <c r="AF828" s="20"/>
      <c r="AG828" s="20"/>
      <c r="AH828" s="20"/>
      <c r="AI828" s="20"/>
      <c r="AJ828" s="20"/>
      <c r="AK828" s="20"/>
      <c r="AL828" s="20"/>
      <c r="AM828" s="20"/>
      <c r="AN828" s="20"/>
      <c r="AO828" s="20"/>
      <c r="AP828" s="20"/>
      <c r="AQ828" s="20"/>
      <c r="AR828" s="20"/>
      <c r="AS828" s="20"/>
      <c r="AT828" s="20"/>
      <c r="AU828" s="20"/>
      <c r="AV828" s="20"/>
      <c r="AW828" s="20"/>
      <c r="AX828" s="20"/>
      <c r="AY828" s="20"/>
    </row>
    <row r="829" spans="4:51"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937"/>
      <c r="R829" s="20"/>
      <c r="S829" s="20"/>
      <c r="T829" s="20"/>
      <c r="U829" s="20"/>
      <c r="V829" s="20"/>
      <c r="W829" s="20"/>
      <c r="X829" s="20"/>
      <c r="Y829" s="20"/>
      <c r="Z829" s="20"/>
      <c r="AA829" s="20"/>
      <c r="AB829" s="20"/>
      <c r="AC829" s="20"/>
      <c r="AD829" s="20"/>
      <c r="AE829" s="20"/>
      <c r="AF829" s="20"/>
      <c r="AG829" s="20"/>
      <c r="AH829" s="20"/>
      <c r="AI829" s="20"/>
      <c r="AJ829" s="20"/>
      <c r="AK829" s="20"/>
      <c r="AL829" s="20"/>
      <c r="AM829" s="20"/>
      <c r="AN829" s="20"/>
      <c r="AO829" s="20"/>
      <c r="AP829" s="20"/>
      <c r="AQ829" s="20"/>
      <c r="AR829" s="20"/>
      <c r="AS829" s="20"/>
      <c r="AT829" s="20"/>
      <c r="AU829" s="20"/>
      <c r="AV829" s="20"/>
      <c r="AW829" s="20"/>
      <c r="AX829" s="20"/>
      <c r="AY829" s="20"/>
    </row>
    <row r="830" spans="4:51"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937"/>
      <c r="R830" s="20"/>
      <c r="S830" s="20"/>
      <c r="T830" s="20"/>
      <c r="U830" s="20"/>
      <c r="V830" s="20"/>
      <c r="W830" s="20"/>
      <c r="X830" s="20"/>
      <c r="Y830" s="20"/>
      <c r="Z830" s="20"/>
      <c r="AA830" s="20"/>
      <c r="AB830" s="20"/>
      <c r="AC830" s="20"/>
      <c r="AD830" s="20"/>
      <c r="AE830" s="20"/>
      <c r="AF830" s="20"/>
      <c r="AG830" s="20"/>
      <c r="AH830" s="20"/>
      <c r="AI830" s="20"/>
      <c r="AJ830" s="20"/>
      <c r="AK830" s="20"/>
      <c r="AL830" s="20"/>
      <c r="AM830" s="20"/>
      <c r="AN830" s="20"/>
      <c r="AO830" s="20"/>
      <c r="AP830" s="20"/>
      <c r="AQ830" s="20"/>
      <c r="AR830" s="20"/>
      <c r="AS830" s="20"/>
      <c r="AT830" s="20"/>
      <c r="AU830" s="20"/>
      <c r="AV830" s="20"/>
      <c r="AW830" s="20"/>
      <c r="AX830" s="20"/>
      <c r="AY830" s="20"/>
    </row>
    <row r="831" spans="4:51"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937"/>
      <c r="R831" s="20"/>
      <c r="S831" s="20"/>
      <c r="T831" s="20"/>
      <c r="U831" s="20"/>
      <c r="V831" s="20"/>
      <c r="W831" s="20"/>
      <c r="X831" s="20"/>
      <c r="Y831" s="20"/>
      <c r="Z831" s="20"/>
      <c r="AA831" s="20"/>
      <c r="AB831" s="20"/>
      <c r="AC831" s="20"/>
      <c r="AD831" s="20"/>
      <c r="AE831" s="20"/>
      <c r="AF831" s="20"/>
      <c r="AG831" s="20"/>
      <c r="AH831" s="20"/>
      <c r="AI831" s="20"/>
      <c r="AJ831" s="20"/>
      <c r="AK831" s="20"/>
      <c r="AL831" s="20"/>
      <c r="AM831" s="20"/>
      <c r="AN831" s="20"/>
      <c r="AO831" s="20"/>
      <c r="AP831" s="20"/>
      <c r="AQ831" s="20"/>
      <c r="AR831" s="20"/>
      <c r="AS831" s="20"/>
      <c r="AT831" s="20"/>
      <c r="AU831" s="20"/>
      <c r="AV831" s="20"/>
      <c r="AW831" s="20"/>
      <c r="AX831" s="20"/>
      <c r="AY831" s="20"/>
    </row>
    <row r="832" spans="4:51"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937"/>
      <c r="R832" s="20"/>
      <c r="S832" s="20"/>
      <c r="T832" s="20"/>
      <c r="U832" s="20"/>
      <c r="V832" s="20"/>
      <c r="W832" s="20"/>
      <c r="X832" s="20"/>
      <c r="Y832" s="20"/>
      <c r="Z832" s="20"/>
      <c r="AA832" s="20"/>
      <c r="AB832" s="20"/>
      <c r="AC832" s="20"/>
      <c r="AD832" s="20"/>
      <c r="AE832" s="20"/>
      <c r="AF832" s="20"/>
      <c r="AG832" s="20"/>
      <c r="AH832" s="20"/>
      <c r="AI832" s="20"/>
      <c r="AJ832" s="20"/>
      <c r="AK832" s="20"/>
      <c r="AL832" s="20"/>
      <c r="AM832" s="20"/>
      <c r="AN832" s="20"/>
      <c r="AO832" s="20"/>
      <c r="AP832" s="20"/>
      <c r="AQ832" s="20"/>
      <c r="AR832" s="20"/>
      <c r="AS832" s="20"/>
      <c r="AT832" s="20"/>
      <c r="AU832" s="20"/>
      <c r="AV832" s="20"/>
      <c r="AW832" s="20"/>
      <c r="AX832" s="20"/>
      <c r="AY832" s="20"/>
    </row>
    <row r="833" spans="4:51"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937"/>
      <c r="R833" s="20"/>
      <c r="S833" s="20"/>
      <c r="T833" s="20"/>
      <c r="U833" s="20"/>
      <c r="V833" s="20"/>
      <c r="W833" s="20"/>
      <c r="X833" s="20"/>
      <c r="Y833" s="20"/>
      <c r="Z833" s="20"/>
      <c r="AA833" s="20"/>
      <c r="AB833" s="20"/>
      <c r="AC833" s="20"/>
      <c r="AD833" s="20"/>
      <c r="AE833" s="20"/>
      <c r="AF833" s="20"/>
      <c r="AG833" s="20"/>
      <c r="AH833" s="20"/>
      <c r="AI833" s="20"/>
      <c r="AJ833" s="20"/>
      <c r="AK833" s="20"/>
      <c r="AL833" s="20"/>
      <c r="AM833" s="20"/>
      <c r="AN833" s="20"/>
      <c r="AO833" s="20"/>
      <c r="AP833" s="20"/>
      <c r="AQ833" s="20"/>
      <c r="AR833" s="20"/>
      <c r="AS833" s="20"/>
      <c r="AT833" s="20"/>
      <c r="AU833" s="20"/>
      <c r="AV833" s="20"/>
      <c r="AW833" s="20"/>
      <c r="AX833" s="20"/>
      <c r="AY833" s="20"/>
    </row>
    <row r="834" spans="4:51"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937"/>
      <c r="R834" s="20"/>
      <c r="S834" s="20"/>
      <c r="T834" s="20"/>
      <c r="U834" s="20"/>
      <c r="V834" s="20"/>
      <c r="W834" s="20"/>
      <c r="X834" s="20"/>
      <c r="Y834" s="20"/>
      <c r="Z834" s="20"/>
      <c r="AA834" s="20"/>
      <c r="AB834" s="20"/>
      <c r="AC834" s="20"/>
      <c r="AD834" s="20"/>
      <c r="AE834" s="20"/>
      <c r="AF834" s="20"/>
      <c r="AG834" s="20"/>
      <c r="AH834" s="20"/>
      <c r="AI834" s="20"/>
      <c r="AJ834" s="20"/>
      <c r="AK834" s="20"/>
      <c r="AL834" s="20"/>
      <c r="AM834" s="20"/>
      <c r="AN834" s="20"/>
      <c r="AO834" s="20"/>
      <c r="AP834" s="20"/>
      <c r="AQ834" s="20"/>
      <c r="AR834" s="20"/>
      <c r="AS834" s="20"/>
      <c r="AT834" s="20"/>
      <c r="AU834" s="20"/>
      <c r="AV834" s="20"/>
      <c r="AW834" s="20"/>
      <c r="AX834" s="20"/>
      <c r="AY834" s="20"/>
    </row>
    <row r="835" spans="4:51"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937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AB835" s="20"/>
      <c r="AC835" s="20"/>
      <c r="AD835" s="20"/>
      <c r="AE835" s="20"/>
      <c r="AF835" s="20"/>
      <c r="AG835" s="20"/>
      <c r="AH835" s="20"/>
      <c r="AI835" s="20"/>
      <c r="AJ835" s="20"/>
      <c r="AK835" s="20"/>
      <c r="AL835" s="20"/>
      <c r="AM835" s="20"/>
      <c r="AN835" s="20"/>
      <c r="AO835" s="20"/>
      <c r="AP835" s="20"/>
      <c r="AQ835" s="20"/>
      <c r="AR835" s="20"/>
      <c r="AS835" s="20"/>
      <c r="AT835" s="20"/>
      <c r="AU835" s="20"/>
      <c r="AV835" s="20"/>
      <c r="AW835" s="20"/>
      <c r="AX835" s="20"/>
      <c r="AY835" s="20"/>
    </row>
    <row r="836" spans="4:51"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937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AB836" s="20"/>
      <c r="AC836" s="20"/>
      <c r="AD836" s="20"/>
      <c r="AE836" s="20"/>
      <c r="AF836" s="20"/>
      <c r="AG836" s="20"/>
      <c r="AH836" s="20"/>
      <c r="AI836" s="20"/>
      <c r="AJ836" s="20"/>
      <c r="AK836" s="20"/>
      <c r="AL836" s="20"/>
      <c r="AM836" s="20"/>
      <c r="AN836" s="20"/>
      <c r="AO836" s="20"/>
      <c r="AP836" s="20"/>
      <c r="AQ836" s="20"/>
      <c r="AR836" s="20"/>
      <c r="AS836" s="20"/>
      <c r="AT836" s="20"/>
      <c r="AU836" s="20"/>
      <c r="AV836" s="20"/>
      <c r="AW836" s="20"/>
      <c r="AX836" s="20"/>
      <c r="AY836" s="20"/>
    </row>
    <row r="837" spans="4:51"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937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AB837" s="20"/>
      <c r="AC837" s="20"/>
      <c r="AD837" s="20"/>
      <c r="AE837" s="20"/>
      <c r="AF837" s="20"/>
      <c r="AG837" s="20"/>
      <c r="AH837" s="20"/>
      <c r="AI837" s="20"/>
      <c r="AJ837" s="20"/>
      <c r="AK837" s="20"/>
      <c r="AL837" s="20"/>
      <c r="AM837" s="20"/>
      <c r="AN837" s="20"/>
      <c r="AO837" s="20"/>
      <c r="AP837" s="20"/>
      <c r="AQ837" s="20"/>
      <c r="AR837" s="20"/>
      <c r="AS837" s="20"/>
      <c r="AT837" s="20"/>
      <c r="AU837" s="20"/>
      <c r="AV837" s="20"/>
      <c r="AW837" s="20"/>
      <c r="AX837" s="20"/>
      <c r="AY837" s="20"/>
    </row>
    <row r="838" spans="4:51"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937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AB838" s="20"/>
      <c r="AC838" s="20"/>
      <c r="AD838" s="20"/>
      <c r="AE838" s="20"/>
      <c r="AF838" s="20"/>
      <c r="AG838" s="20"/>
      <c r="AH838" s="20"/>
      <c r="AI838" s="20"/>
      <c r="AJ838" s="20"/>
      <c r="AK838" s="20"/>
      <c r="AL838" s="20"/>
      <c r="AM838" s="20"/>
      <c r="AN838" s="20"/>
      <c r="AO838" s="20"/>
      <c r="AP838" s="20"/>
      <c r="AQ838" s="20"/>
      <c r="AR838" s="20"/>
      <c r="AS838" s="20"/>
      <c r="AT838" s="20"/>
      <c r="AU838" s="20"/>
      <c r="AV838" s="20"/>
      <c r="AW838" s="20"/>
      <c r="AX838" s="20"/>
      <c r="AY838" s="20"/>
    </row>
    <row r="839" spans="4:51"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937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  <c r="AE839" s="20"/>
      <c r="AF839" s="20"/>
      <c r="AG839" s="20"/>
      <c r="AH839" s="20"/>
      <c r="AI839" s="20"/>
      <c r="AJ839" s="20"/>
      <c r="AK839" s="20"/>
      <c r="AL839" s="20"/>
      <c r="AM839" s="20"/>
      <c r="AN839" s="20"/>
      <c r="AO839" s="20"/>
      <c r="AP839" s="20"/>
      <c r="AQ839" s="20"/>
      <c r="AR839" s="20"/>
      <c r="AS839" s="20"/>
      <c r="AT839" s="20"/>
      <c r="AU839" s="20"/>
      <c r="AV839" s="20"/>
      <c r="AW839" s="20"/>
      <c r="AX839" s="20"/>
      <c r="AY839" s="20"/>
    </row>
    <row r="840" spans="4:51"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937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AB840" s="20"/>
      <c r="AC840" s="20"/>
      <c r="AD840" s="20"/>
      <c r="AE840" s="20"/>
      <c r="AF840" s="20"/>
      <c r="AG840" s="20"/>
      <c r="AH840" s="20"/>
      <c r="AI840" s="20"/>
      <c r="AJ840" s="20"/>
      <c r="AK840" s="20"/>
      <c r="AL840" s="20"/>
      <c r="AM840" s="20"/>
      <c r="AN840" s="20"/>
      <c r="AO840" s="20"/>
      <c r="AP840" s="20"/>
      <c r="AQ840" s="20"/>
      <c r="AR840" s="20"/>
      <c r="AS840" s="20"/>
      <c r="AT840" s="20"/>
      <c r="AU840" s="20"/>
      <c r="AV840" s="20"/>
      <c r="AW840" s="20"/>
      <c r="AX840" s="20"/>
      <c r="AY840" s="20"/>
    </row>
    <row r="841" spans="4:51"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937"/>
      <c r="R841" s="20"/>
      <c r="S841" s="20"/>
      <c r="T841" s="20"/>
      <c r="U841" s="20"/>
      <c r="V841" s="20"/>
      <c r="W841" s="20"/>
      <c r="X841" s="20"/>
      <c r="Y841" s="20"/>
      <c r="Z841" s="20"/>
      <c r="AA841" s="20"/>
      <c r="AB841" s="20"/>
      <c r="AC841" s="20"/>
      <c r="AD841" s="20"/>
      <c r="AE841" s="20"/>
      <c r="AF841" s="20"/>
      <c r="AG841" s="20"/>
      <c r="AH841" s="20"/>
      <c r="AI841" s="20"/>
      <c r="AJ841" s="20"/>
      <c r="AK841" s="20"/>
      <c r="AL841" s="20"/>
      <c r="AM841" s="20"/>
      <c r="AN841" s="20"/>
      <c r="AO841" s="20"/>
      <c r="AP841" s="20"/>
      <c r="AQ841" s="20"/>
      <c r="AR841" s="20"/>
      <c r="AS841" s="20"/>
      <c r="AT841" s="20"/>
      <c r="AU841" s="20"/>
      <c r="AV841" s="20"/>
      <c r="AW841" s="20"/>
      <c r="AX841" s="20"/>
      <c r="AY841" s="20"/>
    </row>
    <row r="842" spans="4:51"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937"/>
      <c r="R842" s="20"/>
      <c r="S842" s="20"/>
      <c r="T842" s="20"/>
      <c r="U842" s="20"/>
      <c r="V842" s="20"/>
      <c r="W842" s="20"/>
      <c r="X842" s="20"/>
      <c r="Y842" s="20"/>
      <c r="Z842" s="20"/>
      <c r="AA842" s="20"/>
      <c r="AB842" s="20"/>
      <c r="AC842" s="20"/>
      <c r="AD842" s="20"/>
      <c r="AE842" s="20"/>
      <c r="AF842" s="20"/>
      <c r="AG842" s="20"/>
      <c r="AH842" s="20"/>
      <c r="AI842" s="20"/>
      <c r="AJ842" s="20"/>
      <c r="AK842" s="20"/>
      <c r="AL842" s="20"/>
      <c r="AM842" s="20"/>
      <c r="AN842" s="20"/>
      <c r="AO842" s="20"/>
      <c r="AP842" s="20"/>
      <c r="AQ842" s="20"/>
      <c r="AR842" s="20"/>
      <c r="AS842" s="20"/>
      <c r="AT842" s="20"/>
      <c r="AU842" s="20"/>
      <c r="AV842" s="20"/>
      <c r="AW842" s="20"/>
      <c r="AX842" s="20"/>
      <c r="AY842" s="20"/>
    </row>
    <row r="843" spans="4:51"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937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AB843" s="20"/>
      <c r="AC843" s="20"/>
      <c r="AD843" s="20"/>
      <c r="AE843" s="20"/>
      <c r="AF843" s="20"/>
      <c r="AG843" s="20"/>
      <c r="AH843" s="20"/>
      <c r="AI843" s="20"/>
      <c r="AJ843" s="20"/>
      <c r="AK843" s="20"/>
      <c r="AL843" s="20"/>
      <c r="AM843" s="20"/>
      <c r="AN843" s="20"/>
      <c r="AO843" s="20"/>
      <c r="AP843" s="20"/>
      <c r="AQ843" s="20"/>
      <c r="AR843" s="20"/>
      <c r="AS843" s="20"/>
      <c r="AT843" s="20"/>
      <c r="AU843" s="20"/>
      <c r="AV843" s="20"/>
      <c r="AW843" s="20"/>
      <c r="AX843" s="20"/>
      <c r="AY843" s="20"/>
    </row>
    <row r="844" spans="4:51"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937"/>
      <c r="R844" s="20"/>
      <c r="S844" s="20"/>
      <c r="T844" s="20"/>
      <c r="U844" s="20"/>
      <c r="V844" s="20"/>
      <c r="W844" s="20"/>
      <c r="X844" s="20"/>
      <c r="Y844" s="20"/>
      <c r="Z844" s="20"/>
      <c r="AA844" s="20"/>
      <c r="AB844" s="20"/>
      <c r="AC844" s="20"/>
      <c r="AD844" s="20"/>
      <c r="AE844" s="20"/>
      <c r="AF844" s="20"/>
      <c r="AG844" s="20"/>
      <c r="AH844" s="20"/>
      <c r="AI844" s="20"/>
      <c r="AJ844" s="20"/>
      <c r="AK844" s="20"/>
      <c r="AL844" s="20"/>
      <c r="AM844" s="20"/>
      <c r="AN844" s="20"/>
      <c r="AO844" s="20"/>
      <c r="AP844" s="20"/>
      <c r="AQ844" s="20"/>
      <c r="AR844" s="20"/>
      <c r="AS844" s="20"/>
      <c r="AT844" s="20"/>
      <c r="AU844" s="20"/>
      <c r="AV844" s="20"/>
      <c r="AW844" s="20"/>
      <c r="AX844" s="20"/>
      <c r="AY844" s="20"/>
    </row>
    <row r="845" spans="4:51"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937"/>
      <c r="R845" s="20"/>
      <c r="S845" s="20"/>
      <c r="T845" s="20"/>
      <c r="U845" s="20"/>
      <c r="V845" s="20"/>
      <c r="W845" s="20"/>
      <c r="X845" s="20"/>
      <c r="Y845" s="20"/>
      <c r="Z845" s="20"/>
      <c r="AA845" s="20"/>
      <c r="AB845" s="20"/>
      <c r="AC845" s="20"/>
      <c r="AD845" s="20"/>
      <c r="AE845" s="20"/>
      <c r="AF845" s="20"/>
      <c r="AG845" s="20"/>
      <c r="AH845" s="20"/>
      <c r="AI845" s="20"/>
      <c r="AJ845" s="20"/>
      <c r="AK845" s="20"/>
      <c r="AL845" s="20"/>
      <c r="AM845" s="20"/>
      <c r="AN845" s="20"/>
      <c r="AO845" s="20"/>
      <c r="AP845" s="20"/>
      <c r="AQ845" s="20"/>
      <c r="AR845" s="20"/>
      <c r="AS845" s="20"/>
      <c r="AT845" s="20"/>
      <c r="AU845" s="20"/>
      <c r="AV845" s="20"/>
      <c r="AW845" s="20"/>
      <c r="AX845" s="20"/>
      <c r="AY845" s="20"/>
    </row>
    <row r="846" spans="4:51"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937"/>
      <c r="R846" s="20"/>
      <c r="S846" s="20"/>
      <c r="T846" s="20"/>
      <c r="U846" s="20"/>
      <c r="V846" s="20"/>
      <c r="W846" s="20"/>
      <c r="X846" s="20"/>
      <c r="Y846" s="20"/>
      <c r="Z846" s="20"/>
      <c r="AA846" s="20"/>
      <c r="AB846" s="20"/>
      <c r="AC846" s="20"/>
      <c r="AD846" s="20"/>
      <c r="AE846" s="20"/>
      <c r="AF846" s="20"/>
      <c r="AG846" s="20"/>
      <c r="AH846" s="20"/>
      <c r="AI846" s="20"/>
      <c r="AJ846" s="20"/>
      <c r="AK846" s="20"/>
      <c r="AL846" s="20"/>
      <c r="AM846" s="20"/>
      <c r="AN846" s="20"/>
      <c r="AO846" s="20"/>
      <c r="AP846" s="20"/>
      <c r="AQ846" s="20"/>
      <c r="AR846" s="20"/>
      <c r="AS846" s="20"/>
      <c r="AT846" s="20"/>
      <c r="AU846" s="20"/>
      <c r="AV846" s="20"/>
      <c r="AW846" s="20"/>
      <c r="AX846" s="20"/>
      <c r="AY846" s="20"/>
    </row>
    <row r="847" spans="4:51"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937"/>
      <c r="R847" s="20"/>
      <c r="S847" s="20"/>
      <c r="T847" s="20"/>
      <c r="U847" s="20"/>
      <c r="V847" s="20"/>
      <c r="W847" s="20"/>
      <c r="X847" s="20"/>
      <c r="Y847" s="20"/>
      <c r="Z847" s="20"/>
      <c r="AA847" s="20"/>
      <c r="AB847" s="20"/>
      <c r="AC847" s="20"/>
      <c r="AD847" s="20"/>
      <c r="AE847" s="20"/>
      <c r="AF847" s="20"/>
      <c r="AG847" s="20"/>
      <c r="AH847" s="20"/>
      <c r="AI847" s="20"/>
      <c r="AJ847" s="20"/>
      <c r="AK847" s="20"/>
      <c r="AL847" s="20"/>
      <c r="AM847" s="20"/>
      <c r="AN847" s="20"/>
      <c r="AO847" s="20"/>
      <c r="AP847" s="20"/>
      <c r="AQ847" s="20"/>
      <c r="AR847" s="20"/>
      <c r="AS847" s="20"/>
      <c r="AT847" s="20"/>
      <c r="AU847" s="20"/>
      <c r="AV847" s="20"/>
      <c r="AW847" s="20"/>
      <c r="AX847" s="20"/>
      <c r="AY847" s="20"/>
    </row>
    <row r="848" spans="4:51"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937"/>
      <c r="R848" s="20"/>
      <c r="S848" s="20"/>
      <c r="T848" s="20"/>
      <c r="U848" s="20"/>
      <c r="V848" s="20"/>
      <c r="W848" s="20"/>
      <c r="X848" s="20"/>
      <c r="Y848" s="20"/>
      <c r="Z848" s="20"/>
      <c r="AA848" s="20"/>
      <c r="AB848" s="20"/>
      <c r="AC848" s="20"/>
      <c r="AD848" s="20"/>
      <c r="AE848" s="20"/>
      <c r="AF848" s="20"/>
      <c r="AG848" s="20"/>
      <c r="AH848" s="20"/>
      <c r="AI848" s="20"/>
      <c r="AJ848" s="20"/>
      <c r="AK848" s="20"/>
      <c r="AL848" s="20"/>
      <c r="AM848" s="20"/>
      <c r="AN848" s="20"/>
      <c r="AO848" s="20"/>
      <c r="AP848" s="20"/>
      <c r="AQ848" s="20"/>
      <c r="AR848" s="20"/>
      <c r="AS848" s="20"/>
      <c r="AT848" s="20"/>
      <c r="AU848" s="20"/>
      <c r="AV848" s="20"/>
      <c r="AW848" s="20"/>
      <c r="AX848" s="20"/>
      <c r="AY848" s="20"/>
    </row>
    <row r="849" spans="4:51"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937"/>
      <c r="R849" s="20"/>
      <c r="S849" s="20"/>
      <c r="T849" s="20"/>
      <c r="U849" s="20"/>
      <c r="V849" s="20"/>
      <c r="W849" s="20"/>
      <c r="X849" s="20"/>
      <c r="Y849" s="20"/>
      <c r="Z849" s="20"/>
      <c r="AA849" s="20"/>
      <c r="AB849" s="20"/>
      <c r="AC849" s="20"/>
      <c r="AD849" s="20"/>
      <c r="AE849" s="20"/>
      <c r="AF849" s="20"/>
      <c r="AG849" s="20"/>
      <c r="AH849" s="20"/>
      <c r="AI849" s="20"/>
      <c r="AJ849" s="20"/>
      <c r="AK849" s="20"/>
      <c r="AL849" s="20"/>
      <c r="AM849" s="20"/>
      <c r="AN849" s="20"/>
      <c r="AO849" s="20"/>
      <c r="AP849" s="20"/>
      <c r="AQ849" s="20"/>
      <c r="AR849" s="20"/>
      <c r="AS849" s="20"/>
      <c r="AT849" s="20"/>
      <c r="AU849" s="20"/>
      <c r="AV849" s="20"/>
      <c r="AW849" s="20"/>
      <c r="AX849" s="20"/>
      <c r="AY849" s="20"/>
    </row>
    <row r="850" spans="4:51"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937"/>
      <c r="R850" s="20"/>
      <c r="S850" s="20"/>
      <c r="T850" s="20"/>
      <c r="U850" s="20"/>
      <c r="V850" s="20"/>
      <c r="W850" s="20"/>
      <c r="X850" s="20"/>
      <c r="Y850" s="20"/>
      <c r="Z850" s="20"/>
      <c r="AA850" s="20"/>
      <c r="AB850" s="20"/>
      <c r="AC850" s="20"/>
      <c r="AD850" s="20"/>
      <c r="AE850" s="20"/>
      <c r="AF850" s="20"/>
      <c r="AG850" s="20"/>
      <c r="AH850" s="20"/>
      <c r="AI850" s="20"/>
      <c r="AJ850" s="20"/>
      <c r="AK850" s="20"/>
      <c r="AL850" s="20"/>
      <c r="AM850" s="20"/>
      <c r="AN850" s="20"/>
      <c r="AO850" s="20"/>
      <c r="AP850" s="20"/>
      <c r="AQ850" s="20"/>
      <c r="AR850" s="20"/>
      <c r="AS850" s="20"/>
      <c r="AT850" s="20"/>
      <c r="AU850" s="20"/>
      <c r="AV850" s="20"/>
      <c r="AW850" s="20"/>
      <c r="AX850" s="20"/>
      <c r="AY850" s="20"/>
    </row>
    <row r="851" spans="4:51"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937"/>
      <c r="R851" s="20"/>
      <c r="S851" s="20"/>
      <c r="T851" s="20"/>
      <c r="U851" s="20"/>
      <c r="V851" s="20"/>
      <c r="W851" s="20"/>
      <c r="X851" s="20"/>
      <c r="Y851" s="20"/>
      <c r="Z851" s="20"/>
      <c r="AA851" s="20"/>
      <c r="AB851" s="20"/>
      <c r="AC851" s="20"/>
      <c r="AD851" s="20"/>
      <c r="AE851" s="20"/>
      <c r="AF851" s="20"/>
      <c r="AG851" s="20"/>
      <c r="AH851" s="20"/>
      <c r="AI851" s="20"/>
      <c r="AJ851" s="20"/>
      <c r="AK851" s="20"/>
      <c r="AL851" s="20"/>
      <c r="AM851" s="20"/>
      <c r="AN851" s="20"/>
      <c r="AO851" s="20"/>
      <c r="AP851" s="20"/>
      <c r="AQ851" s="20"/>
      <c r="AR851" s="20"/>
      <c r="AS851" s="20"/>
      <c r="AT851" s="20"/>
      <c r="AU851" s="20"/>
      <c r="AV851" s="20"/>
      <c r="AW851" s="20"/>
      <c r="AX851" s="20"/>
      <c r="AY851" s="20"/>
    </row>
    <row r="852" spans="4:51"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937"/>
      <c r="R852" s="20"/>
      <c r="S852" s="20"/>
      <c r="T852" s="20"/>
      <c r="U852" s="20"/>
      <c r="V852" s="20"/>
      <c r="W852" s="20"/>
      <c r="X852" s="20"/>
      <c r="Y852" s="20"/>
      <c r="Z852" s="20"/>
      <c r="AA852" s="20"/>
      <c r="AB852" s="20"/>
      <c r="AC852" s="20"/>
      <c r="AD852" s="20"/>
      <c r="AE852" s="20"/>
      <c r="AF852" s="20"/>
      <c r="AG852" s="20"/>
      <c r="AH852" s="20"/>
      <c r="AI852" s="20"/>
      <c r="AJ852" s="20"/>
      <c r="AK852" s="20"/>
      <c r="AL852" s="20"/>
      <c r="AM852" s="20"/>
      <c r="AN852" s="20"/>
      <c r="AO852" s="20"/>
      <c r="AP852" s="20"/>
      <c r="AQ852" s="20"/>
      <c r="AR852" s="20"/>
      <c r="AS852" s="20"/>
      <c r="AT852" s="20"/>
      <c r="AU852" s="20"/>
      <c r="AV852" s="20"/>
      <c r="AW852" s="20"/>
      <c r="AX852" s="20"/>
      <c r="AY852" s="20"/>
    </row>
    <row r="853" spans="4:51"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937"/>
      <c r="R853" s="20"/>
      <c r="S853" s="20"/>
      <c r="T853" s="20"/>
      <c r="U853" s="20"/>
      <c r="V853" s="20"/>
      <c r="W853" s="20"/>
      <c r="X853" s="20"/>
      <c r="Y853" s="20"/>
      <c r="Z853" s="20"/>
      <c r="AA853" s="20"/>
      <c r="AB853" s="20"/>
      <c r="AC853" s="20"/>
      <c r="AD853" s="20"/>
      <c r="AE853" s="20"/>
      <c r="AF853" s="20"/>
      <c r="AG853" s="20"/>
      <c r="AH853" s="20"/>
      <c r="AI853" s="20"/>
      <c r="AJ853" s="20"/>
      <c r="AK853" s="20"/>
      <c r="AL853" s="20"/>
      <c r="AM853" s="20"/>
      <c r="AN853" s="20"/>
      <c r="AO853" s="20"/>
      <c r="AP853" s="20"/>
      <c r="AQ853" s="20"/>
      <c r="AR853" s="20"/>
      <c r="AS853" s="20"/>
      <c r="AT853" s="20"/>
      <c r="AU853" s="20"/>
      <c r="AV853" s="20"/>
      <c r="AW853" s="20"/>
      <c r="AX853" s="20"/>
      <c r="AY853" s="20"/>
    </row>
    <row r="854" spans="4:51"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937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AB854" s="20"/>
      <c r="AC854" s="20"/>
      <c r="AD854" s="20"/>
      <c r="AE854" s="20"/>
      <c r="AF854" s="20"/>
      <c r="AG854" s="20"/>
      <c r="AH854" s="20"/>
      <c r="AI854" s="20"/>
      <c r="AJ854" s="20"/>
      <c r="AK854" s="20"/>
      <c r="AL854" s="20"/>
      <c r="AM854" s="20"/>
      <c r="AN854" s="20"/>
      <c r="AO854" s="20"/>
      <c r="AP854" s="20"/>
      <c r="AQ854" s="20"/>
      <c r="AR854" s="20"/>
      <c r="AS854" s="20"/>
      <c r="AT854" s="20"/>
      <c r="AU854" s="20"/>
      <c r="AV854" s="20"/>
      <c r="AW854" s="20"/>
      <c r="AX854" s="20"/>
      <c r="AY854" s="20"/>
    </row>
    <row r="855" spans="4:51"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937"/>
      <c r="R855" s="20"/>
      <c r="S855" s="20"/>
      <c r="T855" s="20"/>
      <c r="U855" s="20"/>
      <c r="V855" s="20"/>
      <c r="W855" s="20"/>
      <c r="X855" s="20"/>
      <c r="Y855" s="20"/>
      <c r="Z855" s="20"/>
      <c r="AA855" s="20"/>
      <c r="AB855" s="20"/>
      <c r="AC855" s="20"/>
      <c r="AD855" s="20"/>
      <c r="AE855" s="20"/>
      <c r="AF855" s="20"/>
      <c r="AG855" s="20"/>
      <c r="AH855" s="20"/>
      <c r="AI855" s="20"/>
      <c r="AJ855" s="20"/>
      <c r="AK855" s="20"/>
      <c r="AL855" s="20"/>
      <c r="AM855" s="20"/>
      <c r="AN855" s="20"/>
      <c r="AO855" s="20"/>
      <c r="AP855" s="20"/>
      <c r="AQ855" s="20"/>
      <c r="AR855" s="20"/>
      <c r="AS855" s="20"/>
      <c r="AT855" s="20"/>
      <c r="AU855" s="20"/>
      <c r="AV855" s="20"/>
      <c r="AW855" s="20"/>
      <c r="AX855" s="20"/>
      <c r="AY855" s="20"/>
    </row>
    <row r="856" spans="4:51"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937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AB856" s="20"/>
      <c r="AC856" s="20"/>
      <c r="AD856" s="20"/>
      <c r="AE856" s="20"/>
      <c r="AF856" s="20"/>
      <c r="AG856" s="20"/>
      <c r="AH856" s="20"/>
      <c r="AI856" s="20"/>
      <c r="AJ856" s="20"/>
      <c r="AK856" s="20"/>
      <c r="AL856" s="20"/>
      <c r="AM856" s="20"/>
      <c r="AN856" s="20"/>
      <c r="AO856" s="20"/>
      <c r="AP856" s="20"/>
      <c r="AQ856" s="20"/>
      <c r="AR856" s="20"/>
      <c r="AS856" s="20"/>
      <c r="AT856" s="20"/>
      <c r="AU856" s="20"/>
      <c r="AV856" s="20"/>
      <c r="AW856" s="20"/>
      <c r="AX856" s="20"/>
      <c r="AY856" s="20"/>
    </row>
    <row r="857" spans="4:51"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937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AB857" s="20"/>
      <c r="AC857" s="20"/>
      <c r="AD857" s="20"/>
      <c r="AE857" s="20"/>
      <c r="AF857" s="20"/>
      <c r="AG857" s="20"/>
      <c r="AH857" s="20"/>
      <c r="AI857" s="20"/>
      <c r="AJ857" s="20"/>
      <c r="AK857" s="20"/>
      <c r="AL857" s="20"/>
      <c r="AM857" s="20"/>
      <c r="AN857" s="20"/>
      <c r="AO857" s="20"/>
      <c r="AP857" s="20"/>
      <c r="AQ857" s="20"/>
      <c r="AR857" s="20"/>
      <c r="AS857" s="20"/>
      <c r="AT857" s="20"/>
      <c r="AU857" s="20"/>
      <c r="AV857" s="20"/>
      <c r="AW857" s="20"/>
      <c r="AX857" s="20"/>
      <c r="AY857" s="20"/>
    </row>
    <row r="858" spans="4:51"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937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AB858" s="20"/>
      <c r="AC858" s="20"/>
      <c r="AD858" s="20"/>
      <c r="AE858" s="20"/>
      <c r="AF858" s="20"/>
      <c r="AG858" s="20"/>
      <c r="AH858" s="20"/>
      <c r="AI858" s="20"/>
      <c r="AJ858" s="20"/>
      <c r="AK858" s="20"/>
      <c r="AL858" s="20"/>
      <c r="AM858" s="20"/>
      <c r="AN858" s="20"/>
      <c r="AO858" s="20"/>
      <c r="AP858" s="20"/>
      <c r="AQ858" s="20"/>
      <c r="AR858" s="20"/>
      <c r="AS858" s="20"/>
      <c r="AT858" s="20"/>
      <c r="AU858" s="20"/>
      <c r="AV858" s="20"/>
      <c r="AW858" s="20"/>
      <c r="AX858" s="20"/>
      <c r="AY858" s="20"/>
    </row>
    <row r="859" spans="4:51"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937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AD859" s="20"/>
      <c r="AE859" s="20"/>
      <c r="AF859" s="20"/>
      <c r="AG859" s="20"/>
      <c r="AH859" s="20"/>
      <c r="AI859" s="20"/>
      <c r="AJ859" s="20"/>
      <c r="AK859" s="20"/>
      <c r="AL859" s="20"/>
      <c r="AM859" s="20"/>
      <c r="AN859" s="20"/>
      <c r="AO859" s="20"/>
      <c r="AP859" s="20"/>
      <c r="AQ859" s="20"/>
      <c r="AR859" s="20"/>
      <c r="AS859" s="20"/>
      <c r="AT859" s="20"/>
      <c r="AU859" s="20"/>
      <c r="AV859" s="20"/>
      <c r="AW859" s="20"/>
      <c r="AX859" s="20"/>
      <c r="AY859" s="20"/>
    </row>
    <row r="860" spans="4:51"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937"/>
      <c r="R860" s="20"/>
      <c r="S860" s="20"/>
      <c r="T860" s="20"/>
      <c r="U860" s="20"/>
      <c r="V860" s="20"/>
      <c r="W860" s="20"/>
      <c r="X860" s="20"/>
      <c r="Y860" s="20"/>
      <c r="Z860" s="20"/>
      <c r="AA860" s="20"/>
      <c r="AB860" s="20"/>
      <c r="AC860" s="20"/>
      <c r="AD860" s="20"/>
      <c r="AE860" s="20"/>
      <c r="AF860" s="20"/>
      <c r="AG860" s="20"/>
      <c r="AH860" s="20"/>
      <c r="AI860" s="20"/>
      <c r="AJ860" s="20"/>
      <c r="AK860" s="20"/>
      <c r="AL860" s="20"/>
      <c r="AM860" s="20"/>
      <c r="AN860" s="20"/>
      <c r="AO860" s="20"/>
      <c r="AP860" s="20"/>
      <c r="AQ860" s="20"/>
      <c r="AR860" s="20"/>
      <c r="AS860" s="20"/>
      <c r="AT860" s="20"/>
      <c r="AU860" s="20"/>
      <c r="AV860" s="20"/>
      <c r="AW860" s="20"/>
      <c r="AX860" s="20"/>
      <c r="AY860" s="20"/>
    </row>
    <row r="861" spans="4:51"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937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AB861" s="20"/>
      <c r="AC861" s="20"/>
      <c r="AD861" s="20"/>
      <c r="AE861" s="20"/>
      <c r="AF861" s="20"/>
      <c r="AG861" s="20"/>
      <c r="AH861" s="20"/>
      <c r="AI861" s="20"/>
      <c r="AJ861" s="20"/>
      <c r="AK861" s="20"/>
      <c r="AL861" s="20"/>
      <c r="AM861" s="20"/>
      <c r="AN861" s="20"/>
      <c r="AO861" s="20"/>
      <c r="AP861" s="20"/>
      <c r="AQ861" s="20"/>
      <c r="AR861" s="20"/>
      <c r="AS861" s="20"/>
      <c r="AT861" s="20"/>
      <c r="AU861" s="20"/>
      <c r="AV861" s="20"/>
      <c r="AW861" s="20"/>
      <c r="AX861" s="20"/>
      <c r="AY861" s="20"/>
    </row>
    <row r="862" spans="4:51"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937"/>
      <c r="R862" s="20"/>
      <c r="S862" s="20"/>
      <c r="T862" s="20"/>
      <c r="U862" s="20"/>
      <c r="V862" s="20"/>
      <c r="W862" s="20"/>
      <c r="X862" s="20"/>
      <c r="Y862" s="20"/>
      <c r="Z862" s="20"/>
      <c r="AA862" s="20"/>
      <c r="AB862" s="20"/>
      <c r="AC862" s="20"/>
      <c r="AD862" s="20"/>
      <c r="AE862" s="20"/>
      <c r="AF862" s="20"/>
      <c r="AG862" s="20"/>
      <c r="AH862" s="20"/>
      <c r="AI862" s="20"/>
      <c r="AJ862" s="20"/>
      <c r="AK862" s="20"/>
      <c r="AL862" s="20"/>
      <c r="AM862" s="20"/>
      <c r="AN862" s="20"/>
      <c r="AO862" s="20"/>
      <c r="AP862" s="20"/>
      <c r="AQ862" s="20"/>
      <c r="AR862" s="20"/>
      <c r="AS862" s="20"/>
      <c r="AT862" s="20"/>
      <c r="AU862" s="20"/>
      <c r="AV862" s="20"/>
      <c r="AW862" s="20"/>
      <c r="AX862" s="20"/>
      <c r="AY862" s="20"/>
    </row>
    <row r="863" spans="4:51"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937"/>
      <c r="R863" s="20"/>
      <c r="S863" s="20"/>
      <c r="T863" s="20"/>
      <c r="U863" s="20"/>
      <c r="V863" s="20"/>
      <c r="W863" s="20"/>
      <c r="X863" s="20"/>
      <c r="Y863" s="20"/>
      <c r="Z863" s="20"/>
      <c r="AA863" s="20"/>
      <c r="AB863" s="20"/>
      <c r="AC863" s="20"/>
      <c r="AD863" s="20"/>
      <c r="AE863" s="20"/>
      <c r="AF863" s="20"/>
      <c r="AG863" s="20"/>
      <c r="AH863" s="20"/>
      <c r="AI863" s="20"/>
      <c r="AJ863" s="20"/>
      <c r="AK863" s="20"/>
      <c r="AL863" s="20"/>
      <c r="AM863" s="20"/>
      <c r="AN863" s="20"/>
      <c r="AO863" s="20"/>
      <c r="AP863" s="20"/>
      <c r="AQ863" s="20"/>
      <c r="AR863" s="20"/>
      <c r="AS863" s="20"/>
      <c r="AT863" s="20"/>
      <c r="AU863" s="20"/>
      <c r="AV863" s="20"/>
      <c r="AW863" s="20"/>
      <c r="AX863" s="20"/>
      <c r="AY863" s="20"/>
    </row>
    <row r="864" spans="4:51"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937"/>
      <c r="R864" s="20"/>
      <c r="S864" s="20"/>
      <c r="T864" s="20"/>
      <c r="U864" s="20"/>
      <c r="V864" s="20"/>
      <c r="W864" s="20"/>
      <c r="X864" s="20"/>
      <c r="Y864" s="20"/>
      <c r="Z864" s="20"/>
      <c r="AA864" s="20"/>
      <c r="AB864" s="20"/>
      <c r="AC864" s="20"/>
      <c r="AD864" s="20"/>
      <c r="AE864" s="20"/>
      <c r="AF864" s="20"/>
      <c r="AG864" s="20"/>
      <c r="AH864" s="20"/>
      <c r="AI864" s="20"/>
      <c r="AJ864" s="20"/>
      <c r="AK864" s="20"/>
      <c r="AL864" s="20"/>
      <c r="AM864" s="20"/>
      <c r="AN864" s="20"/>
      <c r="AO864" s="20"/>
      <c r="AP864" s="20"/>
      <c r="AQ864" s="20"/>
      <c r="AR864" s="20"/>
      <c r="AS864" s="20"/>
      <c r="AT864" s="20"/>
      <c r="AU864" s="20"/>
      <c r="AV864" s="20"/>
      <c r="AW864" s="20"/>
      <c r="AX864" s="20"/>
      <c r="AY864" s="20"/>
    </row>
    <row r="865" spans="4:51"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937"/>
      <c r="R865" s="20"/>
      <c r="S865" s="20"/>
      <c r="T865" s="20"/>
      <c r="U865" s="20"/>
      <c r="V865" s="20"/>
      <c r="W865" s="20"/>
      <c r="X865" s="20"/>
      <c r="Y865" s="20"/>
      <c r="Z865" s="20"/>
      <c r="AA865" s="20"/>
      <c r="AB865" s="20"/>
      <c r="AC865" s="20"/>
      <c r="AD865" s="20"/>
      <c r="AE865" s="20"/>
      <c r="AF865" s="20"/>
      <c r="AG865" s="20"/>
      <c r="AH865" s="20"/>
      <c r="AI865" s="20"/>
      <c r="AJ865" s="20"/>
      <c r="AK865" s="20"/>
      <c r="AL865" s="20"/>
      <c r="AM865" s="20"/>
      <c r="AN865" s="20"/>
      <c r="AO865" s="20"/>
      <c r="AP865" s="20"/>
      <c r="AQ865" s="20"/>
      <c r="AR865" s="20"/>
      <c r="AS865" s="20"/>
      <c r="AT865" s="20"/>
      <c r="AU865" s="20"/>
      <c r="AV865" s="20"/>
      <c r="AW865" s="20"/>
      <c r="AX865" s="20"/>
      <c r="AY865" s="20"/>
    </row>
    <row r="866" spans="4:51"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937"/>
      <c r="R866" s="20"/>
      <c r="S866" s="20"/>
      <c r="T866" s="20"/>
      <c r="U866" s="20"/>
      <c r="V866" s="20"/>
      <c r="W866" s="20"/>
      <c r="X866" s="20"/>
      <c r="Y866" s="20"/>
      <c r="Z866" s="20"/>
      <c r="AA866" s="20"/>
      <c r="AB866" s="20"/>
      <c r="AC866" s="20"/>
      <c r="AD866" s="20"/>
      <c r="AE866" s="20"/>
      <c r="AF866" s="20"/>
      <c r="AG866" s="20"/>
      <c r="AH866" s="20"/>
      <c r="AI866" s="20"/>
      <c r="AJ866" s="20"/>
      <c r="AK866" s="20"/>
      <c r="AL866" s="20"/>
      <c r="AM866" s="20"/>
      <c r="AN866" s="20"/>
      <c r="AO866" s="20"/>
      <c r="AP866" s="20"/>
      <c r="AQ866" s="20"/>
      <c r="AR866" s="20"/>
      <c r="AS866" s="20"/>
      <c r="AT866" s="20"/>
      <c r="AU866" s="20"/>
      <c r="AV866" s="20"/>
      <c r="AW866" s="20"/>
      <c r="AX866" s="20"/>
      <c r="AY866" s="20"/>
    </row>
    <row r="867" spans="4:51"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937"/>
      <c r="R867" s="20"/>
      <c r="S867" s="20"/>
      <c r="T867" s="20"/>
      <c r="U867" s="20"/>
      <c r="V867" s="20"/>
      <c r="W867" s="20"/>
      <c r="X867" s="20"/>
      <c r="Y867" s="20"/>
      <c r="Z867" s="20"/>
      <c r="AA867" s="20"/>
      <c r="AB867" s="20"/>
      <c r="AC867" s="20"/>
      <c r="AD867" s="20"/>
      <c r="AE867" s="20"/>
      <c r="AF867" s="20"/>
      <c r="AG867" s="20"/>
      <c r="AH867" s="20"/>
      <c r="AI867" s="20"/>
      <c r="AJ867" s="20"/>
      <c r="AK867" s="20"/>
      <c r="AL867" s="20"/>
      <c r="AM867" s="20"/>
      <c r="AN867" s="20"/>
      <c r="AO867" s="20"/>
      <c r="AP867" s="20"/>
      <c r="AQ867" s="20"/>
      <c r="AR867" s="20"/>
      <c r="AS867" s="20"/>
      <c r="AT867" s="20"/>
      <c r="AU867" s="20"/>
      <c r="AV867" s="20"/>
      <c r="AW867" s="20"/>
      <c r="AX867" s="20"/>
      <c r="AY867" s="20"/>
    </row>
    <row r="868" spans="4:51"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937"/>
      <c r="R868" s="20"/>
      <c r="S868" s="20"/>
      <c r="T868" s="20"/>
      <c r="U868" s="20"/>
      <c r="V868" s="20"/>
      <c r="W868" s="20"/>
      <c r="X868" s="20"/>
      <c r="Y868" s="20"/>
      <c r="Z868" s="20"/>
      <c r="AA868" s="20"/>
      <c r="AB868" s="20"/>
      <c r="AC868" s="20"/>
      <c r="AD868" s="20"/>
      <c r="AE868" s="20"/>
      <c r="AF868" s="20"/>
      <c r="AG868" s="20"/>
      <c r="AH868" s="20"/>
      <c r="AI868" s="20"/>
      <c r="AJ868" s="20"/>
      <c r="AK868" s="20"/>
      <c r="AL868" s="20"/>
      <c r="AM868" s="20"/>
      <c r="AN868" s="20"/>
      <c r="AO868" s="20"/>
      <c r="AP868" s="20"/>
      <c r="AQ868" s="20"/>
      <c r="AR868" s="20"/>
      <c r="AS868" s="20"/>
      <c r="AT868" s="20"/>
      <c r="AU868" s="20"/>
      <c r="AV868" s="20"/>
      <c r="AW868" s="20"/>
      <c r="AX868" s="20"/>
      <c r="AY868" s="20"/>
    </row>
    <row r="869" spans="4:51"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937"/>
      <c r="R869" s="20"/>
      <c r="S869" s="20"/>
      <c r="T869" s="20"/>
      <c r="U869" s="20"/>
      <c r="V869" s="20"/>
      <c r="W869" s="20"/>
      <c r="X869" s="20"/>
      <c r="Y869" s="20"/>
      <c r="Z869" s="20"/>
      <c r="AA869" s="20"/>
      <c r="AB869" s="20"/>
      <c r="AC869" s="20"/>
      <c r="AD869" s="20"/>
      <c r="AE869" s="20"/>
      <c r="AF869" s="20"/>
      <c r="AG869" s="20"/>
      <c r="AH869" s="20"/>
      <c r="AI869" s="20"/>
      <c r="AJ869" s="20"/>
      <c r="AK869" s="20"/>
      <c r="AL869" s="20"/>
      <c r="AM869" s="20"/>
      <c r="AN869" s="20"/>
      <c r="AO869" s="20"/>
      <c r="AP869" s="20"/>
      <c r="AQ869" s="20"/>
      <c r="AR869" s="20"/>
      <c r="AS869" s="20"/>
      <c r="AT869" s="20"/>
      <c r="AU869" s="20"/>
      <c r="AV869" s="20"/>
      <c r="AW869" s="20"/>
      <c r="AX869" s="20"/>
      <c r="AY869" s="20"/>
    </row>
    <row r="870" spans="4:51"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937"/>
      <c r="R870" s="20"/>
      <c r="S870" s="20"/>
      <c r="T870" s="20"/>
      <c r="U870" s="20"/>
      <c r="V870" s="20"/>
      <c r="W870" s="20"/>
      <c r="X870" s="20"/>
      <c r="Y870" s="20"/>
      <c r="Z870" s="20"/>
      <c r="AA870" s="20"/>
      <c r="AB870" s="20"/>
      <c r="AC870" s="20"/>
      <c r="AD870" s="20"/>
      <c r="AE870" s="20"/>
      <c r="AF870" s="20"/>
      <c r="AG870" s="20"/>
      <c r="AH870" s="20"/>
      <c r="AI870" s="20"/>
      <c r="AJ870" s="20"/>
      <c r="AK870" s="20"/>
      <c r="AL870" s="20"/>
      <c r="AM870" s="20"/>
      <c r="AN870" s="20"/>
      <c r="AO870" s="20"/>
      <c r="AP870" s="20"/>
      <c r="AQ870" s="20"/>
      <c r="AR870" s="20"/>
      <c r="AS870" s="20"/>
      <c r="AT870" s="20"/>
      <c r="AU870" s="20"/>
      <c r="AV870" s="20"/>
      <c r="AW870" s="20"/>
      <c r="AX870" s="20"/>
      <c r="AY870" s="20"/>
    </row>
    <row r="871" spans="4:51"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937"/>
      <c r="R871" s="20"/>
      <c r="S871" s="20"/>
      <c r="T871" s="20"/>
      <c r="U871" s="20"/>
      <c r="V871" s="20"/>
      <c r="W871" s="20"/>
      <c r="X871" s="20"/>
      <c r="Y871" s="20"/>
      <c r="Z871" s="20"/>
      <c r="AA871" s="20"/>
      <c r="AB871" s="20"/>
      <c r="AC871" s="20"/>
      <c r="AD871" s="20"/>
      <c r="AE871" s="20"/>
      <c r="AF871" s="20"/>
      <c r="AG871" s="20"/>
      <c r="AH871" s="20"/>
      <c r="AI871" s="20"/>
      <c r="AJ871" s="20"/>
      <c r="AK871" s="20"/>
      <c r="AL871" s="20"/>
      <c r="AM871" s="20"/>
      <c r="AN871" s="20"/>
      <c r="AO871" s="20"/>
      <c r="AP871" s="20"/>
      <c r="AQ871" s="20"/>
      <c r="AR871" s="20"/>
      <c r="AS871" s="20"/>
      <c r="AT871" s="20"/>
      <c r="AU871" s="20"/>
      <c r="AV871" s="20"/>
      <c r="AW871" s="20"/>
      <c r="AX871" s="20"/>
      <c r="AY871" s="20"/>
    </row>
    <row r="872" spans="4:51"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937"/>
      <c r="R872" s="20"/>
      <c r="S872" s="20"/>
      <c r="T872" s="20"/>
      <c r="U872" s="20"/>
      <c r="V872" s="20"/>
      <c r="W872" s="20"/>
      <c r="X872" s="20"/>
      <c r="Y872" s="20"/>
      <c r="Z872" s="20"/>
      <c r="AA872" s="20"/>
      <c r="AB872" s="20"/>
      <c r="AC872" s="20"/>
      <c r="AD872" s="20"/>
      <c r="AE872" s="20"/>
      <c r="AF872" s="20"/>
      <c r="AG872" s="20"/>
      <c r="AH872" s="20"/>
      <c r="AI872" s="20"/>
      <c r="AJ872" s="20"/>
      <c r="AK872" s="20"/>
      <c r="AL872" s="20"/>
      <c r="AM872" s="20"/>
      <c r="AN872" s="20"/>
      <c r="AO872" s="20"/>
      <c r="AP872" s="20"/>
      <c r="AQ872" s="20"/>
      <c r="AR872" s="20"/>
      <c r="AS872" s="20"/>
      <c r="AT872" s="20"/>
      <c r="AU872" s="20"/>
      <c r="AV872" s="20"/>
      <c r="AW872" s="20"/>
      <c r="AX872" s="20"/>
      <c r="AY872" s="20"/>
    </row>
    <row r="873" spans="4:51"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937"/>
      <c r="R873" s="20"/>
      <c r="S873" s="20"/>
      <c r="T873" s="20"/>
      <c r="U873" s="20"/>
      <c r="V873" s="20"/>
      <c r="W873" s="20"/>
      <c r="X873" s="20"/>
      <c r="Y873" s="20"/>
      <c r="Z873" s="20"/>
      <c r="AA873" s="20"/>
      <c r="AB873" s="20"/>
      <c r="AC873" s="20"/>
      <c r="AD873" s="20"/>
      <c r="AE873" s="20"/>
      <c r="AF873" s="20"/>
      <c r="AG873" s="20"/>
      <c r="AH873" s="20"/>
      <c r="AI873" s="20"/>
      <c r="AJ873" s="20"/>
      <c r="AK873" s="20"/>
      <c r="AL873" s="20"/>
      <c r="AM873" s="20"/>
      <c r="AN873" s="20"/>
      <c r="AO873" s="20"/>
      <c r="AP873" s="20"/>
      <c r="AQ873" s="20"/>
      <c r="AR873" s="20"/>
      <c r="AS873" s="20"/>
      <c r="AT873" s="20"/>
      <c r="AU873" s="20"/>
      <c r="AV873" s="20"/>
      <c r="AW873" s="20"/>
      <c r="AX873" s="20"/>
      <c r="AY873" s="20"/>
    </row>
    <row r="874" spans="4:51"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937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AB874" s="20"/>
      <c r="AC874" s="20"/>
      <c r="AD874" s="20"/>
      <c r="AE874" s="20"/>
      <c r="AF874" s="20"/>
      <c r="AG874" s="20"/>
      <c r="AH874" s="20"/>
      <c r="AI874" s="20"/>
      <c r="AJ874" s="20"/>
      <c r="AK874" s="20"/>
      <c r="AL874" s="20"/>
      <c r="AM874" s="20"/>
      <c r="AN874" s="20"/>
      <c r="AO874" s="20"/>
      <c r="AP874" s="20"/>
      <c r="AQ874" s="20"/>
      <c r="AR874" s="20"/>
      <c r="AS874" s="20"/>
      <c r="AT874" s="20"/>
      <c r="AU874" s="20"/>
      <c r="AV874" s="20"/>
      <c r="AW874" s="20"/>
      <c r="AX874" s="20"/>
      <c r="AY874" s="20"/>
    </row>
    <row r="875" spans="4:51"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937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AB875" s="20"/>
      <c r="AC875" s="20"/>
      <c r="AD875" s="20"/>
      <c r="AE875" s="20"/>
      <c r="AF875" s="20"/>
      <c r="AG875" s="20"/>
      <c r="AH875" s="20"/>
      <c r="AI875" s="20"/>
      <c r="AJ875" s="20"/>
      <c r="AK875" s="20"/>
      <c r="AL875" s="20"/>
      <c r="AM875" s="20"/>
      <c r="AN875" s="20"/>
      <c r="AO875" s="20"/>
      <c r="AP875" s="20"/>
      <c r="AQ875" s="20"/>
      <c r="AR875" s="20"/>
      <c r="AS875" s="20"/>
      <c r="AT875" s="20"/>
      <c r="AU875" s="20"/>
      <c r="AV875" s="20"/>
      <c r="AW875" s="20"/>
      <c r="AX875" s="20"/>
      <c r="AY875" s="20"/>
    </row>
    <row r="876" spans="4:51"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937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AD876" s="20"/>
      <c r="AE876" s="20"/>
      <c r="AF876" s="20"/>
      <c r="AG876" s="20"/>
      <c r="AH876" s="20"/>
      <c r="AI876" s="20"/>
      <c r="AJ876" s="20"/>
      <c r="AK876" s="20"/>
      <c r="AL876" s="20"/>
      <c r="AM876" s="20"/>
      <c r="AN876" s="20"/>
      <c r="AO876" s="20"/>
      <c r="AP876" s="20"/>
      <c r="AQ876" s="20"/>
      <c r="AR876" s="20"/>
      <c r="AS876" s="20"/>
      <c r="AT876" s="20"/>
      <c r="AU876" s="20"/>
      <c r="AV876" s="20"/>
      <c r="AW876" s="20"/>
      <c r="AX876" s="20"/>
      <c r="AY876" s="20"/>
    </row>
    <row r="877" spans="4:51"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937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AB877" s="20"/>
      <c r="AC877" s="20"/>
      <c r="AD877" s="20"/>
      <c r="AE877" s="20"/>
      <c r="AF877" s="20"/>
      <c r="AG877" s="20"/>
      <c r="AH877" s="20"/>
      <c r="AI877" s="20"/>
      <c r="AJ877" s="20"/>
      <c r="AK877" s="20"/>
      <c r="AL877" s="20"/>
      <c r="AM877" s="20"/>
      <c r="AN877" s="20"/>
      <c r="AO877" s="20"/>
      <c r="AP877" s="20"/>
      <c r="AQ877" s="20"/>
      <c r="AR877" s="20"/>
      <c r="AS877" s="20"/>
      <c r="AT877" s="20"/>
      <c r="AU877" s="20"/>
      <c r="AV877" s="20"/>
      <c r="AW877" s="20"/>
      <c r="AX877" s="20"/>
      <c r="AY877" s="20"/>
    </row>
    <row r="878" spans="4:51"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937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  <c r="AE878" s="20"/>
      <c r="AF878" s="20"/>
      <c r="AG878" s="20"/>
      <c r="AH878" s="20"/>
      <c r="AI878" s="20"/>
      <c r="AJ878" s="20"/>
      <c r="AK878" s="20"/>
      <c r="AL878" s="20"/>
      <c r="AM878" s="20"/>
      <c r="AN878" s="20"/>
      <c r="AO878" s="20"/>
      <c r="AP878" s="20"/>
      <c r="AQ878" s="20"/>
      <c r="AR878" s="20"/>
      <c r="AS878" s="20"/>
      <c r="AT878" s="20"/>
      <c r="AU878" s="20"/>
      <c r="AV878" s="20"/>
      <c r="AW878" s="20"/>
      <c r="AX878" s="20"/>
      <c r="AY878" s="20"/>
    </row>
    <row r="879" spans="4:51"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937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  <c r="AC879" s="20"/>
      <c r="AD879" s="20"/>
      <c r="AE879" s="20"/>
      <c r="AF879" s="20"/>
      <c r="AG879" s="20"/>
      <c r="AH879" s="20"/>
      <c r="AI879" s="20"/>
      <c r="AJ879" s="20"/>
      <c r="AK879" s="20"/>
      <c r="AL879" s="20"/>
      <c r="AM879" s="20"/>
      <c r="AN879" s="20"/>
      <c r="AO879" s="20"/>
      <c r="AP879" s="20"/>
      <c r="AQ879" s="20"/>
      <c r="AR879" s="20"/>
      <c r="AS879" s="20"/>
      <c r="AT879" s="20"/>
      <c r="AU879" s="20"/>
      <c r="AV879" s="20"/>
      <c r="AW879" s="20"/>
      <c r="AX879" s="20"/>
      <c r="AY879" s="20"/>
    </row>
    <row r="880" spans="4:51"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937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AD880" s="20"/>
      <c r="AE880" s="20"/>
      <c r="AF880" s="20"/>
      <c r="AG880" s="20"/>
      <c r="AH880" s="20"/>
      <c r="AI880" s="20"/>
      <c r="AJ880" s="20"/>
      <c r="AK880" s="20"/>
      <c r="AL880" s="20"/>
      <c r="AM880" s="20"/>
      <c r="AN880" s="20"/>
      <c r="AO880" s="20"/>
      <c r="AP880" s="20"/>
      <c r="AQ880" s="20"/>
      <c r="AR880" s="20"/>
      <c r="AS880" s="20"/>
      <c r="AT880" s="20"/>
      <c r="AU880" s="20"/>
      <c r="AV880" s="20"/>
      <c r="AW880" s="20"/>
      <c r="AX880" s="20"/>
      <c r="AY880" s="20"/>
    </row>
    <row r="881" spans="4:51"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937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AD881" s="20"/>
      <c r="AE881" s="20"/>
      <c r="AF881" s="20"/>
      <c r="AG881" s="20"/>
      <c r="AH881" s="20"/>
      <c r="AI881" s="20"/>
      <c r="AJ881" s="20"/>
      <c r="AK881" s="20"/>
      <c r="AL881" s="20"/>
      <c r="AM881" s="20"/>
      <c r="AN881" s="20"/>
      <c r="AO881" s="20"/>
      <c r="AP881" s="20"/>
      <c r="AQ881" s="20"/>
      <c r="AR881" s="20"/>
      <c r="AS881" s="20"/>
      <c r="AT881" s="20"/>
      <c r="AU881" s="20"/>
      <c r="AV881" s="20"/>
      <c r="AW881" s="20"/>
      <c r="AX881" s="20"/>
      <c r="AY881" s="20"/>
    </row>
    <row r="882" spans="4:51"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937"/>
      <c r="R882" s="20"/>
      <c r="S882" s="20"/>
      <c r="T882" s="20"/>
      <c r="U882" s="20"/>
      <c r="V882" s="20"/>
      <c r="W882" s="20"/>
      <c r="X882" s="20"/>
      <c r="Y882" s="20"/>
      <c r="Z882" s="20"/>
      <c r="AA882" s="20"/>
      <c r="AB882" s="20"/>
      <c r="AC882" s="20"/>
      <c r="AD882" s="20"/>
      <c r="AE882" s="20"/>
      <c r="AF882" s="20"/>
      <c r="AG882" s="20"/>
      <c r="AH882" s="20"/>
      <c r="AI882" s="20"/>
      <c r="AJ882" s="20"/>
      <c r="AK882" s="20"/>
      <c r="AL882" s="20"/>
      <c r="AM882" s="20"/>
      <c r="AN882" s="20"/>
      <c r="AO882" s="20"/>
      <c r="AP882" s="20"/>
      <c r="AQ882" s="20"/>
      <c r="AR882" s="20"/>
      <c r="AS882" s="20"/>
      <c r="AT882" s="20"/>
      <c r="AU882" s="20"/>
      <c r="AV882" s="20"/>
      <c r="AW882" s="20"/>
      <c r="AX882" s="20"/>
      <c r="AY882" s="20"/>
    </row>
    <row r="883" spans="4:51"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937"/>
      <c r="R883" s="20"/>
      <c r="S883" s="20"/>
      <c r="T883" s="20"/>
      <c r="U883" s="20"/>
      <c r="V883" s="20"/>
      <c r="W883" s="20"/>
      <c r="X883" s="20"/>
      <c r="Y883" s="20"/>
      <c r="Z883" s="20"/>
      <c r="AA883" s="20"/>
      <c r="AB883" s="20"/>
      <c r="AC883" s="20"/>
      <c r="AD883" s="20"/>
      <c r="AE883" s="20"/>
      <c r="AF883" s="20"/>
      <c r="AG883" s="20"/>
      <c r="AH883" s="20"/>
      <c r="AI883" s="20"/>
      <c r="AJ883" s="20"/>
      <c r="AK883" s="20"/>
      <c r="AL883" s="20"/>
      <c r="AM883" s="20"/>
      <c r="AN883" s="20"/>
      <c r="AO883" s="20"/>
      <c r="AP883" s="20"/>
      <c r="AQ883" s="20"/>
      <c r="AR883" s="20"/>
      <c r="AS883" s="20"/>
      <c r="AT883" s="20"/>
      <c r="AU883" s="20"/>
      <c r="AV883" s="20"/>
      <c r="AW883" s="20"/>
      <c r="AX883" s="20"/>
      <c r="AY883" s="20"/>
    </row>
    <row r="884" spans="4:51"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937"/>
      <c r="R884" s="20"/>
      <c r="S884" s="20"/>
      <c r="T884" s="20"/>
      <c r="U884" s="20"/>
      <c r="V884" s="20"/>
      <c r="W884" s="20"/>
      <c r="X884" s="20"/>
      <c r="Y884" s="20"/>
      <c r="Z884" s="20"/>
      <c r="AA884" s="20"/>
      <c r="AB884" s="20"/>
      <c r="AC884" s="20"/>
      <c r="AD884" s="20"/>
      <c r="AE884" s="20"/>
      <c r="AF884" s="20"/>
      <c r="AG884" s="20"/>
      <c r="AH884" s="20"/>
      <c r="AI884" s="20"/>
      <c r="AJ884" s="20"/>
      <c r="AK884" s="20"/>
      <c r="AL884" s="20"/>
      <c r="AM884" s="20"/>
      <c r="AN884" s="20"/>
      <c r="AO884" s="20"/>
      <c r="AP884" s="20"/>
      <c r="AQ884" s="20"/>
      <c r="AR884" s="20"/>
      <c r="AS884" s="20"/>
      <c r="AT884" s="20"/>
      <c r="AU884" s="20"/>
      <c r="AV884" s="20"/>
      <c r="AW884" s="20"/>
      <c r="AX884" s="20"/>
      <c r="AY884" s="20"/>
    </row>
    <row r="885" spans="4:51"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937"/>
      <c r="R885" s="20"/>
      <c r="S885" s="20"/>
      <c r="T885" s="20"/>
      <c r="U885" s="20"/>
      <c r="V885" s="20"/>
      <c r="W885" s="20"/>
      <c r="X885" s="20"/>
      <c r="Y885" s="20"/>
      <c r="Z885" s="20"/>
      <c r="AA885" s="20"/>
      <c r="AB885" s="20"/>
      <c r="AC885" s="20"/>
      <c r="AD885" s="20"/>
      <c r="AE885" s="20"/>
      <c r="AF885" s="20"/>
      <c r="AG885" s="20"/>
      <c r="AH885" s="20"/>
      <c r="AI885" s="20"/>
      <c r="AJ885" s="20"/>
      <c r="AK885" s="20"/>
      <c r="AL885" s="20"/>
      <c r="AM885" s="20"/>
      <c r="AN885" s="20"/>
      <c r="AO885" s="20"/>
      <c r="AP885" s="20"/>
      <c r="AQ885" s="20"/>
      <c r="AR885" s="20"/>
      <c r="AS885" s="20"/>
      <c r="AT885" s="20"/>
      <c r="AU885" s="20"/>
      <c r="AV885" s="20"/>
      <c r="AW885" s="20"/>
      <c r="AX885" s="20"/>
      <c r="AY885" s="20"/>
    </row>
    <row r="886" spans="4:51"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937"/>
      <c r="R886" s="20"/>
      <c r="S886" s="20"/>
      <c r="T886" s="20"/>
      <c r="U886" s="20"/>
      <c r="V886" s="20"/>
      <c r="W886" s="20"/>
      <c r="X886" s="20"/>
      <c r="Y886" s="20"/>
      <c r="Z886" s="20"/>
      <c r="AA886" s="20"/>
      <c r="AB886" s="20"/>
      <c r="AC886" s="20"/>
      <c r="AD886" s="20"/>
      <c r="AE886" s="20"/>
      <c r="AF886" s="20"/>
      <c r="AG886" s="20"/>
      <c r="AH886" s="20"/>
      <c r="AI886" s="20"/>
      <c r="AJ886" s="20"/>
      <c r="AK886" s="20"/>
      <c r="AL886" s="20"/>
      <c r="AM886" s="20"/>
      <c r="AN886" s="20"/>
      <c r="AO886" s="20"/>
      <c r="AP886" s="20"/>
      <c r="AQ886" s="20"/>
      <c r="AR886" s="20"/>
      <c r="AS886" s="20"/>
      <c r="AT886" s="20"/>
      <c r="AU886" s="20"/>
      <c r="AV886" s="20"/>
      <c r="AW886" s="20"/>
      <c r="AX886" s="20"/>
      <c r="AY886" s="20"/>
    </row>
    <row r="887" spans="4:51"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937"/>
      <c r="R887" s="20"/>
      <c r="S887" s="20"/>
      <c r="T887" s="20"/>
      <c r="U887" s="20"/>
      <c r="V887" s="20"/>
      <c r="W887" s="20"/>
      <c r="X887" s="20"/>
      <c r="Y887" s="20"/>
      <c r="Z887" s="20"/>
      <c r="AA887" s="20"/>
      <c r="AB887" s="20"/>
      <c r="AC887" s="20"/>
      <c r="AD887" s="20"/>
      <c r="AE887" s="20"/>
      <c r="AF887" s="20"/>
      <c r="AG887" s="20"/>
      <c r="AH887" s="20"/>
      <c r="AI887" s="20"/>
      <c r="AJ887" s="20"/>
      <c r="AK887" s="20"/>
      <c r="AL887" s="20"/>
      <c r="AM887" s="20"/>
      <c r="AN887" s="20"/>
      <c r="AO887" s="20"/>
      <c r="AP887" s="20"/>
      <c r="AQ887" s="20"/>
      <c r="AR887" s="20"/>
      <c r="AS887" s="20"/>
      <c r="AT887" s="20"/>
      <c r="AU887" s="20"/>
      <c r="AV887" s="20"/>
      <c r="AW887" s="20"/>
      <c r="AX887" s="20"/>
      <c r="AY887" s="20"/>
    </row>
  </sheetData>
  <sheetProtection formatCells="0" formatColumns="0" formatRows="0" sort="0" autoFilter="0" pivotTables="0"/>
  <customSheetViews>
    <customSheetView guid="{A4D59F75-8091-4878-A19C-E6F7EFCC98D0}" fitToPage="1" hiddenColumns="1" showRuler="0">
      <selection activeCell="U18" sqref="U18"/>
      <pageMargins left="0" right="0" top="0" bottom="0" header="0" footer="0"/>
      <printOptions horizontalCentered="1" verticalCentered="1"/>
      <pageSetup paperSize="9" scale="10" orientation="portrait" r:id="rId1"/>
      <headerFooter alignWithMargins="0"/>
    </customSheetView>
    <customSheetView guid="{5F444141-AB98-4370-9413-F1F0A45DC16B}" fitToPage="1" hiddenRows="1" hiddenColumns="1" showRuler="0">
      <selection activeCell="B7" sqref="B7:B14"/>
      <pageMargins left="0" right="0" top="0" bottom="0" header="0" footer="0"/>
      <printOptions horizontalCentered="1" verticalCentered="1"/>
      <pageSetup paperSize="9" scale="10" orientation="portrait" r:id="rId2"/>
      <headerFooter alignWithMargins="0"/>
    </customSheetView>
    <customSheetView guid="{E484E83A-8AE1-4ACE-A5D4-7D98A52A9B4B}" fitToPage="1" hiddenRows="1" hiddenColumns="1" state="hidden" showRuler="0">
      <selection activeCell="T27" sqref="T27"/>
      <pageMargins left="0" right="0" top="0" bottom="0" header="0" footer="0"/>
      <printOptions horizontalCentered="1" verticalCentered="1"/>
      <pageSetup paperSize="9" scale="10" orientation="portrait" r:id="rId3"/>
      <headerFooter alignWithMargins="0"/>
    </customSheetView>
  </customSheetViews>
  <mergeCells count="45">
    <mergeCell ref="J7:L7"/>
    <mergeCell ref="I8:M8"/>
    <mergeCell ref="E15:F15"/>
    <mergeCell ref="G15:H15"/>
    <mergeCell ref="I15:J15"/>
    <mergeCell ref="K15:L15"/>
    <mergeCell ref="D17:F17"/>
    <mergeCell ref="D18:D19"/>
    <mergeCell ref="E18:F18"/>
    <mergeCell ref="G18:H18"/>
    <mergeCell ref="I18:J18"/>
    <mergeCell ref="O15:P15"/>
    <mergeCell ref="M15:N15"/>
    <mergeCell ref="O18:P18"/>
    <mergeCell ref="O17:P17"/>
    <mergeCell ref="DM26:DX26"/>
    <mergeCell ref="BA19:BE19"/>
    <mergeCell ref="BD25:BO25"/>
    <mergeCell ref="BP25:CA25"/>
    <mergeCell ref="CC25:CN25"/>
    <mergeCell ref="CO25:CZ25"/>
    <mergeCell ref="BD26:BO26"/>
    <mergeCell ref="BP26:CA26"/>
    <mergeCell ref="CC26:CN26"/>
    <mergeCell ref="CO26:CZ26"/>
    <mergeCell ref="Y15:Z15"/>
    <mergeCell ref="AA15:AB15"/>
    <mergeCell ref="K18:L18"/>
    <mergeCell ref="M18:N18"/>
    <mergeCell ref="W18:X18"/>
    <mergeCell ref="Q18:R18"/>
    <mergeCell ref="S18:T18"/>
    <mergeCell ref="U18:V18"/>
    <mergeCell ref="AC15:AD15"/>
    <mergeCell ref="Y18:Z18"/>
    <mergeCell ref="AA18:AB18"/>
    <mergeCell ref="AC18:AD18"/>
    <mergeCell ref="Q16:R16"/>
    <mergeCell ref="Q17:R17"/>
    <mergeCell ref="S16:T17"/>
    <mergeCell ref="T9:Y9"/>
    <mergeCell ref="T7:Z7"/>
    <mergeCell ref="U15:V15"/>
    <mergeCell ref="S15:T15"/>
    <mergeCell ref="Q15:R15"/>
  </mergeCells>
  <phoneticPr fontId="3" type="noConversion"/>
  <printOptions horizontalCentered="1" verticalCentered="1"/>
  <pageMargins left="0" right="0" top="0" bottom="0" header="0" footer="0"/>
  <pageSetup paperSize="9" scale="10" orientation="portrait" r:id="rId4"/>
  <headerFooter alignWithMargins="0"/>
  <drawing r:id="rId5"/>
  <legacyDrawing r:id="rId6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IM154"/>
  <sheetViews>
    <sheetView topLeftCell="C1" workbookViewId="0">
      <selection activeCell="D44" sqref="D44"/>
    </sheetView>
  </sheetViews>
  <sheetFormatPr defaultRowHeight="12.75"/>
  <cols>
    <col min="1" max="1" width="0" style="300" hidden="1" customWidth="1"/>
    <col min="2" max="2" width="10.42578125" style="300" hidden="1" customWidth="1"/>
    <col min="3" max="3" width="1.7109375" style="300" customWidth="1"/>
    <col min="4" max="4" width="53" style="300" customWidth="1"/>
    <col min="5" max="5" width="7.5703125" style="300" bestFit="1" customWidth="1"/>
    <col min="6" max="6" width="9" style="300" customWidth="1"/>
    <col min="7" max="7" width="7.5703125" style="300" bestFit="1" customWidth="1"/>
    <col min="8" max="14" width="8.7109375" style="300" customWidth="1"/>
    <col min="15" max="15" width="8.42578125" style="300" customWidth="1"/>
    <col min="16" max="16" width="9.42578125" style="300" customWidth="1"/>
    <col min="17" max="17" width="11.28515625" style="300" customWidth="1"/>
    <col min="18" max="18" width="7.42578125" style="300" customWidth="1"/>
    <col min="19" max="19" width="8.7109375" style="300" customWidth="1"/>
    <col min="20" max="20" width="7.42578125" style="300" customWidth="1"/>
    <col min="21" max="21" width="8.7109375" style="300" customWidth="1"/>
    <col min="22" max="22" width="7.42578125" style="300" customWidth="1"/>
    <col min="23" max="23" width="7.5703125" style="300" hidden="1" customWidth="1"/>
    <col min="24" max="24" width="7.42578125" style="300" hidden="1" customWidth="1"/>
    <col min="25" max="25" width="7.5703125" style="300" hidden="1" customWidth="1"/>
    <col min="26" max="26" width="7.42578125" style="300" hidden="1" customWidth="1"/>
    <col min="27" max="27" width="7.5703125" style="300" hidden="1" customWidth="1"/>
    <col min="28" max="28" width="7.42578125" style="300" hidden="1" customWidth="1"/>
    <col min="29" max="53" width="10.7109375" style="300" customWidth="1"/>
    <col min="54" max="54" width="13.85546875" style="1094" customWidth="1"/>
    <col min="55" max="56" width="48.28515625" style="300" customWidth="1"/>
    <col min="57" max="132" width="9.140625" style="300" customWidth="1"/>
    <col min="133" max="133" width="12.7109375" style="300" customWidth="1"/>
    <col min="134" max="134" width="11.85546875" style="300" customWidth="1"/>
    <col min="135" max="140" width="9.140625" style="300" customWidth="1"/>
    <col min="141" max="141" width="9.140625" style="300" hidden="1" customWidth="1"/>
    <col min="142" max="142" width="10" style="300" hidden="1" customWidth="1"/>
    <col min="143" max="147" width="9.140625" style="300" hidden="1" customWidth="1"/>
    <col min="148" max="181" width="9.140625" style="300" customWidth="1"/>
    <col min="182" max="182" width="9.140625" style="300"/>
    <col min="183" max="183" width="11" style="300" bestFit="1" customWidth="1"/>
    <col min="184" max="184" width="17.42578125" style="300" bestFit="1" customWidth="1"/>
    <col min="185" max="185" width="9.140625" style="300"/>
    <col min="186" max="188" width="9.140625" style="300" hidden="1" customWidth="1"/>
    <col min="189" max="189" width="17.42578125" style="1095" hidden="1" customWidth="1"/>
    <col min="190" max="190" width="9.140625" style="300" hidden="1" customWidth="1"/>
    <col min="191" max="191" width="11.5703125" style="300" hidden="1" customWidth="1"/>
    <col min="192" max="193" width="9.140625" style="300" hidden="1" customWidth="1"/>
    <col min="194" max="204" width="0" style="300" hidden="1" customWidth="1"/>
    <col min="205" max="206" width="9.140625" style="300"/>
    <col min="207" max="207" width="0" style="300" hidden="1" customWidth="1"/>
    <col min="208" max="16384" width="9.140625" style="300"/>
  </cols>
  <sheetData>
    <row r="1" spans="1:247">
      <c r="A1" s="72"/>
      <c r="B1" s="72"/>
      <c r="C1" s="72">
        <v>0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1238"/>
      <c r="P1" s="1238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BB1" s="300"/>
      <c r="BD1" s="1094"/>
      <c r="GG1" s="300"/>
      <c r="GI1" s="1095"/>
    </row>
    <row r="2" spans="1:247" ht="15" customHeight="1">
      <c r="A2" s="72"/>
      <c r="B2" s="72"/>
      <c r="C2" s="72"/>
      <c r="D2" s="212"/>
      <c r="E2" s="213"/>
      <c r="F2" s="214"/>
      <c r="G2" s="214"/>
      <c r="H2" s="214"/>
      <c r="I2" s="214"/>
      <c r="J2" s="214"/>
      <c r="K2" s="214"/>
      <c r="L2" s="214"/>
      <c r="M2" s="214"/>
      <c r="N2" s="214"/>
      <c r="O2" s="1239"/>
      <c r="P2" s="1239"/>
      <c r="Q2" s="214"/>
      <c r="R2" s="214"/>
      <c r="S2" s="214"/>
      <c r="T2" s="214"/>
      <c r="U2" s="214"/>
      <c r="V2" s="214"/>
      <c r="W2" s="214"/>
      <c r="X2" s="214"/>
      <c r="Y2" s="1096"/>
      <c r="Z2" s="1097"/>
      <c r="AA2" s="1097"/>
      <c r="AB2" s="1098"/>
      <c r="AC2" s="1098"/>
      <c r="AD2" s="1098"/>
      <c r="AE2" s="1098"/>
      <c r="AF2" s="1098"/>
      <c r="AG2" s="1098"/>
      <c r="AH2" s="1098"/>
      <c r="AI2" s="1098"/>
      <c r="AJ2" s="1098"/>
      <c r="AK2" s="1098"/>
      <c r="AL2" s="1099"/>
      <c r="AM2" s="1099"/>
      <c r="AN2" s="1099"/>
      <c r="AO2" s="1099"/>
      <c r="AP2" s="1099"/>
      <c r="AQ2" s="1099"/>
      <c r="AR2" s="1099"/>
      <c r="AS2" s="1099"/>
      <c r="AT2" s="1099"/>
      <c r="AU2" s="1099"/>
      <c r="AV2" s="1099"/>
      <c r="AW2" s="1099"/>
      <c r="AX2" s="1099"/>
      <c r="AY2" s="1099"/>
      <c r="AZ2" s="1099"/>
      <c r="BA2" s="1099"/>
      <c r="BB2" s="1099"/>
      <c r="BC2" s="1099"/>
      <c r="BD2" s="1094"/>
      <c r="GG2" s="300"/>
      <c r="GI2" s="1095"/>
    </row>
    <row r="3" spans="1:247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472"/>
      <c r="P3" s="472"/>
      <c r="Q3" s="72"/>
      <c r="R3" s="213"/>
      <c r="S3" s="213"/>
      <c r="T3" s="72"/>
      <c r="U3" s="72"/>
      <c r="V3" s="72"/>
      <c r="W3" s="72"/>
      <c r="X3" s="72"/>
      <c r="Y3" s="72"/>
      <c r="Z3" s="72"/>
      <c r="AA3" s="1100"/>
      <c r="AB3" s="1100"/>
      <c r="AC3" s="1100"/>
      <c r="AD3" s="1100"/>
      <c r="AE3" s="1100"/>
      <c r="AF3" s="1100"/>
      <c r="AG3" s="1100"/>
      <c r="AH3" s="1100"/>
      <c r="AI3" s="1100"/>
      <c r="AJ3" s="1100"/>
      <c r="AK3" s="1100"/>
      <c r="AL3" s="1101"/>
      <c r="AM3" s="1101"/>
      <c r="AN3" s="1101"/>
      <c r="AO3" s="1101"/>
      <c r="AP3" s="1101"/>
      <c r="AQ3" s="1101"/>
      <c r="AR3" s="1101"/>
      <c r="AS3" s="1101"/>
      <c r="AT3" s="1101"/>
      <c r="AU3" s="1101"/>
      <c r="AV3" s="1101"/>
      <c r="AW3" s="1101"/>
      <c r="AX3" s="1101"/>
      <c r="AY3" s="1101"/>
      <c r="AZ3" s="1101"/>
      <c r="BA3" s="1101"/>
      <c r="BB3" s="1101"/>
      <c r="BC3" s="1101"/>
      <c r="BD3" s="1094"/>
      <c r="GG3" s="300"/>
      <c r="GI3" s="1102"/>
    </row>
    <row r="4" spans="1:247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388"/>
      <c r="P4" s="473"/>
      <c r="Q4" s="72"/>
      <c r="R4" s="213"/>
      <c r="S4" s="213"/>
      <c r="T4" s="72"/>
      <c r="U4" s="72"/>
      <c r="V4" s="72"/>
      <c r="W4" s="72"/>
      <c r="X4" s="72"/>
      <c r="Y4" s="72"/>
      <c r="Z4" s="72"/>
      <c r="AA4" s="1100"/>
      <c r="AB4" s="1100"/>
      <c r="AC4" s="1100"/>
      <c r="AD4" s="1100"/>
      <c r="AE4" s="1100"/>
      <c r="AF4" s="1100"/>
      <c r="AG4" s="1100"/>
      <c r="AH4" s="1100"/>
      <c r="AI4" s="1100"/>
      <c r="AJ4" s="1100"/>
      <c r="AK4" s="1100"/>
      <c r="AL4" s="1101"/>
      <c r="AM4" s="1101"/>
      <c r="AN4" s="1101"/>
      <c r="AO4" s="1101"/>
      <c r="AP4" s="1101"/>
      <c r="AQ4" s="1101"/>
      <c r="AR4" s="1101"/>
      <c r="AS4" s="1101"/>
      <c r="AT4" s="1101"/>
      <c r="AU4" s="1101"/>
      <c r="AV4" s="1101"/>
      <c r="AW4" s="1101"/>
      <c r="AX4" s="1101"/>
      <c r="AY4" s="1101"/>
      <c r="AZ4" s="1103"/>
      <c r="BA4" s="1103"/>
      <c r="BB4" s="1103"/>
      <c r="BC4" s="1103"/>
      <c r="BD4" s="1104"/>
      <c r="BE4" s="923"/>
      <c r="BF4" s="923"/>
      <c r="BG4" s="923"/>
      <c r="BH4" s="923"/>
      <c r="BI4" s="923"/>
      <c r="BJ4" s="923"/>
      <c r="BK4" s="923"/>
      <c r="BL4" s="923"/>
      <c r="BM4" s="923"/>
      <c r="BN4" s="923"/>
      <c r="BO4" s="923"/>
      <c r="BP4" s="923"/>
      <c r="BQ4" s="923"/>
      <c r="BR4" s="923"/>
      <c r="BS4" s="923"/>
      <c r="BT4" s="923"/>
      <c r="BU4" s="923"/>
      <c r="BV4" s="923"/>
      <c r="BW4" s="923"/>
      <c r="BX4" s="923"/>
      <c r="BY4" s="923"/>
      <c r="BZ4" s="923"/>
      <c r="CA4" s="923"/>
      <c r="CB4" s="923"/>
      <c r="CC4" s="923"/>
      <c r="CD4" s="923"/>
      <c r="CE4" s="923"/>
      <c r="CF4" s="923"/>
      <c r="CG4" s="923"/>
      <c r="CH4" s="923"/>
      <c r="CI4" s="923"/>
      <c r="CJ4" s="923"/>
      <c r="CK4" s="923"/>
      <c r="CL4" s="923"/>
      <c r="CM4" s="923"/>
      <c r="CN4" s="923"/>
      <c r="CO4" s="923"/>
      <c r="CP4" s="923"/>
      <c r="CQ4" s="923"/>
      <c r="CR4" s="923"/>
      <c r="CS4" s="923"/>
      <c r="CT4" s="923"/>
      <c r="CU4" s="923"/>
      <c r="CV4" s="923"/>
      <c r="CW4" s="923"/>
      <c r="CX4" s="923"/>
      <c r="CY4" s="923"/>
      <c r="CZ4" s="923"/>
      <c r="DA4" s="923"/>
      <c r="DB4" s="923"/>
      <c r="DC4" s="923"/>
      <c r="DD4" s="923"/>
      <c r="DE4" s="923"/>
      <c r="DF4" s="923"/>
      <c r="DG4" s="923"/>
      <c r="DH4" s="923"/>
      <c r="DI4" s="923"/>
      <c r="DJ4" s="923"/>
      <c r="DK4" s="923"/>
      <c r="DL4" s="923"/>
      <c r="DM4" s="923"/>
      <c r="DN4" s="923"/>
      <c r="DO4" s="923"/>
      <c r="DP4" s="923"/>
      <c r="DQ4" s="923"/>
      <c r="DR4" s="923"/>
      <c r="DS4" s="923"/>
      <c r="DT4" s="923"/>
      <c r="DU4" s="923"/>
      <c r="DV4" s="923"/>
      <c r="DW4" s="923"/>
      <c r="DX4" s="923"/>
      <c r="DY4" s="923"/>
      <c r="DZ4" s="923"/>
      <c r="EA4" s="923"/>
      <c r="EB4" s="923"/>
      <c r="EC4" s="923"/>
      <c r="ED4" s="923"/>
      <c r="EE4" s="923"/>
      <c r="EF4" s="923"/>
      <c r="EG4" s="923"/>
      <c r="EH4" s="923"/>
      <c r="EI4" s="923"/>
      <c r="EJ4" s="923"/>
      <c r="EK4" s="923"/>
      <c r="EL4" s="923"/>
      <c r="EM4" s="923"/>
      <c r="EN4" s="923"/>
      <c r="EO4" s="923"/>
      <c r="EP4" s="923"/>
      <c r="EQ4" s="923"/>
      <c r="ER4" s="923"/>
      <c r="ES4" s="923"/>
      <c r="ET4" s="923"/>
      <c r="EU4" s="923"/>
      <c r="EV4" s="923"/>
      <c r="EW4" s="923"/>
      <c r="EX4" s="923"/>
      <c r="EY4" s="923"/>
      <c r="EZ4" s="923"/>
      <c r="FA4" s="923"/>
      <c r="FB4" s="923"/>
      <c r="FC4" s="923"/>
      <c r="FD4" s="923"/>
      <c r="FE4" s="923"/>
      <c r="FF4" s="923"/>
      <c r="FG4" s="923"/>
      <c r="FH4" s="923"/>
      <c r="FI4" s="923"/>
      <c r="FJ4" s="923"/>
      <c r="FK4" s="923"/>
      <c r="FL4" s="923"/>
      <c r="FM4" s="923"/>
      <c r="FN4" s="923"/>
      <c r="FO4" s="923"/>
      <c r="FP4" s="923"/>
      <c r="FQ4" s="923"/>
      <c r="FR4" s="923"/>
      <c r="FS4" s="923"/>
      <c r="FT4" s="923"/>
      <c r="FU4" s="923"/>
      <c r="FV4" s="923"/>
      <c r="FW4" s="923"/>
      <c r="FX4" s="923"/>
      <c r="FY4" s="923"/>
      <c r="FZ4" s="923"/>
      <c r="GA4" s="923"/>
      <c r="GB4" s="923"/>
      <c r="GC4" s="923"/>
      <c r="GD4" s="923"/>
      <c r="GE4" s="923"/>
      <c r="GF4" s="923"/>
      <c r="GG4" s="923"/>
      <c r="GH4" s="923"/>
      <c r="GI4" s="1105"/>
      <c r="GJ4" s="923"/>
      <c r="GK4" s="923"/>
      <c r="GL4" s="923"/>
      <c r="GM4" s="923"/>
      <c r="GN4" s="923"/>
      <c r="GO4" s="923"/>
      <c r="GP4" s="923"/>
      <c r="GQ4" s="923"/>
      <c r="GR4" s="923"/>
      <c r="GS4" s="923"/>
      <c r="GT4" s="923"/>
      <c r="GU4" s="923"/>
      <c r="GV4" s="923"/>
      <c r="GW4" s="923"/>
      <c r="GX4" s="923"/>
      <c r="GY4" s="923"/>
      <c r="GZ4" s="923"/>
      <c r="HA4" s="923"/>
      <c r="HB4" s="923"/>
      <c r="HC4" s="923"/>
      <c r="HD4" s="923"/>
      <c r="HE4" s="923"/>
      <c r="HF4" s="923"/>
      <c r="HG4" s="923"/>
      <c r="HH4" s="923"/>
      <c r="HI4" s="923"/>
      <c r="HJ4" s="923"/>
      <c r="HK4" s="923"/>
      <c r="HL4" s="923"/>
      <c r="HM4" s="923"/>
      <c r="HN4" s="923"/>
      <c r="HO4" s="923"/>
      <c r="HP4" s="923"/>
      <c r="HQ4" s="923"/>
      <c r="HR4" s="923"/>
      <c r="HS4" s="923"/>
      <c r="HT4" s="923"/>
      <c r="HU4" s="923"/>
      <c r="HV4" s="923"/>
      <c r="HW4" s="923"/>
      <c r="HX4" s="923"/>
      <c r="HY4" s="923"/>
      <c r="HZ4" s="923"/>
      <c r="IA4" s="923"/>
      <c r="IB4" s="923"/>
      <c r="IC4" s="923"/>
      <c r="ID4" s="923"/>
      <c r="IE4" s="923"/>
      <c r="IF4" s="923"/>
      <c r="IG4" s="923"/>
      <c r="IH4" s="923"/>
      <c r="II4" s="923"/>
      <c r="IJ4" s="923"/>
      <c r="IK4" s="923"/>
      <c r="IL4" s="923"/>
      <c r="IM4" s="923"/>
    </row>
    <row r="5" spans="1:247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388"/>
      <c r="P5" s="473"/>
      <c r="Q5" s="72"/>
      <c r="R5" s="213"/>
      <c r="S5" s="213"/>
      <c r="T5" s="72"/>
      <c r="U5" s="72"/>
      <c r="V5" s="72"/>
      <c r="W5" s="72"/>
      <c r="X5" s="72"/>
      <c r="Y5" s="72"/>
      <c r="Z5" s="72"/>
      <c r="AA5" s="1100"/>
      <c r="AB5" s="1100"/>
      <c r="AC5" s="1100"/>
      <c r="AD5" s="1100"/>
      <c r="AE5" s="1100"/>
      <c r="AF5" s="1100"/>
      <c r="AG5" s="1100"/>
      <c r="AH5" s="1100"/>
      <c r="AI5" s="1100"/>
      <c r="AJ5" s="1100"/>
      <c r="AK5" s="1100"/>
      <c r="AL5" s="1101"/>
      <c r="AM5" s="1101"/>
      <c r="AN5" s="1101"/>
      <c r="AO5" s="1101"/>
      <c r="AP5" s="1101"/>
      <c r="AQ5" s="1101"/>
      <c r="AR5" s="1101"/>
      <c r="AS5" s="1101"/>
      <c r="AT5" s="1101"/>
      <c r="AU5" s="1101"/>
      <c r="AV5" s="1101"/>
      <c r="AW5" s="1101"/>
      <c r="AX5" s="1101"/>
      <c r="AY5" s="1101"/>
      <c r="AZ5" s="1103"/>
      <c r="BA5" s="1103"/>
      <c r="BB5" s="1103"/>
      <c r="BC5" s="1103"/>
      <c r="BD5" s="1104"/>
      <c r="BE5" s="923"/>
      <c r="BF5" s="923"/>
      <c r="BG5" s="923"/>
      <c r="BH5" s="923"/>
      <c r="BI5" s="923"/>
      <c r="BJ5" s="923"/>
      <c r="BK5" s="923"/>
      <c r="BL5" s="923"/>
      <c r="BM5" s="923"/>
      <c r="BN5" s="923"/>
      <c r="BO5" s="923"/>
      <c r="BP5" s="923"/>
      <c r="BQ5" s="923"/>
      <c r="BR5" s="923"/>
      <c r="BS5" s="923"/>
      <c r="BT5" s="923"/>
      <c r="BU5" s="923"/>
      <c r="BV5" s="923"/>
      <c r="BW5" s="923"/>
      <c r="BX5" s="923"/>
      <c r="BY5" s="923"/>
      <c r="BZ5" s="923"/>
      <c r="CA5" s="923"/>
      <c r="CB5" s="923"/>
      <c r="CC5" s="923"/>
      <c r="CD5" s="923"/>
      <c r="CE5" s="923"/>
      <c r="CF5" s="923"/>
      <c r="CG5" s="923"/>
      <c r="CH5" s="923"/>
      <c r="CI5" s="923"/>
      <c r="CJ5" s="923"/>
      <c r="CK5" s="923"/>
      <c r="CL5" s="923"/>
      <c r="CM5" s="923"/>
      <c r="CN5" s="923"/>
      <c r="CO5" s="923"/>
      <c r="CP5" s="923"/>
      <c r="CQ5" s="923"/>
      <c r="CR5" s="923"/>
      <c r="CS5" s="923"/>
      <c r="CT5" s="923"/>
      <c r="CU5" s="923"/>
      <c r="CV5" s="923"/>
      <c r="CW5" s="923"/>
      <c r="CX5" s="923"/>
      <c r="CY5" s="923"/>
      <c r="CZ5" s="923"/>
      <c r="DA5" s="923"/>
      <c r="DB5" s="923"/>
      <c r="DC5" s="923"/>
      <c r="DD5" s="923"/>
      <c r="DE5" s="923"/>
      <c r="DF5" s="923"/>
      <c r="DG5" s="923"/>
      <c r="DH5" s="923"/>
      <c r="DI5" s="923"/>
      <c r="DJ5" s="923"/>
      <c r="DK5" s="923"/>
      <c r="DL5" s="923"/>
      <c r="DM5" s="923"/>
      <c r="DN5" s="923"/>
      <c r="DO5" s="923"/>
      <c r="DP5" s="923"/>
      <c r="DQ5" s="923"/>
      <c r="DR5" s="923"/>
      <c r="DS5" s="923"/>
      <c r="DT5" s="923"/>
      <c r="DU5" s="923"/>
      <c r="DV5" s="923"/>
      <c r="DW5" s="923"/>
      <c r="DX5" s="923"/>
      <c r="DY5" s="923"/>
      <c r="DZ5" s="923"/>
      <c r="EA5" s="923"/>
      <c r="EB5" s="923"/>
      <c r="EC5" s="923"/>
      <c r="ED5" s="923"/>
      <c r="EE5" s="923"/>
      <c r="EF5" s="923"/>
      <c r="EG5" s="923"/>
      <c r="EH5" s="923"/>
      <c r="EI5" s="923"/>
      <c r="EJ5" s="923"/>
      <c r="EK5" s="923"/>
      <c r="EL5" s="923"/>
      <c r="EM5" s="923"/>
      <c r="EN5" s="923"/>
      <c r="EO5" s="923"/>
      <c r="EP5" s="923"/>
      <c r="EQ5" s="923"/>
      <c r="ER5" s="923"/>
      <c r="ES5" s="923"/>
      <c r="ET5" s="923"/>
      <c r="EU5" s="923"/>
      <c r="EV5" s="923"/>
      <c r="EW5" s="923"/>
      <c r="EX5" s="923"/>
      <c r="EY5" s="923"/>
      <c r="EZ5" s="923"/>
      <c r="FA5" s="923"/>
      <c r="FB5" s="923"/>
      <c r="FC5" s="923"/>
      <c r="FD5" s="923"/>
      <c r="FE5" s="923"/>
      <c r="FF5" s="923"/>
      <c r="FG5" s="923"/>
      <c r="FH5" s="923"/>
      <c r="FI5" s="923"/>
      <c r="FJ5" s="923"/>
      <c r="FK5" s="923"/>
      <c r="FL5" s="923"/>
      <c r="FM5" s="923"/>
      <c r="FN5" s="923"/>
      <c r="FO5" s="923"/>
      <c r="FP5" s="923"/>
      <c r="FQ5" s="923"/>
      <c r="FR5" s="923"/>
      <c r="FS5" s="923"/>
      <c r="FT5" s="923"/>
      <c r="FU5" s="923"/>
      <c r="FV5" s="923"/>
      <c r="FW5" s="923"/>
      <c r="FX5" s="923"/>
      <c r="FY5" s="923"/>
      <c r="FZ5" s="923"/>
      <c r="GA5" s="923"/>
      <c r="GB5" s="923"/>
      <c r="GC5" s="923"/>
      <c r="GD5" s="923"/>
      <c r="GE5" s="923"/>
      <c r="GF5" s="923"/>
      <c r="GG5" s="923"/>
      <c r="GH5" s="923"/>
      <c r="GI5" s="1105"/>
      <c r="GJ5" s="923"/>
      <c r="GK5" s="923"/>
      <c r="GL5" s="923"/>
      <c r="GM5" s="923"/>
      <c r="GN5" s="923"/>
      <c r="GO5" s="923"/>
      <c r="GP5" s="923"/>
      <c r="GQ5" s="923"/>
      <c r="GR5" s="923"/>
      <c r="GS5" s="923"/>
      <c r="GT5" s="923"/>
      <c r="GU5" s="923"/>
      <c r="GV5" s="923"/>
      <c r="GW5" s="923"/>
      <c r="GX5" s="923"/>
      <c r="GY5" s="923"/>
      <c r="GZ5" s="923"/>
      <c r="HA5" s="923"/>
      <c r="HB5" s="923"/>
      <c r="HC5" s="923"/>
      <c r="HD5" s="923"/>
      <c r="HE5" s="923"/>
      <c r="HF5" s="923"/>
      <c r="HG5" s="923"/>
      <c r="HH5" s="923"/>
      <c r="HI5" s="923"/>
      <c r="HJ5" s="923"/>
      <c r="HK5" s="923"/>
      <c r="HL5" s="923"/>
      <c r="HM5" s="923"/>
      <c r="HN5" s="923"/>
      <c r="HO5" s="923"/>
      <c r="HP5" s="923"/>
      <c r="HQ5" s="923"/>
      <c r="HR5" s="923"/>
      <c r="HS5" s="923"/>
      <c r="HT5" s="923"/>
      <c r="HU5" s="923"/>
      <c r="HV5" s="923"/>
      <c r="HW5" s="923"/>
      <c r="HX5" s="923"/>
      <c r="HY5" s="923"/>
      <c r="HZ5" s="923"/>
      <c r="IA5" s="923"/>
      <c r="IB5" s="923"/>
      <c r="IC5" s="923"/>
      <c r="ID5" s="923"/>
      <c r="IE5" s="923"/>
      <c r="IF5" s="923"/>
      <c r="IG5" s="923"/>
      <c r="IH5" s="923"/>
      <c r="II5" s="923"/>
      <c r="IJ5" s="923"/>
      <c r="IK5" s="923"/>
      <c r="IL5" s="923"/>
      <c r="IM5" s="923"/>
    </row>
    <row r="6" spans="1:247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474"/>
      <c r="P6" s="475"/>
      <c r="Q6" s="213"/>
      <c r="R6" s="213"/>
      <c r="S6" s="213"/>
      <c r="T6" s="72"/>
      <c r="U6" s="72"/>
      <c r="V6" s="72"/>
      <c r="W6" s="72"/>
      <c r="X6" s="72"/>
      <c r="Y6" s="72"/>
      <c r="Z6" s="72"/>
      <c r="AA6" s="1100"/>
      <c r="AB6" s="1100"/>
      <c r="AC6" s="1100"/>
      <c r="AD6" s="1100"/>
      <c r="AE6" s="1100"/>
      <c r="AF6" s="1100"/>
      <c r="AG6" s="1100"/>
      <c r="AH6" s="1100"/>
      <c r="AI6" s="1100"/>
      <c r="AJ6" s="1100"/>
      <c r="AK6" s="1100"/>
      <c r="AL6" s="1101"/>
      <c r="AM6" s="1101"/>
      <c r="AN6" s="1101"/>
      <c r="AO6" s="1101"/>
      <c r="AP6" s="1101"/>
      <c r="AQ6" s="1101"/>
      <c r="AR6" s="1101"/>
      <c r="AS6" s="1101"/>
      <c r="AT6" s="1101"/>
      <c r="AU6" s="1101"/>
      <c r="AV6" s="1101"/>
      <c r="AW6" s="1101"/>
      <c r="AX6" s="1101"/>
      <c r="AY6" s="1101"/>
      <c r="AZ6" s="1103"/>
      <c r="BA6" s="1103"/>
      <c r="BB6" s="1103"/>
      <c r="BC6" s="1103"/>
      <c r="BD6" s="1104"/>
      <c r="BE6" s="923"/>
      <c r="BF6" s="923"/>
      <c r="BG6" s="923"/>
      <c r="BH6" s="923"/>
      <c r="BI6" s="923"/>
      <c r="BJ6" s="923"/>
      <c r="BK6" s="923"/>
      <c r="BL6" s="923"/>
      <c r="BM6" s="923"/>
      <c r="BN6" s="923"/>
      <c r="BO6" s="923"/>
      <c r="BP6" s="923"/>
      <c r="BQ6" s="923"/>
      <c r="BR6" s="923"/>
      <c r="BS6" s="923"/>
      <c r="BT6" s="923"/>
      <c r="BU6" s="923"/>
      <c r="BV6" s="923"/>
      <c r="BW6" s="923"/>
      <c r="BX6" s="923"/>
      <c r="BY6" s="923"/>
      <c r="BZ6" s="923"/>
      <c r="CA6" s="923"/>
      <c r="CB6" s="923"/>
      <c r="CC6" s="923"/>
      <c r="CD6" s="923"/>
      <c r="CE6" s="923"/>
      <c r="CF6" s="923"/>
      <c r="CG6" s="923"/>
      <c r="CH6" s="923"/>
      <c r="CI6" s="923"/>
      <c r="CJ6" s="923"/>
      <c r="CK6" s="923"/>
      <c r="CL6" s="923"/>
      <c r="CM6" s="923"/>
      <c r="CN6" s="923"/>
      <c r="CO6" s="923"/>
      <c r="CP6" s="923"/>
      <c r="CQ6" s="923"/>
      <c r="CR6" s="923"/>
      <c r="CS6" s="923"/>
      <c r="CT6" s="923"/>
      <c r="CU6" s="923"/>
      <c r="CV6" s="923"/>
      <c r="CW6" s="923"/>
      <c r="CX6" s="923"/>
      <c r="CY6" s="923"/>
      <c r="CZ6" s="923"/>
      <c r="DA6" s="923"/>
      <c r="DB6" s="923"/>
      <c r="DC6" s="923"/>
      <c r="DD6" s="923"/>
      <c r="DE6" s="923"/>
      <c r="DF6" s="923"/>
      <c r="DG6" s="923"/>
      <c r="DH6" s="923"/>
      <c r="DI6" s="923"/>
      <c r="DJ6" s="923"/>
      <c r="DK6" s="923"/>
      <c r="DL6" s="923"/>
      <c r="DM6" s="923"/>
      <c r="DN6" s="923"/>
      <c r="DO6" s="923"/>
      <c r="DP6" s="923"/>
      <c r="DQ6" s="923"/>
      <c r="DR6" s="923"/>
      <c r="DS6" s="923"/>
      <c r="DT6" s="923"/>
      <c r="DU6" s="923"/>
      <c r="DV6" s="923"/>
      <c r="DW6" s="923"/>
      <c r="DX6" s="923"/>
      <c r="DY6" s="923"/>
      <c r="DZ6" s="923"/>
      <c r="EA6" s="923"/>
      <c r="EB6" s="923"/>
      <c r="EC6" s="923"/>
      <c r="ED6" s="923"/>
      <c r="EE6" s="923"/>
      <c r="EF6" s="923"/>
      <c r="EG6" s="923"/>
      <c r="EH6" s="923"/>
      <c r="EI6" s="923"/>
      <c r="EJ6" s="923"/>
      <c r="EK6" s="923"/>
      <c r="EL6" s="923"/>
      <c r="EM6" s="923"/>
      <c r="EN6" s="923"/>
      <c r="EO6" s="923"/>
      <c r="EP6" s="923"/>
      <c r="EQ6" s="923"/>
      <c r="ER6" s="923"/>
      <c r="ES6" s="923"/>
      <c r="ET6" s="923"/>
      <c r="EU6" s="923"/>
      <c r="EV6" s="923"/>
      <c r="EW6" s="923"/>
      <c r="EX6" s="923"/>
      <c r="EY6" s="923"/>
      <c r="EZ6" s="923"/>
      <c r="FA6" s="923"/>
      <c r="FB6" s="923"/>
      <c r="FC6" s="923"/>
      <c r="FD6" s="923"/>
      <c r="FE6" s="923"/>
      <c r="FF6" s="923"/>
      <c r="FG6" s="923"/>
      <c r="FH6" s="923"/>
      <c r="FI6" s="923"/>
      <c r="FJ6" s="923"/>
      <c r="FK6" s="923"/>
      <c r="FL6" s="923"/>
      <c r="FM6" s="923"/>
      <c r="FN6" s="923"/>
      <c r="FO6" s="923"/>
      <c r="FP6" s="923"/>
      <c r="FQ6" s="923"/>
      <c r="FR6" s="923"/>
      <c r="FS6" s="923"/>
      <c r="FT6" s="923"/>
      <c r="FU6" s="923"/>
      <c r="FV6" s="923"/>
      <c r="FW6" s="923"/>
      <c r="FX6" s="923"/>
      <c r="FY6" s="923"/>
      <c r="FZ6" s="923"/>
      <c r="GA6" s="923"/>
      <c r="GB6" s="923"/>
      <c r="GC6" s="923"/>
      <c r="GD6" s="923"/>
      <c r="GE6" s="923"/>
      <c r="GF6" s="923"/>
      <c r="GG6" s="923"/>
      <c r="GH6" s="923"/>
      <c r="GI6" s="1105"/>
      <c r="GJ6" s="923"/>
      <c r="GK6" s="923"/>
      <c r="GL6" s="923"/>
      <c r="GM6" s="923"/>
      <c r="GN6" s="923"/>
      <c r="GO6" s="923"/>
      <c r="GP6" s="923"/>
      <c r="GQ6" s="923"/>
      <c r="GR6" s="923"/>
      <c r="GS6" s="923"/>
      <c r="GT6" s="923"/>
      <c r="GU6" s="923"/>
      <c r="GV6" s="923"/>
      <c r="GW6" s="923"/>
      <c r="GX6" s="923"/>
      <c r="GY6" s="923"/>
      <c r="GZ6" s="923"/>
      <c r="HA6" s="923"/>
      <c r="HB6" s="923"/>
      <c r="HC6" s="923"/>
      <c r="HD6" s="923"/>
      <c r="HE6" s="923"/>
      <c r="HF6" s="923"/>
      <c r="HG6" s="923"/>
      <c r="HH6" s="923"/>
      <c r="HI6" s="923"/>
      <c r="HJ6" s="923"/>
      <c r="HK6" s="923"/>
      <c r="HL6" s="923"/>
      <c r="HM6" s="923"/>
      <c r="HN6" s="923"/>
      <c r="HO6" s="923"/>
      <c r="HP6" s="923"/>
      <c r="HQ6" s="923"/>
      <c r="HR6" s="923"/>
      <c r="HS6" s="923"/>
      <c r="HT6" s="923"/>
      <c r="HU6" s="923"/>
      <c r="HV6" s="923"/>
      <c r="HW6" s="923"/>
      <c r="HX6" s="923"/>
      <c r="HY6" s="923"/>
      <c r="HZ6" s="923"/>
      <c r="IA6" s="923"/>
      <c r="IB6" s="923"/>
      <c r="IC6" s="923"/>
      <c r="ID6" s="923"/>
      <c r="IE6" s="923"/>
      <c r="IF6" s="923"/>
      <c r="IG6" s="923"/>
      <c r="IH6" s="923"/>
      <c r="II6" s="923"/>
      <c r="IJ6" s="923"/>
      <c r="IK6" s="923"/>
      <c r="IL6" s="923"/>
      <c r="IM6" s="923"/>
    </row>
    <row r="7" spans="1:247" ht="15">
      <c r="A7" s="72"/>
      <c r="B7" s="72"/>
      <c r="C7" s="72"/>
      <c r="D7" s="72"/>
      <c r="E7" s="72"/>
      <c r="F7" s="72"/>
      <c r="G7" s="72"/>
      <c r="H7" s="72"/>
      <c r="I7" s="72"/>
      <c r="J7" s="1152" t="str">
        <f>IF(MasterSheet!$A$1=1, MasterSheet!C5,MasterSheet!B5)</f>
        <v>CRNA GORA</v>
      </c>
      <c r="K7" s="1152"/>
      <c r="L7" s="1152"/>
      <c r="M7" s="71"/>
      <c r="N7" s="71"/>
      <c r="O7" s="72"/>
      <c r="P7" s="213"/>
      <c r="Q7" s="213"/>
      <c r="R7" s="72"/>
      <c r="S7" s="72"/>
      <c r="T7" s="72"/>
      <c r="U7" s="72"/>
      <c r="V7" s="72"/>
      <c r="W7" s="72"/>
      <c r="X7" s="72"/>
      <c r="Y7" s="1100"/>
      <c r="Z7" s="1100"/>
      <c r="AA7" s="1100"/>
      <c r="AB7" s="1100"/>
      <c r="AC7" s="1100"/>
      <c r="AD7" s="1100"/>
      <c r="AE7" s="1100"/>
      <c r="AF7" s="1100"/>
      <c r="AG7" s="1100"/>
      <c r="AH7" s="1100"/>
      <c r="AI7" s="1100"/>
      <c r="AJ7" s="1101"/>
      <c r="AK7" s="1101"/>
      <c r="AL7" s="1101"/>
      <c r="AM7" s="1101"/>
      <c r="AN7" s="1101"/>
      <c r="AO7" s="1101"/>
      <c r="AP7" s="1101"/>
      <c r="AQ7" s="1101"/>
      <c r="AR7" s="1101"/>
      <c r="AS7" s="1101"/>
      <c r="AT7" s="1101"/>
      <c r="AU7" s="1101"/>
      <c r="AV7" s="1101"/>
      <c r="AW7" s="1101"/>
      <c r="AX7" s="1103"/>
      <c r="AY7" s="1103"/>
      <c r="AZ7" s="1103"/>
      <c r="BA7" s="1103"/>
      <c r="BB7" s="1104"/>
      <c r="BC7" s="923"/>
      <c r="BD7" s="923"/>
      <c r="BE7" s="923"/>
      <c r="BF7" s="923"/>
      <c r="BG7" s="923"/>
      <c r="BH7" s="923"/>
      <c r="BI7" s="923"/>
      <c r="BJ7" s="923"/>
      <c r="BK7" s="923"/>
      <c r="BL7" s="923"/>
      <c r="BM7" s="923"/>
      <c r="BN7" s="923"/>
      <c r="BO7" s="923"/>
      <c r="BP7" s="923"/>
      <c r="BQ7" s="923"/>
      <c r="BR7" s="923"/>
      <c r="BS7" s="923"/>
      <c r="BT7" s="923"/>
      <c r="BU7" s="923"/>
      <c r="BV7" s="923"/>
      <c r="BW7" s="923"/>
      <c r="BX7" s="923"/>
      <c r="BY7" s="923"/>
      <c r="BZ7" s="923"/>
      <c r="CA7" s="923"/>
      <c r="CB7" s="923"/>
      <c r="CC7" s="923"/>
      <c r="CD7" s="923"/>
      <c r="CE7" s="923"/>
      <c r="CF7" s="923"/>
      <c r="CG7" s="923"/>
      <c r="CH7" s="923"/>
      <c r="CI7" s="923"/>
      <c r="CJ7" s="923"/>
      <c r="CK7" s="923"/>
      <c r="CL7" s="923"/>
      <c r="CM7" s="923"/>
      <c r="CN7" s="923"/>
      <c r="CO7" s="923"/>
      <c r="CP7" s="923"/>
      <c r="CQ7" s="923"/>
      <c r="CR7" s="923"/>
      <c r="CS7" s="923"/>
      <c r="CT7" s="923"/>
      <c r="CU7" s="923"/>
      <c r="CV7" s="923"/>
      <c r="CW7" s="923"/>
      <c r="CX7" s="923"/>
      <c r="CY7" s="923"/>
      <c r="CZ7" s="923"/>
      <c r="DA7" s="923"/>
      <c r="DB7" s="923"/>
      <c r="DC7" s="923"/>
      <c r="DD7" s="923"/>
      <c r="DE7" s="923"/>
      <c r="DF7" s="923"/>
      <c r="DG7" s="923"/>
      <c r="DH7" s="923"/>
      <c r="DI7" s="923"/>
      <c r="DJ7" s="923"/>
      <c r="DK7" s="923"/>
      <c r="DL7" s="923"/>
      <c r="DM7" s="923"/>
      <c r="DN7" s="923"/>
      <c r="DO7" s="923"/>
      <c r="DP7" s="923"/>
      <c r="DQ7" s="923"/>
      <c r="DR7" s="923"/>
      <c r="DS7" s="923"/>
      <c r="DT7" s="923"/>
      <c r="DU7" s="923"/>
      <c r="DV7" s="923"/>
      <c r="DW7" s="923"/>
      <c r="DX7" s="923"/>
      <c r="DY7" s="923"/>
      <c r="DZ7" s="923"/>
      <c r="EA7" s="923"/>
      <c r="EB7" s="923"/>
      <c r="EC7" s="923"/>
      <c r="ED7" s="923"/>
      <c r="EE7" s="923"/>
      <c r="EF7" s="923"/>
      <c r="EG7" s="923"/>
      <c r="EH7" s="923"/>
      <c r="EI7" s="923"/>
      <c r="EJ7" s="923"/>
      <c r="EK7" s="923"/>
      <c r="EL7" s="923"/>
      <c r="EM7" s="923"/>
      <c r="EN7" s="923"/>
      <c r="EO7" s="923"/>
      <c r="EP7" s="923"/>
      <c r="EQ7" s="923"/>
      <c r="ER7" s="923"/>
      <c r="ES7" s="923"/>
      <c r="ET7" s="923"/>
      <c r="EU7" s="923"/>
      <c r="EV7" s="923"/>
      <c r="EW7" s="923"/>
      <c r="EX7" s="923"/>
      <c r="EY7" s="923"/>
      <c r="EZ7" s="923"/>
      <c r="FA7" s="923"/>
      <c r="FB7" s="923"/>
      <c r="FC7" s="923"/>
      <c r="FD7" s="923"/>
      <c r="FE7" s="923"/>
      <c r="FF7" s="923"/>
      <c r="FG7" s="923"/>
      <c r="FH7" s="923"/>
      <c r="FI7" s="923"/>
      <c r="FJ7" s="923"/>
      <c r="FK7" s="923"/>
      <c r="FL7" s="923"/>
      <c r="FM7" s="923"/>
      <c r="FN7" s="923"/>
      <c r="FO7" s="923"/>
      <c r="FP7" s="923"/>
      <c r="FQ7" s="923"/>
      <c r="FR7" s="923"/>
      <c r="FS7" s="923"/>
      <c r="FT7" s="923"/>
      <c r="FU7" s="923"/>
      <c r="FV7" s="923"/>
      <c r="FW7" s="923"/>
      <c r="FX7" s="923"/>
      <c r="FY7" s="923"/>
      <c r="FZ7" s="923"/>
      <c r="GA7" s="923"/>
      <c r="GB7" s="923"/>
      <c r="GC7" s="923"/>
      <c r="GD7" s="923"/>
      <c r="GE7" s="923"/>
      <c r="GF7" s="923"/>
      <c r="GG7" s="1105"/>
      <c r="GH7" s="923"/>
      <c r="GI7" s="923"/>
      <c r="GJ7" s="923"/>
      <c r="GK7" s="923"/>
      <c r="GL7" s="923"/>
      <c r="GM7" s="923"/>
      <c r="GN7" s="923"/>
      <c r="GO7" s="923"/>
      <c r="GP7" s="923"/>
      <c r="GQ7" s="923"/>
      <c r="GR7" s="923"/>
      <c r="GS7" s="923"/>
      <c r="GT7" s="923"/>
      <c r="GU7" s="923"/>
      <c r="GV7" s="923"/>
      <c r="GW7" s="923"/>
      <c r="GX7" s="923"/>
      <c r="GY7" s="923"/>
      <c r="GZ7" s="923"/>
      <c r="HA7" s="923"/>
      <c r="HB7" s="923"/>
      <c r="HC7" s="923"/>
      <c r="HD7" s="923"/>
      <c r="HE7" s="923"/>
      <c r="HF7" s="923"/>
      <c r="HG7" s="923"/>
      <c r="HH7" s="923"/>
      <c r="HI7" s="923"/>
      <c r="HJ7" s="923"/>
      <c r="HK7" s="923"/>
      <c r="HL7" s="923"/>
      <c r="HM7" s="923"/>
      <c r="HN7" s="923"/>
      <c r="HO7" s="923"/>
      <c r="HP7" s="923"/>
      <c r="HQ7" s="923"/>
      <c r="HR7" s="923"/>
      <c r="HS7" s="923"/>
      <c r="HT7" s="923"/>
      <c r="HU7" s="923"/>
      <c r="HV7" s="923"/>
      <c r="HW7" s="923"/>
      <c r="HX7" s="923"/>
      <c r="HY7" s="923"/>
      <c r="HZ7" s="923"/>
      <c r="IA7" s="923"/>
      <c r="IB7" s="923"/>
      <c r="IC7" s="923"/>
      <c r="ID7" s="923"/>
      <c r="IE7" s="923"/>
      <c r="IF7" s="923"/>
      <c r="IG7" s="923"/>
      <c r="IH7" s="923"/>
      <c r="II7" s="923"/>
      <c r="IJ7" s="923"/>
      <c r="IK7" s="923"/>
    </row>
    <row r="8" spans="1:247" ht="15">
      <c r="A8" s="72"/>
      <c r="B8" s="72"/>
      <c r="C8" s="72"/>
      <c r="D8" s="72"/>
      <c r="E8" s="72"/>
      <c r="F8" s="72"/>
      <c r="G8" s="72"/>
      <c r="H8" s="72"/>
      <c r="I8" s="1152" t="str">
        <f>IF(MasterSheet!$A$1=1,MasterSheet!C6,MasterSheet!B6)</f>
        <v>MINISTARSTVO FINANSIJA</v>
      </c>
      <c r="J8" s="1152"/>
      <c r="K8" s="1152"/>
      <c r="L8" s="1152"/>
      <c r="M8" s="1152"/>
      <c r="N8" s="76"/>
      <c r="O8" s="72"/>
      <c r="P8" s="213"/>
      <c r="Q8" s="213"/>
      <c r="R8" s="72"/>
      <c r="S8" s="72"/>
      <c r="T8" s="72"/>
      <c r="U8" s="72"/>
      <c r="V8" s="72"/>
      <c r="W8" s="72"/>
      <c r="X8" s="72"/>
      <c r="Y8" s="1100"/>
      <c r="Z8" s="1100"/>
      <c r="AA8" s="1100"/>
      <c r="AB8" s="1100"/>
      <c r="AC8" s="1100"/>
      <c r="AD8" s="1100"/>
      <c r="AE8" s="1100"/>
      <c r="AF8" s="1100"/>
      <c r="AG8" s="1100"/>
      <c r="AH8" s="1100"/>
      <c r="AI8" s="1100"/>
      <c r="AJ8" s="1101"/>
      <c r="AK8" s="1101"/>
      <c r="AL8" s="1101"/>
      <c r="AM8" s="1101"/>
      <c r="AN8" s="1101"/>
      <c r="AO8" s="1101"/>
      <c r="AP8" s="1101"/>
      <c r="AQ8" s="1101"/>
      <c r="AR8" s="1101"/>
      <c r="AS8" s="1101"/>
      <c r="AT8" s="1101"/>
      <c r="AU8" s="1101"/>
      <c r="AV8" s="1101"/>
      <c r="AW8" s="1101"/>
      <c r="AX8" s="1103"/>
      <c r="AY8" s="1103"/>
      <c r="AZ8" s="1103"/>
      <c r="BA8" s="1103"/>
      <c r="BB8" s="1104"/>
      <c r="BC8" s="923"/>
      <c r="BD8" s="923"/>
      <c r="BE8" s="923"/>
      <c r="BF8" s="923"/>
      <c r="BG8" s="923"/>
      <c r="BH8" s="923"/>
      <c r="BI8" s="923"/>
      <c r="BJ8" s="923"/>
      <c r="BK8" s="923"/>
      <c r="BL8" s="923"/>
      <c r="BM8" s="923"/>
      <c r="BN8" s="923"/>
      <c r="BO8" s="923"/>
      <c r="BP8" s="923"/>
      <c r="BQ8" s="923"/>
      <c r="BR8" s="923"/>
      <c r="BS8" s="923"/>
      <c r="BT8" s="923"/>
      <c r="BU8" s="923"/>
      <c r="BV8" s="923"/>
      <c r="BW8" s="923"/>
      <c r="BX8" s="923"/>
      <c r="BY8" s="923"/>
      <c r="BZ8" s="923"/>
      <c r="CA8" s="923"/>
      <c r="CB8" s="923"/>
      <c r="CC8" s="923"/>
      <c r="CD8" s="923"/>
      <c r="CE8" s="923"/>
      <c r="CF8" s="923"/>
      <c r="CG8" s="923"/>
      <c r="CH8" s="923"/>
      <c r="CI8" s="923"/>
      <c r="CJ8" s="923"/>
      <c r="CK8" s="923"/>
      <c r="CL8" s="923"/>
      <c r="CM8" s="923"/>
      <c r="CN8" s="923"/>
      <c r="CO8" s="923"/>
      <c r="CP8" s="923"/>
      <c r="CQ8" s="923"/>
      <c r="CR8" s="923"/>
      <c r="CS8" s="923"/>
      <c r="CT8" s="923"/>
      <c r="CU8" s="923"/>
      <c r="CV8" s="923"/>
      <c r="CW8" s="923"/>
      <c r="CX8" s="923"/>
      <c r="CY8" s="923"/>
      <c r="CZ8" s="923"/>
      <c r="DA8" s="923"/>
      <c r="DB8" s="923"/>
      <c r="DC8" s="923"/>
      <c r="DD8" s="923"/>
      <c r="DE8" s="923"/>
      <c r="DF8" s="923"/>
      <c r="DG8" s="923"/>
      <c r="DH8" s="923"/>
      <c r="DI8" s="923"/>
      <c r="DJ8" s="923"/>
      <c r="DK8" s="923"/>
      <c r="DL8" s="923"/>
      <c r="DM8" s="923"/>
      <c r="DN8" s="923"/>
      <c r="DO8" s="923"/>
      <c r="DP8" s="923"/>
      <c r="DQ8" s="923"/>
      <c r="DR8" s="923"/>
      <c r="DS8" s="923"/>
      <c r="DT8" s="923"/>
      <c r="DU8" s="923"/>
      <c r="DV8" s="923"/>
      <c r="DW8" s="923"/>
      <c r="DX8" s="923"/>
      <c r="DY8" s="923"/>
      <c r="DZ8" s="923"/>
      <c r="EA8" s="923"/>
      <c r="EB8" s="923"/>
      <c r="EC8" s="923"/>
      <c r="ED8" s="923"/>
      <c r="EE8" s="923"/>
      <c r="EF8" s="923"/>
      <c r="EG8" s="923"/>
      <c r="EH8" s="923"/>
      <c r="EI8" s="923"/>
      <c r="EJ8" s="923"/>
      <c r="EK8" s="923"/>
      <c r="EL8" s="923"/>
      <c r="EM8" s="923"/>
      <c r="EN8" s="923"/>
      <c r="EO8" s="923"/>
      <c r="EP8" s="923"/>
      <c r="EQ8" s="923"/>
      <c r="ER8" s="923"/>
      <c r="ES8" s="923"/>
      <c r="ET8" s="923"/>
      <c r="EU8" s="923"/>
      <c r="EV8" s="923"/>
      <c r="EW8" s="923"/>
      <c r="EX8" s="923"/>
      <c r="EY8" s="923"/>
      <c r="EZ8" s="923"/>
      <c r="FA8" s="923"/>
      <c r="FB8" s="923"/>
      <c r="FC8" s="923"/>
      <c r="FD8" s="923"/>
      <c r="FE8" s="923"/>
      <c r="FF8" s="923"/>
      <c r="FG8" s="923"/>
      <c r="FH8" s="923"/>
      <c r="FI8" s="923"/>
      <c r="FJ8" s="923"/>
      <c r="FK8" s="923"/>
      <c r="FL8" s="923"/>
      <c r="FM8" s="923"/>
      <c r="FN8" s="923"/>
      <c r="FO8" s="923"/>
      <c r="FP8" s="923"/>
      <c r="FQ8" s="923"/>
      <c r="FR8" s="923"/>
      <c r="FS8" s="923"/>
      <c r="FT8" s="923"/>
      <c r="FU8" s="923"/>
      <c r="FV8" s="923"/>
      <c r="FW8" s="923"/>
      <c r="FX8" s="923"/>
      <c r="FY8" s="923"/>
      <c r="FZ8" s="923"/>
      <c r="GA8" s="923"/>
      <c r="GB8" s="923"/>
      <c r="GC8" s="923"/>
      <c r="GD8" s="923"/>
      <c r="GE8" s="923"/>
      <c r="GF8" s="923"/>
      <c r="GG8" s="1105"/>
      <c r="GH8" s="923"/>
      <c r="GI8" s="923"/>
      <c r="GJ8" s="923"/>
      <c r="GK8" s="923"/>
      <c r="GL8" s="923"/>
      <c r="GM8" s="923"/>
      <c r="GN8" s="923"/>
      <c r="GO8" s="923"/>
      <c r="GP8" s="923"/>
      <c r="GQ8" s="923"/>
      <c r="GR8" s="923"/>
      <c r="GS8" s="923"/>
      <c r="GT8" s="923"/>
      <c r="GU8" s="923"/>
      <c r="GV8" s="923"/>
      <c r="GW8" s="923"/>
      <c r="GX8" s="923"/>
      <c r="GY8" s="923"/>
      <c r="GZ8" s="923"/>
      <c r="HA8" s="923"/>
      <c r="HB8" s="923"/>
      <c r="HC8" s="923"/>
      <c r="HD8" s="923"/>
      <c r="HE8" s="923"/>
      <c r="HF8" s="923"/>
      <c r="HG8" s="923"/>
      <c r="HH8" s="923"/>
      <c r="HI8" s="923"/>
      <c r="HJ8" s="923"/>
      <c r="HK8" s="923"/>
      <c r="HL8" s="923"/>
      <c r="HM8" s="923"/>
      <c r="HN8" s="923"/>
      <c r="HO8" s="923"/>
      <c r="HP8" s="923"/>
      <c r="HQ8" s="923"/>
      <c r="HR8" s="923"/>
      <c r="HS8" s="923"/>
      <c r="HT8" s="923"/>
      <c r="HU8" s="923"/>
      <c r="HV8" s="923"/>
      <c r="HW8" s="923"/>
      <c r="HX8" s="923"/>
      <c r="HY8" s="923"/>
      <c r="HZ8" s="923"/>
      <c r="IA8" s="923"/>
      <c r="IB8" s="923"/>
      <c r="IC8" s="923"/>
      <c r="ID8" s="923"/>
      <c r="IE8" s="923"/>
      <c r="IF8" s="923"/>
      <c r="IG8" s="923"/>
      <c r="IH8" s="923"/>
      <c r="II8" s="923"/>
      <c r="IJ8" s="923"/>
      <c r="IK8" s="923"/>
    </row>
    <row r="9" spans="1:247" ht="15">
      <c r="A9" s="72"/>
      <c r="B9" s="72"/>
      <c r="C9" s="72"/>
      <c r="D9" s="213"/>
      <c r="E9" s="72"/>
      <c r="F9" s="72"/>
      <c r="G9" s="72"/>
      <c r="H9" s="72"/>
      <c r="I9" s="72"/>
      <c r="J9" s="71"/>
      <c r="K9" s="71"/>
      <c r="L9" s="71"/>
      <c r="M9" s="71"/>
      <c r="N9" s="71"/>
      <c r="O9" s="72"/>
      <c r="P9" s="72"/>
      <c r="Q9" s="72"/>
      <c r="R9" s="72"/>
      <c r="S9" s="72"/>
      <c r="T9" s="72"/>
      <c r="U9" s="72"/>
      <c r="V9" s="72"/>
      <c r="W9" s="72"/>
      <c r="X9" s="72"/>
      <c r="Y9" s="1100"/>
      <c r="Z9" s="1100"/>
      <c r="AA9" s="1100"/>
      <c r="AB9" s="1100"/>
      <c r="AC9" s="1100"/>
      <c r="AD9" s="1100"/>
      <c r="AE9" s="1100"/>
      <c r="AF9" s="1100"/>
      <c r="AG9" s="1100"/>
      <c r="AH9" s="1100"/>
      <c r="AI9" s="1100"/>
      <c r="AJ9" s="1101"/>
      <c r="AK9" s="1101"/>
      <c r="AL9" s="1101"/>
      <c r="AM9" s="1101"/>
      <c r="AN9" s="1101"/>
      <c r="AO9" s="1101"/>
      <c r="AP9" s="1101"/>
      <c r="AQ9" s="1101"/>
      <c r="AR9" s="1101"/>
      <c r="AS9" s="1101"/>
      <c r="AT9" s="1101"/>
      <c r="AU9" s="1101"/>
      <c r="AV9" s="1101"/>
      <c r="AW9" s="1101"/>
      <c r="AX9" s="1103"/>
      <c r="AY9" s="1103"/>
      <c r="AZ9" s="1103"/>
      <c r="BA9" s="1103"/>
      <c r="BB9" s="1104"/>
      <c r="BC9" s="923"/>
      <c r="BD9" s="923"/>
      <c r="BE9" s="923"/>
      <c r="BF9" s="923"/>
      <c r="BG9" s="923"/>
      <c r="BH9" s="923"/>
      <c r="BI9" s="923"/>
      <c r="BJ9" s="923"/>
      <c r="BK9" s="923"/>
      <c r="BL9" s="923"/>
      <c r="BM9" s="923"/>
      <c r="BN9" s="923"/>
      <c r="BO9" s="923"/>
      <c r="BP9" s="923"/>
      <c r="BQ9" s="923"/>
      <c r="BR9" s="923"/>
      <c r="BS9" s="923"/>
      <c r="BT9" s="923"/>
      <c r="BU9" s="923"/>
      <c r="BV9" s="923"/>
      <c r="BW9" s="923"/>
      <c r="BX9" s="923"/>
      <c r="BY9" s="923"/>
      <c r="BZ9" s="923"/>
      <c r="CA9" s="923"/>
      <c r="CB9" s="923"/>
      <c r="CC9" s="923"/>
      <c r="CD9" s="923"/>
      <c r="CE9" s="923"/>
      <c r="CF9" s="923"/>
      <c r="CG9" s="923"/>
      <c r="CH9" s="923"/>
      <c r="CI9" s="923"/>
      <c r="CJ9" s="923"/>
      <c r="CK9" s="923"/>
      <c r="CL9" s="923"/>
      <c r="CM9" s="923"/>
      <c r="CN9" s="923"/>
      <c r="CO9" s="923"/>
      <c r="CP9" s="923"/>
      <c r="CQ9" s="923"/>
      <c r="CR9" s="923"/>
      <c r="CS9" s="923"/>
      <c r="CT9" s="923"/>
      <c r="CU9" s="923"/>
      <c r="CV9" s="923"/>
      <c r="CW9" s="923"/>
      <c r="CX9" s="923"/>
      <c r="CY9" s="923"/>
      <c r="CZ9" s="923"/>
      <c r="DA9" s="923"/>
      <c r="DB9" s="923"/>
      <c r="DC9" s="923"/>
      <c r="DD9" s="923"/>
      <c r="DE9" s="923"/>
      <c r="DF9" s="923"/>
      <c r="DG9" s="923"/>
      <c r="DH9" s="923"/>
      <c r="DI9" s="923"/>
      <c r="DJ9" s="923"/>
      <c r="DK9" s="923"/>
      <c r="DL9" s="923"/>
      <c r="DM9" s="923"/>
      <c r="DN9" s="923"/>
      <c r="DO9" s="923"/>
      <c r="DP9" s="923"/>
      <c r="DQ9" s="923"/>
      <c r="DR9" s="923"/>
      <c r="DS9" s="923"/>
      <c r="DT9" s="923"/>
      <c r="DU9" s="923"/>
      <c r="DV9" s="923"/>
      <c r="DW9" s="923"/>
      <c r="DX9" s="923"/>
      <c r="DY9" s="923"/>
      <c r="DZ9" s="923"/>
      <c r="EA9" s="923"/>
      <c r="EB9" s="923"/>
      <c r="EC9" s="923"/>
      <c r="ED9" s="923"/>
      <c r="EE9" s="923"/>
      <c r="EF9" s="923"/>
      <c r="EG9" s="923"/>
      <c r="EH9" s="923"/>
      <c r="EI9" s="923"/>
      <c r="EJ9" s="923"/>
      <c r="EK9" s="923"/>
      <c r="EL9" s="923"/>
      <c r="EM9" s="923"/>
      <c r="EN9" s="923"/>
      <c r="EO9" s="923"/>
      <c r="EP9" s="923"/>
      <c r="EQ9" s="923"/>
      <c r="ER9" s="923"/>
      <c r="ES9" s="923"/>
      <c r="ET9" s="923"/>
      <c r="EU9" s="923"/>
      <c r="EV9" s="923"/>
      <c r="EW9" s="923"/>
      <c r="EX9" s="923"/>
      <c r="EY9" s="923"/>
      <c r="EZ9" s="923"/>
      <c r="FA9" s="923"/>
      <c r="FB9" s="923"/>
      <c r="FC9" s="923"/>
      <c r="FD9" s="923"/>
      <c r="FE9" s="923"/>
      <c r="FF9" s="923"/>
      <c r="FG9" s="923"/>
      <c r="FH9" s="923"/>
      <c r="FI9" s="923"/>
      <c r="FJ9" s="923"/>
      <c r="FK9" s="923"/>
      <c r="FL9" s="923"/>
      <c r="FM9" s="923"/>
      <c r="FN9" s="923"/>
      <c r="FO9" s="923"/>
      <c r="FP9" s="923"/>
      <c r="FQ9" s="923"/>
      <c r="FR9" s="923"/>
      <c r="FS9" s="923"/>
      <c r="FT9" s="923"/>
      <c r="FU9" s="923"/>
      <c r="FV9" s="923"/>
      <c r="FW9" s="923"/>
      <c r="FX9" s="923"/>
      <c r="FY9" s="923"/>
      <c r="FZ9" s="923"/>
      <c r="GA9" s="923"/>
      <c r="GB9" s="923"/>
      <c r="GC9" s="923"/>
      <c r="GD9" s="923"/>
      <c r="GE9" s="923"/>
      <c r="GF9" s="923"/>
      <c r="GG9" s="1105"/>
      <c r="GH9" s="923"/>
      <c r="GI9" s="923"/>
      <c r="GJ9" s="923"/>
      <c r="GK9" s="923"/>
      <c r="GL9" s="923"/>
      <c r="GM9" s="923"/>
      <c r="GN9" s="923"/>
      <c r="GO9" s="923"/>
      <c r="GP9" s="923"/>
      <c r="GQ9" s="923"/>
      <c r="GR9" s="923"/>
      <c r="GS9" s="923"/>
      <c r="GT9" s="923"/>
      <c r="GU9" s="923"/>
      <c r="GV9" s="923"/>
      <c r="GW9" s="923"/>
      <c r="GX9" s="923"/>
      <c r="GY9" s="923"/>
      <c r="GZ9" s="923"/>
      <c r="HA9" s="923"/>
      <c r="HB9" s="923"/>
      <c r="HC9" s="923"/>
      <c r="HD9" s="923"/>
      <c r="HE9" s="923"/>
      <c r="HF9" s="923"/>
      <c r="HG9" s="923"/>
      <c r="HH9" s="923"/>
      <c r="HI9" s="923"/>
      <c r="HJ9" s="923"/>
      <c r="HK9" s="923"/>
      <c r="HL9" s="923"/>
      <c r="HM9" s="923"/>
      <c r="HN9" s="923"/>
      <c r="HO9" s="923"/>
      <c r="HP9" s="923"/>
      <c r="HQ9" s="923"/>
      <c r="HR9" s="923"/>
      <c r="HS9" s="923"/>
      <c r="HT9" s="923"/>
      <c r="HU9" s="923"/>
      <c r="HV9" s="923"/>
      <c r="HW9" s="923"/>
      <c r="HX9" s="923"/>
      <c r="HY9" s="923"/>
      <c r="HZ9" s="923"/>
      <c r="IA9" s="923"/>
      <c r="IB9" s="923"/>
      <c r="IC9" s="923"/>
      <c r="ID9" s="923"/>
      <c r="IE9" s="923"/>
      <c r="IF9" s="923"/>
      <c r="IG9" s="923"/>
      <c r="IH9" s="923"/>
      <c r="II9" s="923"/>
      <c r="IJ9" s="923"/>
      <c r="IK9" s="923"/>
    </row>
    <row r="10" spans="1:247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1100"/>
      <c r="Z10" s="1100"/>
      <c r="AA10" s="1100"/>
      <c r="AB10" s="1100"/>
      <c r="AC10" s="1100"/>
      <c r="AD10" s="1100"/>
      <c r="AE10" s="1100"/>
      <c r="AF10" s="1100"/>
      <c r="AG10" s="1100"/>
      <c r="AH10" s="1100"/>
      <c r="AI10" s="1100"/>
      <c r="AJ10" s="1101"/>
      <c r="AK10" s="1101"/>
      <c r="AL10" s="1101"/>
      <c r="AM10" s="1101"/>
      <c r="AN10" s="1101"/>
      <c r="AO10" s="1101"/>
      <c r="AP10" s="1101"/>
      <c r="AQ10" s="1101"/>
      <c r="AR10" s="1101"/>
      <c r="AS10" s="1101"/>
      <c r="AT10" s="1101"/>
      <c r="AU10" s="1101"/>
      <c r="AV10" s="1101"/>
      <c r="AW10" s="1101"/>
      <c r="AX10" s="1103"/>
      <c r="AY10" s="1103"/>
      <c r="AZ10" s="1103"/>
      <c r="BA10" s="1103"/>
      <c r="BB10" s="1104"/>
      <c r="BC10" s="923"/>
      <c r="BD10" s="923"/>
      <c r="BE10" s="923"/>
      <c r="BF10" s="923"/>
      <c r="BG10" s="923"/>
      <c r="BH10" s="923"/>
      <c r="BI10" s="923"/>
      <c r="BJ10" s="923"/>
      <c r="BK10" s="923"/>
      <c r="BL10" s="923"/>
      <c r="BM10" s="923"/>
      <c r="BN10" s="923"/>
      <c r="BO10" s="923"/>
      <c r="BP10" s="923"/>
      <c r="BQ10" s="923"/>
      <c r="BR10" s="923"/>
      <c r="BS10" s="923"/>
      <c r="BT10" s="923"/>
      <c r="BU10" s="923"/>
      <c r="BV10" s="923"/>
      <c r="BW10" s="923"/>
      <c r="BX10" s="923"/>
      <c r="BY10" s="923"/>
      <c r="BZ10" s="923"/>
      <c r="CA10" s="923"/>
      <c r="CB10" s="923"/>
      <c r="CC10" s="923"/>
      <c r="CD10" s="923"/>
      <c r="CE10" s="923"/>
      <c r="CF10" s="923"/>
      <c r="CG10" s="923"/>
      <c r="CH10" s="923"/>
      <c r="CI10" s="923"/>
      <c r="CJ10" s="923"/>
      <c r="CK10" s="923"/>
      <c r="CL10" s="923"/>
      <c r="CM10" s="923"/>
      <c r="CN10" s="923"/>
      <c r="CO10" s="923"/>
      <c r="CP10" s="923"/>
      <c r="CQ10" s="923"/>
      <c r="CR10" s="923"/>
      <c r="CS10" s="923"/>
      <c r="CT10" s="923"/>
      <c r="CU10" s="923"/>
      <c r="CV10" s="923"/>
      <c r="CW10" s="923"/>
      <c r="CX10" s="923"/>
      <c r="CY10" s="923"/>
      <c r="CZ10" s="923"/>
      <c r="DA10" s="923"/>
      <c r="DB10" s="923"/>
      <c r="DC10" s="923"/>
      <c r="DD10" s="923"/>
      <c r="DE10" s="923"/>
      <c r="DF10" s="923"/>
      <c r="DG10" s="923"/>
      <c r="DH10" s="923"/>
      <c r="DI10" s="923"/>
      <c r="DJ10" s="923"/>
      <c r="DK10" s="923"/>
      <c r="DL10" s="923"/>
      <c r="DM10" s="923"/>
      <c r="DN10" s="923"/>
      <c r="DO10" s="923"/>
      <c r="DP10" s="923"/>
      <c r="DQ10" s="923"/>
      <c r="DR10" s="923"/>
      <c r="DS10" s="923"/>
      <c r="DT10" s="923"/>
      <c r="DU10" s="923"/>
      <c r="DV10" s="923"/>
      <c r="DW10" s="923"/>
      <c r="DX10" s="923"/>
      <c r="DY10" s="923"/>
      <c r="DZ10" s="923"/>
      <c r="EA10" s="923"/>
      <c r="EB10" s="923"/>
      <c r="EC10" s="923"/>
      <c r="ED10" s="923"/>
      <c r="EE10" s="923"/>
      <c r="EF10" s="923"/>
      <c r="EG10" s="923"/>
      <c r="EH10" s="923"/>
      <c r="EI10" s="923"/>
      <c r="EJ10" s="923"/>
      <c r="EK10" s="923"/>
      <c r="EL10" s="923"/>
      <c r="EM10" s="923"/>
      <c r="EN10" s="923"/>
      <c r="EO10" s="923"/>
      <c r="EP10" s="923"/>
      <c r="EQ10" s="923"/>
      <c r="ER10" s="923"/>
      <c r="ES10" s="923"/>
      <c r="ET10" s="923"/>
      <c r="EU10" s="923"/>
      <c r="EV10" s="923"/>
      <c r="EW10" s="923"/>
      <c r="EX10" s="923"/>
      <c r="EY10" s="923"/>
      <c r="EZ10" s="923"/>
      <c r="FA10" s="923"/>
      <c r="FB10" s="923"/>
      <c r="FC10" s="923"/>
      <c r="FD10" s="923"/>
      <c r="FE10" s="923"/>
      <c r="FF10" s="923"/>
      <c r="FG10" s="923"/>
      <c r="FH10" s="923"/>
      <c r="FI10" s="923"/>
      <c r="FJ10" s="923"/>
      <c r="FK10" s="923"/>
      <c r="FL10" s="923"/>
      <c r="FM10" s="923"/>
      <c r="FN10" s="923"/>
      <c r="FO10" s="923"/>
      <c r="FP10" s="923"/>
      <c r="FQ10" s="923"/>
      <c r="FR10" s="923"/>
      <c r="FS10" s="923"/>
      <c r="FT10" s="923"/>
      <c r="FU10" s="923"/>
      <c r="FV10" s="923"/>
      <c r="FW10" s="923"/>
      <c r="FX10" s="923"/>
      <c r="FY10" s="923"/>
      <c r="FZ10" s="923"/>
      <c r="GA10" s="923"/>
      <c r="GB10" s="923"/>
      <c r="GC10" s="923"/>
      <c r="GD10" s="923"/>
      <c r="GE10" s="923"/>
      <c r="GF10" s="923"/>
      <c r="GG10" s="1105"/>
      <c r="GH10" s="923"/>
      <c r="GI10" s="923"/>
      <c r="GJ10" s="923"/>
      <c r="GK10" s="923"/>
      <c r="GL10" s="923"/>
      <c r="GM10" s="923"/>
      <c r="GN10" s="923"/>
      <c r="GO10" s="923"/>
      <c r="GP10" s="923"/>
      <c r="GQ10" s="923"/>
      <c r="GR10" s="923"/>
      <c r="GS10" s="923"/>
      <c r="GT10" s="923"/>
      <c r="GU10" s="923"/>
      <c r="GV10" s="923"/>
      <c r="GW10" s="923"/>
      <c r="GX10" s="923"/>
      <c r="GY10" s="923"/>
      <c r="GZ10" s="923"/>
      <c r="HA10" s="923"/>
      <c r="HB10" s="923"/>
      <c r="HC10" s="923"/>
      <c r="HD10" s="923"/>
      <c r="HE10" s="923"/>
      <c r="HF10" s="923"/>
      <c r="HG10" s="923"/>
      <c r="HH10" s="923"/>
      <c r="HI10" s="923"/>
      <c r="HJ10" s="923"/>
      <c r="HK10" s="923"/>
      <c r="HL10" s="923"/>
      <c r="HM10" s="923"/>
      <c r="HN10" s="923"/>
      <c r="HO10" s="923"/>
      <c r="HP10" s="923"/>
      <c r="HQ10" s="923"/>
      <c r="HR10" s="923"/>
      <c r="HS10" s="923"/>
      <c r="HT10" s="923"/>
      <c r="HU10" s="923"/>
      <c r="HV10" s="923"/>
      <c r="HW10" s="923"/>
      <c r="HX10" s="923"/>
      <c r="HY10" s="923"/>
      <c r="HZ10" s="923"/>
      <c r="IA10" s="923"/>
      <c r="IB10" s="923"/>
      <c r="IC10" s="923"/>
      <c r="ID10" s="923"/>
      <c r="IE10" s="923"/>
      <c r="IF10" s="923"/>
      <c r="IG10" s="923"/>
      <c r="IH10" s="923"/>
      <c r="II10" s="923"/>
      <c r="IJ10" s="923"/>
      <c r="IK10" s="923"/>
    </row>
    <row r="11" spans="1:247">
      <c r="A11" s="72"/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1100"/>
      <c r="Z11" s="1100"/>
      <c r="AA11" s="1100"/>
      <c r="AB11" s="1100"/>
      <c r="AC11" s="1100"/>
      <c r="AD11" s="1100"/>
      <c r="AE11" s="1100"/>
      <c r="AF11" s="1100"/>
      <c r="AG11" s="1100"/>
      <c r="AH11" s="1100"/>
      <c r="AI11" s="1100"/>
      <c r="AJ11" s="1101"/>
      <c r="AK11" s="1101"/>
      <c r="AL11" s="1101"/>
      <c r="AM11" s="1101"/>
      <c r="AN11" s="1101"/>
      <c r="AO11" s="1101"/>
      <c r="AP11" s="1101"/>
      <c r="AQ11" s="1101"/>
      <c r="AR11" s="1101"/>
      <c r="AS11" s="1101"/>
      <c r="AT11" s="1101"/>
      <c r="AU11" s="1101"/>
      <c r="AV11" s="1101"/>
      <c r="AW11" s="1101"/>
      <c r="AX11" s="1103"/>
      <c r="AY11" s="1103"/>
      <c r="AZ11" s="1103"/>
      <c r="BA11" s="1103"/>
      <c r="BB11" s="1104"/>
      <c r="BC11" s="923"/>
      <c r="BD11" s="923"/>
      <c r="BE11" s="923"/>
      <c r="BF11" s="923"/>
      <c r="BG11" s="923"/>
      <c r="BH11" s="923"/>
      <c r="BI11" s="923"/>
      <c r="BJ11" s="923"/>
      <c r="BK11" s="923"/>
      <c r="BL11" s="923"/>
      <c r="BM11" s="923"/>
      <c r="BN11" s="923"/>
      <c r="BO11" s="923"/>
      <c r="BP11" s="923"/>
      <c r="BQ11" s="923"/>
      <c r="BR11" s="923"/>
      <c r="BS11" s="923"/>
      <c r="BT11" s="923"/>
      <c r="BU11" s="923"/>
      <c r="BV11" s="923"/>
      <c r="BW11" s="923"/>
      <c r="BX11" s="923"/>
      <c r="BY11" s="923"/>
      <c r="BZ11" s="923"/>
      <c r="CA11" s="923"/>
      <c r="CB11" s="923"/>
      <c r="CC11" s="923"/>
      <c r="CD11" s="923"/>
      <c r="CE11" s="923"/>
      <c r="CF11" s="923"/>
      <c r="CG11" s="923"/>
      <c r="CH11" s="923"/>
      <c r="CI11" s="923"/>
      <c r="CJ11" s="923"/>
      <c r="CK11" s="923"/>
      <c r="CL11" s="923"/>
      <c r="CM11" s="923"/>
      <c r="CN11" s="923"/>
      <c r="CO11" s="923"/>
      <c r="CP11" s="923"/>
      <c r="CQ11" s="923"/>
      <c r="CR11" s="923"/>
      <c r="CS11" s="923"/>
      <c r="CT11" s="923"/>
      <c r="CU11" s="923"/>
      <c r="CV11" s="923"/>
      <c r="CW11" s="923"/>
      <c r="CX11" s="923"/>
      <c r="CY11" s="923"/>
      <c r="CZ11" s="923"/>
      <c r="DA11" s="923"/>
      <c r="DB11" s="923"/>
      <c r="DC11" s="923"/>
      <c r="DD11" s="923"/>
      <c r="DE11" s="923"/>
      <c r="DF11" s="923"/>
      <c r="DG11" s="923"/>
      <c r="DH11" s="923"/>
      <c r="DI11" s="923"/>
      <c r="DJ11" s="923"/>
      <c r="DK11" s="923"/>
      <c r="DL11" s="923"/>
      <c r="DM11" s="923"/>
      <c r="DN11" s="923"/>
      <c r="DO11" s="923"/>
      <c r="DP11" s="923"/>
      <c r="DQ11" s="923"/>
      <c r="DR11" s="923"/>
      <c r="DS11" s="923"/>
      <c r="DT11" s="923"/>
      <c r="DU11" s="923"/>
      <c r="DV11" s="923"/>
      <c r="DW11" s="923"/>
      <c r="DX11" s="923"/>
      <c r="DY11" s="923"/>
      <c r="DZ11" s="923"/>
      <c r="EA11" s="923"/>
      <c r="EB11" s="923"/>
      <c r="EC11" s="923"/>
      <c r="ED11" s="923"/>
      <c r="EE11" s="923"/>
      <c r="EF11" s="923"/>
      <c r="EG11" s="923"/>
      <c r="EH11" s="923"/>
      <c r="EI11" s="923"/>
      <c r="EJ11" s="923"/>
      <c r="EK11" s="923"/>
      <c r="EL11" s="923"/>
      <c r="EM11" s="923"/>
      <c r="EN11" s="923"/>
      <c r="EO11" s="923"/>
      <c r="EP11" s="923"/>
      <c r="EQ11" s="923"/>
      <c r="ER11" s="923"/>
      <c r="ES11" s="923"/>
      <c r="ET11" s="923"/>
      <c r="EU11" s="923"/>
      <c r="EV11" s="923"/>
      <c r="EW11" s="923"/>
      <c r="EX11" s="923"/>
      <c r="EY11" s="923"/>
      <c r="EZ11" s="923"/>
      <c r="FA11" s="923"/>
      <c r="FB11" s="923"/>
      <c r="FC11" s="923"/>
      <c r="FD11" s="923"/>
      <c r="FE11" s="923"/>
      <c r="FF11" s="923"/>
      <c r="FG11" s="923"/>
      <c r="FH11" s="923"/>
      <c r="FI11" s="923"/>
      <c r="FJ11" s="923"/>
      <c r="FK11" s="923"/>
      <c r="FL11" s="923"/>
      <c r="FM11" s="923"/>
      <c r="FN11" s="923"/>
      <c r="FO11" s="923"/>
      <c r="FP11" s="923"/>
      <c r="FQ11" s="923"/>
      <c r="FR11" s="923"/>
      <c r="FS11" s="923"/>
      <c r="FT11" s="923"/>
      <c r="FU11" s="923"/>
      <c r="FV11" s="923"/>
      <c r="FW11" s="923"/>
      <c r="FX11" s="923"/>
      <c r="FY11" s="923"/>
      <c r="FZ11" s="923"/>
      <c r="GA11" s="923"/>
      <c r="GB11" s="923"/>
      <c r="GC11" s="923"/>
      <c r="GD11" s="923"/>
      <c r="GE11" s="923"/>
      <c r="GF11" s="923"/>
      <c r="GG11" s="1105"/>
      <c r="GH11" s="923"/>
      <c r="GI11" s="923"/>
      <c r="GJ11" s="923"/>
      <c r="GK11" s="923"/>
      <c r="GL11" s="923"/>
      <c r="GM11" s="923"/>
      <c r="GN11" s="923"/>
      <c r="GO11" s="923"/>
      <c r="GP11" s="923"/>
      <c r="GQ11" s="923"/>
      <c r="GR11" s="923"/>
      <c r="GS11" s="923"/>
      <c r="GT11" s="923"/>
      <c r="GU11" s="923"/>
      <c r="GV11" s="923"/>
      <c r="GW11" s="923"/>
      <c r="GX11" s="923"/>
      <c r="GY11" s="923"/>
      <c r="GZ11" s="923"/>
      <c r="HA11" s="923"/>
      <c r="HB11" s="923"/>
      <c r="HC11" s="923"/>
      <c r="HD11" s="923"/>
      <c r="HE11" s="923"/>
      <c r="HF11" s="923"/>
      <c r="HG11" s="923"/>
      <c r="HH11" s="923"/>
      <c r="HI11" s="923"/>
      <c r="HJ11" s="923"/>
      <c r="HK11" s="923"/>
      <c r="HL11" s="923"/>
      <c r="HM11" s="923"/>
      <c r="HN11" s="923"/>
      <c r="HO11" s="923"/>
      <c r="HP11" s="923"/>
      <c r="HQ11" s="923"/>
      <c r="HR11" s="923"/>
      <c r="HS11" s="923"/>
      <c r="HT11" s="923"/>
      <c r="HU11" s="923"/>
      <c r="HV11" s="923"/>
      <c r="HW11" s="923"/>
      <c r="HX11" s="923"/>
      <c r="HY11" s="923"/>
      <c r="HZ11" s="923"/>
      <c r="IA11" s="923"/>
      <c r="IB11" s="923"/>
      <c r="IC11" s="923"/>
      <c r="ID11" s="923"/>
      <c r="IE11" s="923"/>
      <c r="IF11" s="923"/>
      <c r="IG11" s="923"/>
      <c r="IH11" s="923"/>
      <c r="II11" s="923"/>
      <c r="IJ11" s="923"/>
      <c r="IK11" s="923"/>
    </row>
    <row r="12" spans="1:247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1100"/>
      <c r="Z12" s="1100"/>
      <c r="AA12" s="1100"/>
      <c r="AB12" s="1100"/>
      <c r="AC12" s="1100"/>
      <c r="AD12" s="1100"/>
      <c r="AE12" s="1100"/>
      <c r="AF12" s="1100"/>
      <c r="AG12" s="1100"/>
      <c r="AH12" s="1100"/>
      <c r="AI12" s="1100"/>
      <c r="AJ12" s="1101"/>
      <c r="AK12" s="1101"/>
      <c r="AL12" s="1101"/>
      <c r="AM12" s="1101"/>
      <c r="AN12" s="1101"/>
      <c r="AO12" s="1101"/>
      <c r="AP12" s="1101"/>
      <c r="AQ12" s="1101"/>
      <c r="AR12" s="1101"/>
      <c r="AS12" s="1101"/>
      <c r="AT12" s="1101"/>
      <c r="AU12" s="1101"/>
      <c r="AV12" s="1101"/>
      <c r="AW12" s="1101"/>
      <c r="AX12" s="1103"/>
      <c r="AY12" s="1103"/>
      <c r="AZ12" s="1103"/>
      <c r="BA12" s="1103"/>
      <c r="BB12" s="1104"/>
      <c r="BC12" s="923"/>
      <c r="BD12" s="923"/>
      <c r="BE12" s="923"/>
      <c r="BF12" s="923"/>
      <c r="BG12" s="923"/>
      <c r="BH12" s="923"/>
      <c r="BI12" s="923"/>
      <c r="BJ12" s="923"/>
      <c r="BK12" s="923"/>
      <c r="BL12" s="923"/>
      <c r="BM12" s="923"/>
      <c r="BN12" s="923"/>
      <c r="BO12" s="923"/>
      <c r="BP12" s="923"/>
      <c r="BQ12" s="923"/>
      <c r="BR12" s="923"/>
      <c r="BS12" s="923"/>
      <c r="BT12" s="923"/>
      <c r="BU12" s="923"/>
      <c r="BV12" s="923"/>
      <c r="BW12" s="923"/>
      <c r="BX12" s="923"/>
      <c r="BY12" s="923"/>
      <c r="BZ12" s="923"/>
      <c r="CA12" s="923"/>
      <c r="CB12" s="923"/>
      <c r="CC12" s="923"/>
      <c r="CD12" s="923"/>
      <c r="CE12" s="923"/>
      <c r="CF12" s="923"/>
      <c r="CG12" s="923"/>
      <c r="CH12" s="923"/>
      <c r="CI12" s="923"/>
      <c r="CJ12" s="923"/>
      <c r="CK12" s="923"/>
      <c r="CL12" s="923"/>
      <c r="CM12" s="923"/>
      <c r="CN12" s="923"/>
      <c r="CO12" s="923"/>
      <c r="CP12" s="923"/>
      <c r="CQ12" s="923"/>
      <c r="CR12" s="923"/>
      <c r="CS12" s="923"/>
      <c r="CT12" s="923"/>
      <c r="CU12" s="923"/>
      <c r="CV12" s="923"/>
      <c r="CW12" s="923"/>
      <c r="CX12" s="923"/>
      <c r="CY12" s="923"/>
      <c r="CZ12" s="923"/>
      <c r="DA12" s="923"/>
      <c r="DB12" s="923"/>
      <c r="DC12" s="923"/>
      <c r="DD12" s="923"/>
      <c r="DE12" s="923"/>
      <c r="DF12" s="923"/>
      <c r="DG12" s="923"/>
      <c r="DH12" s="923"/>
      <c r="DI12" s="923"/>
      <c r="DJ12" s="923"/>
      <c r="DK12" s="923"/>
      <c r="DL12" s="923"/>
      <c r="DM12" s="923"/>
      <c r="DN12" s="923"/>
      <c r="DO12" s="923"/>
      <c r="DP12" s="923"/>
      <c r="DQ12" s="923"/>
      <c r="DR12" s="923"/>
      <c r="DS12" s="923"/>
      <c r="DT12" s="923"/>
      <c r="DU12" s="923"/>
      <c r="DV12" s="923"/>
      <c r="DW12" s="923"/>
      <c r="DX12" s="923"/>
      <c r="DY12" s="923"/>
      <c r="DZ12" s="923"/>
      <c r="EA12" s="923"/>
      <c r="EB12" s="923"/>
      <c r="EC12" s="923"/>
      <c r="ED12" s="923"/>
      <c r="EE12" s="923"/>
      <c r="EF12" s="923"/>
      <c r="EG12" s="923"/>
      <c r="EH12" s="923"/>
      <c r="EI12" s="923"/>
      <c r="EJ12" s="923"/>
      <c r="EK12" s="923"/>
      <c r="EL12" s="923"/>
      <c r="EM12" s="923"/>
      <c r="EN12" s="923"/>
      <c r="EO12" s="923"/>
      <c r="EP12" s="923"/>
      <c r="EQ12" s="923"/>
      <c r="ER12" s="923"/>
      <c r="ES12" s="923"/>
      <c r="ET12" s="923"/>
      <c r="EU12" s="923"/>
      <c r="EV12" s="923"/>
      <c r="EW12" s="923"/>
      <c r="EX12" s="923"/>
      <c r="EY12" s="923"/>
      <c r="EZ12" s="923"/>
      <c r="FA12" s="923"/>
      <c r="FB12" s="923"/>
      <c r="FC12" s="923"/>
      <c r="FD12" s="923"/>
      <c r="FE12" s="923"/>
      <c r="FF12" s="923"/>
      <c r="FG12" s="923"/>
      <c r="FH12" s="923"/>
      <c r="FI12" s="923"/>
      <c r="FJ12" s="923"/>
      <c r="FK12" s="923"/>
      <c r="FL12" s="923"/>
      <c r="FM12" s="923"/>
      <c r="FN12" s="923"/>
      <c r="FO12" s="923"/>
      <c r="FP12" s="923"/>
      <c r="FQ12" s="923"/>
      <c r="FR12" s="923"/>
      <c r="FS12" s="923"/>
      <c r="FT12" s="923"/>
      <c r="FU12" s="923"/>
      <c r="FV12" s="923"/>
      <c r="FW12" s="923"/>
      <c r="FX12" s="923"/>
      <c r="FY12" s="923"/>
      <c r="FZ12" s="923"/>
      <c r="GA12" s="923"/>
      <c r="GB12" s="923"/>
      <c r="GC12" s="923"/>
      <c r="GD12" s="923"/>
      <c r="GE12" s="923"/>
      <c r="GF12" s="923"/>
      <c r="GG12" s="1105"/>
      <c r="GH12" s="923"/>
      <c r="GI12" s="923"/>
      <c r="GJ12" s="923"/>
      <c r="GK12" s="923"/>
      <c r="GL12" s="923"/>
      <c r="GM12" s="923"/>
      <c r="GN12" s="923"/>
      <c r="GO12" s="923"/>
      <c r="GP12" s="923"/>
      <c r="GQ12" s="923"/>
      <c r="GR12" s="923"/>
      <c r="GS12" s="923"/>
      <c r="GT12" s="923"/>
      <c r="GU12" s="923"/>
      <c r="GV12" s="923"/>
      <c r="GW12" s="923"/>
      <c r="GX12" s="923"/>
      <c r="GY12" s="923"/>
      <c r="GZ12" s="923"/>
      <c r="HA12" s="923"/>
      <c r="HB12" s="923"/>
      <c r="HC12" s="923"/>
      <c r="HD12" s="923"/>
      <c r="HE12" s="923"/>
      <c r="HF12" s="923"/>
      <c r="HG12" s="923"/>
      <c r="HH12" s="923"/>
      <c r="HI12" s="923"/>
      <c r="HJ12" s="923"/>
      <c r="HK12" s="923"/>
      <c r="HL12" s="923"/>
      <c r="HM12" s="923"/>
      <c r="HN12" s="923"/>
      <c r="HO12" s="923"/>
      <c r="HP12" s="923"/>
      <c r="HQ12" s="923"/>
      <c r="HR12" s="923"/>
      <c r="HS12" s="923"/>
      <c r="HT12" s="923"/>
      <c r="HU12" s="923"/>
      <c r="HV12" s="923"/>
      <c r="HW12" s="923"/>
      <c r="HX12" s="923"/>
      <c r="HY12" s="923"/>
      <c r="HZ12" s="923"/>
      <c r="IA12" s="923"/>
      <c r="IB12" s="923"/>
      <c r="IC12" s="923"/>
      <c r="ID12" s="923"/>
      <c r="IE12" s="923"/>
      <c r="IF12" s="923"/>
      <c r="IG12" s="923"/>
      <c r="IH12" s="923"/>
      <c r="II12" s="923"/>
      <c r="IJ12" s="923"/>
      <c r="IK12" s="923"/>
    </row>
    <row r="13" spans="1:247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1100"/>
      <c r="Z13" s="1100"/>
      <c r="AA13" s="1100"/>
      <c r="AB13" s="1100"/>
      <c r="AC13" s="1100"/>
      <c r="AD13" s="1100"/>
      <c r="AE13" s="1100"/>
      <c r="AF13" s="1100"/>
      <c r="AG13" s="1100"/>
      <c r="AH13" s="1100"/>
      <c r="AI13" s="1100"/>
      <c r="AJ13" s="1101"/>
      <c r="AK13" s="1101"/>
      <c r="AL13" s="1101"/>
      <c r="AM13" s="1101"/>
      <c r="AN13" s="1101"/>
      <c r="AO13" s="1101"/>
      <c r="AP13" s="1101"/>
      <c r="AQ13" s="1101"/>
      <c r="AR13" s="1101"/>
      <c r="AS13" s="1101"/>
      <c r="AT13" s="1101"/>
      <c r="AU13" s="1101"/>
      <c r="AV13" s="1101"/>
      <c r="AW13" s="1101"/>
      <c r="AX13" s="1103"/>
      <c r="AY13" s="1103"/>
      <c r="AZ13" s="1103"/>
      <c r="BA13" s="1103"/>
      <c r="BB13" s="1104"/>
      <c r="BC13" s="923"/>
      <c r="BD13" s="923"/>
      <c r="BE13" s="923"/>
      <c r="BF13" s="923"/>
      <c r="BG13" s="923"/>
      <c r="BH13" s="923"/>
      <c r="BI13" s="923"/>
      <c r="BJ13" s="923"/>
      <c r="BK13" s="923"/>
      <c r="BL13" s="923"/>
      <c r="BM13" s="923"/>
      <c r="BN13" s="923"/>
      <c r="BO13" s="923"/>
      <c r="BP13" s="923"/>
      <c r="BQ13" s="923"/>
      <c r="BR13" s="923"/>
      <c r="BS13" s="923"/>
      <c r="BT13" s="923"/>
      <c r="BU13" s="923"/>
      <c r="BV13" s="923"/>
      <c r="BW13" s="923"/>
      <c r="BX13" s="923"/>
      <c r="BY13" s="923"/>
      <c r="BZ13" s="923"/>
      <c r="CA13" s="923"/>
      <c r="CB13" s="923"/>
      <c r="CC13" s="923"/>
      <c r="CD13" s="923"/>
      <c r="CE13" s="923"/>
      <c r="CF13" s="923"/>
      <c r="CG13" s="923"/>
      <c r="CH13" s="923"/>
      <c r="CI13" s="923"/>
      <c r="CJ13" s="923"/>
      <c r="CK13" s="923"/>
      <c r="CL13" s="923"/>
      <c r="CM13" s="923"/>
      <c r="CN13" s="923"/>
      <c r="CO13" s="923"/>
      <c r="CP13" s="923"/>
      <c r="CQ13" s="923"/>
      <c r="CR13" s="923"/>
      <c r="CS13" s="923"/>
      <c r="CT13" s="923"/>
      <c r="CU13" s="923"/>
      <c r="CV13" s="923"/>
      <c r="CW13" s="923"/>
      <c r="CX13" s="923"/>
      <c r="CY13" s="923"/>
      <c r="CZ13" s="923"/>
      <c r="DA13" s="923"/>
      <c r="DB13" s="923"/>
      <c r="DC13" s="923"/>
      <c r="DD13" s="923"/>
      <c r="DE13" s="923"/>
      <c r="DF13" s="923"/>
      <c r="DG13" s="923"/>
      <c r="DH13" s="923"/>
      <c r="DI13" s="923"/>
      <c r="DJ13" s="923"/>
      <c r="DK13" s="923"/>
      <c r="DL13" s="923"/>
      <c r="DM13" s="923"/>
      <c r="DN13" s="923"/>
      <c r="DO13" s="923"/>
      <c r="DP13" s="923"/>
      <c r="DQ13" s="923"/>
      <c r="DR13" s="923"/>
      <c r="DS13" s="923"/>
      <c r="DT13" s="923"/>
      <c r="DU13" s="923"/>
      <c r="DV13" s="923"/>
      <c r="DW13" s="923"/>
      <c r="DX13" s="923"/>
      <c r="DY13" s="923"/>
      <c r="DZ13" s="923"/>
      <c r="EA13" s="923"/>
      <c r="EB13" s="923"/>
      <c r="EC13" s="923"/>
      <c r="ED13" s="923"/>
      <c r="EE13" s="923"/>
      <c r="EF13" s="923"/>
      <c r="EG13" s="923"/>
      <c r="EH13" s="923"/>
      <c r="EI13" s="923"/>
      <c r="EJ13" s="923"/>
      <c r="EK13" s="923"/>
      <c r="EL13" s="923"/>
      <c r="EM13" s="923"/>
      <c r="EN13" s="923"/>
      <c r="EO13" s="923"/>
      <c r="EP13" s="923"/>
      <c r="EQ13" s="923"/>
      <c r="ER13" s="923"/>
      <c r="ES13" s="923"/>
      <c r="ET13" s="923"/>
      <c r="EU13" s="923"/>
      <c r="EV13" s="923"/>
      <c r="EW13" s="923"/>
      <c r="EX13" s="923"/>
      <c r="EY13" s="923"/>
      <c r="EZ13" s="923"/>
      <c r="FA13" s="923"/>
      <c r="FB13" s="923"/>
      <c r="FC13" s="923"/>
      <c r="FD13" s="923"/>
      <c r="FE13" s="923"/>
      <c r="FF13" s="923"/>
      <c r="FG13" s="923"/>
      <c r="FH13" s="923"/>
      <c r="FI13" s="923"/>
      <c r="FJ13" s="923"/>
      <c r="FK13" s="923"/>
      <c r="FL13" s="923"/>
      <c r="FM13" s="923"/>
      <c r="FN13" s="923"/>
      <c r="FO13" s="923"/>
      <c r="FP13" s="923"/>
      <c r="FQ13" s="923"/>
      <c r="FR13" s="923"/>
      <c r="FS13" s="923"/>
      <c r="FT13" s="923"/>
      <c r="FU13" s="923"/>
      <c r="FV13" s="923"/>
      <c r="FW13" s="923"/>
      <c r="FX13" s="923"/>
      <c r="FY13" s="923"/>
      <c r="FZ13" s="923"/>
      <c r="GA13" s="923"/>
      <c r="GB13" s="923"/>
      <c r="GC13" s="923"/>
      <c r="GD13" s="923"/>
      <c r="GE13" s="923"/>
      <c r="GF13" s="923"/>
      <c r="GG13" s="1105"/>
      <c r="GH13" s="923"/>
      <c r="GI13" s="923"/>
      <c r="GJ13" s="923"/>
      <c r="GK13" s="923"/>
      <c r="GL13" s="923"/>
      <c r="GM13" s="923"/>
      <c r="GN13" s="923"/>
      <c r="GO13" s="923"/>
      <c r="GP13" s="923"/>
      <c r="GQ13" s="923"/>
      <c r="GR13" s="923"/>
      <c r="GS13" s="923"/>
      <c r="GT13" s="923"/>
      <c r="GU13" s="923"/>
      <c r="GV13" s="923"/>
      <c r="GW13" s="923"/>
      <c r="GX13" s="923"/>
      <c r="GY13" s="923"/>
      <c r="GZ13" s="923"/>
      <c r="HA13" s="923"/>
      <c r="HB13" s="923"/>
      <c r="HC13" s="923"/>
      <c r="HD13" s="923"/>
      <c r="HE13" s="923"/>
      <c r="HF13" s="923"/>
      <c r="HG13" s="923"/>
      <c r="HH13" s="923"/>
      <c r="HI13" s="923"/>
      <c r="HJ13" s="923"/>
      <c r="HK13" s="923"/>
      <c r="HL13" s="923"/>
      <c r="HM13" s="923"/>
      <c r="HN13" s="923"/>
      <c r="HO13" s="923"/>
      <c r="HP13" s="923"/>
      <c r="HQ13" s="923"/>
      <c r="HR13" s="923"/>
      <c r="HS13" s="923"/>
      <c r="HT13" s="923"/>
      <c r="HU13" s="923"/>
      <c r="HV13" s="923"/>
      <c r="HW13" s="923"/>
      <c r="HX13" s="923"/>
      <c r="HY13" s="923"/>
      <c r="HZ13" s="923"/>
      <c r="IA13" s="923"/>
      <c r="IB13" s="923"/>
      <c r="IC13" s="923"/>
      <c r="ID13" s="923"/>
      <c r="IE13" s="923"/>
      <c r="IF13" s="923"/>
      <c r="IG13" s="923"/>
      <c r="IH13" s="923"/>
      <c r="II13" s="923"/>
      <c r="IJ13" s="923"/>
      <c r="IK13" s="923"/>
    </row>
    <row r="14" spans="1:247" ht="13.5" thickBo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1100"/>
      <c r="Z14" s="1100"/>
      <c r="AA14" s="1100"/>
      <c r="AB14" s="1100"/>
      <c r="AC14" s="1100"/>
      <c r="AD14" s="1100"/>
      <c r="AE14" s="1100"/>
      <c r="AF14" s="1100"/>
      <c r="AG14" s="1100"/>
      <c r="AH14" s="1100"/>
      <c r="AI14" s="1100"/>
      <c r="AJ14" s="1101"/>
      <c r="AK14" s="1101"/>
      <c r="AL14" s="1101"/>
      <c r="AM14" s="1101"/>
      <c r="AN14" s="1101"/>
      <c r="AO14" s="1101"/>
      <c r="AP14" s="1101"/>
      <c r="AQ14" s="1101"/>
      <c r="AR14" s="1101"/>
      <c r="AS14" s="1101"/>
      <c r="AT14" s="1101"/>
      <c r="AU14" s="1101"/>
      <c r="AV14" s="1101"/>
      <c r="AW14" s="1101"/>
      <c r="AX14" s="1103"/>
      <c r="AY14" s="1103"/>
      <c r="AZ14" s="1103"/>
      <c r="BA14" s="1103"/>
      <c r="BB14" s="1104"/>
      <c r="BC14" s="923"/>
      <c r="BD14" s="923"/>
      <c r="BE14" s="923"/>
      <c r="BF14" s="923"/>
      <c r="BG14" s="923"/>
      <c r="BH14" s="923"/>
      <c r="BI14" s="923"/>
      <c r="BJ14" s="923"/>
      <c r="BK14" s="923"/>
      <c r="BL14" s="923"/>
      <c r="BM14" s="923"/>
      <c r="BN14" s="923"/>
      <c r="BO14" s="923"/>
      <c r="BP14" s="923"/>
      <c r="BQ14" s="923"/>
      <c r="BR14" s="923"/>
      <c r="BS14" s="923"/>
      <c r="BT14" s="923"/>
      <c r="BU14" s="923"/>
      <c r="BV14" s="923"/>
      <c r="BW14" s="923"/>
      <c r="BX14" s="923"/>
      <c r="BY14" s="923"/>
      <c r="BZ14" s="923"/>
      <c r="CA14" s="923"/>
      <c r="CB14" s="923"/>
      <c r="CC14" s="923"/>
      <c r="CD14" s="923"/>
      <c r="CE14" s="923"/>
      <c r="CF14" s="923"/>
      <c r="CG14" s="923"/>
      <c r="CH14" s="923"/>
      <c r="CI14" s="923"/>
      <c r="CJ14" s="923"/>
      <c r="CK14" s="923"/>
      <c r="CL14" s="923"/>
      <c r="CM14" s="923"/>
      <c r="CN14" s="923"/>
      <c r="CO14" s="923"/>
      <c r="CP14" s="923"/>
      <c r="CQ14" s="923"/>
      <c r="CR14" s="923"/>
      <c r="CS14" s="923"/>
      <c r="CT14" s="923"/>
      <c r="CU14" s="923"/>
      <c r="CV14" s="923"/>
      <c r="CW14" s="923"/>
      <c r="CX14" s="923"/>
      <c r="CY14" s="923"/>
      <c r="CZ14" s="923"/>
      <c r="DA14" s="923"/>
      <c r="DB14" s="923"/>
      <c r="DC14" s="923"/>
      <c r="DD14" s="923"/>
      <c r="DE14" s="923"/>
      <c r="DF14" s="923"/>
      <c r="DG14" s="923"/>
      <c r="DH14" s="923"/>
      <c r="DI14" s="923"/>
      <c r="DJ14" s="923"/>
      <c r="DK14" s="923"/>
      <c r="DL14" s="923"/>
      <c r="DM14" s="923"/>
      <c r="DN14" s="923"/>
      <c r="DO14" s="923"/>
      <c r="DP14" s="923"/>
      <c r="DQ14" s="923"/>
      <c r="DR14" s="923"/>
      <c r="DS14" s="923"/>
      <c r="DT14" s="923"/>
      <c r="DU14" s="923"/>
      <c r="DV14" s="923"/>
      <c r="DW14" s="923"/>
      <c r="DX14" s="923"/>
      <c r="DY14" s="923"/>
      <c r="DZ14" s="923"/>
      <c r="EA14" s="923"/>
      <c r="EB14" s="923"/>
      <c r="EC14" s="923"/>
      <c r="ED14" s="923"/>
      <c r="EE14" s="923"/>
      <c r="EF14" s="923"/>
      <c r="EG14" s="923"/>
      <c r="EH14" s="923"/>
      <c r="EI14" s="923"/>
      <c r="EJ14" s="923"/>
      <c r="EK14" s="923"/>
      <c r="EL14" s="923"/>
      <c r="EM14" s="923"/>
      <c r="EN14" s="923"/>
      <c r="EO14" s="923"/>
      <c r="EP14" s="923"/>
      <c r="EQ14" s="923"/>
      <c r="ER14" s="923"/>
      <c r="ES14" s="923"/>
      <c r="ET14" s="923"/>
      <c r="EU14" s="923"/>
      <c r="EV14" s="923"/>
      <c r="EW14" s="923"/>
      <c r="EX14" s="923"/>
      <c r="EY14" s="923"/>
      <c r="EZ14" s="923"/>
      <c r="FA14" s="923"/>
      <c r="FB14" s="923"/>
      <c r="FC14" s="923"/>
      <c r="FD14" s="923"/>
      <c r="FE14" s="923"/>
      <c r="FF14" s="923"/>
      <c r="FG14" s="923"/>
      <c r="FH14" s="923"/>
      <c r="FI14" s="923"/>
      <c r="FJ14" s="923"/>
      <c r="FK14" s="923"/>
      <c r="FL14" s="923"/>
      <c r="FM14" s="923"/>
      <c r="FN14" s="923"/>
      <c r="FO14" s="923"/>
      <c r="FP14" s="923"/>
      <c r="FQ14" s="923"/>
      <c r="FR14" s="923"/>
      <c r="FS14" s="923"/>
      <c r="FT14" s="923"/>
      <c r="FU14" s="923"/>
      <c r="FV14" s="923"/>
      <c r="FW14" s="923"/>
      <c r="FX14" s="923"/>
      <c r="FY14" s="923"/>
      <c r="FZ14" s="923"/>
      <c r="GA14" s="923"/>
      <c r="GB14" s="923"/>
      <c r="GC14" s="923"/>
      <c r="GD14" s="923"/>
      <c r="GE14" s="923"/>
      <c r="GF14" s="923"/>
      <c r="GG14" s="1105"/>
      <c r="GH14" s="923"/>
      <c r="GI14" s="923"/>
      <c r="GJ14" s="923"/>
      <c r="GK14" s="923"/>
      <c r="GL14" s="923"/>
      <c r="GM14" s="923"/>
      <c r="GN14" s="923"/>
      <c r="GO14" s="923"/>
      <c r="GP14" s="923"/>
      <c r="GQ14" s="923"/>
      <c r="GR14" s="923"/>
      <c r="GS14" s="923"/>
      <c r="GT14" s="923"/>
      <c r="GU14" s="923"/>
      <c r="GV14" s="923"/>
      <c r="GW14" s="923"/>
      <c r="GX14" s="923"/>
      <c r="GY14" s="923"/>
      <c r="GZ14" s="923"/>
      <c r="HA14" s="923"/>
      <c r="HB14" s="923"/>
      <c r="HC14" s="923"/>
      <c r="HD14" s="923"/>
      <c r="HE14" s="923"/>
      <c r="HF14" s="923"/>
      <c r="HG14" s="923"/>
      <c r="HH14" s="923"/>
      <c r="HI14" s="923"/>
      <c r="HJ14" s="923"/>
      <c r="HK14" s="923"/>
      <c r="HL14" s="923"/>
      <c r="HM14" s="923"/>
      <c r="HN14" s="923"/>
      <c r="HO14" s="923"/>
      <c r="HP14" s="923"/>
      <c r="HQ14" s="923"/>
      <c r="HR14" s="923"/>
      <c r="HS14" s="923"/>
      <c r="HT14" s="923"/>
      <c r="HU14" s="923"/>
      <c r="HV14" s="923"/>
      <c r="HW14" s="923"/>
      <c r="HX14" s="923"/>
      <c r="HY14" s="923"/>
      <c r="HZ14" s="923"/>
      <c r="IA14" s="923"/>
      <c r="IB14" s="923"/>
      <c r="IC14" s="923"/>
      <c r="ID14" s="923"/>
      <c r="IE14" s="923"/>
      <c r="IF14" s="923"/>
      <c r="IG14" s="923"/>
      <c r="IH14" s="923"/>
      <c r="II14" s="923"/>
      <c r="IJ14" s="923"/>
      <c r="IK14" s="923"/>
    </row>
    <row r="15" spans="1:247" ht="16.5" customHeight="1" thickTop="1" thickBot="1">
      <c r="A15" s="72"/>
      <c r="B15" s="72"/>
      <c r="C15" s="72"/>
      <c r="D15" s="462" t="str">
        <f>'Cental Budget_int'!D15</f>
        <v>BDP (u mil. €)</v>
      </c>
      <c r="E15" s="1241">
        <f>'Cental Budget_int'!Q15</f>
        <v>3149000000</v>
      </c>
      <c r="F15" s="1242">
        <f>'Cental Budget_int'!F15</f>
        <v>0</v>
      </c>
      <c r="G15" s="1243">
        <f>'Cental Budget_int'!S15</f>
        <v>3517000000</v>
      </c>
      <c r="H15" s="1244">
        <f>'Cental Budget_int'!H15</f>
        <v>0</v>
      </c>
      <c r="I15" s="1243">
        <f>'Cental Budget_int'!Y15</f>
        <v>3735000000</v>
      </c>
      <c r="J15" s="1244">
        <f>'Cental Budget_int'!J15</f>
        <v>0</v>
      </c>
      <c r="K15" s="1243">
        <f>'Cental Budget_int'!AA15</f>
        <v>3982000000</v>
      </c>
      <c r="L15" s="1244">
        <f>'Cental Budget_int'!L15</f>
        <v>0</v>
      </c>
      <c r="M15" s="1243">
        <f>'Cental Budget_int'!AC15</f>
        <v>4265000000</v>
      </c>
      <c r="N15" s="1244">
        <f>'Cental Budget_int'!N15</f>
        <v>0</v>
      </c>
      <c r="O15" s="72"/>
      <c r="P15" s="72"/>
      <c r="Q15" s="213"/>
      <c r="R15" s="72"/>
      <c r="S15" s="72"/>
      <c r="T15" s="72"/>
      <c r="U15" s="72"/>
      <c r="V15" s="72"/>
      <c r="W15" s="72"/>
      <c r="X15" s="72"/>
      <c r="Y15" s="1100"/>
      <c r="Z15" s="1100"/>
      <c r="AA15" s="218"/>
      <c r="AB15" s="218"/>
      <c r="AC15" s="218"/>
      <c r="AD15" s="218"/>
      <c r="AE15" s="218"/>
      <c r="AF15" s="218"/>
      <c r="AG15" s="218"/>
      <c r="AH15" s="218"/>
      <c r="AI15" s="218"/>
      <c r="AJ15" s="1106"/>
      <c r="AK15" s="1106"/>
      <c r="AL15" s="1106"/>
      <c r="AM15" s="1106"/>
      <c r="AN15" s="1106"/>
      <c r="AO15" s="1106"/>
      <c r="AP15" s="1106"/>
      <c r="AQ15" s="1106"/>
      <c r="AR15" s="1106"/>
      <c r="AS15" s="1106"/>
      <c r="AT15" s="1106"/>
      <c r="AU15" s="1106"/>
      <c r="AV15" s="1106"/>
      <c r="AW15" s="1106"/>
      <c r="AX15" s="1106"/>
      <c r="AY15" s="1106"/>
      <c r="AZ15" s="1106"/>
      <c r="BA15" s="1106"/>
      <c r="BB15" s="1104"/>
      <c r="BC15" s="923"/>
      <c r="BD15" s="923"/>
      <c r="BE15" s="923"/>
      <c r="BF15" s="923"/>
      <c r="BG15" s="923"/>
      <c r="BH15" s="923"/>
      <c r="BI15" s="923"/>
      <c r="BJ15" s="923"/>
      <c r="BK15" s="923"/>
      <c r="BL15" s="923"/>
      <c r="BM15" s="923"/>
      <c r="BN15" s="923"/>
      <c r="BO15" s="923"/>
      <c r="BP15" s="923"/>
      <c r="BQ15" s="923"/>
      <c r="BR15" s="923"/>
      <c r="BS15" s="923"/>
      <c r="BT15" s="923"/>
      <c r="BU15" s="923"/>
      <c r="BV15" s="923"/>
      <c r="BW15" s="923"/>
      <c r="BX15" s="923"/>
      <c r="BY15" s="923"/>
      <c r="BZ15" s="923"/>
      <c r="CA15" s="923"/>
      <c r="CB15" s="923"/>
      <c r="CC15" s="923"/>
      <c r="CD15" s="923"/>
      <c r="CE15" s="923"/>
      <c r="CF15" s="923"/>
      <c r="CG15" s="923"/>
      <c r="CH15" s="923"/>
      <c r="CI15" s="923"/>
      <c r="CJ15" s="923"/>
      <c r="CK15" s="923"/>
      <c r="CL15" s="923"/>
      <c r="CM15" s="923"/>
      <c r="CN15" s="923"/>
      <c r="CO15" s="923"/>
      <c r="CP15" s="923"/>
      <c r="CQ15" s="923"/>
      <c r="CR15" s="923"/>
      <c r="CS15" s="923"/>
      <c r="CT15" s="923"/>
      <c r="CU15" s="923"/>
      <c r="CV15" s="923"/>
      <c r="CW15" s="923"/>
      <c r="CX15" s="923"/>
      <c r="CY15" s="923"/>
      <c r="CZ15" s="923"/>
      <c r="DA15" s="923"/>
      <c r="DB15" s="923"/>
      <c r="DC15" s="923"/>
      <c r="DD15" s="923"/>
      <c r="DE15" s="923"/>
      <c r="DF15" s="923"/>
      <c r="DG15" s="923"/>
      <c r="DH15" s="923"/>
      <c r="DI15" s="923"/>
      <c r="DJ15" s="923"/>
      <c r="DK15" s="923"/>
      <c r="DL15" s="923"/>
      <c r="DM15" s="923"/>
      <c r="DN15" s="923"/>
      <c r="DO15" s="923"/>
      <c r="DP15" s="923"/>
      <c r="DQ15" s="923"/>
      <c r="DR15" s="923"/>
      <c r="DS15" s="923"/>
      <c r="DT15" s="923"/>
      <c r="DU15" s="923"/>
      <c r="DV15" s="923"/>
      <c r="DW15" s="923"/>
      <c r="DX15" s="923"/>
      <c r="DY15" s="923"/>
      <c r="DZ15" s="923"/>
      <c r="EA15" s="923"/>
      <c r="EB15" s="923"/>
      <c r="EC15" s="923"/>
      <c r="ED15" s="923"/>
      <c r="EE15" s="923"/>
      <c r="EF15" s="923"/>
      <c r="EG15" s="923"/>
      <c r="EH15" s="923"/>
      <c r="EI15" s="923"/>
      <c r="EJ15" s="923"/>
      <c r="EK15" s="923"/>
      <c r="EL15" s="923"/>
      <c r="EM15" s="923"/>
      <c r="EN15" s="923"/>
      <c r="EO15" s="923"/>
      <c r="EP15" s="923"/>
      <c r="EQ15" s="923"/>
      <c r="ER15" s="923"/>
      <c r="ES15" s="923"/>
      <c r="ET15" s="923"/>
      <c r="EU15" s="923"/>
      <c r="EV15" s="923"/>
      <c r="EW15" s="923"/>
      <c r="EX15" s="923"/>
      <c r="EY15" s="923"/>
      <c r="EZ15" s="923"/>
      <c r="FA15" s="923"/>
      <c r="FB15" s="923"/>
      <c r="FC15" s="923"/>
      <c r="FD15" s="923"/>
      <c r="FE15" s="923"/>
      <c r="FF15" s="923"/>
      <c r="FG15" s="923"/>
      <c r="FH15" s="923"/>
      <c r="FI15" s="923"/>
      <c r="FJ15" s="923"/>
      <c r="FK15" s="923"/>
      <c r="FL15" s="923"/>
      <c r="FM15" s="923"/>
      <c r="FN15" s="923"/>
      <c r="FO15" s="923"/>
      <c r="FP15" s="923"/>
      <c r="FQ15" s="923"/>
      <c r="FR15" s="923"/>
      <c r="FS15" s="923"/>
      <c r="FT15" s="923"/>
      <c r="FU15" s="923"/>
      <c r="FV15" s="923"/>
      <c r="FW15" s="923"/>
      <c r="FX15" s="923"/>
      <c r="FY15" s="923"/>
      <c r="FZ15" s="923"/>
      <c r="GA15" s="923"/>
      <c r="GB15" s="923"/>
      <c r="GC15" s="923"/>
      <c r="GD15" s="923"/>
      <c r="GE15" s="923"/>
      <c r="GF15" s="923"/>
      <c r="GG15" s="1105"/>
      <c r="GH15" s="923"/>
      <c r="GI15" s="923"/>
      <c r="GJ15" s="923"/>
      <c r="GK15" s="923"/>
      <c r="GL15" s="923"/>
      <c r="GM15" s="923"/>
      <c r="GN15" s="923"/>
      <c r="GO15" s="923"/>
      <c r="GP15" s="923"/>
      <c r="GQ15" s="923"/>
      <c r="GR15" s="923"/>
      <c r="GS15" s="923"/>
      <c r="GT15" s="923"/>
      <c r="GU15" s="923"/>
      <c r="GV15" s="923"/>
      <c r="GW15" s="923"/>
      <c r="GX15" s="923"/>
      <c r="GY15" s="923"/>
      <c r="GZ15" s="923"/>
      <c r="HA15" s="923"/>
      <c r="HB15" s="923"/>
      <c r="HC15" s="923"/>
      <c r="HD15" s="923"/>
      <c r="HE15" s="923"/>
      <c r="HF15" s="923"/>
      <c r="HG15" s="923"/>
      <c r="HH15" s="923"/>
      <c r="HI15" s="923"/>
      <c r="HJ15" s="923"/>
      <c r="HK15" s="923"/>
      <c r="HL15" s="923"/>
      <c r="HM15" s="923"/>
      <c r="HN15" s="923"/>
      <c r="HO15" s="923"/>
      <c r="HP15" s="923"/>
      <c r="HQ15" s="923"/>
      <c r="HR15" s="923"/>
      <c r="HS15" s="923"/>
      <c r="HT15" s="923"/>
      <c r="HU15" s="923"/>
      <c r="HV15" s="923"/>
      <c r="HW15" s="923"/>
      <c r="HX15" s="923"/>
      <c r="HY15" s="923"/>
      <c r="HZ15" s="923"/>
      <c r="IA15" s="923"/>
      <c r="IB15" s="923"/>
      <c r="IC15" s="923"/>
      <c r="ID15" s="923"/>
      <c r="IE15" s="923"/>
      <c r="IF15" s="923"/>
      <c r="IG15" s="923"/>
      <c r="IH15" s="923"/>
      <c r="II15" s="923"/>
      <c r="IJ15" s="923"/>
      <c r="IK15" s="923"/>
    </row>
    <row r="16" spans="1:247" ht="16.5" customHeight="1" thickTop="1">
      <c r="A16" s="72"/>
      <c r="B16" s="72"/>
      <c r="C16" s="72"/>
      <c r="D16" s="237"/>
      <c r="E16" s="238"/>
      <c r="F16" s="238"/>
      <c r="G16" s="235"/>
      <c r="H16" s="235"/>
      <c r="I16" s="235"/>
      <c r="J16" s="235"/>
      <c r="K16" s="235"/>
      <c r="L16" s="235"/>
      <c r="M16" s="235"/>
      <c r="N16" s="235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1100"/>
      <c r="Z16" s="1100"/>
      <c r="AA16" s="218"/>
      <c r="AB16" s="218"/>
      <c r="AC16" s="218"/>
      <c r="AD16" s="218"/>
      <c r="AE16" s="218"/>
      <c r="AF16" s="218"/>
      <c r="AG16" s="218"/>
      <c r="AH16" s="218"/>
      <c r="AI16" s="218"/>
      <c r="AJ16" s="1106"/>
      <c r="AK16" s="1106"/>
      <c r="AL16" s="1106"/>
      <c r="AM16" s="1106"/>
      <c r="AN16" s="1106"/>
      <c r="AO16" s="1106"/>
      <c r="AP16" s="1106"/>
      <c r="AQ16" s="1106"/>
      <c r="AR16" s="1106"/>
      <c r="AS16" s="1106"/>
      <c r="AT16" s="1106"/>
      <c r="AU16" s="1106"/>
      <c r="AV16" s="1106"/>
      <c r="AW16" s="1106"/>
      <c r="AX16" s="1106"/>
      <c r="AY16" s="1106"/>
      <c r="AZ16" s="1106"/>
      <c r="BA16" s="1106"/>
      <c r="BB16" s="1104"/>
      <c r="BC16" s="923"/>
      <c r="BD16" s="923"/>
      <c r="BE16" s="923"/>
      <c r="BF16" s="923"/>
      <c r="BG16" s="923"/>
      <c r="BH16" s="923"/>
      <c r="BI16" s="923"/>
      <c r="BJ16" s="923"/>
      <c r="BK16" s="923"/>
      <c r="BL16" s="923"/>
      <c r="BM16" s="923"/>
      <c r="BN16" s="923"/>
      <c r="BO16" s="923"/>
      <c r="BP16" s="923"/>
      <c r="BQ16" s="923"/>
      <c r="BR16" s="923"/>
      <c r="BS16" s="923"/>
      <c r="BT16" s="923"/>
      <c r="BU16" s="923"/>
      <c r="BV16" s="923"/>
      <c r="BW16" s="923"/>
      <c r="BX16" s="923"/>
      <c r="BY16" s="923"/>
      <c r="BZ16" s="923"/>
      <c r="CA16" s="923"/>
      <c r="CB16" s="923"/>
      <c r="CC16" s="923"/>
      <c r="CD16" s="923"/>
      <c r="CE16" s="923"/>
      <c r="CF16" s="923"/>
      <c r="CG16" s="923"/>
      <c r="CH16" s="923"/>
      <c r="CI16" s="923"/>
      <c r="CJ16" s="923"/>
      <c r="CK16" s="923"/>
      <c r="CL16" s="923"/>
      <c r="CM16" s="923"/>
      <c r="CN16" s="923"/>
      <c r="CO16" s="923"/>
      <c r="CP16" s="923"/>
      <c r="CQ16" s="923"/>
      <c r="CR16" s="923"/>
      <c r="CS16" s="923"/>
      <c r="CT16" s="923"/>
      <c r="CU16" s="923"/>
      <c r="CV16" s="923"/>
      <c r="CW16" s="923"/>
      <c r="CX16" s="923"/>
      <c r="CY16" s="923"/>
      <c r="CZ16" s="923"/>
      <c r="DA16" s="923"/>
      <c r="DB16" s="923"/>
      <c r="DC16" s="923"/>
      <c r="DD16" s="923"/>
      <c r="DE16" s="923"/>
      <c r="DF16" s="923"/>
      <c r="DG16" s="923"/>
      <c r="DH16" s="923"/>
      <c r="DI16" s="923"/>
      <c r="DJ16" s="923"/>
      <c r="DK16" s="923"/>
      <c r="DL16" s="923"/>
      <c r="DM16" s="923"/>
      <c r="DN16" s="923"/>
      <c r="DO16" s="923"/>
      <c r="DP16" s="923"/>
      <c r="DQ16" s="923"/>
      <c r="DR16" s="923"/>
      <c r="DS16" s="923"/>
      <c r="DT16" s="923"/>
      <c r="DU16" s="923"/>
      <c r="DV16" s="923"/>
      <c r="DW16" s="923"/>
      <c r="DX16" s="923"/>
      <c r="DY16" s="923"/>
      <c r="DZ16" s="923"/>
      <c r="EA16" s="923"/>
      <c r="EB16" s="923"/>
      <c r="EC16" s="923"/>
      <c r="ED16" s="923"/>
      <c r="EE16" s="923"/>
      <c r="EF16" s="923"/>
      <c r="EG16" s="923"/>
      <c r="EH16" s="923"/>
      <c r="EI16" s="923"/>
      <c r="EJ16" s="923"/>
      <c r="EK16" s="923"/>
      <c r="EL16" s="923"/>
      <c r="EM16" s="923"/>
      <c r="EN16" s="923"/>
      <c r="EO16" s="923"/>
      <c r="EP16" s="923"/>
      <c r="EQ16" s="923"/>
      <c r="ER16" s="923"/>
      <c r="ES16" s="923"/>
      <c r="ET16" s="923"/>
      <c r="EU16" s="923"/>
      <c r="EV16" s="923"/>
      <c r="EW16" s="923"/>
      <c r="EX16" s="923"/>
      <c r="EY16" s="923"/>
      <c r="EZ16" s="923"/>
      <c r="FA16" s="923"/>
      <c r="FB16" s="923"/>
      <c r="FC16" s="923"/>
      <c r="FD16" s="923"/>
      <c r="FE16" s="923"/>
      <c r="FF16" s="923"/>
      <c r="FG16" s="923"/>
      <c r="FH16" s="923"/>
      <c r="FI16" s="923"/>
      <c r="FJ16" s="923"/>
      <c r="FK16" s="923"/>
      <c r="FL16" s="923"/>
      <c r="FM16" s="923"/>
      <c r="FN16" s="923"/>
      <c r="FO16" s="923"/>
      <c r="FP16" s="923"/>
      <c r="FQ16" s="923"/>
      <c r="FR16" s="923"/>
      <c r="FS16" s="923"/>
      <c r="FT16" s="923"/>
      <c r="FU16" s="923"/>
      <c r="FV16" s="923"/>
      <c r="FW16" s="923"/>
      <c r="FX16" s="923"/>
      <c r="FY16" s="923"/>
      <c r="FZ16" s="923"/>
      <c r="GA16" s="923"/>
      <c r="GB16" s="923"/>
      <c r="GC16" s="923"/>
      <c r="GD16" s="923"/>
      <c r="GE16" s="923"/>
      <c r="GF16" s="923"/>
      <c r="GG16" s="1105"/>
      <c r="GH16" s="923"/>
      <c r="GI16" s="923"/>
      <c r="GJ16" s="923"/>
      <c r="GK16" s="923"/>
      <c r="GL16" s="923"/>
      <c r="GM16" s="923"/>
      <c r="GN16" s="923"/>
      <c r="GO16" s="923"/>
      <c r="GP16" s="923"/>
      <c r="GQ16" s="923"/>
      <c r="GR16" s="923"/>
      <c r="GS16" s="923"/>
      <c r="GT16" s="923"/>
      <c r="GU16" s="923"/>
      <c r="GV16" s="923"/>
      <c r="GW16" s="923"/>
      <c r="GX16" s="923"/>
      <c r="GY16" s="923"/>
      <c r="GZ16" s="923"/>
      <c r="HA16" s="923"/>
      <c r="HB16" s="923"/>
      <c r="HC16" s="923"/>
      <c r="HD16" s="923"/>
      <c r="HE16" s="923"/>
      <c r="HF16" s="923"/>
      <c r="HG16" s="923"/>
      <c r="HH16" s="923"/>
      <c r="HI16" s="923"/>
      <c r="HJ16" s="923"/>
      <c r="HK16" s="923"/>
      <c r="HL16" s="923"/>
      <c r="HM16" s="923"/>
      <c r="HN16" s="923"/>
      <c r="HO16" s="923"/>
      <c r="HP16" s="923"/>
      <c r="HQ16" s="923"/>
      <c r="HR16" s="923"/>
      <c r="HS16" s="923"/>
      <c r="HT16" s="923"/>
      <c r="HU16" s="923"/>
      <c r="HV16" s="923"/>
      <c r="HW16" s="923"/>
      <c r="HX16" s="923"/>
      <c r="HY16" s="923"/>
      <c r="HZ16" s="923"/>
      <c r="IA16" s="923"/>
      <c r="IB16" s="923"/>
      <c r="IC16" s="923"/>
      <c r="ID16" s="923"/>
      <c r="IE16" s="923"/>
      <c r="IF16" s="923"/>
      <c r="IG16" s="923"/>
      <c r="IH16" s="923"/>
      <c r="II16" s="923"/>
      <c r="IJ16" s="923"/>
      <c r="IK16" s="923"/>
    </row>
    <row r="17" spans="1:245" ht="17.25" customHeight="1" thickBot="1">
      <c r="A17" s="72"/>
      <c r="B17" s="72"/>
      <c r="C17" s="219"/>
      <c r="D17" s="1107"/>
      <c r="E17" s="1108" t="s">
        <v>405</v>
      </c>
      <c r="F17" s="1109"/>
      <c r="G17" s="1110" t="str">
        <f>IF(MasterSheet!$A$1=1,MasterSheet!$O$67,MasterSheet!O68)</f>
        <v>Plan prema Zakonu o Budžetu za 2013. godinu</v>
      </c>
      <c r="H17" s="1111"/>
      <c r="I17" s="1111"/>
      <c r="J17" s="1111"/>
      <c r="K17" s="1112"/>
      <c r="L17" s="1093"/>
      <c r="M17" s="1093"/>
      <c r="N17" s="1093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1100"/>
      <c r="Z17" s="1100"/>
      <c r="AA17" s="1093"/>
      <c r="AB17" s="1093"/>
      <c r="AC17" s="1093"/>
      <c r="AD17" s="1093"/>
      <c r="AE17" s="1093"/>
      <c r="AF17" s="1093"/>
      <c r="AG17" s="1093"/>
      <c r="AH17" s="1093"/>
      <c r="AI17" s="1093"/>
      <c r="AJ17" s="1113"/>
      <c r="AK17" s="1113"/>
      <c r="AL17" s="1113"/>
      <c r="AM17" s="1113"/>
      <c r="AN17" s="1113"/>
      <c r="AO17" s="1113"/>
      <c r="AP17" s="1113"/>
      <c r="AQ17" s="1113"/>
      <c r="AR17" s="1113"/>
      <c r="AS17" s="1113"/>
      <c r="AT17" s="1113"/>
      <c r="AU17" s="1113"/>
      <c r="AV17" s="1113"/>
      <c r="AW17" s="1113"/>
      <c r="AX17" s="1113"/>
      <c r="AY17" s="1113"/>
      <c r="AZ17" s="1113"/>
      <c r="BA17" s="1113"/>
      <c r="BB17" s="1104"/>
      <c r="BC17" s="923"/>
      <c r="BD17" s="923"/>
      <c r="BE17" s="923"/>
      <c r="BF17" s="923"/>
      <c r="BG17" s="923"/>
      <c r="BH17" s="923"/>
      <c r="BI17" s="923"/>
      <c r="BJ17" s="923"/>
      <c r="BK17" s="923"/>
      <c r="BL17" s="923"/>
      <c r="BM17" s="923"/>
      <c r="BN17" s="923"/>
      <c r="BO17" s="923"/>
      <c r="BP17" s="923"/>
      <c r="BQ17" s="923"/>
      <c r="BR17" s="923"/>
      <c r="BS17" s="923"/>
      <c r="BT17" s="923"/>
      <c r="BU17" s="923"/>
      <c r="BV17" s="923"/>
      <c r="BW17" s="923"/>
      <c r="BX17" s="923"/>
      <c r="BY17" s="923"/>
      <c r="BZ17" s="923"/>
      <c r="CA17" s="923"/>
      <c r="CB17" s="923"/>
      <c r="CC17" s="923"/>
      <c r="CD17" s="923"/>
      <c r="CE17" s="923"/>
      <c r="CF17" s="923"/>
      <c r="CG17" s="923"/>
      <c r="CH17" s="923"/>
      <c r="CI17" s="923"/>
      <c r="CJ17" s="923"/>
      <c r="CK17" s="923"/>
      <c r="CL17" s="923"/>
      <c r="CM17" s="923"/>
      <c r="CN17" s="923"/>
      <c r="CO17" s="923"/>
      <c r="CP17" s="923"/>
      <c r="CQ17" s="923"/>
      <c r="CR17" s="923"/>
      <c r="CS17" s="923"/>
      <c r="CT17" s="923"/>
      <c r="CU17" s="923"/>
      <c r="CV17" s="923"/>
      <c r="CW17" s="923"/>
      <c r="CX17" s="923"/>
      <c r="CY17" s="923"/>
      <c r="CZ17" s="923"/>
      <c r="DA17" s="923"/>
      <c r="DB17" s="923"/>
      <c r="DC17" s="923"/>
      <c r="DD17" s="923"/>
      <c r="DE17" s="923"/>
      <c r="DF17" s="923"/>
      <c r="DG17" s="923"/>
      <c r="DH17" s="923"/>
      <c r="DI17" s="923"/>
      <c r="DJ17" s="923"/>
      <c r="DK17" s="923"/>
      <c r="DL17" s="923"/>
      <c r="DM17" s="923"/>
      <c r="DN17" s="923"/>
      <c r="DO17" s="923"/>
      <c r="DP17" s="923"/>
      <c r="DQ17" s="923"/>
      <c r="DR17" s="923"/>
      <c r="DS17" s="923"/>
      <c r="DT17" s="923"/>
      <c r="DU17" s="923"/>
      <c r="DV17" s="923"/>
      <c r="DW17" s="923"/>
      <c r="DX17" s="923"/>
      <c r="DY17" s="923"/>
      <c r="DZ17" s="923"/>
      <c r="EA17" s="923"/>
      <c r="EB17" s="923"/>
      <c r="EC17" s="923"/>
      <c r="ED17" s="923"/>
      <c r="EE17" s="923"/>
      <c r="EF17" s="923"/>
      <c r="EG17" s="923"/>
      <c r="EH17" s="923"/>
      <c r="EI17" s="923"/>
      <c r="EJ17" s="923"/>
      <c r="EK17" s="923"/>
      <c r="EL17" s="923"/>
      <c r="EM17" s="923"/>
      <c r="EN17" s="923"/>
      <c r="EO17" s="923"/>
      <c r="EP17" s="923"/>
      <c r="EQ17" s="923"/>
      <c r="ER17" s="923"/>
      <c r="ES17" s="923"/>
      <c r="ET17" s="923"/>
      <c r="EU17" s="923"/>
      <c r="EV17" s="923"/>
      <c r="EW17" s="923"/>
      <c r="EX17" s="923"/>
      <c r="EY17" s="923"/>
      <c r="EZ17" s="923"/>
      <c r="FA17" s="923"/>
      <c r="FB17" s="923"/>
      <c r="FC17" s="923"/>
      <c r="FD17" s="923"/>
      <c r="FE17" s="923"/>
      <c r="FF17" s="923"/>
      <c r="FG17" s="923"/>
      <c r="FH17" s="923"/>
      <c r="FI17" s="923"/>
      <c r="FJ17" s="923"/>
      <c r="FK17" s="923"/>
      <c r="FL17" s="923"/>
      <c r="FM17" s="923"/>
      <c r="FN17" s="923"/>
      <c r="FO17" s="923"/>
      <c r="FP17" s="923"/>
      <c r="FQ17" s="923"/>
      <c r="FR17" s="923"/>
      <c r="FS17" s="923"/>
      <c r="FT17" s="923"/>
      <c r="FU17" s="923"/>
      <c r="FV17" s="923"/>
      <c r="FW17" s="923"/>
      <c r="FX17" s="923"/>
      <c r="FY17" s="923"/>
      <c r="FZ17" s="923"/>
      <c r="GA17" s="923"/>
      <c r="GB17" s="923"/>
      <c r="GC17" s="923"/>
      <c r="GD17" s="923"/>
      <c r="GE17" s="923"/>
      <c r="GF17" s="923"/>
      <c r="GG17" s="1105"/>
      <c r="GH17" s="923"/>
      <c r="GI17" s="923"/>
      <c r="GJ17" s="923"/>
      <c r="GK17" s="923"/>
      <c r="GL17" s="923"/>
      <c r="GM17" s="923"/>
      <c r="GN17" s="923"/>
      <c r="GO17" s="923"/>
      <c r="GP17" s="923"/>
      <c r="GQ17" s="923"/>
      <c r="GR17" s="923"/>
      <c r="GS17" s="923"/>
      <c r="GT17" s="923"/>
      <c r="GU17" s="923"/>
      <c r="GV17" s="923"/>
      <c r="GW17" s="923"/>
      <c r="GX17" s="923"/>
      <c r="GY17" s="923"/>
      <c r="GZ17" s="923"/>
      <c r="HA17" s="923"/>
      <c r="HB17" s="923"/>
      <c r="HC17" s="923"/>
      <c r="HD17" s="923"/>
      <c r="HE17" s="923"/>
      <c r="HF17" s="923"/>
      <c r="HG17" s="923"/>
      <c r="HH17" s="923"/>
      <c r="HI17" s="923"/>
      <c r="HJ17" s="923"/>
      <c r="HK17" s="923"/>
      <c r="HL17" s="923"/>
      <c r="HM17" s="923"/>
      <c r="HN17" s="923"/>
      <c r="HO17" s="923"/>
      <c r="HP17" s="923"/>
      <c r="HQ17" s="923"/>
      <c r="HR17" s="923"/>
      <c r="HS17" s="923"/>
      <c r="HT17" s="923"/>
      <c r="HU17" s="923"/>
      <c r="HV17" s="923"/>
      <c r="HW17" s="923"/>
      <c r="HX17" s="923"/>
      <c r="HY17" s="923"/>
      <c r="HZ17" s="923"/>
      <c r="IA17" s="923"/>
      <c r="IB17" s="923"/>
      <c r="IC17" s="923"/>
      <c r="ID17" s="923"/>
      <c r="IE17" s="923"/>
      <c r="IF17" s="923"/>
      <c r="IG17" s="923"/>
      <c r="IH17" s="923"/>
      <c r="II17" s="923"/>
      <c r="IJ17" s="923"/>
      <c r="IK17" s="923"/>
    </row>
    <row r="18" spans="1:245" ht="17.25" customHeight="1" thickTop="1">
      <c r="A18" s="72"/>
      <c r="B18" s="72"/>
      <c r="C18" s="219"/>
      <c r="D18" s="1251" t="str">
        <f>IF(MasterSheet!$A$1=1,MasterSheet!C435,MasterSheet!B435)</f>
        <v>Stanje javnog duga, na kraju perioda</v>
      </c>
      <c r="E18" s="1240" t="s">
        <v>406</v>
      </c>
      <c r="F18" s="1240"/>
      <c r="G18" s="1240" t="s">
        <v>428</v>
      </c>
      <c r="H18" s="1240"/>
      <c r="I18" s="1240">
        <v>2014</v>
      </c>
      <c r="J18" s="1240"/>
      <c r="K18" s="1240">
        <v>2015</v>
      </c>
      <c r="L18" s="1240"/>
      <c r="M18" s="1240">
        <v>2016</v>
      </c>
      <c r="N18" s="1240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1100"/>
      <c r="Z18" s="1100"/>
      <c r="AA18" s="1093"/>
      <c r="AB18" s="1093"/>
      <c r="AC18" s="1093"/>
      <c r="AD18" s="1093"/>
      <c r="AE18" s="1093"/>
      <c r="AF18" s="1093"/>
      <c r="AG18" s="1093"/>
      <c r="AH18" s="1093"/>
      <c r="AI18" s="1093"/>
      <c r="AJ18" s="1113"/>
      <c r="AK18" s="1113"/>
      <c r="AL18" s="1113"/>
      <c r="AM18" s="1113"/>
      <c r="AN18" s="1113"/>
      <c r="AO18" s="1113"/>
      <c r="AP18" s="1113"/>
      <c r="AQ18" s="1113"/>
      <c r="AR18" s="1113"/>
      <c r="AS18" s="1113"/>
      <c r="AT18" s="1113"/>
      <c r="AU18" s="1113"/>
      <c r="AV18" s="1113"/>
      <c r="AW18" s="1113"/>
      <c r="AX18" s="1113"/>
      <c r="AY18" s="1113"/>
      <c r="AZ18" s="1113"/>
      <c r="BA18" s="1113"/>
      <c r="BB18" s="1104"/>
      <c r="BC18" s="923"/>
      <c r="BD18" s="923"/>
      <c r="BE18" s="923"/>
      <c r="BF18" s="923"/>
      <c r="BG18" s="923"/>
      <c r="BH18" s="923"/>
      <c r="BI18" s="923"/>
      <c r="BJ18" s="923"/>
      <c r="BK18" s="923"/>
      <c r="BL18" s="923"/>
      <c r="BM18" s="923"/>
      <c r="BN18" s="923"/>
      <c r="BO18" s="923"/>
      <c r="BP18" s="923"/>
      <c r="BQ18" s="923"/>
      <c r="BR18" s="923"/>
      <c r="BS18" s="923"/>
      <c r="BT18" s="923"/>
      <c r="BU18" s="923"/>
      <c r="BV18" s="923"/>
      <c r="BW18" s="923"/>
      <c r="BX18" s="923"/>
      <c r="BY18" s="923"/>
      <c r="BZ18" s="923"/>
      <c r="CA18" s="923"/>
      <c r="CB18" s="923"/>
      <c r="CC18" s="923"/>
      <c r="CD18" s="923"/>
      <c r="CE18" s="923"/>
      <c r="CF18" s="923"/>
      <c r="CG18" s="923"/>
      <c r="CH18" s="923"/>
      <c r="CI18" s="923"/>
      <c r="CJ18" s="923"/>
      <c r="CK18" s="923"/>
      <c r="CL18" s="923"/>
      <c r="CM18" s="923"/>
      <c r="CN18" s="923"/>
      <c r="CO18" s="923"/>
      <c r="CP18" s="923"/>
      <c r="CQ18" s="923"/>
      <c r="CR18" s="923"/>
      <c r="CS18" s="923"/>
      <c r="CT18" s="923"/>
      <c r="CU18" s="923"/>
      <c r="CV18" s="923"/>
      <c r="CW18" s="923"/>
      <c r="CX18" s="923"/>
      <c r="CY18" s="923"/>
      <c r="CZ18" s="923"/>
      <c r="DA18" s="923"/>
      <c r="DB18" s="923"/>
      <c r="DC18" s="923"/>
      <c r="DD18" s="923"/>
      <c r="DE18" s="923"/>
      <c r="DF18" s="923"/>
      <c r="DG18" s="923"/>
      <c r="DH18" s="923"/>
      <c r="DI18" s="923"/>
      <c r="DJ18" s="923"/>
      <c r="DK18" s="923"/>
      <c r="DL18" s="923"/>
      <c r="DM18" s="923"/>
      <c r="DN18" s="923"/>
      <c r="DO18" s="923"/>
      <c r="DP18" s="923"/>
      <c r="DQ18" s="923"/>
      <c r="DR18" s="923"/>
      <c r="DS18" s="923"/>
      <c r="DT18" s="923"/>
      <c r="DU18" s="923"/>
      <c r="DV18" s="923"/>
      <c r="DW18" s="923"/>
      <c r="DX18" s="923"/>
      <c r="DY18" s="923"/>
      <c r="DZ18" s="923"/>
      <c r="EA18" s="923"/>
      <c r="EB18" s="923"/>
      <c r="EC18" s="923"/>
      <c r="ED18" s="923"/>
      <c r="EE18" s="923"/>
      <c r="EF18" s="923"/>
      <c r="EG18" s="923"/>
      <c r="EH18" s="923"/>
      <c r="EI18" s="923"/>
      <c r="EJ18" s="923"/>
      <c r="EK18" s="923"/>
      <c r="EL18" s="923"/>
      <c r="EM18" s="923"/>
      <c r="EN18" s="923"/>
      <c r="EO18" s="923"/>
      <c r="EP18" s="923"/>
      <c r="EQ18" s="923"/>
      <c r="ER18" s="923"/>
      <c r="ES18" s="923"/>
      <c r="ET18" s="923"/>
      <c r="EU18" s="923"/>
      <c r="EV18" s="923"/>
      <c r="EW18" s="923"/>
      <c r="EX18" s="923"/>
      <c r="EY18" s="923"/>
      <c r="EZ18" s="923"/>
      <c r="FA18" s="923"/>
      <c r="FB18" s="923"/>
      <c r="FC18" s="923"/>
      <c r="FD18" s="923"/>
      <c r="FE18" s="923"/>
      <c r="FF18" s="923"/>
      <c r="FG18" s="923"/>
      <c r="FH18" s="923"/>
      <c r="FI18" s="923"/>
      <c r="FJ18" s="923"/>
      <c r="FK18" s="923"/>
      <c r="FL18" s="923"/>
      <c r="FM18" s="923"/>
      <c r="FN18" s="923"/>
      <c r="FO18" s="923"/>
      <c r="FP18" s="923"/>
      <c r="FQ18" s="923"/>
      <c r="FR18" s="923"/>
      <c r="FS18" s="923"/>
      <c r="FT18" s="923"/>
      <c r="FU18" s="923"/>
      <c r="FV18" s="923"/>
      <c r="FW18" s="923"/>
      <c r="FX18" s="923"/>
      <c r="FY18" s="923"/>
      <c r="FZ18" s="923"/>
      <c r="GA18" s="923"/>
      <c r="GB18" s="923"/>
      <c r="GC18" s="923"/>
      <c r="GD18" s="923"/>
      <c r="GE18" s="923"/>
      <c r="GF18" s="923"/>
      <c r="GG18" s="1105"/>
      <c r="GH18" s="923"/>
      <c r="GI18" s="923"/>
      <c r="GJ18" s="923"/>
      <c r="GK18" s="923"/>
      <c r="GL18" s="923"/>
      <c r="GM18" s="923"/>
      <c r="GN18" s="923"/>
      <c r="GO18" s="923"/>
      <c r="GP18" s="923"/>
      <c r="GQ18" s="923"/>
      <c r="GR18" s="923"/>
      <c r="GS18" s="923"/>
      <c r="GT18" s="923"/>
      <c r="GU18" s="923"/>
      <c r="GV18" s="923"/>
      <c r="GW18" s="923"/>
      <c r="GX18" s="923"/>
      <c r="GY18" s="923"/>
      <c r="GZ18" s="923"/>
      <c r="HA18" s="923"/>
      <c r="HB18" s="923"/>
      <c r="HC18" s="923"/>
      <c r="HD18" s="923"/>
      <c r="HE18" s="923"/>
      <c r="HF18" s="923"/>
      <c r="HG18" s="923"/>
      <c r="HH18" s="923"/>
      <c r="HI18" s="923"/>
      <c r="HJ18" s="923"/>
      <c r="HK18" s="923"/>
      <c r="HL18" s="923"/>
      <c r="HM18" s="923"/>
      <c r="HN18" s="923"/>
      <c r="HO18" s="923"/>
      <c r="HP18" s="923"/>
      <c r="HQ18" s="923"/>
      <c r="HR18" s="923"/>
      <c r="HS18" s="923"/>
      <c r="HT18" s="923"/>
      <c r="HU18" s="923"/>
      <c r="HV18" s="923"/>
      <c r="HW18" s="923"/>
      <c r="HX18" s="923"/>
      <c r="HY18" s="923"/>
      <c r="HZ18" s="923"/>
      <c r="IA18" s="923"/>
      <c r="IB18" s="923"/>
      <c r="IC18" s="923"/>
      <c r="ID18" s="923"/>
      <c r="IE18" s="923"/>
      <c r="IF18" s="923"/>
      <c r="IG18" s="923"/>
      <c r="IH18" s="923"/>
      <c r="II18" s="923"/>
      <c r="IJ18" s="923"/>
      <c r="IK18" s="923"/>
    </row>
    <row r="19" spans="1:245" ht="16.5" customHeight="1" thickBot="1">
      <c r="A19" s="72"/>
      <c r="B19" s="72"/>
      <c r="C19" s="72"/>
      <c r="D19" s="1252"/>
      <c r="E19" s="466" t="str">
        <f>IF(MasterSheet!$A$1=1,MasterSheet!C258,MasterSheet!C257)</f>
        <v>mil. €</v>
      </c>
      <c r="F19" s="467" t="str">
        <f>IF(MasterSheet!$A$1=1,MasterSheet!D258,MasterSheet!D257)</f>
        <v xml:space="preserve"> % BDP</v>
      </c>
      <c r="G19" s="466" t="str">
        <f>IF(MasterSheet!$A$1=1,MasterSheet!E258,MasterSheet!E257)</f>
        <v>mil. €</v>
      </c>
      <c r="H19" s="467" t="str">
        <f>IF(MasterSheet!$A$1=1,MasterSheet!F258,MasterSheet!F257)</f>
        <v xml:space="preserve"> % BDP</v>
      </c>
      <c r="I19" s="466" t="str">
        <f>IF(MasterSheet!$A$1=1,MasterSheet!G258,MasterSheet!G257)</f>
        <v>mil. €</v>
      </c>
      <c r="J19" s="467" t="str">
        <f>IF(MasterSheet!$A$1=1,MasterSheet!H258,MasterSheet!H257)</f>
        <v xml:space="preserve"> % BDP</v>
      </c>
      <c r="K19" s="466" t="s">
        <v>153</v>
      </c>
      <c r="L19" s="467" t="s">
        <v>154</v>
      </c>
      <c r="M19" s="466" t="s">
        <v>153</v>
      </c>
      <c r="N19" s="467" t="s">
        <v>154</v>
      </c>
      <c r="O19" s="72"/>
      <c r="P19" s="213"/>
      <c r="Q19" s="213"/>
      <c r="R19" s="72"/>
      <c r="S19" s="72"/>
      <c r="T19" s="72"/>
      <c r="U19" s="72"/>
      <c r="V19" s="72"/>
      <c r="W19" s="72"/>
      <c r="X19" s="72"/>
      <c r="Y19" s="1100"/>
      <c r="Z19" s="1100"/>
      <c r="AA19" s="472"/>
      <c r="AB19" s="472"/>
      <c r="AC19" s="472"/>
      <c r="AD19" s="472"/>
      <c r="AE19" s="472"/>
      <c r="AF19" s="472"/>
      <c r="AG19" s="472"/>
      <c r="AH19" s="472"/>
      <c r="AI19" s="472"/>
      <c r="AJ19" s="1114"/>
      <c r="AK19" s="1114"/>
      <c r="AL19" s="1114"/>
      <c r="AM19" s="1114"/>
      <c r="AN19" s="1114"/>
      <c r="AO19" s="1114"/>
      <c r="AP19" s="1114"/>
      <c r="AQ19" s="1114"/>
      <c r="AR19" s="1114"/>
      <c r="AS19" s="1114"/>
      <c r="AT19" s="1114"/>
      <c r="AU19" s="1114"/>
      <c r="AV19" s="1114"/>
      <c r="AW19" s="1114"/>
      <c r="AX19" s="1114"/>
      <c r="AY19" s="1114"/>
      <c r="AZ19" s="1114"/>
      <c r="BA19" s="1114"/>
      <c r="BB19" s="1104"/>
      <c r="BC19" s="1236"/>
      <c r="BD19" s="1237"/>
      <c r="BE19" s="1237"/>
      <c r="BF19" s="1237"/>
      <c r="BG19" s="1237"/>
      <c r="BH19" s="923"/>
      <c r="BI19" s="923"/>
      <c r="BJ19" s="923"/>
      <c r="BK19" s="923"/>
      <c r="BL19" s="923"/>
      <c r="BM19" s="923"/>
      <c r="BN19" s="923"/>
      <c r="BO19" s="923"/>
      <c r="BP19" s="923"/>
      <c r="BQ19" s="923"/>
      <c r="BR19" s="923"/>
      <c r="BS19" s="923"/>
      <c r="BT19" s="923"/>
      <c r="BU19" s="923"/>
      <c r="BV19" s="923"/>
      <c r="BW19" s="923"/>
      <c r="BX19" s="923"/>
      <c r="BY19" s="923"/>
      <c r="BZ19" s="923"/>
      <c r="CA19" s="923"/>
      <c r="CB19" s="923"/>
      <c r="CC19" s="923"/>
      <c r="CD19" s="923"/>
      <c r="CE19" s="923"/>
      <c r="CF19" s="923"/>
      <c r="CG19" s="923"/>
      <c r="CH19" s="923"/>
      <c r="CI19" s="923"/>
      <c r="CJ19" s="923"/>
      <c r="CK19" s="923"/>
      <c r="CL19" s="923"/>
      <c r="CM19" s="923"/>
      <c r="CN19" s="923"/>
      <c r="CO19" s="923"/>
      <c r="CP19" s="923"/>
      <c r="CQ19" s="923"/>
      <c r="CR19" s="923"/>
      <c r="CS19" s="923"/>
      <c r="CT19" s="923"/>
      <c r="CU19" s="923"/>
      <c r="CV19" s="923"/>
      <c r="CW19" s="923"/>
      <c r="CX19" s="923"/>
      <c r="CY19" s="923"/>
      <c r="CZ19" s="923"/>
      <c r="DA19" s="923"/>
      <c r="DB19" s="923"/>
      <c r="DC19" s="923"/>
      <c r="DD19" s="923"/>
      <c r="DE19" s="923"/>
      <c r="DF19" s="923"/>
      <c r="DG19" s="923"/>
      <c r="DH19" s="923"/>
      <c r="DI19" s="923"/>
      <c r="DJ19" s="923"/>
      <c r="DK19" s="923"/>
      <c r="DL19" s="923"/>
      <c r="DM19" s="923"/>
      <c r="DN19" s="923"/>
      <c r="DO19" s="923"/>
      <c r="DP19" s="923"/>
      <c r="DQ19" s="923"/>
      <c r="DR19" s="923"/>
      <c r="DS19" s="923"/>
      <c r="DT19" s="923"/>
      <c r="DU19" s="923"/>
      <c r="DV19" s="923"/>
      <c r="DW19" s="923"/>
      <c r="DX19" s="923"/>
      <c r="DY19" s="923"/>
      <c r="DZ19" s="923"/>
      <c r="EA19" s="923"/>
      <c r="EB19" s="923"/>
      <c r="EC19" s="923"/>
      <c r="ED19" s="923"/>
      <c r="EE19" s="923"/>
      <c r="EF19" s="923"/>
      <c r="EG19" s="923"/>
      <c r="EH19" s="923"/>
      <c r="EI19" s="923"/>
      <c r="EJ19" s="923"/>
      <c r="EK19" s="923"/>
      <c r="EL19" s="923"/>
      <c r="EM19" s="923"/>
      <c r="EN19" s="923"/>
      <c r="EO19" s="923"/>
      <c r="EP19" s="923"/>
      <c r="EQ19" s="923"/>
      <c r="ER19" s="923"/>
      <c r="ES19" s="923"/>
      <c r="ET19" s="923"/>
      <c r="EU19" s="923"/>
      <c r="EV19" s="923"/>
      <c r="EW19" s="923"/>
      <c r="EX19" s="923"/>
      <c r="EY19" s="923"/>
      <c r="EZ19" s="923"/>
      <c r="FA19" s="923"/>
      <c r="FB19" s="923"/>
      <c r="FC19" s="923"/>
      <c r="FD19" s="923"/>
      <c r="FE19" s="923"/>
      <c r="FF19" s="923"/>
      <c r="FG19" s="923"/>
      <c r="FH19" s="923"/>
      <c r="FI19" s="923"/>
      <c r="FJ19" s="923"/>
      <c r="FK19" s="923"/>
      <c r="FL19" s="923"/>
      <c r="FM19" s="923"/>
      <c r="FN19" s="923"/>
      <c r="FO19" s="923"/>
      <c r="FP19" s="923"/>
      <c r="FQ19" s="923"/>
      <c r="FR19" s="923"/>
      <c r="FS19" s="923"/>
      <c r="FT19" s="923"/>
      <c r="FU19" s="923"/>
      <c r="FV19" s="923"/>
      <c r="FW19" s="923"/>
      <c r="FX19" s="923"/>
      <c r="FY19" s="923"/>
      <c r="FZ19" s="923"/>
      <c r="GA19" s="923"/>
      <c r="GB19" s="923"/>
      <c r="GC19" s="923"/>
      <c r="GD19" s="923"/>
      <c r="GE19" s="923"/>
      <c r="GF19" s="923"/>
      <c r="GG19" s="1105"/>
      <c r="GH19" s="923"/>
      <c r="GI19" s="923"/>
      <c r="GJ19" s="923"/>
      <c r="GK19" s="923"/>
      <c r="GL19" s="923"/>
      <c r="GM19" s="923"/>
      <c r="GN19" s="923"/>
      <c r="GO19" s="923"/>
      <c r="GP19" s="923"/>
      <c r="GQ19" s="923"/>
      <c r="GR19" s="923"/>
      <c r="GS19" s="923"/>
      <c r="GT19" s="923"/>
      <c r="GU19" s="923"/>
      <c r="GV19" s="923"/>
      <c r="GW19" s="923"/>
      <c r="GX19" s="923"/>
      <c r="GY19" s="923"/>
      <c r="GZ19" s="923"/>
      <c r="HA19" s="923"/>
      <c r="HB19" s="923"/>
      <c r="HC19" s="923"/>
      <c r="HD19" s="923"/>
      <c r="HE19" s="923"/>
      <c r="HF19" s="923"/>
      <c r="HG19" s="923"/>
      <c r="HH19" s="923"/>
      <c r="HI19" s="923"/>
      <c r="HJ19" s="923"/>
      <c r="HK19" s="923"/>
      <c r="HL19" s="923"/>
      <c r="HM19" s="923"/>
      <c r="HN19" s="923"/>
      <c r="HO19" s="923"/>
      <c r="HP19" s="923"/>
      <c r="HQ19" s="923"/>
      <c r="HR19" s="923"/>
      <c r="HS19" s="923"/>
      <c r="HT19" s="923"/>
      <c r="HU19" s="923"/>
      <c r="HV19" s="923"/>
      <c r="HW19" s="923"/>
      <c r="HX19" s="923"/>
      <c r="HY19" s="923"/>
      <c r="HZ19" s="923"/>
      <c r="IA19" s="923"/>
      <c r="IB19" s="923"/>
      <c r="IC19" s="923"/>
      <c r="ID19" s="923"/>
      <c r="IE19" s="923"/>
      <c r="IF19" s="923"/>
      <c r="IG19" s="923"/>
      <c r="IH19" s="923"/>
      <c r="II19" s="923"/>
      <c r="IJ19" s="923"/>
      <c r="IK19" s="923"/>
    </row>
    <row r="20" spans="1:245" ht="15" customHeight="1" thickTop="1" thickBot="1">
      <c r="A20" s="72"/>
      <c r="B20" s="72"/>
      <c r="C20" s="72"/>
      <c r="D20" s="463" t="str">
        <f>IF(MasterSheet!$A$1=1,MasterSheet!$C$437,MasterSheet!$B$437)</f>
        <v>Ukupno javni dug</v>
      </c>
      <c r="E20" s="464">
        <f>SUM(E21:E22)</f>
        <v>1699500000</v>
      </c>
      <c r="F20" s="465">
        <f>E20/$E$15*100</f>
        <v>53.969514131470305</v>
      </c>
      <c r="G20" s="464">
        <f>SUM(G21:G22)</f>
        <v>1893000000</v>
      </c>
      <c r="H20" s="1035">
        <f>G20/$G$15*100</f>
        <v>53.824282058572649</v>
      </c>
      <c r="I20" s="978">
        <f>SUM(I21:I22)</f>
        <v>1995000000</v>
      </c>
      <c r="J20" s="977">
        <f>I20/$I$15*100</f>
        <v>53.413654618473892</v>
      </c>
      <c r="K20" s="978">
        <f>+K21+K22</f>
        <v>2103400000</v>
      </c>
      <c r="L20" s="977">
        <f>+K20/$K$15*100</f>
        <v>52.822702159718737</v>
      </c>
      <c r="M20" s="978">
        <f>+M21+M22</f>
        <v>2177800000</v>
      </c>
      <c r="N20" s="977">
        <f>+M20/$M$15*100</f>
        <v>51.062133645955456</v>
      </c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1100"/>
      <c r="Z20" s="1100"/>
      <c r="AA20" s="473"/>
      <c r="AB20" s="473"/>
      <c r="AC20" s="473"/>
      <c r="AD20" s="473"/>
      <c r="AE20" s="473"/>
      <c r="AF20" s="473"/>
      <c r="AG20" s="473"/>
      <c r="AH20" s="473"/>
      <c r="AI20" s="473"/>
      <c r="AJ20" s="1115"/>
      <c r="AK20" s="1115"/>
      <c r="AL20" s="1115"/>
      <c r="AM20" s="1115"/>
      <c r="AN20" s="1115"/>
      <c r="AO20" s="1115"/>
      <c r="AP20" s="1115"/>
      <c r="AQ20" s="1115"/>
      <c r="AR20" s="1115"/>
      <c r="AS20" s="1115"/>
      <c r="AT20" s="1115"/>
      <c r="AU20" s="1115"/>
      <c r="AV20" s="1115"/>
      <c r="AW20" s="1115"/>
      <c r="AX20" s="1115"/>
      <c r="AY20" s="1115"/>
      <c r="AZ20" s="1115"/>
      <c r="BA20" s="1115"/>
      <c r="BB20" s="1104"/>
      <c r="BC20" s="1116"/>
      <c r="BD20" s="1117"/>
      <c r="BE20" s="923"/>
      <c r="BF20" s="923"/>
      <c r="BG20" s="923"/>
      <c r="BH20" s="923"/>
      <c r="BI20" s="923"/>
      <c r="BJ20" s="923"/>
      <c r="BK20" s="923"/>
      <c r="BL20" s="923"/>
      <c r="BM20" s="923"/>
      <c r="BN20" s="923"/>
      <c r="BO20" s="923"/>
      <c r="BP20" s="923"/>
      <c r="BQ20" s="923"/>
      <c r="BR20" s="923"/>
      <c r="BS20" s="923"/>
      <c r="BT20" s="923"/>
      <c r="BU20" s="923"/>
      <c r="BV20" s="923"/>
      <c r="BW20" s="923"/>
      <c r="BX20" s="923"/>
      <c r="BY20" s="923"/>
      <c r="BZ20" s="923"/>
      <c r="CA20" s="923"/>
      <c r="CB20" s="923"/>
      <c r="CC20" s="923"/>
      <c r="CD20" s="923"/>
      <c r="CE20" s="923"/>
      <c r="CF20" s="923"/>
      <c r="CG20" s="923"/>
      <c r="CH20" s="923"/>
      <c r="CI20" s="923"/>
      <c r="CJ20" s="923"/>
      <c r="CK20" s="923"/>
      <c r="CL20" s="923"/>
      <c r="CM20" s="923"/>
      <c r="CN20" s="923"/>
      <c r="CO20" s="923"/>
      <c r="CP20" s="923"/>
      <c r="CQ20" s="923"/>
      <c r="CR20" s="923"/>
      <c r="CS20" s="923"/>
      <c r="CT20" s="923"/>
      <c r="CU20" s="923"/>
      <c r="CV20" s="923"/>
      <c r="CW20" s="923"/>
      <c r="CX20" s="923"/>
      <c r="CY20" s="923"/>
      <c r="CZ20" s="923"/>
      <c r="DA20" s="923"/>
      <c r="DB20" s="923"/>
      <c r="DC20" s="923"/>
      <c r="DD20" s="923"/>
      <c r="DE20" s="923"/>
      <c r="DF20" s="923"/>
      <c r="DG20" s="923"/>
      <c r="DH20" s="923"/>
      <c r="DI20" s="923"/>
      <c r="DJ20" s="923"/>
      <c r="DK20" s="923"/>
      <c r="DL20" s="923"/>
      <c r="DM20" s="923"/>
      <c r="DN20" s="923"/>
      <c r="DO20" s="923"/>
      <c r="DP20" s="923"/>
      <c r="DQ20" s="923"/>
      <c r="DR20" s="923"/>
      <c r="DS20" s="923"/>
      <c r="DT20" s="923"/>
      <c r="DU20" s="923"/>
      <c r="DV20" s="923"/>
      <c r="DW20" s="923"/>
      <c r="DX20" s="923"/>
      <c r="DY20" s="923"/>
      <c r="DZ20" s="923"/>
      <c r="EA20" s="923"/>
      <c r="EB20" s="923"/>
      <c r="EC20" s="923"/>
      <c r="ED20" s="923"/>
      <c r="EE20" s="923"/>
      <c r="EF20" s="923"/>
      <c r="EG20" s="923"/>
      <c r="EH20" s="923"/>
      <c r="EI20" s="923"/>
      <c r="EJ20" s="923"/>
      <c r="EK20" s="923"/>
      <c r="EL20" s="923"/>
      <c r="EM20" s="923"/>
      <c r="EN20" s="923"/>
      <c r="EO20" s="923"/>
      <c r="EP20" s="923"/>
      <c r="EQ20" s="923"/>
      <c r="ER20" s="923"/>
      <c r="ES20" s="923"/>
      <c r="ET20" s="923"/>
      <c r="EU20" s="923"/>
      <c r="EV20" s="923"/>
      <c r="EW20" s="923"/>
      <c r="EX20" s="923"/>
      <c r="EY20" s="923"/>
      <c r="EZ20" s="923"/>
      <c r="FA20" s="923"/>
      <c r="FB20" s="923"/>
      <c r="FC20" s="923"/>
      <c r="FD20" s="923"/>
      <c r="FE20" s="923"/>
      <c r="FF20" s="923"/>
      <c r="FG20" s="923"/>
      <c r="FH20" s="923"/>
      <c r="FI20" s="923"/>
      <c r="FJ20" s="923"/>
      <c r="FK20" s="923"/>
      <c r="FL20" s="923"/>
      <c r="FM20" s="923"/>
      <c r="FN20" s="923"/>
      <c r="FO20" s="923"/>
      <c r="FP20" s="923"/>
      <c r="FQ20" s="923"/>
      <c r="FR20" s="923"/>
      <c r="FS20" s="923"/>
      <c r="FT20" s="923"/>
      <c r="FU20" s="923"/>
      <c r="FV20" s="923"/>
      <c r="FW20" s="1118"/>
      <c r="FX20" s="923"/>
      <c r="FY20" s="923"/>
      <c r="FZ20" s="923"/>
      <c r="GA20" s="923"/>
      <c r="GB20" s="923"/>
      <c r="GC20" s="923"/>
      <c r="GD20" s="923"/>
      <c r="GE20" s="923"/>
      <c r="GF20" s="923"/>
      <c r="GG20" s="1105"/>
      <c r="GH20" s="923"/>
      <c r="GI20" s="923"/>
      <c r="GJ20" s="923"/>
      <c r="GK20" s="923"/>
      <c r="GL20" s="923"/>
      <c r="GM20" s="923"/>
      <c r="GN20" s="923"/>
      <c r="GO20" s="923"/>
      <c r="GP20" s="923"/>
      <c r="GQ20" s="923"/>
      <c r="GR20" s="923"/>
      <c r="GS20" s="923"/>
      <c r="GT20" s="923"/>
      <c r="GU20" s="923"/>
      <c r="GV20" s="923"/>
      <c r="GW20" s="923"/>
      <c r="GX20" s="923"/>
      <c r="GY20" s="923"/>
      <c r="GZ20" s="923"/>
      <c r="HA20" s="923"/>
      <c r="HB20" s="923"/>
      <c r="HC20" s="923"/>
      <c r="HD20" s="923"/>
      <c r="HE20" s="923"/>
      <c r="HF20" s="923"/>
      <c r="HG20" s="923"/>
      <c r="HH20" s="923"/>
      <c r="HI20" s="923"/>
      <c r="HJ20" s="923"/>
      <c r="HK20" s="923"/>
      <c r="HL20" s="923"/>
      <c r="HM20" s="923"/>
      <c r="HN20" s="923"/>
      <c r="HO20" s="923"/>
      <c r="HP20" s="923"/>
      <c r="HQ20" s="923"/>
      <c r="HR20" s="923"/>
      <c r="HS20" s="923"/>
      <c r="HT20" s="923"/>
      <c r="HU20" s="923"/>
      <c r="HV20" s="923"/>
      <c r="HW20" s="923"/>
      <c r="HX20" s="923"/>
      <c r="HY20" s="923"/>
      <c r="HZ20" s="923"/>
      <c r="IA20" s="923"/>
      <c r="IB20" s="923"/>
      <c r="IC20" s="923"/>
      <c r="ID20" s="923"/>
      <c r="IE20" s="923"/>
      <c r="IF20" s="923"/>
      <c r="IG20" s="923"/>
      <c r="IH20" s="923"/>
      <c r="II20" s="923"/>
      <c r="IJ20" s="923"/>
      <c r="IK20" s="923"/>
    </row>
    <row r="21" spans="1:245" ht="15" customHeight="1" thickTop="1">
      <c r="A21" s="72"/>
      <c r="B21" s="72"/>
      <c r="C21" s="72"/>
      <c r="D21" s="478" t="str">
        <f>IF(MasterSheet!$A$1=1,MasterSheet!$C$438,MasterSheet!$B$438)</f>
        <v>Dug prema rezidentima</v>
      </c>
      <c r="E21" s="319">
        <v>404500000</v>
      </c>
      <c r="F21" s="306">
        <f>E21/$E$15*100</f>
        <v>12.845347729437917</v>
      </c>
      <c r="G21" s="975">
        <v>380700000</v>
      </c>
      <c r="H21" s="1036">
        <f t="shared" ref="H21:H22" si="0">G21/$G$15*100</f>
        <v>10.824566391811203</v>
      </c>
      <c r="I21" s="1037">
        <v>348200000</v>
      </c>
      <c r="J21" s="1036">
        <f t="shared" ref="J21:J22" si="1">I21/$I$15*100</f>
        <v>9.3226238286479237</v>
      </c>
      <c r="K21" s="1037">
        <v>333100000</v>
      </c>
      <c r="L21" s="1036">
        <f t="shared" ref="L21:L22" si="2">+K21/$K$15*100</f>
        <v>8.3651431441486697</v>
      </c>
      <c r="M21" s="1037">
        <v>304700000</v>
      </c>
      <c r="N21" s="1038">
        <f t="shared" ref="N21:N22" si="3">+M21/$M$15*100</f>
        <v>7.1441969519343491</v>
      </c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1100"/>
      <c r="Z21" s="1100"/>
      <c r="AA21" s="473"/>
      <c r="AB21" s="473"/>
      <c r="AC21" s="473"/>
      <c r="AD21" s="473"/>
      <c r="AE21" s="473"/>
      <c r="AF21" s="473"/>
      <c r="AG21" s="473"/>
      <c r="AH21" s="473"/>
      <c r="AI21" s="473"/>
      <c r="AJ21" s="1115"/>
      <c r="AK21" s="1115"/>
      <c r="AL21" s="1115"/>
      <c r="AM21" s="1115"/>
      <c r="AN21" s="1115"/>
      <c r="AO21" s="1115"/>
      <c r="AP21" s="1115"/>
      <c r="AQ21" s="1115"/>
      <c r="AR21" s="1115"/>
      <c r="AS21" s="1115"/>
      <c r="AT21" s="1115"/>
      <c r="AU21" s="1115"/>
      <c r="AV21" s="1115"/>
      <c r="AW21" s="1115"/>
      <c r="AX21" s="1115"/>
      <c r="AY21" s="1115"/>
      <c r="AZ21" s="1115"/>
      <c r="BA21" s="1115"/>
      <c r="BB21" s="1104"/>
      <c r="BC21" s="1119"/>
      <c r="BD21" s="1117"/>
      <c r="BE21" s="923"/>
      <c r="BF21" s="923"/>
      <c r="BG21" s="923"/>
      <c r="BH21" s="923"/>
      <c r="BI21" s="923"/>
      <c r="BJ21" s="923"/>
      <c r="BK21" s="923"/>
      <c r="BL21" s="923"/>
      <c r="BM21" s="923"/>
      <c r="BN21" s="923"/>
      <c r="BO21" s="923"/>
      <c r="BP21" s="923"/>
      <c r="BQ21" s="923"/>
      <c r="BR21" s="923"/>
      <c r="BS21" s="923"/>
      <c r="BT21" s="923"/>
      <c r="BU21" s="923"/>
      <c r="BV21" s="923"/>
      <c r="BW21" s="923"/>
      <c r="BX21" s="923"/>
      <c r="BY21" s="923"/>
      <c r="BZ21" s="923"/>
      <c r="CA21" s="923"/>
      <c r="CB21" s="923"/>
      <c r="CC21" s="923"/>
      <c r="CD21" s="923"/>
      <c r="CE21" s="923"/>
      <c r="CF21" s="923"/>
      <c r="CG21" s="923"/>
      <c r="CH21" s="923"/>
      <c r="CI21" s="923"/>
      <c r="CJ21" s="923"/>
      <c r="CK21" s="923"/>
      <c r="CL21" s="923"/>
      <c r="CM21" s="923"/>
      <c r="CN21" s="923"/>
      <c r="CO21" s="923"/>
      <c r="CP21" s="923"/>
      <c r="CQ21" s="923"/>
      <c r="CR21" s="923"/>
      <c r="CS21" s="923"/>
      <c r="CT21" s="923"/>
      <c r="CU21" s="923"/>
      <c r="CV21" s="923"/>
      <c r="CW21" s="923"/>
      <c r="CX21" s="923"/>
      <c r="CY21" s="923"/>
      <c r="CZ21" s="923"/>
      <c r="DA21" s="923"/>
      <c r="DB21" s="923"/>
      <c r="DC21" s="923"/>
      <c r="DD21" s="923"/>
      <c r="DE21" s="923"/>
      <c r="DF21" s="923"/>
      <c r="DG21" s="923"/>
      <c r="DH21" s="923"/>
      <c r="DI21" s="923"/>
      <c r="DJ21" s="923"/>
      <c r="DK21" s="923"/>
      <c r="DL21" s="923"/>
      <c r="DM21" s="923"/>
      <c r="DN21" s="923"/>
      <c r="DO21" s="923"/>
      <c r="DP21" s="923"/>
      <c r="DQ21" s="923"/>
      <c r="DR21" s="923"/>
      <c r="DS21" s="923"/>
      <c r="DT21" s="923"/>
      <c r="DU21" s="923"/>
      <c r="DV21" s="923"/>
      <c r="DW21" s="923"/>
      <c r="DX21" s="923"/>
      <c r="DY21" s="923"/>
      <c r="DZ21" s="923"/>
      <c r="EA21" s="923"/>
      <c r="EB21" s="923"/>
      <c r="EC21" s="923"/>
      <c r="ED21" s="923"/>
      <c r="EE21" s="923"/>
      <c r="EF21" s="923"/>
      <c r="EG21" s="923"/>
      <c r="EH21" s="923"/>
      <c r="EI21" s="923"/>
      <c r="EJ21" s="923"/>
      <c r="EK21" s="923"/>
      <c r="EL21" s="923"/>
      <c r="EM21" s="923"/>
      <c r="EN21" s="923"/>
      <c r="EO21" s="923"/>
      <c r="EP21" s="923"/>
      <c r="EQ21" s="923"/>
      <c r="ER21" s="923"/>
      <c r="ES21" s="923"/>
      <c r="ET21" s="923"/>
      <c r="EU21" s="923"/>
      <c r="EV21" s="923"/>
      <c r="EW21" s="923"/>
      <c r="EX21" s="923"/>
      <c r="EY21" s="923"/>
      <c r="EZ21" s="923"/>
      <c r="FA21" s="923"/>
      <c r="FB21" s="923"/>
      <c r="FC21" s="923"/>
      <c r="FD21" s="923"/>
      <c r="FE21" s="923"/>
      <c r="FF21" s="923"/>
      <c r="FG21" s="923"/>
      <c r="FH21" s="923"/>
      <c r="FI21" s="923"/>
      <c r="FJ21" s="923"/>
      <c r="FK21" s="923"/>
      <c r="FL21" s="923"/>
      <c r="FM21" s="923"/>
      <c r="FN21" s="923"/>
      <c r="FO21" s="923"/>
      <c r="FP21" s="923"/>
      <c r="FQ21" s="923"/>
      <c r="FR21" s="923"/>
      <c r="FS21" s="923"/>
      <c r="FT21" s="923"/>
      <c r="FU21" s="923"/>
      <c r="FV21" s="923"/>
      <c r="FW21" s="923"/>
      <c r="FX21" s="923"/>
      <c r="FY21" s="923"/>
      <c r="FZ21" s="923"/>
      <c r="GA21" s="923"/>
      <c r="GB21" s="1120"/>
      <c r="GC21" s="923"/>
      <c r="GD21" s="923"/>
      <c r="GE21" s="923"/>
      <c r="GF21" s="923"/>
      <c r="GG21" s="1105"/>
      <c r="GH21" s="923"/>
      <c r="GI21" s="923"/>
      <c r="GJ21" s="923"/>
      <c r="GK21" s="923"/>
      <c r="GL21" s="923"/>
      <c r="GM21" s="923"/>
      <c r="GN21" s="923"/>
      <c r="GO21" s="923"/>
      <c r="GP21" s="923"/>
      <c r="GQ21" s="923"/>
      <c r="GR21" s="923"/>
      <c r="GS21" s="923"/>
      <c r="GT21" s="923"/>
      <c r="GU21" s="923"/>
      <c r="GV21" s="923"/>
      <c r="GW21" s="923"/>
      <c r="GX21" s="923"/>
      <c r="GY21" s="923"/>
      <c r="GZ21" s="923"/>
      <c r="HA21" s="923"/>
      <c r="HB21" s="923"/>
      <c r="HC21" s="923"/>
      <c r="HD21" s="923"/>
      <c r="HE21" s="923"/>
      <c r="HF21" s="923"/>
      <c r="HG21" s="923"/>
      <c r="HH21" s="923"/>
      <c r="HI21" s="923"/>
      <c r="HJ21" s="923"/>
      <c r="HK21" s="923"/>
      <c r="HL21" s="923"/>
      <c r="HM21" s="923"/>
      <c r="HN21" s="923"/>
      <c r="HO21" s="923"/>
      <c r="HP21" s="923"/>
      <c r="HQ21" s="923"/>
      <c r="HR21" s="923"/>
      <c r="HS21" s="923"/>
      <c r="HT21" s="923"/>
      <c r="HU21" s="923"/>
      <c r="HV21" s="923"/>
      <c r="HW21" s="923"/>
      <c r="HX21" s="923"/>
      <c r="HY21" s="923"/>
      <c r="HZ21" s="923"/>
      <c r="IA21" s="923"/>
      <c r="IB21" s="923"/>
      <c r="IC21" s="923"/>
      <c r="ID21" s="923"/>
      <c r="IE21" s="923"/>
      <c r="IF21" s="923"/>
      <c r="IG21" s="923"/>
      <c r="IH21" s="923"/>
      <c r="II21" s="923"/>
      <c r="IJ21" s="923"/>
      <c r="IK21" s="923"/>
    </row>
    <row r="22" spans="1:245" ht="15" customHeight="1" thickBot="1">
      <c r="A22" s="72"/>
      <c r="B22" s="72"/>
      <c r="C22" s="72"/>
      <c r="D22" s="461" t="str">
        <f>IF(MasterSheet!$A$1=1,MasterSheet!$C$439,MasterSheet!B439)</f>
        <v>Dug prema nerezidentima</v>
      </c>
      <c r="E22" s="459">
        <v>1295000000</v>
      </c>
      <c r="F22" s="572">
        <f>E22/$E$15*100</f>
        <v>41.124166402032394</v>
      </c>
      <c r="G22" s="976">
        <v>1512300000</v>
      </c>
      <c r="H22" s="1039">
        <f t="shared" si="0"/>
        <v>42.999715666761446</v>
      </c>
      <c r="I22" s="1040">
        <v>1646800000</v>
      </c>
      <c r="J22" s="1039">
        <f t="shared" si="1"/>
        <v>44.091030789825972</v>
      </c>
      <c r="K22" s="1040">
        <v>1770300000</v>
      </c>
      <c r="L22" s="1039">
        <f t="shared" si="2"/>
        <v>44.457559015570062</v>
      </c>
      <c r="M22" s="1040">
        <v>1873100000</v>
      </c>
      <c r="N22" s="1041">
        <f t="shared" si="3"/>
        <v>43.917936694021101</v>
      </c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1100"/>
      <c r="Z22" s="1100"/>
      <c r="AA22" s="475"/>
      <c r="AB22" s="475"/>
      <c r="AC22" s="475"/>
      <c r="AD22" s="475"/>
      <c r="AE22" s="475"/>
      <c r="AF22" s="475"/>
      <c r="AG22" s="475"/>
      <c r="AH22" s="475"/>
      <c r="AI22" s="475"/>
      <c r="AJ22" s="1121"/>
      <c r="AK22" s="1121"/>
      <c r="AL22" s="1121"/>
      <c r="AM22" s="1121"/>
      <c r="AN22" s="1121"/>
      <c r="AO22" s="1121"/>
      <c r="AP22" s="1121"/>
      <c r="AQ22" s="1121"/>
      <c r="AR22" s="1121"/>
      <c r="AS22" s="1121"/>
      <c r="AT22" s="1121"/>
      <c r="AU22" s="1121"/>
      <c r="AV22" s="1121"/>
      <c r="AW22" s="1121"/>
      <c r="AX22" s="1121"/>
      <c r="AY22" s="1121"/>
      <c r="AZ22" s="1121"/>
      <c r="BA22" s="1121"/>
      <c r="BB22" s="1104"/>
      <c r="BC22" s="1122"/>
      <c r="BD22" s="1122"/>
      <c r="BE22" s="923"/>
      <c r="BF22" s="1123"/>
      <c r="BG22" s="1123"/>
      <c r="BH22" s="1123"/>
      <c r="BI22" s="1123"/>
      <c r="BJ22" s="1123"/>
      <c r="BK22" s="923"/>
      <c r="BL22" s="923"/>
      <c r="BM22" s="923"/>
      <c r="BN22" s="923"/>
      <c r="BO22" s="923"/>
      <c r="BP22" s="923"/>
      <c r="BQ22" s="923"/>
      <c r="BR22" s="923"/>
      <c r="BS22" s="923"/>
      <c r="BT22" s="923"/>
      <c r="BU22" s="923"/>
      <c r="BV22" s="923"/>
      <c r="BW22" s="923"/>
      <c r="BX22" s="923"/>
      <c r="BY22" s="923"/>
      <c r="BZ22" s="923"/>
      <c r="CA22" s="923"/>
      <c r="CB22" s="923"/>
      <c r="CC22" s="923"/>
      <c r="CD22" s="923"/>
      <c r="CE22" s="923"/>
      <c r="CF22" s="923"/>
      <c r="CG22" s="923"/>
      <c r="CH22" s="923"/>
      <c r="CI22" s="923"/>
      <c r="CJ22" s="923"/>
      <c r="CK22" s="923"/>
      <c r="CL22" s="923"/>
      <c r="CM22" s="923"/>
      <c r="CN22" s="923"/>
      <c r="CO22" s="923"/>
      <c r="CP22" s="923"/>
      <c r="CQ22" s="923"/>
      <c r="CR22" s="923"/>
      <c r="CS22" s="923"/>
      <c r="CT22" s="923"/>
      <c r="CU22" s="923"/>
      <c r="CV22" s="923"/>
      <c r="CW22" s="923"/>
      <c r="CX22" s="923"/>
      <c r="CY22" s="923"/>
      <c r="CZ22" s="923"/>
      <c r="DA22" s="923"/>
      <c r="DB22" s="923"/>
      <c r="DC22" s="923"/>
      <c r="DD22" s="923"/>
      <c r="DE22" s="923"/>
      <c r="DF22" s="923"/>
      <c r="DG22" s="923"/>
      <c r="DH22" s="923"/>
      <c r="DI22" s="923"/>
      <c r="DJ22" s="923"/>
      <c r="DK22" s="923"/>
      <c r="DL22" s="923"/>
      <c r="DM22" s="923"/>
      <c r="DN22" s="923"/>
      <c r="DO22" s="923"/>
      <c r="DP22" s="923"/>
      <c r="DQ22" s="923"/>
      <c r="DR22" s="923"/>
      <c r="DS22" s="923"/>
      <c r="DT22" s="923"/>
      <c r="DU22" s="923"/>
      <c r="DV22" s="923"/>
      <c r="DW22" s="923"/>
      <c r="DX22" s="923"/>
      <c r="DY22" s="923"/>
      <c r="DZ22" s="923"/>
      <c r="EA22" s="923"/>
      <c r="EB22" s="923"/>
      <c r="EC22" s="923"/>
      <c r="ED22" s="923"/>
      <c r="EE22" s="923"/>
      <c r="EF22" s="923"/>
      <c r="EG22" s="923"/>
      <c r="EH22" s="923"/>
      <c r="EI22" s="923"/>
      <c r="EJ22" s="923"/>
      <c r="EK22" s="923"/>
      <c r="EL22" s="923"/>
      <c r="EM22" s="923"/>
      <c r="EN22" s="923"/>
      <c r="EO22" s="923"/>
      <c r="EP22" s="923"/>
      <c r="EQ22" s="923"/>
      <c r="ER22" s="923"/>
      <c r="ES22" s="923"/>
      <c r="ET22" s="923"/>
      <c r="EU22" s="923"/>
      <c r="EV22" s="923"/>
      <c r="EW22" s="923"/>
      <c r="EX22" s="923"/>
      <c r="EY22" s="923"/>
      <c r="EZ22" s="923"/>
      <c r="FA22" s="923"/>
      <c r="FB22" s="923"/>
      <c r="FC22" s="923"/>
      <c r="FD22" s="923"/>
      <c r="FE22" s="923"/>
      <c r="FF22" s="923"/>
      <c r="FG22" s="923"/>
      <c r="FH22" s="923"/>
      <c r="FI22" s="923"/>
      <c r="FJ22" s="923"/>
      <c r="FK22" s="923"/>
      <c r="FL22" s="923"/>
      <c r="FM22" s="923"/>
      <c r="FN22" s="923"/>
      <c r="FO22" s="923"/>
      <c r="FP22" s="923"/>
      <c r="FQ22" s="923"/>
      <c r="FR22" s="923"/>
      <c r="FS22" s="923"/>
      <c r="FT22" s="923"/>
      <c r="FU22" s="923"/>
      <c r="FV22" s="923"/>
      <c r="FW22" s="923"/>
      <c r="FX22" s="923"/>
      <c r="FY22" s="923"/>
      <c r="FZ22" s="923"/>
      <c r="GA22" s="923"/>
      <c r="GB22" s="923"/>
      <c r="GC22" s="923"/>
      <c r="GD22" s="923"/>
      <c r="GE22" s="923"/>
      <c r="GF22" s="923"/>
      <c r="GG22" s="1105"/>
      <c r="GH22" s="923"/>
      <c r="GI22" s="923"/>
      <c r="GJ22" s="923"/>
      <c r="GK22" s="923"/>
      <c r="GL22" s="923"/>
      <c r="GM22" s="923"/>
      <c r="GN22" s="923"/>
      <c r="GO22" s="923"/>
      <c r="GP22" s="923"/>
      <c r="GQ22" s="923"/>
      <c r="GR22" s="923"/>
      <c r="GS22" s="923"/>
      <c r="GT22" s="923"/>
      <c r="GU22" s="923"/>
      <c r="GV22" s="923"/>
      <c r="GW22" s="923"/>
      <c r="GX22" s="923"/>
      <c r="GY22" s="923"/>
      <c r="GZ22" s="923"/>
      <c r="HA22" s="923"/>
      <c r="HB22" s="923"/>
      <c r="HC22" s="923"/>
      <c r="HD22" s="923"/>
      <c r="HE22" s="923"/>
      <c r="HF22" s="923"/>
      <c r="HG22" s="923"/>
      <c r="HH22" s="923"/>
      <c r="HI22" s="923"/>
      <c r="HJ22" s="923"/>
      <c r="HK22" s="923"/>
      <c r="HL22" s="923"/>
      <c r="HM22" s="923"/>
      <c r="HN22" s="923"/>
      <c r="HO22" s="923"/>
      <c r="HP22" s="923"/>
      <c r="HQ22" s="923"/>
      <c r="HR22" s="923"/>
      <c r="HS22" s="923"/>
      <c r="HT22" s="923"/>
      <c r="HU22" s="923"/>
      <c r="HV22" s="923"/>
      <c r="HW22" s="923"/>
      <c r="HX22" s="923"/>
      <c r="HY22" s="923"/>
      <c r="HZ22" s="923"/>
      <c r="IA22" s="923"/>
      <c r="IB22" s="923"/>
      <c r="IC22" s="923"/>
      <c r="ID22" s="923"/>
      <c r="IE22" s="923"/>
      <c r="IF22" s="923"/>
      <c r="IG22" s="923"/>
      <c r="IH22" s="923"/>
      <c r="II22" s="923"/>
      <c r="IJ22" s="923"/>
      <c r="IK22" s="923"/>
    </row>
    <row r="23" spans="1:245" ht="15" customHeight="1" thickTop="1">
      <c r="A23" s="72"/>
      <c r="B23" s="72"/>
      <c r="C23" s="72"/>
      <c r="D23" s="378" t="str">
        <f>IF(MasterSheet!$A$1=1,MasterSheet!$C$328,MasterSheet!$B$328)</f>
        <v>Izvor: Ministarstvo finansija Crne Gore</v>
      </c>
      <c r="E23" s="1124"/>
      <c r="F23" s="712"/>
      <c r="G23" s="1124"/>
      <c r="H23" s="712"/>
      <c r="I23" s="1124"/>
      <c r="J23" s="712"/>
      <c r="K23" s="1124"/>
      <c r="L23" s="712"/>
      <c r="M23" s="712"/>
      <c r="N23" s="712"/>
      <c r="O23" s="72"/>
      <c r="P23" s="213"/>
      <c r="Q23" s="213" t="s">
        <v>426</v>
      </c>
      <c r="R23" s="72"/>
      <c r="S23" s="72"/>
      <c r="T23" s="72"/>
      <c r="U23" s="72"/>
      <c r="V23" s="72"/>
      <c r="W23" s="72"/>
      <c r="X23" s="72"/>
      <c r="Y23" s="1100"/>
      <c r="Z23" s="1100"/>
      <c r="AA23" s="712"/>
      <c r="AB23" s="712"/>
      <c r="AC23" s="712"/>
      <c r="AD23" s="712"/>
      <c r="AE23" s="712"/>
      <c r="AF23" s="712"/>
      <c r="AG23" s="712"/>
      <c r="AH23" s="712"/>
      <c r="AI23" s="712"/>
      <c r="AJ23" s="1125"/>
      <c r="AK23" s="1125"/>
      <c r="AL23" s="1125"/>
      <c r="AM23" s="1125"/>
      <c r="AN23" s="1125"/>
      <c r="AO23" s="1125"/>
      <c r="AP23" s="1125"/>
      <c r="AQ23" s="1125"/>
      <c r="AR23" s="1125"/>
      <c r="AS23" s="1125"/>
      <c r="AT23" s="1125"/>
      <c r="AU23" s="1125"/>
      <c r="AV23" s="1125"/>
      <c r="AW23" s="1125"/>
      <c r="AX23" s="1126"/>
      <c r="AY23" s="1126"/>
      <c r="AZ23" s="1126"/>
      <c r="BA23" s="1126"/>
      <c r="BB23" s="1104"/>
      <c r="BC23" s="1127"/>
      <c r="BD23" s="923"/>
      <c r="BE23" s="923"/>
      <c r="BF23" s="923"/>
      <c r="BG23" s="923"/>
      <c r="BH23" s="923"/>
      <c r="BI23" s="923"/>
      <c r="BJ23" s="923"/>
      <c r="BK23" s="923"/>
      <c r="BL23" s="923"/>
      <c r="BM23" s="923"/>
      <c r="BN23" s="923"/>
      <c r="BO23" s="923"/>
      <c r="BP23" s="923"/>
      <c r="BQ23" s="923"/>
      <c r="BR23" s="923"/>
      <c r="BS23" s="923"/>
      <c r="BT23" s="923"/>
      <c r="BU23" s="923"/>
      <c r="BV23" s="923"/>
      <c r="BW23" s="923"/>
      <c r="BX23" s="923"/>
      <c r="BY23" s="923"/>
      <c r="BZ23" s="923"/>
      <c r="CA23" s="923"/>
      <c r="CB23" s="923"/>
      <c r="CC23" s="923"/>
      <c r="CD23" s="923"/>
      <c r="CE23" s="923"/>
      <c r="CF23" s="923"/>
      <c r="CG23" s="923"/>
      <c r="CH23" s="923"/>
      <c r="CI23" s="923"/>
      <c r="CJ23" s="923"/>
      <c r="CK23" s="923"/>
      <c r="CL23" s="923"/>
      <c r="CM23" s="923"/>
      <c r="CN23" s="923"/>
      <c r="CO23" s="923"/>
      <c r="CP23" s="923"/>
      <c r="CQ23" s="923"/>
      <c r="CR23" s="923"/>
      <c r="CS23" s="923"/>
      <c r="CT23" s="923"/>
      <c r="CU23" s="923"/>
      <c r="CV23" s="923"/>
      <c r="CW23" s="923"/>
      <c r="CX23" s="923"/>
      <c r="CY23" s="923"/>
      <c r="CZ23" s="923"/>
      <c r="DA23" s="923"/>
      <c r="DB23" s="923"/>
      <c r="DC23" s="923"/>
      <c r="DD23" s="923"/>
      <c r="DE23" s="923"/>
      <c r="DF23" s="923"/>
      <c r="DG23" s="923"/>
      <c r="DH23" s="923"/>
      <c r="DI23" s="923"/>
      <c r="DJ23" s="923"/>
      <c r="DK23" s="923"/>
      <c r="DL23" s="923"/>
      <c r="DM23" s="923"/>
      <c r="DN23" s="923"/>
      <c r="DO23" s="923"/>
      <c r="DP23" s="923"/>
      <c r="DQ23" s="923"/>
      <c r="DR23" s="923"/>
      <c r="DS23" s="923"/>
      <c r="DT23" s="923"/>
      <c r="DU23" s="923"/>
      <c r="DV23" s="923"/>
      <c r="DW23" s="923"/>
      <c r="DX23" s="923"/>
      <c r="DY23" s="923"/>
      <c r="DZ23" s="923"/>
      <c r="EA23" s="923"/>
      <c r="EB23" s="923"/>
      <c r="EC23" s="923"/>
      <c r="ED23" s="923"/>
      <c r="EE23" s="923"/>
      <c r="EF23" s="923"/>
      <c r="EG23" s="923"/>
      <c r="EH23" s="923"/>
      <c r="EI23" s="923"/>
      <c r="EJ23" s="923"/>
      <c r="EK23" s="923"/>
      <c r="EL23" s="923"/>
      <c r="EM23" s="923"/>
      <c r="EN23" s="923"/>
      <c r="EO23" s="923"/>
      <c r="EP23" s="923"/>
      <c r="EQ23" s="923"/>
      <c r="ER23" s="923"/>
      <c r="ES23" s="923"/>
      <c r="ET23" s="923"/>
      <c r="EU23" s="923"/>
      <c r="EV23" s="923"/>
      <c r="EW23" s="923"/>
      <c r="EX23" s="923"/>
      <c r="EY23" s="923"/>
      <c r="EZ23" s="923"/>
      <c r="FA23" s="923"/>
      <c r="FB23" s="923"/>
      <c r="FC23" s="923"/>
      <c r="FD23" s="923"/>
      <c r="FE23" s="923"/>
      <c r="FF23" s="923"/>
      <c r="FG23" s="923"/>
      <c r="FH23" s="923"/>
      <c r="FI23" s="923"/>
      <c r="FJ23" s="923"/>
      <c r="FK23" s="923"/>
      <c r="FL23" s="923"/>
      <c r="FM23" s="923"/>
      <c r="FN23" s="923"/>
      <c r="FO23" s="923"/>
      <c r="FP23" s="923"/>
      <c r="FQ23" s="923"/>
      <c r="FR23" s="923"/>
      <c r="FS23" s="923"/>
      <c r="FT23" s="923"/>
      <c r="FU23" s="923"/>
      <c r="FV23" s="923"/>
      <c r="FW23" s="923"/>
      <c r="FX23" s="923"/>
      <c r="FY23" s="923"/>
      <c r="FZ23" s="923"/>
      <c r="GA23" s="923"/>
      <c r="GB23" s="923"/>
      <c r="GC23" s="923"/>
      <c r="GD23" s="923"/>
      <c r="GE23" s="923"/>
      <c r="GF23" s="923"/>
      <c r="GG23" s="1105"/>
      <c r="GH23" s="923"/>
      <c r="GI23" s="923"/>
      <c r="GJ23" s="923"/>
      <c r="GK23" s="923"/>
      <c r="GL23" s="923"/>
      <c r="GM23" s="923"/>
      <c r="GN23" s="923"/>
      <c r="GO23" s="923"/>
      <c r="GP23" s="923"/>
      <c r="GQ23" s="923"/>
      <c r="GR23" s="923"/>
      <c r="GS23" s="923"/>
      <c r="GT23" s="923"/>
      <c r="GU23" s="923"/>
      <c r="GV23" s="923"/>
      <c r="GW23" s="923"/>
      <c r="GX23" s="923"/>
      <c r="GY23" s="923"/>
      <c r="GZ23" s="923"/>
      <c r="HA23" s="923"/>
      <c r="HB23" s="923"/>
      <c r="HC23" s="923"/>
      <c r="HD23" s="923"/>
      <c r="HE23" s="923"/>
      <c r="HF23" s="923"/>
      <c r="HG23" s="923"/>
      <c r="HH23" s="923"/>
      <c r="HI23" s="923"/>
      <c r="HJ23" s="923"/>
      <c r="HK23" s="923"/>
      <c r="HL23" s="923"/>
      <c r="HM23" s="923"/>
      <c r="HN23" s="923"/>
      <c r="HO23" s="923"/>
      <c r="HP23" s="923"/>
      <c r="HQ23" s="923"/>
      <c r="HR23" s="923"/>
      <c r="HS23" s="923"/>
      <c r="HT23" s="923"/>
      <c r="HU23" s="923"/>
      <c r="HV23" s="923"/>
      <c r="HW23" s="923"/>
      <c r="HX23" s="923"/>
      <c r="HY23" s="923"/>
      <c r="HZ23" s="923"/>
      <c r="IA23" s="923"/>
      <c r="IB23" s="923"/>
      <c r="IC23" s="923"/>
      <c r="ID23" s="923"/>
      <c r="IE23" s="923"/>
      <c r="IF23" s="923"/>
      <c r="IG23" s="923"/>
      <c r="IH23" s="923"/>
      <c r="II23" s="923"/>
      <c r="IJ23" s="923"/>
      <c r="IK23" s="923"/>
    </row>
    <row r="24" spans="1:245" ht="15" customHeight="1">
      <c r="A24" s="72"/>
      <c r="B24" s="72"/>
      <c r="C24" s="72"/>
      <c r="D24" s="1128"/>
      <c r="E24" s="1129"/>
      <c r="F24" s="1129"/>
      <c r="G24" s="1129"/>
      <c r="H24" s="1129"/>
      <c r="I24" s="72"/>
      <c r="J24" s="712"/>
      <c r="K24" s="72"/>
      <c r="L24" s="712"/>
      <c r="M24" s="712"/>
      <c r="N24" s="1130"/>
      <c r="O24" s="72"/>
      <c r="P24" s="712"/>
      <c r="Q24" s="431"/>
      <c r="R24" s="1130"/>
      <c r="S24" s="72"/>
      <c r="T24" s="712"/>
      <c r="U24" s="72"/>
      <c r="V24" s="712"/>
      <c r="W24" s="72"/>
      <c r="X24" s="712"/>
      <c r="Y24" s="712"/>
      <c r="Z24" s="712"/>
      <c r="AA24" s="712"/>
      <c r="AB24" s="712"/>
      <c r="AC24" s="712"/>
      <c r="AD24" s="712"/>
      <c r="AE24" s="712"/>
      <c r="AF24" s="712"/>
      <c r="AG24" s="712"/>
      <c r="AH24" s="712"/>
      <c r="AI24" s="712"/>
      <c r="AJ24" s="1125"/>
      <c r="AK24" s="1125"/>
      <c r="AL24" s="1125"/>
      <c r="AM24" s="1125"/>
      <c r="AN24" s="1125"/>
      <c r="AO24" s="1125"/>
      <c r="AP24" s="1125"/>
      <c r="AQ24" s="1125"/>
      <c r="AR24" s="1125"/>
      <c r="AS24" s="1125"/>
      <c r="AT24" s="1125"/>
      <c r="AU24" s="1125"/>
      <c r="AV24" s="1125"/>
      <c r="AW24" s="1125"/>
      <c r="AX24" s="1126"/>
      <c r="AY24" s="1126"/>
      <c r="AZ24" s="1126"/>
      <c r="BA24" s="1126"/>
      <c r="BB24" s="1104"/>
      <c r="BC24" s="923"/>
      <c r="BD24" s="923"/>
      <c r="BE24" s="923"/>
      <c r="BF24" s="923"/>
      <c r="BG24" s="923"/>
      <c r="BH24" s="923"/>
      <c r="BI24" s="923"/>
      <c r="BJ24" s="923"/>
      <c r="BK24" s="923"/>
      <c r="BL24" s="923"/>
      <c r="BM24" s="923"/>
      <c r="BN24" s="923"/>
      <c r="BO24" s="923"/>
      <c r="BP24" s="923"/>
      <c r="BQ24" s="923"/>
      <c r="BR24" s="923"/>
      <c r="BS24" s="923"/>
      <c r="BT24" s="923"/>
      <c r="BU24" s="923"/>
      <c r="BV24" s="923"/>
      <c r="BW24" s="923"/>
      <c r="BX24" s="923"/>
      <c r="BY24" s="923"/>
      <c r="BZ24" s="923"/>
      <c r="CA24" s="923"/>
      <c r="CB24" s="923"/>
      <c r="CC24" s="923"/>
      <c r="CD24" s="923"/>
      <c r="CE24" s="923"/>
      <c r="CF24" s="923"/>
      <c r="CG24" s="923"/>
      <c r="CH24" s="923"/>
      <c r="CI24" s="923"/>
      <c r="CJ24" s="923"/>
      <c r="CK24" s="923"/>
      <c r="CL24" s="923"/>
      <c r="CM24" s="923"/>
      <c r="CN24" s="923"/>
      <c r="CO24" s="923"/>
      <c r="CP24" s="923"/>
      <c r="CQ24" s="923"/>
      <c r="CR24" s="923"/>
      <c r="CS24" s="923"/>
      <c r="CT24" s="923"/>
      <c r="CU24" s="923"/>
      <c r="CV24" s="923"/>
      <c r="CW24" s="923"/>
      <c r="CX24" s="923"/>
      <c r="CY24" s="923"/>
      <c r="CZ24" s="923"/>
      <c r="DA24" s="923"/>
      <c r="DB24" s="923"/>
      <c r="DC24" s="923"/>
      <c r="DD24" s="923"/>
      <c r="DE24" s="923"/>
      <c r="DF24" s="923"/>
      <c r="DG24" s="923"/>
      <c r="DH24" s="923"/>
      <c r="DI24" s="923"/>
      <c r="DJ24" s="923"/>
      <c r="DK24" s="923"/>
      <c r="DL24" s="923"/>
      <c r="DM24" s="923"/>
      <c r="DN24" s="923"/>
      <c r="DO24" s="923"/>
      <c r="DP24" s="923"/>
      <c r="DQ24" s="923"/>
      <c r="DR24" s="923"/>
      <c r="DS24" s="923"/>
      <c r="DT24" s="923"/>
      <c r="DU24" s="923"/>
      <c r="DV24" s="923"/>
      <c r="DW24" s="923"/>
      <c r="DX24" s="923"/>
      <c r="DY24" s="923"/>
      <c r="DZ24" s="923"/>
      <c r="EA24" s="923"/>
      <c r="EB24" s="923"/>
      <c r="EC24" s="923"/>
      <c r="ED24" s="923"/>
      <c r="EE24" s="923"/>
      <c r="EF24" s="923"/>
      <c r="EG24" s="923"/>
      <c r="EH24" s="923"/>
      <c r="EI24" s="923"/>
      <c r="EJ24" s="923"/>
      <c r="EK24" s="923"/>
      <c r="EL24" s="923"/>
      <c r="EM24" s="923"/>
      <c r="EN24" s="923"/>
      <c r="EO24" s="923"/>
      <c r="EP24" s="923"/>
      <c r="EQ24" s="923"/>
      <c r="ER24" s="923"/>
      <c r="ES24" s="923"/>
      <c r="ET24" s="923"/>
      <c r="EU24" s="923"/>
      <c r="EV24" s="923"/>
      <c r="EW24" s="923"/>
      <c r="EX24" s="923"/>
      <c r="EY24" s="923"/>
      <c r="EZ24" s="923"/>
      <c r="FA24" s="923"/>
      <c r="FB24" s="923"/>
      <c r="FC24" s="923"/>
      <c r="FD24" s="923"/>
      <c r="FE24" s="923"/>
      <c r="FF24" s="923"/>
      <c r="FG24" s="923"/>
      <c r="FH24" s="923"/>
      <c r="FI24" s="923"/>
      <c r="FJ24" s="923"/>
      <c r="FK24" s="923"/>
      <c r="FL24" s="923"/>
      <c r="FM24" s="923"/>
      <c r="FN24" s="923"/>
      <c r="FO24" s="923"/>
      <c r="FP24" s="923"/>
      <c r="FQ24" s="923"/>
      <c r="FR24" s="923"/>
      <c r="FS24" s="923"/>
      <c r="FT24" s="923"/>
      <c r="FU24" s="923"/>
      <c r="FV24" s="923"/>
      <c r="FW24" s="923"/>
      <c r="FX24" s="923"/>
      <c r="FY24" s="923"/>
      <c r="FZ24" s="923"/>
      <c r="GA24" s="923"/>
      <c r="GB24" s="923"/>
      <c r="GC24" s="923"/>
      <c r="GD24" s="923"/>
      <c r="GE24" s="923"/>
      <c r="GF24" s="923"/>
      <c r="GG24" s="1105"/>
      <c r="GH24" s="923"/>
      <c r="GI24" s="923"/>
      <c r="GJ24" s="923"/>
      <c r="GK24" s="923"/>
      <c r="GL24" s="923"/>
      <c r="GM24" s="923"/>
      <c r="GN24" s="923"/>
      <c r="GO24" s="923"/>
      <c r="GP24" s="923"/>
      <c r="GQ24" s="923"/>
      <c r="GR24" s="923"/>
      <c r="GS24" s="923"/>
      <c r="GT24" s="923"/>
      <c r="GU24" s="923"/>
      <c r="GV24" s="923"/>
      <c r="GW24" s="923"/>
      <c r="GX24" s="923"/>
      <c r="GY24" s="923"/>
      <c r="GZ24" s="923"/>
      <c r="HA24" s="923"/>
      <c r="HB24" s="923"/>
      <c r="HC24" s="923"/>
      <c r="HD24" s="923"/>
      <c r="HE24" s="923"/>
      <c r="HF24" s="923"/>
      <c r="HG24" s="923"/>
      <c r="HH24" s="923"/>
      <c r="HI24" s="923"/>
      <c r="HJ24" s="923"/>
      <c r="HK24" s="923"/>
      <c r="HL24" s="923"/>
      <c r="HM24" s="923"/>
      <c r="HN24" s="923"/>
      <c r="HO24" s="923"/>
      <c r="HP24" s="923"/>
      <c r="HQ24" s="923"/>
      <c r="HR24" s="923"/>
      <c r="HS24" s="923"/>
      <c r="HT24" s="923"/>
      <c r="HU24" s="923"/>
      <c r="HV24" s="923"/>
      <c r="HW24" s="923"/>
      <c r="HX24" s="923"/>
      <c r="HY24" s="923"/>
      <c r="HZ24" s="923"/>
      <c r="IA24" s="923"/>
      <c r="IB24" s="923"/>
      <c r="IC24" s="923"/>
      <c r="ID24" s="923"/>
      <c r="IE24" s="923"/>
      <c r="IF24" s="923"/>
      <c r="IG24" s="923"/>
      <c r="IH24" s="923"/>
      <c r="II24" s="923"/>
      <c r="IJ24" s="923"/>
      <c r="IK24" s="923"/>
    </row>
    <row r="25" spans="1:245" ht="15" customHeight="1">
      <c r="A25" s="72"/>
      <c r="B25" s="72"/>
      <c r="C25" s="72"/>
      <c r="D25" s="1131"/>
      <c r="E25" s="1130"/>
      <c r="F25" s="213"/>
      <c r="G25" s="1130"/>
      <c r="H25" s="213"/>
      <c r="I25" s="1130"/>
      <c r="J25" s="213"/>
      <c r="K25" s="1130"/>
      <c r="L25" s="213"/>
      <c r="M25" s="213"/>
      <c r="N25" s="213"/>
      <c r="O25" s="1130"/>
      <c r="P25" s="213"/>
      <c r="Q25" s="1130"/>
      <c r="R25" s="213"/>
      <c r="S25" s="1130"/>
      <c r="T25" s="213"/>
      <c r="U25" s="1130"/>
      <c r="V25" s="213"/>
      <c r="W25" s="1130"/>
      <c r="X25" s="213"/>
      <c r="Y25" s="213"/>
      <c r="Z25" s="213"/>
      <c r="AA25" s="213"/>
      <c r="AB25" s="213"/>
      <c r="AC25" s="213"/>
      <c r="AD25" s="213"/>
      <c r="AE25" s="213"/>
      <c r="AF25" s="213"/>
      <c r="AG25" s="213"/>
      <c r="AH25" s="213"/>
      <c r="AI25" s="213"/>
      <c r="AJ25" s="923"/>
      <c r="AK25" s="923"/>
      <c r="AL25" s="923"/>
      <c r="AM25" s="923"/>
      <c r="AN25" s="923"/>
      <c r="AO25" s="923"/>
      <c r="AP25" s="923"/>
      <c r="AQ25" s="923"/>
      <c r="AR25" s="923"/>
      <c r="AS25" s="923"/>
      <c r="AT25" s="923"/>
      <c r="AU25" s="923"/>
      <c r="AV25" s="923"/>
      <c r="AW25" s="923"/>
      <c r="AX25" s="923"/>
      <c r="AY25" s="923"/>
      <c r="AZ25" s="923"/>
      <c r="BA25" s="923"/>
      <c r="BB25" s="1104"/>
      <c r="BC25" s="923"/>
      <c r="BD25" s="923"/>
      <c r="BE25" s="923"/>
      <c r="BF25" s="923"/>
      <c r="BG25" s="923"/>
      <c r="BH25" s="923"/>
      <c r="BI25" s="923"/>
      <c r="BJ25" s="923"/>
      <c r="BK25" s="923"/>
      <c r="BL25" s="923"/>
      <c r="BM25" s="923"/>
      <c r="BN25" s="923"/>
      <c r="BO25" s="923"/>
      <c r="BP25" s="923"/>
      <c r="BQ25" s="923"/>
      <c r="BR25" s="923"/>
      <c r="BS25" s="923"/>
      <c r="BT25" s="923"/>
      <c r="BU25" s="923"/>
      <c r="BV25" s="923"/>
      <c r="BW25" s="923"/>
      <c r="BX25" s="923"/>
      <c r="BY25" s="923"/>
      <c r="BZ25" s="923"/>
      <c r="CA25" s="923"/>
      <c r="CB25" s="923"/>
      <c r="CC25" s="923"/>
      <c r="CD25" s="923"/>
      <c r="CE25" s="923"/>
      <c r="CF25" s="923"/>
      <c r="CG25" s="923"/>
      <c r="CH25" s="923"/>
      <c r="CI25" s="923"/>
      <c r="CJ25" s="923"/>
      <c r="CK25" s="923"/>
      <c r="CL25" s="923"/>
      <c r="CM25" s="923"/>
      <c r="CN25" s="923"/>
      <c r="CO25" s="923"/>
      <c r="CP25" s="923"/>
      <c r="CQ25" s="923"/>
      <c r="CR25" s="923"/>
      <c r="CS25" s="923"/>
      <c r="CT25" s="923"/>
      <c r="CU25" s="923"/>
      <c r="CV25" s="923"/>
      <c r="CW25" s="923"/>
      <c r="CX25" s="923"/>
      <c r="CY25" s="923"/>
      <c r="CZ25" s="923"/>
      <c r="DA25" s="923"/>
      <c r="DB25" s="923"/>
      <c r="DC25" s="923"/>
      <c r="DD25" s="923"/>
      <c r="DE25" s="923"/>
      <c r="DF25" s="923"/>
      <c r="DG25" s="923"/>
      <c r="DH25" s="923"/>
      <c r="DI25" s="923"/>
      <c r="DJ25" s="923"/>
      <c r="DK25" s="923"/>
      <c r="DL25" s="923"/>
      <c r="DM25" s="923"/>
      <c r="DN25" s="923"/>
      <c r="DO25" s="923"/>
      <c r="DP25" s="923"/>
      <c r="DQ25" s="923"/>
      <c r="DR25" s="923"/>
      <c r="DS25" s="923"/>
      <c r="DT25" s="923"/>
      <c r="DU25" s="923"/>
      <c r="DV25" s="923"/>
      <c r="DW25" s="923"/>
      <c r="DX25" s="923"/>
      <c r="DY25" s="923"/>
      <c r="DZ25" s="923"/>
      <c r="EA25" s="923"/>
      <c r="EB25" s="923"/>
      <c r="EC25" s="923"/>
      <c r="ED25" s="923"/>
      <c r="EE25" s="923"/>
      <c r="EF25" s="923"/>
      <c r="EG25" s="923"/>
      <c r="EH25" s="923"/>
      <c r="EI25" s="923"/>
      <c r="EJ25" s="923"/>
      <c r="EK25" s="923"/>
      <c r="EL25" s="923"/>
      <c r="EM25" s="923"/>
      <c r="EN25" s="923"/>
      <c r="EO25" s="923"/>
      <c r="EP25" s="923"/>
      <c r="EQ25" s="923"/>
      <c r="ER25" s="923"/>
      <c r="ES25" s="923"/>
      <c r="ET25" s="923"/>
      <c r="EU25" s="923"/>
      <c r="EV25" s="923"/>
      <c r="EW25" s="923"/>
      <c r="EX25" s="923"/>
      <c r="EY25" s="923"/>
      <c r="EZ25" s="923"/>
      <c r="FA25" s="923"/>
      <c r="FB25" s="923"/>
      <c r="FC25" s="923"/>
      <c r="FD25" s="923"/>
      <c r="FE25" s="923"/>
      <c r="FF25" s="923"/>
      <c r="FG25" s="923"/>
      <c r="FH25" s="923"/>
      <c r="FI25" s="923"/>
      <c r="FJ25" s="923"/>
      <c r="FK25" s="923"/>
      <c r="FL25" s="923"/>
      <c r="FM25" s="923"/>
      <c r="FN25" s="923"/>
      <c r="FO25" s="923"/>
      <c r="FP25" s="923"/>
      <c r="FQ25" s="923"/>
      <c r="FR25" s="923"/>
      <c r="FS25" s="923"/>
      <c r="FT25" s="923"/>
      <c r="FU25" s="923"/>
      <c r="FV25" s="923"/>
      <c r="FW25" s="923"/>
      <c r="FX25" s="923"/>
      <c r="FY25" s="923"/>
      <c r="FZ25" s="923"/>
      <c r="GA25" s="923"/>
      <c r="GB25" s="923"/>
      <c r="GC25" s="923"/>
      <c r="GD25" s="923"/>
      <c r="GE25" s="923"/>
      <c r="GF25" s="923"/>
      <c r="GG25" s="1105"/>
      <c r="GH25" s="923"/>
      <c r="GI25" s="923"/>
      <c r="GJ25" s="923"/>
      <c r="GK25" s="923"/>
      <c r="GL25" s="923"/>
      <c r="GM25" s="923"/>
      <c r="GN25" s="923"/>
      <c r="GO25" s="923"/>
      <c r="GP25" s="923"/>
      <c r="GQ25" s="923"/>
      <c r="GR25" s="923"/>
      <c r="GS25" s="923"/>
      <c r="GT25" s="923"/>
      <c r="GU25" s="923"/>
      <c r="GV25" s="923"/>
      <c r="GW25" s="923"/>
      <c r="GX25" s="923"/>
      <c r="GY25" s="923"/>
      <c r="GZ25" s="923"/>
      <c r="HA25" s="923"/>
      <c r="HB25" s="923"/>
      <c r="HC25" s="923"/>
      <c r="HD25" s="923"/>
      <c r="HE25" s="923"/>
      <c r="HF25" s="923"/>
      <c r="HG25" s="923"/>
      <c r="HH25" s="923"/>
      <c r="HI25" s="923"/>
      <c r="HJ25" s="923"/>
      <c r="HK25" s="923"/>
      <c r="HL25" s="923"/>
      <c r="HM25" s="923"/>
      <c r="HN25" s="923"/>
      <c r="HO25" s="923"/>
      <c r="HP25" s="923"/>
      <c r="HQ25" s="923"/>
      <c r="HR25" s="923"/>
      <c r="HS25" s="923"/>
      <c r="HT25" s="923"/>
      <c r="HU25" s="923"/>
      <c r="HV25" s="923"/>
      <c r="HW25" s="923"/>
      <c r="HX25" s="923"/>
      <c r="HY25" s="923"/>
      <c r="HZ25" s="923"/>
      <c r="IA25" s="923"/>
      <c r="IB25" s="923"/>
      <c r="IC25" s="923"/>
      <c r="ID25" s="923"/>
      <c r="IE25" s="923"/>
      <c r="IF25" s="923"/>
      <c r="IG25" s="923"/>
      <c r="IH25" s="923"/>
      <c r="II25" s="923"/>
      <c r="IJ25" s="923"/>
      <c r="IK25" s="923"/>
    </row>
    <row r="26" spans="1:245" ht="15" customHeight="1">
      <c r="A26" s="72"/>
      <c r="B26" s="72"/>
      <c r="C26" s="72"/>
      <c r="D26" s="1131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442"/>
      <c r="R26" s="442"/>
      <c r="S26" s="442"/>
      <c r="T26" s="442"/>
      <c r="U26" s="442"/>
      <c r="V26" s="442"/>
      <c r="W26" s="442"/>
      <c r="X26" s="442"/>
      <c r="Y26" s="442"/>
      <c r="Z26" s="442"/>
      <c r="AA26" s="442"/>
      <c r="AB26" s="442"/>
      <c r="AC26" s="442"/>
      <c r="AD26" s="442"/>
      <c r="AE26" s="442"/>
      <c r="AF26" s="442"/>
      <c r="AG26" s="442"/>
      <c r="AH26" s="442"/>
      <c r="AI26" s="442"/>
      <c r="AJ26" s="1132"/>
      <c r="AK26" s="1132"/>
      <c r="AL26" s="1132"/>
      <c r="AM26" s="1132"/>
      <c r="AN26" s="1132"/>
      <c r="AO26" s="1132"/>
      <c r="AP26" s="1132"/>
      <c r="AQ26" s="1132"/>
      <c r="AR26" s="1132"/>
      <c r="AS26" s="1132"/>
      <c r="AT26" s="1132"/>
      <c r="AU26" s="1132"/>
      <c r="AV26" s="1132"/>
      <c r="AW26" s="1132"/>
      <c r="AX26" s="1132"/>
      <c r="AY26" s="1132"/>
      <c r="AZ26" s="1132"/>
      <c r="BA26" s="1132"/>
      <c r="BB26" s="1132"/>
      <c r="BC26" s="1132"/>
      <c r="BD26" s="1132"/>
      <c r="BE26" s="1132"/>
      <c r="BF26" s="1132"/>
      <c r="BG26" s="1132"/>
      <c r="BH26" s="1132"/>
      <c r="BI26" s="1132"/>
      <c r="BJ26" s="1132"/>
      <c r="BK26" s="1132"/>
      <c r="BL26" s="1132"/>
      <c r="BM26" s="1132"/>
      <c r="BN26" s="1132"/>
      <c r="BO26" s="1132"/>
      <c r="BP26" s="1132"/>
      <c r="BQ26" s="1132"/>
      <c r="BR26" s="1132"/>
      <c r="BS26" s="1132"/>
      <c r="BT26" s="1132"/>
      <c r="BU26" s="1132"/>
      <c r="BV26" s="1132"/>
      <c r="BW26" s="1132"/>
      <c r="BX26" s="1132"/>
      <c r="BY26" s="1132"/>
      <c r="BZ26" s="1132"/>
      <c r="CA26" s="1132"/>
      <c r="CB26" s="1132"/>
      <c r="CC26" s="1132"/>
      <c r="CD26" s="1132"/>
      <c r="CE26" s="1132"/>
      <c r="CF26" s="1132"/>
      <c r="CG26" s="1132"/>
      <c r="CH26" s="1132"/>
      <c r="CI26" s="1132"/>
      <c r="CJ26" s="1132"/>
      <c r="CK26" s="1132"/>
      <c r="CL26" s="1132"/>
      <c r="CM26" s="1132"/>
      <c r="CN26" s="1132"/>
      <c r="CO26" s="1132"/>
      <c r="CP26" s="1132"/>
      <c r="CQ26" s="1132"/>
      <c r="CR26" s="1132"/>
      <c r="CS26" s="1132"/>
      <c r="CT26" s="1132"/>
      <c r="CU26" s="1132"/>
      <c r="CV26" s="1132"/>
      <c r="CW26" s="1132"/>
      <c r="CX26" s="1132"/>
      <c r="CY26" s="1132"/>
      <c r="CZ26" s="1132"/>
      <c r="DA26" s="1132"/>
      <c r="DB26" s="1132"/>
      <c r="DC26" s="1132"/>
      <c r="DD26" s="1132"/>
      <c r="DE26" s="1132"/>
      <c r="DF26" s="1132"/>
      <c r="DG26" s="1132"/>
      <c r="DH26" s="1132"/>
      <c r="DI26" s="1132"/>
      <c r="DJ26" s="1132"/>
      <c r="DK26" s="1132"/>
      <c r="DL26" s="1132"/>
      <c r="DM26" s="1132"/>
      <c r="DN26" s="1132"/>
      <c r="DO26" s="1132"/>
      <c r="DP26" s="1132"/>
      <c r="DQ26" s="1132"/>
      <c r="DR26" s="1132"/>
      <c r="DS26" s="1132"/>
      <c r="DT26" s="1132"/>
      <c r="DU26" s="1132"/>
      <c r="DV26" s="1132"/>
      <c r="DW26" s="1132"/>
      <c r="DX26" s="1132"/>
      <c r="DY26" s="1132"/>
      <c r="DZ26" s="1132"/>
      <c r="EA26" s="1132"/>
      <c r="EB26" s="1132"/>
      <c r="EC26" s="1132"/>
      <c r="ED26" s="1132"/>
      <c r="EE26" s="1132"/>
      <c r="EF26" s="1132"/>
      <c r="EG26" s="1132"/>
      <c r="EH26" s="1132"/>
      <c r="EI26" s="1132"/>
      <c r="EJ26" s="923"/>
      <c r="EK26" s="923"/>
      <c r="EL26" s="923"/>
      <c r="EM26" s="923"/>
      <c r="EN26" s="923"/>
      <c r="EO26" s="923"/>
      <c r="EP26" s="923"/>
      <c r="EQ26" s="923"/>
      <c r="ER26" s="923"/>
      <c r="ES26" s="923"/>
      <c r="ET26" s="923"/>
      <c r="EU26" s="923"/>
      <c r="EV26" s="923"/>
      <c r="EW26" s="923"/>
      <c r="EX26" s="923"/>
      <c r="EY26" s="923"/>
      <c r="EZ26" s="923"/>
      <c r="FA26" s="923"/>
      <c r="FB26" s="923"/>
      <c r="FC26" s="923"/>
      <c r="FD26" s="923"/>
      <c r="FE26" s="923"/>
      <c r="FF26" s="923"/>
      <c r="FG26" s="923"/>
      <c r="FH26" s="923"/>
      <c r="FI26" s="923"/>
      <c r="FJ26" s="923"/>
      <c r="FK26" s="923"/>
      <c r="FL26" s="923"/>
      <c r="FM26" s="923"/>
      <c r="FN26" s="923"/>
      <c r="FO26" s="923"/>
      <c r="FP26" s="923"/>
      <c r="FQ26" s="923"/>
      <c r="FR26" s="923"/>
      <c r="FS26" s="923"/>
      <c r="FT26" s="923"/>
      <c r="FU26" s="923"/>
      <c r="FV26" s="923"/>
      <c r="FW26" s="923"/>
      <c r="FX26" s="923"/>
      <c r="FY26" s="923"/>
      <c r="FZ26" s="923"/>
      <c r="GA26" s="923"/>
      <c r="GB26" s="923"/>
      <c r="GC26" s="923"/>
      <c r="GD26" s="923"/>
      <c r="GE26" s="923"/>
      <c r="GF26" s="923"/>
      <c r="GG26" s="1105"/>
      <c r="GH26" s="923"/>
      <c r="GI26" s="923"/>
      <c r="GJ26" s="923"/>
      <c r="GK26" s="923"/>
      <c r="GL26" s="923"/>
      <c r="GM26" s="923"/>
      <c r="GN26" s="923"/>
      <c r="GO26" s="923"/>
      <c r="GP26" s="923"/>
      <c r="GQ26" s="923"/>
      <c r="GR26" s="923"/>
      <c r="GS26" s="923"/>
      <c r="GT26" s="923"/>
      <c r="GU26" s="923"/>
      <c r="GV26" s="923"/>
      <c r="GW26" s="923"/>
      <c r="GX26" s="923"/>
      <c r="GY26" s="923"/>
      <c r="GZ26" s="923"/>
      <c r="HA26" s="923"/>
      <c r="HB26" s="923"/>
      <c r="HC26" s="923"/>
      <c r="HD26" s="923"/>
      <c r="HE26" s="923"/>
      <c r="HF26" s="923"/>
      <c r="HG26" s="923"/>
      <c r="HH26" s="923"/>
      <c r="HI26" s="923"/>
      <c r="HJ26" s="923"/>
      <c r="HK26" s="923"/>
      <c r="HL26" s="923"/>
      <c r="HM26" s="923"/>
      <c r="HN26" s="923"/>
      <c r="HO26" s="923"/>
      <c r="HP26" s="923"/>
      <c r="HQ26" s="923"/>
      <c r="HR26" s="923"/>
      <c r="HS26" s="923"/>
      <c r="HT26" s="923"/>
      <c r="HU26" s="923"/>
      <c r="HV26" s="923"/>
      <c r="HW26" s="923"/>
      <c r="HX26" s="923"/>
      <c r="HY26" s="923"/>
      <c r="HZ26" s="923"/>
      <c r="IA26" s="923"/>
      <c r="IB26" s="923"/>
      <c r="IC26" s="923"/>
      <c r="ID26" s="923"/>
      <c r="IE26" s="923"/>
      <c r="IF26" s="923"/>
      <c r="IG26" s="923"/>
      <c r="IH26" s="923"/>
      <c r="II26" s="923"/>
      <c r="IJ26" s="923"/>
      <c r="IK26" s="923"/>
    </row>
    <row r="27" spans="1:245" ht="15" customHeight="1" thickBot="1">
      <c r="A27" s="72"/>
      <c r="B27" s="72"/>
      <c r="C27" s="72"/>
      <c r="D27" s="1131"/>
      <c r="E27" s="442"/>
      <c r="F27" s="442"/>
      <c r="G27" s="442"/>
      <c r="H27" s="442"/>
      <c r="I27" s="442"/>
      <c r="J27" s="442"/>
      <c r="K27" s="442"/>
      <c r="L27" s="442"/>
      <c r="M27" s="442"/>
      <c r="N27" s="442"/>
      <c r="O27" s="442"/>
      <c r="P27" s="442"/>
      <c r="Q27" s="442"/>
      <c r="R27" s="442"/>
      <c r="S27" s="442"/>
      <c r="T27" s="442"/>
      <c r="U27" s="442"/>
      <c r="V27" s="442"/>
      <c r="W27" s="442"/>
      <c r="X27" s="442"/>
      <c r="Y27" s="442"/>
      <c r="Z27" s="442"/>
      <c r="AA27" s="442"/>
      <c r="AB27" s="442"/>
      <c r="AC27" s="442"/>
      <c r="AD27" s="442"/>
      <c r="AE27" s="442"/>
      <c r="AF27" s="442"/>
      <c r="AG27" s="442"/>
      <c r="AH27" s="442"/>
      <c r="AI27" s="442"/>
      <c r="AJ27" s="1132"/>
      <c r="AK27" s="1132"/>
      <c r="AL27" s="1132"/>
      <c r="AM27" s="1132"/>
      <c r="AN27" s="1132"/>
      <c r="AO27" s="1132"/>
      <c r="AP27" s="1132"/>
      <c r="AQ27" s="1132"/>
      <c r="AR27" s="1132"/>
      <c r="AS27" s="1132"/>
      <c r="AT27" s="1132"/>
      <c r="AU27" s="1132"/>
      <c r="AV27" s="1132"/>
      <c r="AW27" s="1132"/>
      <c r="AX27" s="1132"/>
      <c r="AY27" s="1132"/>
      <c r="AZ27" s="1132"/>
      <c r="BA27" s="1132"/>
      <c r="BB27" s="1126"/>
      <c r="BC27" s="1126"/>
      <c r="BD27" s="1126"/>
      <c r="BE27" s="1126"/>
      <c r="BF27" s="1126"/>
      <c r="BG27" s="1126"/>
      <c r="BH27" s="1126"/>
      <c r="BI27" s="1126"/>
      <c r="BJ27" s="1126"/>
      <c r="BK27" s="1126"/>
      <c r="BL27" s="1126"/>
      <c r="BM27" s="1126"/>
      <c r="BN27" s="1126"/>
      <c r="BO27" s="1126"/>
      <c r="BP27" s="1126"/>
      <c r="BQ27" s="1126"/>
      <c r="BR27" s="1126"/>
      <c r="BS27" s="1126"/>
      <c r="BT27" s="1126"/>
      <c r="BU27" s="1126"/>
      <c r="BV27" s="1126"/>
      <c r="BW27" s="1126"/>
      <c r="BX27" s="1126"/>
      <c r="BY27" s="1126"/>
      <c r="BZ27" s="1126"/>
      <c r="CA27" s="1126"/>
      <c r="CB27" s="1126"/>
      <c r="CC27" s="1126"/>
      <c r="CD27" s="1126"/>
      <c r="CE27" s="1126"/>
      <c r="CF27" s="1126"/>
      <c r="CG27" s="1126"/>
      <c r="CH27" s="1126"/>
      <c r="CI27" s="1126"/>
      <c r="CJ27" s="1126"/>
      <c r="CK27" s="1126"/>
      <c r="CL27" s="1126"/>
      <c r="CM27" s="1126"/>
      <c r="CN27" s="1126"/>
      <c r="CO27" s="1126"/>
      <c r="CP27" s="1126"/>
      <c r="CQ27" s="1126"/>
      <c r="CR27" s="1126"/>
      <c r="CS27" s="1126"/>
      <c r="CT27" s="1126"/>
      <c r="CU27" s="1126"/>
      <c r="CV27" s="1126"/>
      <c r="CW27" s="1126"/>
      <c r="CX27" s="1126"/>
      <c r="CY27" s="1126"/>
      <c r="CZ27" s="1126"/>
      <c r="DA27" s="1126"/>
      <c r="DB27" s="1126"/>
      <c r="DC27" s="1126"/>
      <c r="DD27" s="1126"/>
      <c r="DE27" s="1126"/>
      <c r="DF27" s="1126"/>
      <c r="DG27" s="1126"/>
      <c r="DH27" s="1126"/>
      <c r="DI27" s="1126"/>
      <c r="DJ27" s="1126"/>
      <c r="DK27" s="1126"/>
      <c r="DL27" s="1126"/>
      <c r="DM27" s="1126"/>
      <c r="DN27" s="1126"/>
      <c r="DO27" s="1126"/>
      <c r="DP27" s="1126"/>
      <c r="DQ27" s="1126"/>
      <c r="DR27" s="1126"/>
      <c r="DS27" s="1126"/>
      <c r="DT27" s="1126"/>
      <c r="DU27" s="1126"/>
      <c r="DV27" s="1126"/>
      <c r="DW27" s="1126"/>
      <c r="DX27" s="1126"/>
      <c r="DY27" s="1126"/>
      <c r="DZ27" s="1126"/>
      <c r="EA27" s="1126"/>
      <c r="EB27" s="1126"/>
      <c r="EC27" s="1126"/>
      <c r="ED27" s="1126"/>
      <c r="EE27" s="1126"/>
      <c r="EF27" s="1126"/>
      <c r="EG27" s="1126"/>
      <c r="EH27" s="1126"/>
      <c r="EI27" s="1126"/>
      <c r="EJ27" s="923"/>
      <c r="EK27" s="923"/>
      <c r="EL27" s="923"/>
      <c r="EM27" s="923"/>
      <c r="EN27" s="923"/>
      <c r="EO27" s="923"/>
      <c r="EP27" s="923"/>
      <c r="EQ27" s="923"/>
      <c r="ER27" s="923"/>
      <c r="ES27" s="923"/>
      <c r="ET27" s="923"/>
      <c r="EU27" s="923"/>
      <c r="EV27" s="923"/>
      <c r="EW27" s="923"/>
      <c r="EX27" s="923"/>
      <c r="EY27" s="923"/>
      <c r="EZ27" s="923"/>
      <c r="FA27" s="923"/>
      <c r="FB27" s="923"/>
      <c r="FC27" s="923"/>
      <c r="FD27" s="923"/>
      <c r="FE27" s="923"/>
      <c r="FF27" s="923"/>
      <c r="FG27" s="923"/>
      <c r="FH27" s="923"/>
      <c r="FI27" s="923"/>
      <c r="FJ27" s="923"/>
      <c r="FK27" s="923"/>
      <c r="FL27" s="923"/>
      <c r="FM27" s="923"/>
      <c r="FN27" s="923"/>
      <c r="FO27" s="923"/>
      <c r="FP27" s="923"/>
      <c r="FQ27" s="923"/>
      <c r="FR27" s="923"/>
      <c r="FS27" s="923"/>
      <c r="FT27" s="923"/>
      <c r="FU27" s="923"/>
      <c r="FV27" s="923"/>
      <c r="FW27" s="923"/>
      <c r="FX27" s="923"/>
      <c r="FY27" s="923"/>
      <c r="FZ27" s="923"/>
      <c r="GA27" s="923"/>
      <c r="GB27" s="923"/>
      <c r="GC27" s="923"/>
      <c r="GD27" s="923"/>
      <c r="GE27" s="923"/>
      <c r="GF27" s="923"/>
      <c r="GG27" s="1105"/>
      <c r="GH27" s="923"/>
      <c r="GI27" s="923"/>
      <c r="GJ27" s="923"/>
      <c r="GK27" s="923"/>
      <c r="GL27" s="923"/>
      <c r="GM27" s="923"/>
      <c r="GN27" s="923"/>
      <c r="GO27" s="923"/>
      <c r="GP27" s="923"/>
      <c r="GQ27" s="923"/>
      <c r="GR27" s="923"/>
      <c r="GS27" s="923"/>
      <c r="GT27" s="923"/>
      <c r="GU27" s="923"/>
      <c r="GV27" s="923"/>
      <c r="GW27" s="923"/>
      <c r="GX27" s="923"/>
      <c r="GY27" s="923"/>
      <c r="GZ27" s="923"/>
      <c r="HA27" s="923"/>
      <c r="HB27" s="923"/>
      <c r="HC27" s="923"/>
      <c r="HD27" s="923"/>
      <c r="HE27" s="923"/>
      <c r="HF27" s="923"/>
      <c r="HG27" s="923"/>
      <c r="HH27" s="923"/>
      <c r="HI27" s="923"/>
      <c r="HJ27" s="923"/>
      <c r="HK27" s="923"/>
      <c r="HL27" s="923"/>
      <c r="HM27" s="923"/>
      <c r="HN27" s="923"/>
      <c r="HO27" s="923"/>
      <c r="HP27" s="923"/>
      <c r="HQ27" s="923"/>
      <c r="HR27" s="923"/>
      <c r="HS27" s="923"/>
      <c r="HT27" s="923"/>
      <c r="HU27" s="923"/>
      <c r="HV27" s="923"/>
      <c r="HW27" s="923"/>
      <c r="HX27" s="923"/>
      <c r="HY27" s="923"/>
      <c r="HZ27" s="923"/>
      <c r="IA27" s="923"/>
      <c r="IB27" s="923"/>
      <c r="IC27" s="923"/>
      <c r="ID27" s="923"/>
      <c r="IE27" s="923"/>
      <c r="IF27" s="923"/>
      <c r="IG27" s="923"/>
      <c r="IH27" s="923"/>
      <c r="II27" s="923"/>
      <c r="IJ27" s="923"/>
      <c r="IK27" s="923"/>
    </row>
    <row r="28" spans="1:245" ht="15" customHeight="1" thickTop="1">
      <c r="A28" s="72"/>
      <c r="B28" s="72"/>
      <c r="C28" s="72"/>
      <c r="D28" s="1255" t="str">
        <f>IF(MasterSheet!$A$1=1,MasterSheet!B442,MasterSheet!B441)</f>
        <v>Stanje javnog duga, kvartalno</v>
      </c>
      <c r="E28" s="1248">
        <v>2012</v>
      </c>
      <c r="F28" s="1249"/>
      <c r="G28" s="1249"/>
      <c r="H28" s="1249"/>
      <c r="I28" s="1249"/>
      <c r="J28" s="1249"/>
      <c r="K28" s="1249"/>
      <c r="L28" s="1249"/>
      <c r="M28" s="1248">
        <v>2013</v>
      </c>
      <c r="N28" s="1249"/>
      <c r="O28" s="1249"/>
      <c r="P28" s="1249"/>
      <c r="Q28" s="1249"/>
      <c r="R28" s="1249"/>
      <c r="S28" s="1249"/>
      <c r="T28" s="1250"/>
      <c r="U28" s="1248"/>
      <c r="V28" s="1249"/>
      <c r="W28" s="1249"/>
      <c r="X28" s="1249"/>
      <c r="Y28" s="1249"/>
      <c r="Z28" s="1249"/>
      <c r="AA28" s="1249"/>
      <c r="AB28" s="1250"/>
      <c r="AC28" s="442"/>
      <c r="AD28" s="442"/>
      <c r="AE28" s="442"/>
      <c r="AF28" s="442"/>
      <c r="AG28" s="442"/>
      <c r="AH28" s="442"/>
      <c r="AI28" s="442"/>
      <c r="AJ28" s="1132"/>
      <c r="AK28" s="1132"/>
      <c r="AL28" s="1132"/>
      <c r="AM28" s="1132"/>
      <c r="AN28" s="1132"/>
      <c r="AO28" s="1132"/>
      <c r="AP28" s="1132"/>
      <c r="AQ28" s="1132"/>
      <c r="AR28" s="1132"/>
      <c r="AS28" s="1132"/>
      <c r="AT28" s="1132"/>
      <c r="AU28" s="1132"/>
      <c r="AV28" s="1132"/>
      <c r="AW28" s="1132"/>
      <c r="AX28" s="1132"/>
      <c r="AY28" s="1132"/>
      <c r="AZ28" s="1132"/>
      <c r="BA28" s="1132"/>
      <c r="BB28" s="1104"/>
      <c r="BC28" s="923"/>
      <c r="BD28" s="923"/>
      <c r="BE28" s="923"/>
      <c r="BF28" s="923"/>
      <c r="BG28" s="923"/>
      <c r="BH28" s="923"/>
      <c r="BI28" s="923"/>
      <c r="BJ28" s="923"/>
      <c r="BK28" s="923"/>
      <c r="BL28" s="923"/>
      <c r="BM28" s="923"/>
      <c r="BN28" s="923"/>
      <c r="BO28" s="923"/>
      <c r="BP28" s="923"/>
      <c r="BQ28" s="923"/>
      <c r="BR28" s="923"/>
      <c r="BS28" s="923"/>
      <c r="BT28" s="923"/>
      <c r="BU28" s="923"/>
      <c r="BV28" s="923"/>
      <c r="BW28" s="923"/>
      <c r="BX28" s="923"/>
      <c r="BY28" s="923"/>
      <c r="BZ28" s="923"/>
      <c r="CA28" s="923"/>
      <c r="CB28" s="923"/>
      <c r="CC28" s="923"/>
      <c r="CD28" s="923"/>
      <c r="CE28" s="923"/>
      <c r="CF28" s="923"/>
      <c r="CG28" s="923"/>
      <c r="CH28" s="923"/>
      <c r="CI28" s="923"/>
      <c r="CJ28" s="923"/>
      <c r="CK28" s="923"/>
      <c r="CL28" s="923"/>
      <c r="CM28" s="923"/>
      <c r="CN28" s="923"/>
      <c r="CO28" s="923"/>
      <c r="CP28" s="923"/>
      <c r="CQ28" s="923"/>
      <c r="CR28" s="923"/>
      <c r="CS28" s="923"/>
      <c r="CT28" s="923"/>
      <c r="CU28" s="923"/>
      <c r="CV28" s="923"/>
      <c r="CW28" s="923"/>
      <c r="CX28" s="923"/>
      <c r="CY28" s="923"/>
      <c r="CZ28" s="923"/>
      <c r="DA28" s="923"/>
      <c r="DB28" s="923"/>
      <c r="DC28" s="923"/>
      <c r="DD28" s="923"/>
      <c r="DE28" s="923"/>
      <c r="DF28" s="923"/>
      <c r="DG28" s="923"/>
      <c r="DH28" s="923"/>
      <c r="DI28" s="923"/>
      <c r="DJ28" s="923"/>
      <c r="DK28" s="923"/>
      <c r="DL28" s="923"/>
      <c r="DM28" s="923"/>
      <c r="DN28" s="923"/>
      <c r="DO28" s="923"/>
      <c r="DP28" s="923"/>
      <c r="DQ28" s="923"/>
      <c r="DR28" s="923"/>
      <c r="DS28" s="923"/>
      <c r="DT28" s="923"/>
      <c r="DU28" s="923"/>
      <c r="DV28" s="923"/>
      <c r="DW28" s="923"/>
      <c r="DX28" s="923"/>
      <c r="DY28" s="923"/>
      <c r="DZ28" s="923"/>
      <c r="EA28" s="923"/>
      <c r="EB28" s="923"/>
      <c r="EC28" s="923"/>
      <c r="ED28" s="923"/>
      <c r="EE28" s="923"/>
      <c r="EF28" s="923"/>
      <c r="EG28" s="923"/>
      <c r="EH28" s="923"/>
      <c r="EI28" s="923"/>
      <c r="EJ28" s="923"/>
      <c r="EK28" s="923"/>
      <c r="EL28" s="923"/>
      <c r="EM28" s="923"/>
      <c r="EN28" s="923"/>
      <c r="EO28" s="923"/>
      <c r="EP28" s="923"/>
      <c r="EQ28" s="923"/>
      <c r="ER28" s="923"/>
      <c r="ES28" s="923"/>
      <c r="ET28" s="923"/>
      <c r="EU28" s="923"/>
      <c r="EV28" s="923"/>
      <c r="EW28" s="923"/>
      <c r="EX28" s="923"/>
      <c r="EY28" s="923"/>
      <c r="EZ28" s="923"/>
      <c r="FA28" s="923"/>
      <c r="FB28" s="923"/>
      <c r="FC28" s="923"/>
      <c r="FD28" s="923"/>
      <c r="FE28" s="923"/>
      <c r="FF28" s="923"/>
      <c r="FG28" s="923"/>
      <c r="FH28" s="923"/>
      <c r="FI28" s="923"/>
      <c r="FJ28" s="923"/>
      <c r="FK28" s="923"/>
      <c r="FL28" s="923"/>
      <c r="FM28" s="923"/>
      <c r="FN28" s="923"/>
      <c r="FO28" s="923"/>
      <c r="FP28" s="923"/>
      <c r="FQ28" s="923"/>
      <c r="FR28" s="923"/>
      <c r="FS28" s="923"/>
      <c r="FT28" s="923"/>
      <c r="FU28" s="923"/>
      <c r="FV28" s="923"/>
      <c r="FW28" s="923"/>
      <c r="FX28" s="923"/>
      <c r="FY28" s="923"/>
      <c r="FZ28" s="923"/>
      <c r="GA28" s="923"/>
      <c r="GB28" s="923"/>
      <c r="GC28" s="923"/>
      <c r="GD28" s="923"/>
      <c r="GE28" s="923"/>
      <c r="GF28" s="923"/>
      <c r="GG28" s="1105"/>
      <c r="GH28" s="923"/>
      <c r="GI28" s="923"/>
      <c r="GJ28" s="923"/>
      <c r="GK28" s="923"/>
      <c r="GL28" s="923"/>
      <c r="GM28" s="923"/>
      <c r="GN28" s="923"/>
      <c r="GO28" s="923"/>
      <c r="GP28" s="923"/>
      <c r="GQ28" s="923"/>
      <c r="GR28" s="923"/>
      <c r="GS28" s="923"/>
      <c r="GT28" s="923"/>
      <c r="GU28" s="923"/>
      <c r="GV28" s="923"/>
      <c r="GW28" s="923"/>
      <c r="GX28" s="923"/>
      <c r="GY28" s="923"/>
      <c r="GZ28" s="923"/>
      <c r="HA28" s="923"/>
      <c r="HB28" s="923"/>
      <c r="HC28" s="923"/>
      <c r="HD28" s="923"/>
      <c r="HE28" s="923"/>
      <c r="HF28" s="923"/>
      <c r="HG28" s="923"/>
      <c r="HH28" s="923"/>
      <c r="HI28" s="923"/>
      <c r="HJ28" s="923"/>
      <c r="HK28" s="923"/>
      <c r="HL28" s="923"/>
      <c r="HM28" s="923"/>
      <c r="HN28" s="923"/>
      <c r="HO28" s="923"/>
      <c r="HP28" s="923"/>
      <c r="HQ28" s="923"/>
      <c r="HR28" s="923"/>
      <c r="HS28" s="923"/>
      <c r="HT28" s="923"/>
      <c r="HU28" s="923"/>
      <c r="HV28" s="923"/>
      <c r="HW28" s="923"/>
      <c r="HX28" s="923"/>
      <c r="HY28" s="923"/>
      <c r="HZ28" s="923"/>
      <c r="IA28" s="923"/>
      <c r="IB28" s="923"/>
      <c r="IC28" s="923"/>
      <c r="ID28" s="923"/>
      <c r="IE28" s="923"/>
      <c r="IF28" s="923"/>
      <c r="IG28" s="923"/>
      <c r="IH28" s="923"/>
      <c r="II28" s="923"/>
      <c r="IJ28" s="923"/>
      <c r="IK28" s="923"/>
    </row>
    <row r="29" spans="1:245" ht="15" customHeight="1">
      <c r="A29" s="72"/>
      <c r="B29" s="72"/>
      <c r="C29" s="72"/>
      <c r="D29" s="1256"/>
      <c r="E29" s="1245" t="str">
        <f>IF(MasterSheet!$A$1=1,MasterSheet!$C$442,MasterSheet!$C$441)</f>
        <v>I kvartal</v>
      </c>
      <c r="F29" s="1246"/>
      <c r="G29" s="1245" t="str">
        <f>IF(MasterSheet!$A$1=1,MasterSheet!$D$442,MasterSheet!$D$441)</f>
        <v>II kvartal</v>
      </c>
      <c r="H29" s="1246"/>
      <c r="I29" s="1245" t="str">
        <f>IF(MasterSheet!$A$1=1,MasterSheet!$E$442,MasterSheet!$E$441)</f>
        <v>III kvartal</v>
      </c>
      <c r="J29" s="1246"/>
      <c r="K29" s="1245" t="str">
        <f>IF(MasterSheet!$A$1=1,MasterSheet!$F$442,MasterSheet!$F$441)</f>
        <v>IV kvartal</v>
      </c>
      <c r="L29" s="1246"/>
      <c r="M29" s="1245" t="str">
        <f>IF(MasterSheet!$A$1=1,MasterSheet!$C$442,MasterSheet!$C$441)</f>
        <v>I kvartal</v>
      </c>
      <c r="N29" s="1246"/>
      <c r="O29" s="1245" t="str">
        <f>IF(MasterSheet!$A$1=1,MasterSheet!$D$442,MasterSheet!$D$441)</f>
        <v>II kvartal</v>
      </c>
      <c r="P29" s="1246"/>
      <c r="Q29" s="1245" t="str">
        <f>IF(MasterSheet!$A$1=1,MasterSheet!$E$442,MasterSheet!$E$441)</f>
        <v>III kvartal</v>
      </c>
      <c r="R29" s="1246"/>
      <c r="S29" s="1245" t="str">
        <f>IF(MasterSheet!$A$1=1,MasterSheet!$F$442,MasterSheet!$F$441)</f>
        <v>IV kvartal</v>
      </c>
      <c r="T29" s="1247"/>
      <c r="U29" s="1258"/>
      <c r="V29" s="1262"/>
      <c r="W29" s="1262"/>
      <c r="X29" s="1262"/>
      <c r="Y29" s="1262"/>
      <c r="Z29" s="1262"/>
      <c r="AA29" s="1262"/>
      <c r="AB29" s="1259"/>
      <c r="AC29" s="442"/>
      <c r="AD29" s="442"/>
      <c r="AE29" s="442"/>
      <c r="AF29" s="442"/>
      <c r="AG29" s="442"/>
      <c r="AH29" s="442"/>
      <c r="AI29" s="442"/>
      <c r="AJ29" s="1132"/>
      <c r="AK29" s="1132"/>
      <c r="AL29" s="1132"/>
      <c r="AM29" s="1132"/>
      <c r="AN29" s="1132"/>
      <c r="AO29" s="1132"/>
      <c r="AP29" s="1132"/>
      <c r="AQ29" s="1132"/>
      <c r="AR29" s="1132"/>
      <c r="AS29" s="1132"/>
      <c r="AT29" s="1132"/>
      <c r="AU29" s="1132"/>
      <c r="AV29" s="1132"/>
      <c r="AW29" s="1132"/>
      <c r="AX29" s="1132"/>
      <c r="AY29" s="1132"/>
      <c r="AZ29" s="1132"/>
      <c r="BA29" s="1132"/>
      <c r="BB29" s="1104"/>
      <c r="BC29" s="923"/>
      <c r="BD29" s="923"/>
      <c r="BE29" s="923"/>
      <c r="BF29" s="923"/>
      <c r="BG29" s="923"/>
      <c r="BH29" s="923"/>
      <c r="BI29" s="923"/>
      <c r="BJ29" s="923"/>
      <c r="BK29" s="923"/>
      <c r="BL29" s="923"/>
      <c r="BM29" s="923"/>
      <c r="BN29" s="923"/>
      <c r="BO29" s="923"/>
      <c r="BP29" s="923"/>
      <c r="BQ29" s="923"/>
      <c r="BR29" s="923"/>
      <c r="BS29" s="923"/>
      <c r="BT29" s="923"/>
      <c r="BU29" s="923"/>
      <c r="BV29" s="923"/>
      <c r="BW29" s="923"/>
      <c r="BX29" s="923"/>
      <c r="BY29" s="923"/>
      <c r="BZ29" s="923"/>
      <c r="CA29" s="923"/>
      <c r="CB29" s="923"/>
      <c r="CC29" s="923"/>
      <c r="CD29" s="923"/>
      <c r="CE29" s="923"/>
      <c r="CF29" s="923"/>
      <c r="CG29" s="923"/>
      <c r="CH29" s="923"/>
      <c r="CI29" s="923"/>
      <c r="CJ29" s="923"/>
      <c r="CK29" s="923"/>
      <c r="CL29" s="923"/>
      <c r="CM29" s="923"/>
      <c r="CN29" s="923"/>
      <c r="CO29" s="923"/>
      <c r="CP29" s="923"/>
      <c r="CQ29" s="923"/>
      <c r="CR29" s="923"/>
      <c r="CS29" s="923"/>
      <c r="CT29" s="923"/>
      <c r="CU29" s="923"/>
      <c r="CV29" s="923"/>
      <c r="CW29" s="923"/>
      <c r="CX29" s="923"/>
      <c r="CY29" s="923"/>
      <c r="CZ29" s="923"/>
      <c r="DA29" s="923"/>
      <c r="DB29" s="923"/>
      <c r="DC29" s="923"/>
      <c r="DD29" s="923"/>
      <c r="DE29" s="923"/>
      <c r="DF29" s="923"/>
      <c r="DG29" s="923"/>
      <c r="DH29" s="923"/>
      <c r="DI29" s="923"/>
      <c r="DJ29" s="923"/>
      <c r="DK29" s="923"/>
      <c r="DL29" s="923"/>
      <c r="DM29" s="923"/>
      <c r="DN29" s="923"/>
      <c r="DO29" s="923"/>
      <c r="DP29" s="923"/>
      <c r="DQ29" s="923"/>
      <c r="DR29" s="923"/>
      <c r="DS29" s="923"/>
      <c r="DT29" s="923"/>
      <c r="DU29" s="923"/>
      <c r="DV29" s="923"/>
      <c r="DW29" s="923"/>
      <c r="DX29" s="923"/>
      <c r="DY29" s="923"/>
      <c r="DZ29" s="923"/>
      <c r="EA29" s="923"/>
      <c r="EB29" s="923"/>
      <c r="EC29" s="923"/>
      <c r="ED29" s="923"/>
      <c r="EE29" s="923"/>
      <c r="EF29" s="923"/>
      <c r="EG29" s="923"/>
      <c r="EH29" s="923"/>
      <c r="EI29" s="923"/>
      <c r="EJ29" s="923"/>
      <c r="EK29" s="923"/>
      <c r="EL29" s="923"/>
      <c r="EM29" s="923"/>
      <c r="EN29" s="923"/>
      <c r="EO29" s="923"/>
      <c r="EP29" s="923"/>
      <c r="EQ29" s="923"/>
      <c r="ER29" s="923"/>
      <c r="ES29" s="923"/>
      <c r="ET29" s="923"/>
      <c r="EU29" s="923"/>
      <c r="EV29" s="923"/>
      <c r="EW29" s="923"/>
      <c r="EX29" s="923"/>
      <c r="EY29" s="923"/>
      <c r="EZ29" s="923"/>
      <c r="FA29" s="923"/>
      <c r="FB29" s="923"/>
      <c r="FC29" s="923"/>
      <c r="FD29" s="923"/>
      <c r="FE29" s="923"/>
      <c r="FF29" s="923"/>
      <c r="FG29" s="923"/>
      <c r="FH29" s="923"/>
      <c r="FI29" s="923"/>
      <c r="FJ29" s="923"/>
      <c r="FK29" s="923"/>
      <c r="FL29" s="923"/>
      <c r="FM29" s="923"/>
      <c r="FN29" s="923"/>
      <c r="FO29" s="923"/>
      <c r="FP29" s="923"/>
      <c r="FQ29" s="923"/>
      <c r="FR29" s="923"/>
      <c r="FS29" s="923"/>
      <c r="FT29" s="923"/>
      <c r="FU29" s="923"/>
      <c r="FV29" s="923"/>
      <c r="FW29" s="923"/>
      <c r="FX29" s="923"/>
      <c r="FY29" s="923"/>
      <c r="FZ29" s="923"/>
      <c r="GA29" s="923"/>
      <c r="GB29" s="923"/>
      <c r="GC29" s="923"/>
      <c r="GD29" s="923"/>
      <c r="GE29" s="923"/>
      <c r="GF29" s="923"/>
      <c r="GG29" s="1105"/>
      <c r="GH29" s="923"/>
      <c r="GI29" s="923"/>
      <c r="GJ29" s="923"/>
      <c r="GK29" s="923"/>
      <c r="GL29" s="923"/>
      <c r="GM29" s="923"/>
      <c r="GN29" s="923"/>
      <c r="GO29" s="923"/>
      <c r="GP29" s="923"/>
      <c r="GQ29" s="923"/>
      <c r="GR29" s="923"/>
      <c r="GS29" s="923"/>
      <c r="GT29" s="923"/>
      <c r="GU29" s="923"/>
      <c r="GV29" s="923"/>
      <c r="GW29" s="923"/>
      <c r="GX29" s="923"/>
      <c r="GY29" s="923"/>
      <c r="GZ29" s="923"/>
      <c r="HA29" s="923"/>
      <c r="HB29" s="923"/>
      <c r="HC29" s="923"/>
      <c r="HD29" s="923"/>
      <c r="HE29" s="923"/>
      <c r="HF29" s="923"/>
      <c r="HG29" s="923"/>
      <c r="HH29" s="923"/>
      <c r="HI29" s="923"/>
      <c r="HJ29" s="923"/>
      <c r="HK29" s="923"/>
      <c r="HL29" s="923"/>
      <c r="HM29" s="923"/>
      <c r="HN29" s="923"/>
      <c r="HO29" s="923"/>
      <c r="HP29" s="923"/>
      <c r="HQ29" s="923"/>
      <c r="HR29" s="923"/>
      <c r="HS29" s="923"/>
      <c r="HT29" s="923"/>
      <c r="HU29" s="923"/>
      <c r="HV29" s="923"/>
      <c r="HW29" s="923"/>
      <c r="HX29" s="923"/>
      <c r="HY29" s="923"/>
      <c r="HZ29" s="923"/>
      <c r="IA29" s="923"/>
      <c r="IB29" s="923"/>
      <c r="IC29" s="923"/>
      <c r="ID29" s="923"/>
      <c r="IE29" s="923"/>
      <c r="IF29" s="923"/>
      <c r="IG29" s="923"/>
      <c r="IH29" s="923"/>
      <c r="II29" s="923"/>
      <c r="IJ29" s="923"/>
      <c r="IK29" s="923"/>
    </row>
    <row r="30" spans="1:245" ht="15" customHeight="1" thickBot="1">
      <c r="A30" s="72"/>
      <c r="B30" s="72"/>
      <c r="C30" s="72"/>
      <c r="D30" s="1257"/>
      <c r="E30" s="468" t="str">
        <f>IF(MasterSheet!$A$1=1,MasterSheet!$C$258,MasterSheet!$C$257)</f>
        <v>mil. €</v>
      </c>
      <c r="F30" s="469" t="str">
        <f>IF(MasterSheet!$A$1=1,MasterSheet!$D$258,MasterSheet!$D$257)</f>
        <v xml:space="preserve"> % BDP</v>
      </c>
      <c r="G30" s="468" t="str">
        <f>IF(MasterSheet!$A$1=1,MasterSheet!$C$258,MasterSheet!$C$257)</f>
        <v>mil. €</v>
      </c>
      <c r="H30" s="469" t="str">
        <f>IF(MasterSheet!$A$1=1,MasterSheet!$D$258,MasterSheet!$D$257)</f>
        <v xml:space="preserve"> % BDP</v>
      </c>
      <c r="I30" s="468" t="str">
        <f>IF(MasterSheet!$A$1=1,MasterSheet!$C$258,MasterSheet!$C$257)</f>
        <v>mil. €</v>
      </c>
      <c r="J30" s="469" t="str">
        <f>IF(MasterSheet!$A$1=1,MasterSheet!$D$258,MasterSheet!$D$257)</f>
        <v xml:space="preserve"> % BDP</v>
      </c>
      <c r="K30" s="468" t="str">
        <f>IF(MasterSheet!$A$1=1,MasterSheet!$C$258,MasterSheet!$C$257)</f>
        <v>mil. €</v>
      </c>
      <c r="L30" s="1042" t="str">
        <f>IF(MasterSheet!$A$1=1,MasterSheet!$D$258,MasterSheet!$D$257)</f>
        <v xml:space="preserve"> % BDP</v>
      </c>
      <c r="M30" s="468" t="str">
        <f>IF(MasterSheet!$A$1=1,MasterSheet!$C$258,MasterSheet!$C$257)</f>
        <v>mil. €</v>
      </c>
      <c r="N30" s="469" t="str">
        <f>IF(MasterSheet!$A$1=1,MasterSheet!$D$258,MasterSheet!$D$257)</f>
        <v xml:space="preserve"> % BDP</v>
      </c>
      <c r="O30" s="468" t="str">
        <f>IF(MasterSheet!$A$1=1,MasterSheet!$C$258,MasterSheet!$C$257)</f>
        <v>mil. €</v>
      </c>
      <c r="P30" s="469" t="str">
        <f>IF(MasterSheet!$A$1=1,MasterSheet!$D$258,MasterSheet!$D$257)</f>
        <v xml:space="preserve"> % BDP</v>
      </c>
      <c r="Q30" s="468" t="str">
        <f>IF(MasterSheet!$A$1=1,MasterSheet!$C$258,MasterSheet!$C$257)</f>
        <v>mil. €</v>
      </c>
      <c r="R30" s="469" t="str">
        <f>IF(MasterSheet!$A$1=1,MasterSheet!$D$258,MasterSheet!$D$257)</f>
        <v xml:space="preserve"> % BDP</v>
      </c>
      <c r="S30" s="468" t="str">
        <f>IF(MasterSheet!$A$1=1,MasterSheet!$C$258,MasterSheet!$C$257)</f>
        <v>mil. €</v>
      </c>
      <c r="T30" s="469" t="str">
        <f>IF(MasterSheet!$A$1=1,MasterSheet!$D$258,MasterSheet!$D$257)</f>
        <v xml:space="preserve"> % BDP</v>
      </c>
      <c r="U30" s="468"/>
      <c r="V30" s="469"/>
      <c r="W30" s="468"/>
      <c r="X30" s="469"/>
      <c r="Y30" s="468"/>
      <c r="Z30" s="469"/>
      <c r="AA30" s="468"/>
      <c r="AB30" s="469"/>
      <c r="AC30" s="442"/>
      <c r="AD30" s="442"/>
      <c r="AE30" s="442"/>
      <c r="AF30" s="442"/>
      <c r="AG30" s="442"/>
      <c r="AH30" s="442"/>
      <c r="AI30" s="442"/>
      <c r="AJ30" s="1132"/>
      <c r="AK30" s="1132"/>
      <c r="AL30" s="1132"/>
      <c r="AM30" s="1132"/>
      <c r="AN30" s="1132"/>
      <c r="AO30" s="1132"/>
      <c r="AP30" s="1132"/>
      <c r="AQ30" s="1132"/>
      <c r="AR30" s="1132"/>
      <c r="AS30" s="1132"/>
      <c r="AT30" s="1132"/>
      <c r="AU30" s="1132"/>
      <c r="AV30" s="1132"/>
      <c r="AW30" s="1132"/>
      <c r="AX30" s="1132"/>
      <c r="AY30" s="1132"/>
      <c r="AZ30" s="1132"/>
      <c r="BA30" s="1132"/>
      <c r="BB30" s="1104"/>
      <c r="BC30" s="923"/>
      <c r="BD30" s="923"/>
      <c r="BE30" s="923"/>
      <c r="BF30" s="923"/>
      <c r="BG30" s="923"/>
      <c r="BH30" s="923"/>
      <c r="BI30" s="923"/>
      <c r="BJ30" s="923"/>
      <c r="BK30" s="923"/>
      <c r="BL30" s="923"/>
      <c r="BM30" s="923"/>
      <c r="BN30" s="923"/>
      <c r="BO30" s="923"/>
      <c r="BP30" s="923"/>
      <c r="BQ30" s="923"/>
      <c r="BR30" s="923"/>
      <c r="BS30" s="923"/>
      <c r="BT30" s="923"/>
      <c r="BU30" s="923"/>
      <c r="BV30" s="923"/>
      <c r="BW30" s="923"/>
      <c r="BX30" s="923"/>
      <c r="BY30" s="923"/>
      <c r="BZ30" s="923"/>
      <c r="CA30" s="923"/>
      <c r="CB30" s="923"/>
      <c r="CC30" s="923"/>
      <c r="CD30" s="923"/>
      <c r="CE30" s="923"/>
      <c r="CF30" s="923"/>
      <c r="CG30" s="923"/>
      <c r="CH30" s="923"/>
      <c r="CI30" s="923"/>
      <c r="CJ30" s="923"/>
      <c r="CK30" s="923"/>
      <c r="CL30" s="923"/>
      <c r="CM30" s="923"/>
      <c r="CN30" s="923"/>
      <c r="CO30" s="923"/>
      <c r="CP30" s="923"/>
      <c r="CQ30" s="923"/>
      <c r="CR30" s="923"/>
      <c r="CS30" s="923"/>
      <c r="CT30" s="923"/>
      <c r="CU30" s="923"/>
      <c r="CV30" s="923"/>
      <c r="CW30" s="923"/>
      <c r="CX30" s="923"/>
      <c r="CY30" s="923"/>
      <c r="CZ30" s="923"/>
      <c r="DA30" s="923"/>
      <c r="DB30" s="923"/>
      <c r="DC30" s="923"/>
      <c r="DD30" s="923"/>
      <c r="DE30" s="923"/>
      <c r="DF30" s="923"/>
      <c r="DG30" s="923"/>
      <c r="DH30" s="923"/>
      <c r="DI30" s="923"/>
      <c r="DJ30" s="923"/>
      <c r="DK30" s="923"/>
      <c r="DL30" s="923"/>
      <c r="DM30" s="923"/>
      <c r="DN30" s="923"/>
      <c r="DO30" s="923"/>
      <c r="DP30" s="923"/>
      <c r="DQ30" s="923"/>
      <c r="DR30" s="923"/>
      <c r="DS30" s="923"/>
      <c r="DT30" s="923"/>
      <c r="DU30" s="923"/>
      <c r="DV30" s="923"/>
      <c r="DW30" s="923"/>
      <c r="DX30" s="923"/>
      <c r="DY30" s="923"/>
      <c r="DZ30" s="923"/>
      <c r="EA30" s="923"/>
      <c r="EB30" s="923"/>
      <c r="EC30" s="923"/>
      <c r="ED30" s="923"/>
      <c r="EE30" s="923"/>
      <c r="EF30" s="923"/>
      <c r="EG30" s="923"/>
      <c r="EH30" s="923"/>
      <c r="EI30" s="923"/>
      <c r="EJ30" s="923"/>
      <c r="EK30" s="923"/>
      <c r="EL30" s="923"/>
      <c r="EM30" s="923"/>
      <c r="EN30" s="923"/>
      <c r="EO30" s="923"/>
      <c r="EP30" s="923"/>
      <c r="EQ30" s="923"/>
      <c r="ER30" s="923"/>
      <c r="ES30" s="923"/>
      <c r="ET30" s="923"/>
      <c r="EU30" s="923"/>
      <c r="EV30" s="923"/>
      <c r="EW30" s="923"/>
      <c r="EX30" s="923"/>
      <c r="EY30" s="923"/>
      <c r="EZ30" s="923"/>
      <c r="FA30" s="923"/>
      <c r="FB30" s="923"/>
      <c r="FC30" s="923"/>
      <c r="FD30" s="923"/>
      <c r="FE30" s="923"/>
      <c r="FF30" s="923"/>
      <c r="FG30" s="923"/>
      <c r="FH30" s="923"/>
      <c r="FI30" s="923"/>
      <c r="FJ30" s="923"/>
      <c r="FK30" s="923"/>
      <c r="FL30" s="923"/>
      <c r="FM30" s="923"/>
      <c r="FN30" s="923"/>
      <c r="FO30" s="923"/>
      <c r="FP30" s="923"/>
      <c r="FQ30" s="923"/>
      <c r="FR30" s="923"/>
      <c r="FS30" s="923"/>
      <c r="FT30" s="923"/>
      <c r="FU30" s="923"/>
      <c r="FV30" s="923"/>
      <c r="FW30" s="923"/>
      <c r="FX30" s="923"/>
      <c r="FY30" s="923"/>
      <c r="FZ30" s="923"/>
      <c r="GA30" s="923"/>
      <c r="GB30" s="923"/>
      <c r="GC30" s="923"/>
      <c r="GD30" s="923"/>
      <c r="GE30" s="923"/>
      <c r="GF30" s="923"/>
      <c r="GG30" s="1105"/>
      <c r="GH30" s="923"/>
      <c r="GI30" s="923"/>
      <c r="GJ30" s="923"/>
      <c r="GK30" s="923"/>
      <c r="GL30" s="923"/>
      <c r="GM30" s="923"/>
      <c r="GN30" s="923"/>
      <c r="GO30" s="923"/>
      <c r="GP30" s="923"/>
      <c r="GQ30" s="923"/>
      <c r="GR30" s="923"/>
      <c r="GS30" s="923"/>
      <c r="GT30" s="923"/>
      <c r="GU30" s="923"/>
      <c r="GV30" s="923"/>
      <c r="GW30" s="923"/>
      <c r="GX30" s="923"/>
      <c r="GY30" s="923"/>
      <c r="GZ30" s="923"/>
      <c r="HA30" s="923"/>
      <c r="HB30" s="923"/>
      <c r="HC30" s="923"/>
      <c r="HD30" s="923"/>
      <c r="HE30" s="923"/>
      <c r="HF30" s="923"/>
      <c r="HG30" s="923"/>
      <c r="HH30" s="923"/>
      <c r="HI30" s="923"/>
      <c r="HJ30" s="923"/>
      <c r="HK30" s="923"/>
      <c r="HL30" s="923"/>
      <c r="HM30" s="923"/>
      <c r="HN30" s="923"/>
      <c r="HO30" s="923"/>
      <c r="HP30" s="923"/>
      <c r="HQ30" s="923"/>
      <c r="HR30" s="923"/>
      <c r="HS30" s="923"/>
      <c r="HT30" s="923"/>
      <c r="HU30" s="923"/>
      <c r="HV30" s="923"/>
      <c r="HW30" s="923"/>
      <c r="HX30" s="923"/>
      <c r="HY30" s="923"/>
      <c r="HZ30" s="923"/>
      <c r="IA30" s="923"/>
      <c r="IB30" s="923"/>
      <c r="IC30" s="923"/>
      <c r="ID30" s="923"/>
      <c r="IE30" s="923"/>
      <c r="IF30" s="923"/>
      <c r="IG30" s="923"/>
      <c r="IH30" s="923"/>
      <c r="II30" s="923"/>
      <c r="IJ30" s="923"/>
      <c r="IK30" s="923"/>
    </row>
    <row r="31" spans="1:245" ht="15" customHeight="1" thickTop="1" thickBot="1">
      <c r="A31" s="72"/>
      <c r="B31" s="72"/>
      <c r="C31" s="72"/>
      <c r="D31" s="463" t="str">
        <f>IF(MasterSheet!$A$1=1,MasterSheet!$C$437,MasterSheet!$B$437)</f>
        <v>Ukupno javni dug</v>
      </c>
      <c r="E31" s="974">
        <f>SUM(E32:E33)</f>
        <v>1534800000</v>
      </c>
      <c r="F31" s="977">
        <f>E31/$E$15*100</f>
        <v>48.739282311845031</v>
      </c>
      <c r="G31" s="974">
        <f>SUM(G32:G33)</f>
        <v>1629600000</v>
      </c>
      <c r="H31" s="977">
        <f>G31/$E$15*100</f>
        <v>51.749761829152106</v>
      </c>
      <c r="I31" s="974">
        <f>SUM(I32:I33)</f>
        <v>1707200000</v>
      </c>
      <c r="J31" s="977">
        <f>I31/$E$15*100</f>
        <v>54.214036201968874</v>
      </c>
      <c r="K31" s="974">
        <f>SUM(K32:K33)</f>
        <v>1699500000</v>
      </c>
      <c r="L31" s="1043">
        <f>K31/$E$15*100</f>
        <v>53.969514131470305</v>
      </c>
      <c r="M31" s="978">
        <f>SUM(M32:M33)</f>
        <v>1755700000</v>
      </c>
      <c r="N31" s="977">
        <f>+J42</f>
        <v>49.920386693204435</v>
      </c>
      <c r="O31" s="978">
        <f>+O42</f>
        <v>1760900000</v>
      </c>
      <c r="P31" s="977">
        <f>+P42</f>
        <v>50.068239977253334</v>
      </c>
      <c r="Q31" s="1092">
        <v>1846500000</v>
      </c>
      <c r="R31" s="977">
        <v>52.502132499289168</v>
      </c>
      <c r="S31" s="464"/>
      <c r="T31" s="465"/>
      <c r="U31" s="471"/>
      <c r="V31" s="465"/>
      <c r="W31" s="471"/>
      <c r="X31" s="465"/>
      <c r="Y31" s="471"/>
      <c r="Z31" s="465"/>
      <c r="AA31" s="471"/>
      <c r="AB31" s="465"/>
      <c r="AC31" s="442"/>
      <c r="AD31" s="442"/>
      <c r="AE31" s="442"/>
      <c r="AF31" s="442"/>
      <c r="AG31" s="442"/>
      <c r="AH31" s="442"/>
      <c r="AI31" s="442"/>
      <c r="AJ31" s="1132"/>
      <c r="AK31" s="1132"/>
      <c r="AL31" s="1132"/>
      <c r="AM31" s="1132"/>
      <c r="AN31" s="1132"/>
      <c r="AO31" s="1132"/>
      <c r="AP31" s="1132"/>
      <c r="AQ31" s="1132"/>
      <c r="AR31" s="1132"/>
      <c r="AS31" s="1132"/>
      <c r="AT31" s="1132"/>
      <c r="AU31" s="1132"/>
      <c r="AV31" s="1132"/>
      <c r="AW31" s="1132"/>
      <c r="AX31" s="1132"/>
      <c r="AY31" s="1132"/>
      <c r="AZ31" s="1132"/>
      <c r="BA31" s="1132"/>
      <c r="BB31" s="1104"/>
      <c r="BC31" s="923"/>
      <c r="BD31" s="923"/>
      <c r="BE31" s="923"/>
      <c r="BF31" s="923"/>
      <c r="BG31" s="923"/>
      <c r="BH31" s="923"/>
      <c r="BI31" s="923"/>
      <c r="BJ31" s="923"/>
      <c r="BK31" s="923"/>
      <c r="BL31" s="923"/>
      <c r="BM31" s="923"/>
      <c r="BN31" s="923"/>
      <c r="BO31" s="923"/>
      <c r="BP31" s="923"/>
      <c r="BQ31" s="923"/>
      <c r="BR31" s="923"/>
      <c r="BS31" s="923"/>
      <c r="BT31" s="923"/>
      <c r="BU31" s="923"/>
      <c r="BV31" s="923"/>
      <c r="BW31" s="923"/>
      <c r="BX31" s="923"/>
      <c r="BY31" s="923"/>
      <c r="BZ31" s="923"/>
      <c r="CA31" s="923"/>
      <c r="CB31" s="923"/>
      <c r="CC31" s="923"/>
      <c r="CD31" s="923"/>
      <c r="CE31" s="923"/>
      <c r="CF31" s="923"/>
      <c r="CG31" s="923"/>
      <c r="CH31" s="923"/>
      <c r="CI31" s="923"/>
      <c r="CJ31" s="923"/>
      <c r="CK31" s="923"/>
      <c r="CL31" s="923"/>
      <c r="CM31" s="923"/>
      <c r="CN31" s="923"/>
      <c r="CO31" s="923"/>
      <c r="CP31" s="923"/>
      <c r="CQ31" s="923"/>
      <c r="CR31" s="923"/>
      <c r="CS31" s="923"/>
      <c r="CT31" s="923"/>
      <c r="CU31" s="923"/>
      <c r="CV31" s="923"/>
      <c r="CW31" s="923"/>
      <c r="CX31" s="923"/>
      <c r="CY31" s="923"/>
      <c r="CZ31" s="923"/>
      <c r="DA31" s="923"/>
      <c r="DB31" s="923"/>
      <c r="DC31" s="923"/>
      <c r="DD31" s="923"/>
      <c r="DE31" s="923"/>
      <c r="DF31" s="923"/>
      <c r="DG31" s="923"/>
      <c r="DH31" s="923"/>
      <c r="DI31" s="923"/>
      <c r="DJ31" s="923"/>
      <c r="DK31" s="923"/>
      <c r="DL31" s="923"/>
      <c r="DM31" s="923"/>
      <c r="DN31" s="923"/>
      <c r="DO31" s="923"/>
      <c r="DP31" s="923"/>
      <c r="DQ31" s="923"/>
      <c r="DR31" s="923"/>
      <c r="DS31" s="923"/>
      <c r="DT31" s="923"/>
      <c r="DU31" s="923"/>
      <c r="DV31" s="923"/>
      <c r="DW31" s="923"/>
      <c r="DX31" s="923"/>
      <c r="DY31" s="923"/>
      <c r="DZ31" s="923"/>
      <c r="EA31" s="923"/>
      <c r="EB31" s="923"/>
      <c r="EC31" s="923"/>
      <c r="ED31" s="923"/>
      <c r="EE31" s="923"/>
      <c r="EF31" s="923"/>
      <c r="EG31" s="923"/>
      <c r="EH31" s="923"/>
      <c r="EI31" s="923"/>
      <c r="EJ31" s="923"/>
      <c r="EK31" s="923"/>
      <c r="EL31" s="923"/>
      <c r="EM31" s="923"/>
      <c r="EN31" s="923"/>
      <c r="EO31" s="923"/>
      <c r="EP31" s="923"/>
      <c r="EQ31" s="923"/>
      <c r="ER31" s="923"/>
      <c r="ES31" s="923"/>
      <c r="ET31" s="923"/>
      <c r="EU31" s="923"/>
      <c r="EV31" s="923"/>
      <c r="EW31" s="923"/>
      <c r="EX31" s="923"/>
      <c r="EY31" s="923"/>
      <c r="EZ31" s="923"/>
      <c r="FA31" s="923"/>
      <c r="FB31" s="923"/>
      <c r="FC31" s="923"/>
      <c r="FD31" s="923"/>
      <c r="FE31" s="923"/>
      <c r="FF31" s="923"/>
      <c r="FG31" s="923"/>
      <c r="FH31" s="923"/>
      <c r="FI31" s="923"/>
      <c r="FJ31" s="923"/>
      <c r="FK31" s="923"/>
      <c r="FL31" s="923"/>
      <c r="FM31" s="923"/>
      <c r="FN31" s="923"/>
      <c r="FO31" s="923"/>
      <c r="FP31" s="923"/>
      <c r="FQ31" s="923"/>
      <c r="FR31" s="923"/>
      <c r="FS31" s="923"/>
      <c r="FT31" s="923"/>
      <c r="FU31" s="923"/>
      <c r="FV31" s="923"/>
      <c r="FW31" s="923"/>
      <c r="FX31" s="923"/>
      <c r="FY31" s="923"/>
      <c r="FZ31" s="923"/>
      <c r="GA31" s="923"/>
      <c r="GB31" s="923"/>
      <c r="GC31" s="923"/>
      <c r="GD31" s="923"/>
      <c r="GE31" s="923"/>
      <c r="GF31" s="923"/>
      <c r="GG31" s="1105"/>
      <c r="GH31" s="923"/>
      <c r="GI31" s="923"/>
      <c r="GJ31" s="923"/>
      <c r="GK31" s="923"/>
      <c r="GL31" s="923"/>
      <c r="GM31" s="923"/>
      <c r="GN31" s="923"/>
      <c r="GO31" s="923"/>
      <c r="GP31" s="923"/>
      <c r="GQ31" s="923"/>
      <c r="GR31" s="923"/>
      <c r="GS31" s="923"/>
      <c r="GT31" s="923"/>
      <c r="GU31" s="923"/>
      <c r="GV31" s="923"/>
      <c r="GW31" s="923"/>
      <c r="GX31" s="923"/>
      <c r="GY31" s="923"/>
      <c r="GZ31" s="923"/>
      <c r="HA31" s="923"/>
      <c r="HB31" s="923"/>
      <c r="HC31" s="923"/>
      <c r="HD31" s="923"/>
      <c r="HE31" s="923"/>
      <c r="HF31" s="923"/>
      <c r="HG31" s="923"/>
      <c r="HH31" s="923"/>
      <c r="HI31" s="923"/>
      <c r="HJ31" s="923"/>
      <c r="HK31" s="923"/>
      <c r="HL31" s="923"/>
      <c r="HM31" s="923"/>
      <c r="HN31" s="923"/>
      <c r="HO31" s="923"/>
      <c r="HP31" s="923"/>
      <c r="HQ31" s="923"/>
      <c r="HR31" s="923"/>
      <c r="HS31" s="923"/>
      <c r="HT31" s="923"/>
      <c r="HU31" s="923"/>
      <c r="HV31" s="923"/>
      <c r="HW31" s="923"/>
      <c r="HX31" s="923"/>
      <c r="HY31" s="923"/>
      <c r="HZ31" s="923"/>
      <c r="IA31" s="923"/>
      <c r="IB31" s="923"/>
      <c r="IC31" s="923"/>
      <c r="ID31" s="923"/>
      <c r="IE31" s="923"/>
      <c r="IF31" s="923"/>
      <c r="IG31" s="923"/>
      <c r="IH31" s="923"/>
      <c r="II31" s="923"/>
      <c r="IJ31" s="923"/>
      <c r="IK31" s="923"/>
    </row>
    <row r="32" spans="1:245" ht="15" customHeight="1" thickTop="1">
      <c r="A32" s="72"/>
      <c r="B32" s="72"/>
      <c r="C32" s="72"/>
      <c r="D32" s="478" t="str">
        <f>IF(MasterSheet!$A$1=1,MasterSheet!$C$438,MasterSheet!$B$438)</f>
        <v>Dug prema rezidentima</v>
      </c>
      <c r="E32" s="980">
        <v>426500000</v>
      </c>
      <c r="F32" s="983">
        <f t="shared" ref="F32:F33" si="4">E32/$E$15*100</f>
        <v>13.543982216576692</v>
      </c>
      <c r="G32" s="981">
        <v>424100000</v>
      </c>
      <c r="H32" s="983">
        <f t="shared" ref="H32:H33" si="5">G32/$E$15*100</f>
        <v>13.46776754525246</v>
      </c>
      <c r="I32" s="981">
        <v>399600000</v>
      </c>
      <c r="J32" s="983">
        <f t="shared" ref="J32:J33" si="6">I32/$E$15*100</f>
        <v>12.68974277548428</v>
      </c>
      <c r="K32" s="981">
        <f>+E21</f>
        <v>404500000</v>
      </c>
      <c r="L32" s="1044">
        <f t="shared" ref="L32:L33" si="7">K32/$E$15*100</f>
        <v>12.845347729437917</v>
      </c>
      <c r="M32" s="1045">
        <f t="shared" ref="M32:M33" si="8">+I43</f>
        <v>420300000</v>
      </c>
      <c r="N32" s="983">
        <f t="shared" ref="N32:N33" si="9">+J43</f>
        <v>11.950526016491327</v>
      </c>
      <c r="O32" s="1045">
        <f t="shared" ref="O32:O33" si="10">+O43</f>
        <v>442700000</v>
      </c>
      <c r="P32" s="1044">
        <f t="shared" ref="P32:P33" si="11">+P43</f>
        <v>12.587432470855845</v>
      </c>
      <c r="Q32" s="1090">
        <v>480900000</v>
      </c>
      <c r="R32" s="1091">
        <v>13.673585442138187</v>
      </c>
      <c r="S32" s="476"/>
      <c r="T32" s="309"/>
      <c r="U32" s="476"/>
      <c r="V32" s="477"/>
      <c r="W32" s="476"/>
      <c r="X32" s="477"/>
      <c r="Y32" s="476"/>
      <c r="Z32" s="477"/>
      <c r="AA32" s="476"/>
      <c r="AB32" s="477"/>
      <c r="AC32" s="442"/>
      <c r="AD32" s="442"/>
      <c r="AE32" s="442"/>
      <c r="AF32" s="442"/>
      <c r="AG32" s="442"/>
      <c r="AH32" s="442"/>
      <c r="AI32" s="442"/>
      <c r="AJ32" s="1132"/>
      <c r="AK32" s="1132"/>
      <c r="AL32" s="1132"/>
      <c r="AM32" s="1132"/>
      <c r="AN32" s="1132"/>
      <c r="AO32" s="1132"/>
      <c r="AP32" s="1132"/>
      <c r="AQ32" s="1132"/>
      <c r="AR32" s="1132"/>
      <c r="AS32" s="1132"/>
      <c r="AT32" s="1132"/>
      <c r="AU32" s="1132"/>
      <c r="AV32" s="1132"/>
      <c r="AW32" s="1132"/>
      <c r="AX32" s="1132"/>
      <c r="AY32" s="1132"/>
      <c r="AZ32" s="1132"/>
      <c r="BA32" s="1132"/>
      <c r="BB32" s="1104"/>
      <c r="BC32" s="923"/>
      <c r="BD32" s="923"/>
      <c r="BE32" s="923"/>
      <c r="BF32" s="923"/>
      <c r="BG32" s="923"/>
      <c r="BH32" s="923"/>
      <c r="BI32" s="923"/>
      <c r="BJ32" s="923"/>
      <c r="BK32" s="923"/>
      <c r="BL32" s="923"/>
      <c r="BM32" s="923"/>
      <c r="BN32" s="923"/>
      <c r="BO32" s="923"/>
      <c r="BP32" s="923"/>
      <c r="BQ32" s="923"/>
      <c r="BR32" s="923"/>
      <c r="BS32" s="923"/>
      <c r="BT32" s="923"/>
      <c r="BU32" s="923"/>
      <c r="BV32" s="923"/>
      <c r="BW32" s="923"/>
      <c r="BX32" s="923"/>
      <c r="BY32" s="923"/>
      <c r="BZ32" s="923"/>
      <c r="CA32" s="923"/>
      <c r="CB32" s="923"/>
      <c r="CC32" s="923"/>
      <c r="CD32" s="923"/>
      <c r="CE32" s="923"/>
      <c r="CF32" s="923"/>
      <c r="CG32" s="923"/>
      <c r="CH32" s="923"/>
      <c r="CI32" s="923"/>
      <c r="CJ32" s="923"/>
      <c r="CK32" s="923"/>
      <c r="CL32" s="923"/>
      <c r="CM32" s="923"/>
      <c r="CN32" s="923"/>
      <c r="CO32" s="923"/>
      <c r="CP32" s="923"/>
      <c r="CQ32" s="923"/>
      <c r="CR32" s="923"/>
      <c r="CS32" s="923"/>
      <c r="CT32" s="923"/>
      <c r="CU32" s="923"/>
      <c r="CV32" s="923"/>
      <c r="CW32" s="923"/>
      <c r="CX32" s="923"/>
      <c r="CY32" s="923"/>
      <c r="CZ32" s="923"/>
      <c r="DA32" s="923"/>
      <c r="DB32" s="923"/>
      <c r="DC32" s="923"/>
      <c r="DD32" s="923"/>
      <c r="DE32" s="923"/>
      <c r="DF32" s="923"/>
      <c r="DG32" s="923"/>
      <c r="DH32" s="923"/>
      <c r="DI32" s="923"/>
      <c r="DJ32" s="923"/>
      <c r="DK32" s="923"/>
      <c r="DL32" s="923"/>
      <c r="DM32" s="923"/>
      <c r="DN32" s="923"/>
      <c r="DO32" s="923"/>
      <c r="DP32" s="923"/>
      <c r="DQ32" s="923"/>
      <c r="DR32" s="923"/>
      <c r="DS32" s="923"/>
      <c r="DT32" s="923"/>
      <c r="DU32" s="923"/>
      <c r="DV32" s="923"/>
      <c r="DW32" s="923"/>
      <c r="DX32" s="923"/>
      <c r="DY32" s="923"/>
      <c r="DZ32" s="923"/>
      <c r="EA32" s="923"/>
      <c r="EB32" s="923"/>
      <c r="EC32" s="923"/>
      <c r="ED32" s="923"/>
      <c r="EE32" s="923"/>
      <c r="EF32" s="923"/>
      <c r="EG32" s="923"/>
      <c r="EH32" s="923"/>
      <c r="EI32" s="923"/>
      <c r="EJ32" s="923"/>
      <c r="EK32" s="923"/>
      <c r="EL32" s="923"/>
      <c r="EM32" s="923"/>
      <c r="EN32" s="923"/>
      <c r="EO32" s="923"/>
      <c r="EP32" s="923"/>
      <c r="EQ32" s="923"/>
      <c r="ER32" s="923"/>
      <c r="ES32" s="923"/>
      <c r="ET32" s="923"/>
      <c r="EU32" s="923"/>
      <c r="EV32" s="923"/>
      <c r="EW32" s="923"/>
      <c r="EX32" s="923"/>
      <c r="EY32" s="923"/>
      <c r="EZ32" s="923"/>
      <c r="FA32" s="923"/>
      <c r="FB32" s="923"/>
      <c r="FC32" s="923"/>
      <c r="FD32" s="923"/>
      <c r="FE32" s="923"/>
      <c r="FF32" s="923"/>
      <c r="FG32" s="923"/>
      <c r="FH32" s="923"/>
      <c r="FI32" s="923"/>
      <c r="FJ32" s="923"/>
      <c r="FK32" s="923"/>
      <c r="FL32" s="923"/>
      <c r="FM32" s="923"/>
      <c r="FN32" s="923"/>
      <c r="FO32" s="923"/>
      <c r="FP32" s="923"/>
      <c r="FQ32" s="923"/>
      <c r="FR32" s="923"/>
      <c r="FS32" s="923"/>
      <c r="FT32" s="923"/>
      <c r="FU32" s="923"/>
      <c r="FV32" s="923"/>
      <c r="FW32" s="923"/>
      <c r="FX32" s="923"/>
      <c r="FY32" s="923"/>
      <c r="FZ32" s="923"/>
      <c r="GA32" s="923"/>
      <c r="GB32" s="923"/>
      <c r="GC32" s="923"/>
      <c r="GD32" s="923"/>
      <c r="GE32" s="923"/>
      <c r="GF32" s="923"/>
      <c r="GG32" s="1105"/>
      <c r="GH32" s="923"/>
      <c r="GI32" s="923"/>
      <c r="GJ32" s="923"/>
      <c r="GK32" s="923"/>
      <c r="GL32" s="923"/>
      <c r="GM32" s="923"/>
      <c r="GN32" s="923"/>
      <c r="GO32" s="923"/>
      <c r="GP32" s="923"/>
      <c r="GQ32" s="923"/>
      <c r="GR32" s="923"/>
      <c r="GS32" s="923"/>
      <c r="GT32" s="923"/>
      <c r="GU32" s="923"/>
      <c r="GV32" s="923"/>
      <c r="GW32" s="923"/>
      <c r="GX32" s="923"/>
      <c r="GY32" s="923"/>
      <c r="GZ32" s="923"/>
      <c r="HA32" s="923"/>
      <c r="HB32" s="923"/>
      <c r="HC32" s="923"/>
      <c r="HD32" s="923"/>
      <c r="HE32" s="923"/>
      <c r="HF32" s="923"/>
      <c r="HG32" s="923"/>
      <c r="HH32" s="923"/>
      <c r="HI32" s="923"/>
      <c r="HJ32" s="923"/>
      <c r="HK32" s="923"/>
      <c r="HL32" s="923"/>
      <c r="HM32" s="923"/>
      <c r="HN32" s="923"/>
      <c r="HO32" s="923"/>
      <c r="HP32" s="923"/>
      <c r="HQ32" s="923"/>
      <c r="HR32" s="923"/>
      <c r="HS32" s="923"/>
      <c r="HT32" s="923"/>
      <c r="HU32" s="923"/>
      <c r="HV32" s="923"/>
      <c r="HW32" s="923"/>
      <c r="HX32" s="923"/>
      <c r="HY32" s="923"/>
      <c r="HZ32" s="923"/>
      <c r="IA32" s="923"/>
      <c r="IB32" s="923"/>
      <c r="IC32" s="923"/>
      <c r="ID32" s="923"/>
      <c r="IE32" s="923"/>
      <c r="IF32" s="923"/>
      <c r="IG32" s="923"/>
      <c r="IH32" s="923"/>
      <c r="II32" s="923"/>
      <c r="IJ32" s="923"/>
      <c r="IK32" s="923"/>
    </row>
    <row r="33" spans="1:245" ht="15" customHeight="1" thickBot="1">
      <c r="A33" s="72"/>
      <c r="B33" s="72"/>
      <c r="C33" s="72"/>
      <c r="D33" s="979" t="str">
        <f>IF(MasterSheet!$A$1=1,MasterSheet!$C$439,MasterSheet!B439)</f>
        <v>Dug prema nerezidentima</v>
      </c>
      <c r="E33" s="1077">
        <v>1108300000</v>
      </c>
      <c r="F33" s="1046">
        <f t="shared" si="4"/>
        <v>35.195300095268337</v>
      </c>
      <c r="G33" s="1078">
        <v>1205500000</v>
      </c>
      <c r="H33" s="1046">
        <f t="shared" si="5"/>
        <v>38.28199428389965</v>
      </c>
      <c r="I33" s="1078">
        <v>1307600000</v>
      </c>
      <c r="J33" s="1046">
        <f t="shared" si="6"/>
        <v>41.524293426484597</v>
      </c>
      <c r="K33" s="1078">
        <f>+E22</f>
        <v>1295000000</v>
      </c>
      <c r="L33" s="1079">
        <f t="shared" si="7"/>
        <v>41.124166402032394</v>
      </c>
      <c r="M33" s="976">
        <f t="shared" si="8"/>
        <v>1335400000</v>
      </c>
      <c r="N33" s="1046">
        <f t="shared" si="9"/>
        <v>37.969860676713111</v>
      </c>
      <c r="O33" s="976">
        <f t="shared" si="10"/>
        <v>1318200000</v>
      </c>
      <c r="P33" s="1079">
        <f t="shared" si="11"/>
        <v>37.480807506397497</v>
      </c>
      <c r="Q33" s="1090">
        <v>1365600000</v>
      </c>
      <c r="R33" s="460">
        <v>38.828547057150978</v>
      </c>
      <c r="S33" s="459"/>
      <c r="T33" s="460"/>
      <c r="U33" s="479"/>
      <c r="V33" s="470"/>
      <c r="W33" s="479"/>
      <c r="X33" s="470"/>
      <c r="Y33" s="479"/>
      <c r="Z33" s="470"/>
      <c r="AA33" s="479"/>
      <c r="AB33" s="470"/>
      <c r="AC33" s="442"/>
      <c r="AD33" s="442"/>
      <c r="AE33" s="442"/>
      <c r="AF33" s="442"/>
      <c r="AG33" s="442"/>
      <c r="AH33" s="442"/>
      <c r="AI33" s="442"/>
      <c r="AJ33" s="1132"/>
      <c r="AK33" s="1132"/>
      <c r="AL33" s="1132"/>
      <c r="AM33" s="1132"/>
      <c r="AN33" s="1132"/>
      <c r="AO33" s="1132"/>
      <c r="AP33" s="1132"/>
      <c r="AQ33" s="1132"/>
      <c r="AR33" s="1132"/>
      <c r="AS33" s="1132"/>
      <c r="AT33" s="1132"/>
      <c r="AU33" s="1132"/>
      <c r="AV33" s="1132"/>
      <c r="AW33" s="1132"/>
      <c r="AX33" s="1132"/>
      <c r="AY33" s="1132"/>
      <c r="AZ33" s="1132"/>
      <c r="BA33" s="1132"/>
      <c r="BB33" s="1104"/>
      <c r="BC33" s="923"/>
      <c r="BD33" s="923"/>
      <c r="BE33" s="923"/>
      <c r="BF33" s="923"/>
      <c r="BG33" s="923"/>
      <c r="BH33" s="923"/>
      <c r="BI33" s="923"/>
      <c r="BJ33" s="923"/>
      <c r="BK33" s="923"/>
      <c r="BL33" s="923"/>
      <c r="BM33" s="923"/>
      <c r="BN33" s="923"/>
      <c r="BO33" s="923"/>
      <c r="BP33" s="923"/>
      <c r="BQ33" s="923"/>
      <c r="BR33" s="923"/>
      <c r="BS33" s="923"/>
      <c r="BT33" s="923"/>
      <c r="BU33" s="923"/>
      <c r="BV33" s="923"/>
      <c r="BW33" s="923"/>
      <c r="BX33" s="923"/>
      <c r="BY33" s="923"/>
      <c r="BZ33" s="923"/>
      <c r="CA33" s="923"/>
      <c r="CB33" s="923"/>
      <c r="CC33" s="923"/>
      <c r="CD33" s="923"/>
      <c r="CE33" s="923"/>
      <c r="CF33" s="923"/>
      <c r="CG33" s="923"/>
      <c r="CH33" s="923"/>
      <c r="CI33" s="923"/>
      <c r="CJ33" s="923"/>
      <c r="CK33" s="923"/>
      <c r="CL33" s="923"/>
      <c r="CM33" s="923"/>
      <c r="CN33" s="923"/>
      <c r="CO33" s="923"/>
      <c r="CP33" s="923"/>
      <c r="CQ33" s="923"/>
      <c r="CR33" s="923"/>
      <c r="CS33" s="923"/>
      <c r="CT33" s="923"/>
      <c r="CU33" s="923"/>
      <c r="CV33" s="923"/>
      <c r="CW33" s="923"/>
      <c r="CX33" s="923"/>
      <c r="CY33" s="923"/>
      <c r="CZ33" s="923"/>
      <c r="DA33" s="923"/>
      <c r="DB33" s="923"/>
      <c r="DC33" s="923"/>
      <c r="DD33" s="923"/>
      <c r="DE33" s="923"/>
      <c r="DF33" s="923"/>
      <c r="DG33" s="923"/>
      <c r="DH33" s="923"/>
      <c r="DI33" s="923"/>
      <c r="DJ33" s="923"/>
      <c r="DK33" s="923"/>
      <c r="DL33" s="923"/>
      <c r="DM33" s="923"/>
      <c r="DN33" s="923"/>
      <c r="DO33" s="923"/>
      <c r="DP33" s="923"/>
      <c r="DQ33" s="923"/>
      <c r="DR33" s="923"/>
      <c r="DS33" s="923"/>
      <c r="DT33" s="923"/>
      <c r="DU33" s="923"/>
      <c r="DV33" s="923"/>
      <c r="DW33" s="923"/>
      <c r="DX33" s="923"/>
      <c r="DY33" s="923"/>
      <c r="DZ33" s="923"/>
      <c r="EA33" s="923"/>
      <c r="EB33" s="923"/>
      <c r="EC33" s="923"/>
      <c r="ED33" s="923"/>
      <c r="EE33" s="923"/>
      <c r="EF33" s="923"/>
      <c r="EG33" s="923"/>
      <c r="EH33" s="923"/>
      <c r="EI33" s="923"/>
      <c r="EJ33" s="923"/>
      <c r="EK33" s="923"/>
      <c r="EL33" s="923"/>
      <c r="EM33" s="923"/>
      <c r="EN33" s="923"/>
      <c r="EO33" s="923"/>
      <c r="EP33" s="923"/>
      <c r="EQ33" s="923"/>
      <c r="ER33" s="923"/>
      <c r="ES33" s="923"/>
      <c r="ET33" s="923"/>
      <c r="EU33" s="923"/>
      <c r="EV33" s="923"/>
      <c r="EW33" s="923"/>
      <c r="EX33" s="923"/>
      <c r="EY33" s="923"/>
      <c r="EZ33" s="923"/>
      <c r="FA33" s="923"/>
      <c r="FB33" s="923"/>
      <c r="FC33" s="923"/>
      <c r="FD33" s="923"/>
      <c r="FE33" s="923"/>
      <c r="FF33" s="923"/>
      <c r="FG33" s="923"/>
      <c r="FH33" s="923"/>
      <c r="FI33" s="923"/>
      <c r="FJ33" s="923"/>
      <c r="FK33" s="923"/>
      <c r="FL33" s="923"/>
      <c r="FM33" s="923"/>
      <c r="FN33" s="923"/>
      <c r="FO33" s="923"/>
      <c r="FP33" s="923"/>
      <c r="FQ33" s="923"/>
      <c r="FR33" s="923"/>
      <c r="FS33" s="923"/>
      <c r="FT33" s="923"/>
      <c r="FU33" s="923"/>
      <c r="FV33" s="923"/>
      <c r="FW33" s="923"/>
      <c r="FX33" s="923"/>
      <c r="FY33" s="923"/>
      <c r="FZ33" s="923"/>
      <c r="GA33" s="923"/>
      <c r="GB33" s="923"/>
      <c r="GC33" s="923"/>
      <c r="GD33" s="923"/>
      <c r="GE33" s="923"/>
      <c r="GF33" s="923"/>
      <c r="GG33" s="1105"/>
      <c r="GH33" s="923"/>
      <c r="GI33" s="923"/>
      <c r="GJ33" s="923"/>
      <c r="GK33" s="923"/>
      <c r="GL33" s="923"/>
      <c r="GM33" s="923"/>
      <c r="GN33" s="923"/>
      <c r="GO33" s="923"/>
      <c r="GP33" s="923"/>
      <c r="GQ33" s="923"/>
      <c r="GR33" s="923"/>
      <c r="GS33" s="923"/>
      <c r="GT33" s="923"/>
      <c r="GU33" s="923"/>
      <c r="GV33" s="923"/>
      <c r="GW33" s="923"/>
      <c r="GX33" s="923"/>
      <c r="GY33" s="923"/>
      <c r="GZ33" s="923"/>
      <c r="HA33" s="923"/>
      <c r="HB33" s="923"/>
      <c r="HC33" s="923"/>
      <c r="HD33" s="923"/>
      <c r="HE33" s="923"/>
      <c r="HF33" s="923"/>
      <c r="HG33" s="923"/>
      <c r="HH33" s="923"/>
      <c r="HI33" s="923"/>
      <c r="HJ33" s="923"/>
      <c r="HK33" s="923"/>
      <c r="HL33" s="923"/>
      <c r="HM33" s="923"/>
      <c r="HN33" s="923"/>
      <c r="HO33" s="923"/>
      <c r="HP33" s="923"/>
      <c r="HQ33" s="923"/>
      <c r="HR33" s="923"/>
      <c r="HS33" s="923"/>
      <c r="HT33" s="923"/>
      <c r="HU33" s="923"/>
      <c r="HV33" s="923"/>
      <c r="HW33" s="923"/>
      <c r="HX33" s="923"/>
      <c r="HY33" s="923"/>
      <c r="HZ33" s="923"/>
      <c r="IA33" s="923"/>
      <c r="IB33" s="923"/>
      <c r="IC33" s="923"/>
      <c r="ID33" s="923"/>
      <c r="IE33" s="923"/>
      <c r="IF33" s="923"/>
      <c r="IG33" s="923"/>
      <c r="IH33" s="923"/>
      <c r="II33" s="923"/>
      <c r="IJ33" s="923"/>
      <c r="IK33" s="923"/>
    </row>
    <row r="34" spans="1:245" ht="15" customHeight="1" thickTop="1">
      <c r="A34" s="72"/>
      <c r="B34" s="72"/>
      <c r="C34" s="72"/>
      <c r="D34" s="378" t="str">
        <f>IF(MasterSheet!$A$1=1,MasterSheet!$C$328,MasterSheet!$B$328)</f>
        <v>Izvor: Ministarstvo finansija Crne Gore</v>
      </c>
      <c r="E34" s="1124"/>
      <c r="F34" s="712"/>
      <c r="G34" s="1124"/>
      <c r="H34" s="712"/>
      <c r="I34" s="1124"/>
      <c r="J34" s="712"/>
      <c r="K34" s="1124"/>
      <c r="L34" s="712"/>
      <c r="M34" s="712"/>
      <c r="N34" s="712"/>
      <c r="O34" s="1124"/>
      <c r="P34" s="712"/>
      <c r="Q34" s="1124"/>
      <c r="R34" s="712"/>
      <c r="S34" s="1124"/>
      <c r="T34" s="712"/>
      <c r="U34" s="1124"/>
      <c r="V34" s="712"/>
      <c r="W34" s="442"/>
      <c r="X34" s="442"/>
      <c r="Y34" s="442"/>
      <c r="Z34" s="442"/>
      <c r="AA34" s="442"/>
      <c r="AB34" s="442"/>
      <c r="AC34" s="442"/>
      <c r="AD34" s="442"/>
      <c r="AE34" s="442"/>
      <c r="AF34" s="442"/>
      <c r="AG34" s="442"/>
      <c r="AH34" s="442"/>
      <c r="AI34" s="442"/>
      <c r="AJ34" s="1132"/>
      <c r="AK34" s="1132"/>
      <c r="AL34" s="1132"/>
      <c r="AM34" s="1132"/>
      <c r="AN34" s="1132"/>
      <c r="AO34" s="1132"/>
      <c r="AP34" s="1132"/>
      <c r="AQ34" s="1132"/>
      <c r="AR34" s="1132"/>
      <c r="AS34" s="1132"/>
      <c r="AT34" s="1132"/>
      <c r="AU34" s="1132"/>
      <c r="AV34" s="1132"/>
      <c r="AW34" s="1132"/>
      <c r="AX34" s="1132"/>
      <c r="AY34" s="1132"/>
      <c r="AZ34" s="1132"/>
      <c r="BA34" s="1132"/>
      <c r="BB34" s="1104"/>
      <c r="BC34" s="923"/>
      <c r="BD34" s="923"/>
      <c r="BE34" s="923"/>
      <c r="BF34" s="923"/>
      <c r="BG34" s="923"/>
      <c r="BH34" s="923"/>
      <c r="BI34" s="923"/>
      <c r="BJ34" s="923"/>
      <c r="BK34" s="923"/>
      <c r="BL34" s="923"/>
      <c r="BM34" s="923"/>
      <c r="BN34" s="923"/>
      <c r="BO34" s="923"/>
      <c r="BP34" s="923"/>
      <c r="BQ34" s="923"/>
      <c r="BR34" s="923"/>
      <c r="BS34" s="923"/>
      <c r="BT34" s="923"/>
      <c r="BU34" s="923"/>
      <c r="BV34" s="923"/>
      <c r="BW34" s="923"/>
      <c r="BX34" s="923"/>
      <c r="BY34" s="923"/>
      <c r="BZ34" s="923"/>
      <c r="CA34" s="923"/>
      <c r="CB34" s="923"/>
      <c r="CC34" s="923"/>
      <c r="CD34" s="923"/>
      <c r="CE34" s="923"/>
      <c r="CF34" s="923"/>
      <c r="CG34" s="923"/>
      <c r="CH34" s="923"/>
      <c r="CI34" s="923"/>
      <c r="CJ34" s="923"/>
      <c r="CK34" s="923"/>
      <c r="CL34" s="923"/>
      <c r="CM34" s="923"/>
      <c r="CN34" s="923"/>
      <c r="CO34" s="923"/>
      <c r="CP34" s="923"/>
      <c r="CQ34" s="923"/>
      <c r="CR34" s="923"/>
      <c r="CS34" s="923"/>
      <c r="CT34" s="923"/>
      <c r="CU34" s="923"/>
      <c r="CV34" s="923"/>
      <c r="CW34" s="923"/>
      <c r="CX34" s="923"/>
      <c r="CY34" s="923"/>
      <c r="CZ34" s="923"/>
      <c r="DA34" s="923"/>
      <c r="DB34" s="923"/>
      <c r="DC34" s="923"/>
      <c r="DD34" s="923"/>
      <c r="DE34" s="923"/>
      <c r="DF34" s="923"/>
      <c r="DG34" s="923"/>
      <c r="DH34" s="923"/>
      <c r="DI34" s="923"/>
      <c r="DJ34" s="923"/>
      <c r="DK34" s="923"/>
      <c r="DL34" s="923"/>
      <c r="DM34" s="923"/>
      <c r="DN34" s="923"/>
      <c r="DO34" s="923"/>
      <c r="DP34" s="923"/>
      <c r="DQ34" s="923"/>
      <c r="DR34" s="923"/>
      <c r="DS34" s="923"/>
      <c r="DT34" s="923"/>
      <c r="DU34" s="923"/>
      <c r="DV34" s="923"/>
      <c r="DW34" s="923"/>
      <c r="DX34" s="923"/>
      <c r="DY34" s="923"/>
      <c r="DZ34" s="923"/>
      <c r="EA34" s="923"/>
      <c r="EB34" s="923"/>
      <c r="EC34" s="923"/>
      <c r="ED34" s="923"/>
      <c r="EE34" s="923"/>
      <c r="EF34" s="923"/>
      <c r="EG34" s="923"/>
      <c r="EH34" s="923"/>
      <c r="EI34" s="923"/>
      <c r="EJ34" s="923"/>
      <c r="EK34" s="923"/>
      <c r="EL34" s="923"/>
      <c r="EM34" s="923"/>
      <c r="EN34" s="923"/>
      <c r="EO34" s="923"/>
      <c r="EP34" s="923"/>
      <c r="EQ34" s="923"/>
      <c r="ER34" s="923"/>
      <c r="ES34" s="923"/>
      <c r="ET34" s="923"/>
      <c r="EU34" s="923"/>
      <c r="EV34" s="923"/>
      <c r="EW34" s="923"/>
      <c r="EX34" s="923"/>
      <c r="EY34" s="923"/>
      <c r="EZ34" s="923"/>
      <c r="FA34" s="923"/>
      <c r="FB34" s="923"/>
      <c r="FC34" s="923"/>
      <c r="FD34" s="923"/>
      <c r="FE34" s="923"/>
      <c r="FF34" s="923"/>
      <c r="FG34" s="923"/>
      <c r="FH34" s="923"/>
      <c r="FI34" s="923"/>
      <c r="FJ34" s="923"/>
      <c r="FK34" s="923"/>
      <c r="FL34" s="923"/>
      <c r="FM34" s="923"/>
      <c r="FN34" s="923"/>
      <c r="FO34" s="923"/>
      <c r="FP34" s="923"/>
      <c r="FQ34" s="923"/>
      <c r="FR34" s="923"/>
      <c r="FS34" s="923"/>
      <c r="FT34" s="923"/>
      <c r="FU34" s="923"/>
      <c r="FV34" s="923"/>
      <c r="FW34" s="923"/>
      <c r="FX34" s="923"/>
      <c r="FY34" s="923"/>
      <c r="FZ34" s="923"/>
      <c r="GA34" s="923"/>
      <c r="GB34" s="923"/>
      <c r="GC34" s="923"/>
      <c r="GD34" s="923"/>
      <c r="GE34" s="923"/>
      <c r="GF34" s="923"/>
      <c r="GG34" s="1105"/>
      <c r="GH34" s="923"/>
      <c r="GI34" s="923"/>
      <c r="GJ34" s="923"/>
      <c r="GK34" s="923"/>
      <c r="GL34" s="923"/>
      <c r="GM34" s="923"/>
      <c r="GN34" s="923"/>
      <c r="GO34" s="923"/>
      <c r="GP34" s="923"/>
      <c r="GQ34" s="923"/>
      <c r="GR34" s="923"/>
      <c r="GS34" s="923"/>
      <c r="GT34" s="923"/>
      <c r="GU34" s="923"/>
      <c r="GV34" s="923"/>
      <c r="GW34" s="923"/>
      <c r="GX34" s="923"/>
      <c r="GY34" s="923"/>
      <c r="GZ34" s="923"/>
      <c r="HA34" s="923"/>
      <c r="HB34" s="923"/>
      <c r="HC34" s="923"/>
      <c r="HD34" s="923"/>
      <c r="HE34" s="923"/>
      <c r="HF34" s="923"/>
      <c r="HG34" s="923"/>
      <c r="HH34" s="923"/>
      <c r="HI34" s="923"/>
      <c r="HJ34" s="923"/>
      <c r="HK34" s="923"/>
      <c r="HL34" s="923"/>
      <c r="HM34" s="923"/>
      <c r="HN34" s="923"/>
      <c r="HO34" s="923"/>
      <c r="HP34" s="923"/>
      <c r="HQ34" s="923"/>
      <c r="HR34" s="923"/>
      <c r="HS34" s="923"/>
      <c r="HT34" s="923"/>
      <c r="HU34" s="923"/>
      <c r="HV34" s="923"/>
      <c r="HW34" s="923"/>
      <c r="HX34" s="923"/>
      <c r="HY34" s="923"/>
      <c r="HZ34" s="923"/>
      <c r="IA34" s="923"/>
      <c r="IB34" s="923"/>
      <c r="IC34" s="923"/>
      <c r="ID34" s="923"/>
      <c r="IE34" s="923"/>
      <c r="IF34" s="923"/>
      <c r="IG34" s="923"/>
      <c r="IH34" s="923"/>
      <c r="II34" s="923"/>
      <c r="IJ34" s="923"/>
      <c r="IK34" s="923"/>
    </row>
    <row r="35" spans="1:245" ht="15" customHeight="1">
      <c r="A35" s="72"/>
      <c r="B35" s="72"/>
      <c r="C35" s="72"/>
      <c r="D35" s="1131"/>
      <c r="E35" s="1129"/>
      <c r="F35" s="1129"/>
      <c r="G35" s="1129"/>
      <c r="H35" s="1129"/>
      <c r="I35" s="213"/>
      <c r="J35" s="213"/>
      <c r="K35" s="213"/>
      <c r="L35" s="213"/>
      <c r="M35" s="213"/>
      <c r="N35" s="213"/>
      <c r="O35" s="213"/>
      <c r="P35" s="213"/>
      <c r="Q35" s="213"/>
      <c r="R35" s="213"/>
      <c r="S35" s="213"/>
      <c r="T35" s="213"/>
      <c r="U35" s="213"/>
      <c r="V35" s="213"/>
      <c r="W35" s="213"/>
      <c r="X35" s="213"/>
      <c r="Y35" s="213"/>
      <c r="Z35" s="213"/>
      <c r="AA35" s="213"/>
      <c r="AB35" s="213"/>
      <c r="AC35" s="213"/>
      <c r="AD35" s="213"/>
      <c r="AE35" s="213"/>
      <c r="AF35" s="213"/>
      <c r="AG35" s="213"/>
      <c r="AH35" s="213"/>
      <c r="AI35" s="213"/>
      <c r="AJ35" s="923"/>
      <c r="AK35" s="923"/>
      <c r="AL35" s="923"/>
      <c r="AM35" s="923"/>
      <c r="AN35" s="923"/>
      <c r="AO35" s="923"/>
      <c r="AP35" s="923"/>
      <c r="AQ35" s="923"/>
      <c r="AR35" s="923"/>
      <c r="AS35" s="923"/>
      <c r="AT35" s="923"/>
      <c r="AU35" s="923"/>
      <c r="AV35" s="923"/>
      <c r="AW35" s="923"/>
      <c r="AX35" s="923"/>
      <c r="AY35" s="923"/>
      <c r="AZ35" s="923"/>
      <c r="BA35" s="923"/>
      <c r="BB35" s="1104"/>
      <c r="BC35" s="923"/>
      <c r="BD35" s="923"/>
      <c r="BE35" s="923"/>
      <c r="BF35" s="923"/>
      <c r="BG35" s="923"/>
      <c r="BH35" s="923"/>
      <c r="BI35" s="923"/>
      <c r="BJ35" s="923"/>
      <c r="BK35" s="923"/>
      <c r="BL35" s="923"/>
      <c r="BM35" s="923"/>
      <c r="BN35" s="923"/>
      <c r="BO35" s="923"/>
      <c r="BP35" s="923"/>
      <c r="BQ35" s="923"/>
      <c r="BR35" s="923"/>
      <c r="BS35" s="923"/>
      <c r="BT35" s="923"/>
      <c r="BU35" s="923"/>
      <c r="BV35" s="923"/>
      <c r="BW35" s="923"/>
      <c r="BX35" s="923"/>
      <c r="BY35" s="923"/>
      <c r="BZ35" s="923"/>
      <c r="CA35" s="923"/>
      <c r="CB35" s="923"/>
      <c r="CC35" s="923"/>
      <c r="CD35" s="923"/>
      <c r="CE35" s="923"/>
      <c r="CF35" s="923"/>
      <c r="CG35" s="923"/>
      <c r="CH35" s="923"/>
      <c r="CI35" s="923"/>
      <c r="CJ35" s="923"/>
      <c r="CK35" s="923"/>
      <c r="CL35" s="923"/>
      <c r="CM35" s="923"/>
      <c r="CN35" s="923"/>
      <c r="CO35" s="923"/>
      <c r="CP35" s="923"/>
      <c r="CQ35" s="923"/>
      <c r="CR35" s="923"/>
      <c r="CS35" s="923"/>
      <c r="CT35" s="923"/>
      <c r="CU35" s="923"/>
      <c r="CV35" s="923"/>
      <c r="CW35" s="923"/>
      <c r="CX35" s="923"/>
      <c r="CY35" s="923"/>
      <c r="CZ35" s="923"/>
      <c r="DA35" s="923"/>
      <c r="DB35" s="923"/>
      <c r="DC35" s="923"/>
      <c r="DD35" s="923"/>
      <c r="DE35" s="923"/>
      <c r="DF35" s="923"/>
      <c r="DG35" s="923"/>
      <c r="DH35" s="923"/>
      <c r="DI35" s="923"/>
      <c r="DJ35" s="923"/>
      <c r="DK35" s="923"/>
      <c r="DL35" s="923"/>
      <c r="DM35" s="923"/>
      <c r="DN35" s="923"/>
      <c r="DO35" s="923"/>
      <c r="DP35" s="923"/>
      <c r="DQ35" s="923"/>
      <c r="DR35" s="923"/>
      <c r="DS35" s="923"/>
      <c r="DT35" s="923"/>
      <c r="DU35" s="923"/>
      <c r="DV35" s="923"/>
      <c r="DW35" s="923"/>
      <c r="DX35" s="923"/>
      <c r="DY35" s="923"/>
      <c r="DZ35" s="923"/>
      <c r="EA35" s="923"/>
      <c r="EB35" s="923"/>
      <c r="EC35" s="923"/>
      <c r="ED35" s="923"/>
      <c r="EE35" s="923"/>
      <c r="EF35" s="923"/>
      <c r="EG35" s="923"/>
      <c r="EH35" s="923"/>
      <c r="EI35" s="923"/>
      <c r="EJ35" s="923"/>
      <c r="EK35" s="923"/>
      <c r="EL35" s="923"/>
      <c r="EM35" s="923"/>
      <c r="EN35" s="923"/>
      <c r="EO35" s="923"/>
      <c r="EP35" s="923"/>
      <c r="EQ35" s="923"/>
      <c r="ER35" s="923"/>
      <c r="ES35" s="923"/>
      <c r="ET35" s="923"/>
      <c r="EU35" s="923"/>
      <c r="EV35" s="923"/>
      <c r="EW35" s="923"/>
      <c r="EX35" s="923"/>
      <c r="EY35" s="923"/>
      <c r="EZ35" s="923"/>
      <c r="FA35" s="923"/>
      <c r="FB35" s="923"/>
      <c r="FC35" s="923"/>
      <c r="FD35" s="923"/>
      <c r="FE35" s="923"/>
      <c r="FF35" s="923"/>
      <c r="FG35" s="923"/>
      <c r="FH35" s="923"/>
      <c r="FI35" s="923"/>
      <c r="FJ35" s="923"/>
      <c r="FK35" s="923"/>
      <c r="FL35" s="923"/>
      <c r="FM35" s="923"/>
      <c r="FN35" s="923"/>
      <c r="FO35" s="923"/>
      <c r="FP35" s="923"/>
      <c r="FQ35" s="923"/>
      <c r="FR35" s="923"/>
      <c r="FS35" s="923"/>
      <c r="FT35" s="923"/>
      <c r="FU35" s="923"/>
      <c r="FV35" s="923"/>
      <c r="FW35" s="923"/>
      <c r="FX35" s="923"/>
      <c r="FY35" s="923"/>
      <c r="FZ35" s="923"/>
      <c r="GA35" s="923"/>
      <c r="GB35" s="923"/>
      <c r="GC35" s="923"/>
      <c r="GD35" s="923"/>
      <c r="GE35" s="923"/>
      <c r="GF35" s="923"/>
      <c r="GG35" s="1105"/>
      <c r="GH35" s="923"/>
      <c r="GI35" s="923"/>
      <c r="GJ35" s="923"/>
      <c r="GK35" s="923"/>
      <c r="GL35" s="923"/>
      <c r="GM35" s="923"/>
      <c r="GN35" s="923"/>
      <c r="GO35" s="923"/>
      <c r="GP35" s="923"/>
      <c r="GQ35" s="923"/>
      <c r="GR35" s="923"/>
      <c r="GS35" s="923"/>
      <c r="GT35" s="923"/>
      <c r="GU35" s="923"/>
      <c r="GV35" s="923"/>
      <c r="GW35" s="923"/>
      <c r="GX35" s="923"/>
      <c r="GY35" s="923"/>
      <c r="GZ35" s="923"/>
      <c r="HA35" s="923"/>
      <c r="HB35" s="923"/>
      <c r="HC35" s="923"/>
      <c r="HD35" s="923"/>
      <c r="HE35" s="923"/>
      <c r="HF35" s="923"/>
      <c r="HG35" s="923"/>
      <c r="HH35" s="923"/>
      <c r="HI35" s="923"/>
      <c r="HJ35" s="923"/>
      <c r="HK35" s="923"/>
      <c r="HL35" s="923"/>
      <c r="HM35" s="923"/>
      <c r="HN35" s="923"/>
      <c r="HO35" s="923"/>
      <c r="HP35" s="923"/>
      <c r="HQ35" s="923"/>
      <c r="HR35" s="923"/>
      <c r="HS35" s="923"/>
      <c r="HT35" s="923"/>
      <c r="HU35" s="923"/>
      <c r="HV35" s="923"/>
      <c r="HW35" s="923"/>
      <c r="HX35" s="923"/>
      <c r="HY35" s="923"/>
      <c r="HZ35" s="923"/>
      <c r="IA35" s="923"/>
      <c r="IB35" s="923"/>
      <c r="IC35" s="923"/>
      <c r="ID35" s="923"/>
      <c r="IE35" s="923"/>
      <c r="IF35" s="923"/>
      <c r="IG35" s="923"/>
      <c r="IH35" s="923"/>
      <c r="II35" s="923"/>
      <c r="IJ35" s="923"/>
      <c r="IK35" s="923"/>
    </row>
    <row r="36" spans="1:245" ht="15" customHeight="1">
      <c r="A36" s="72"/>
      <c r="B36" s="72"/>
      <c r="C36" s="72"/>
      <c r="D36" s="1131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T36" s="213"/>
      <c r="U36" s="213"/>
      <c r="V36" s="213"/>
      <c r="W36" s="213"/>
      <c r="X36" s="213"/>
      <c r="Y36" s="213"/>
      <c r="Z36" s="213"/>
      <c r="AA36" s="213"/>
      <c r="AB36" s="213"/>
      <c r="AC36" s="213"/>
      <c r="AD36" s="213"/>
      <c r="AE36" s="213"/>
      <c r="AF36" s="213"/>
      <c r="AG36" s="213"/>
      <c r="AH36" s="213"/>
      <c r="AI36" s="213"/>
      <c r="AJ36" s="923"/>
      <c r="AK36" s="923"/>
      <c r="AL36" s="923"/>
      <c r="AM36" s="923"/>
      <c r="AN36" s="923"/>
      <c r="AO36" s="923"/>
      <c r="AP36" s="923"/>
      <c r="AQ36" s="923"/>
      <c r="AR36" s="923"/>
      <c r="AS36" s="923"/>
      <c r="AT36" s="923"/>
      <c r="AU36" s="923"/>
      <c r="AV36" s="923"/>
      <c r="AW36" s="923"/>
      <c r="AX36" s="923"/>
      <c r="AY36" s="923"/>
      <c r="AZ36" s="923"/>
      <c r="BA36" s="923"/>
      <c r="BB36" s="1104"/>
      <c r="BC36" s="923"/>
      <c r="BD36" s="923"/>
      <c r="BE36" s="923"/>
      <c r="BF36" s="923"/>
      <c r="BG36" s="923"/>
      <c r="BH36" s="923"/>
      <c r="BI36" s="923"/>
      <c r="BJ36" s="923"/>
      <c r="BK36" s="923"/>
      <c r="BL36" s="923"/>
      <c r="BM36" s="923"/>
      <c r="BN36" s="923"/>
      <c r="BO36" s="923"/>
      <c r="BP36" s="923"/>
      <c r="BQ36" s="923"/>
      <c r="BR36" s="923"/>
      <c r="BS36" s="923"/>
      <c r="BT36" s="923"/>
      <c r="BU36" s="923"/>
      <c r="BV36" s="923"/>
      <c r="BW36" s="923"/>
      <c r="BX36" s="923"/>
      <c r="BY36" s="923"/>
      <c r="BZ36" s="923"/>
      <c r="CA36" s="923"/>
      <c r="CB36" s="923"/>
      <c r="CC36" s="923"/>
      <c r="CD36" s="923"/>
      <c r="CE36" s="923"/>
      <c r="CF36" s="923"/>
      <c r="CG36" s="923"/>
      <c r="CH36" s="923"/>
      <c r="CI36" s="923"/>
      <c r="CJ36" s="923"/>
      <c r="CK36" s="923"/>
      <c r="CL36" s="923"/>
      <c r="CM36" s="923"/>
      <c r="CN36" s="923"/>
      <c r="CO36" s="923"/>
      <c r="CP36" s="923"/>
      <c r="CQ36" s="923"/>
      <c r="CR36" s="923"/>
      <c r="CS36" s="923"/>
      <c r="CT36" s="923"/>
      <c r="CU36" s="923"/>
      <c r="CV36" s="923"/>
      <c r="CW36" s="923"/>
      <c r="CX36" s="923"/>
      <c r="CY36" s="923"/>
      <c r="CZ36" s="923"/>
      <c r="DA36" s="923"/>
      <c r="DB36" s="923"/>
      <c r="DC36" s="923"/>
      <c r="DD36" s="923"/>
      <c r="DE36" s="923"/>
      <c r="DF36" s="923"/>
      <c r="DG36" s="923"/>
      <c r="DH36" s="923"/>
      <c r="DI36" s="923"/>
      <c r="DJ36" s="923"/>
      <c r="DK36" s="923"/>
      <c r="DL36" s="923"/>
      <c r="DM36" s="923"/>
      <c r="DN36" s="923"/>
      <c r="DO36" s="923"/>
      <c r="DP36" s="923"/>
      <c r="DQ36" s="923"/>
      <c r="DR36" s="923"/>
      <c r="DS36" s="923"/>
      <c r="DT36" s="923"/>
      <c r="DU36" s="923"/>
      <c r="DV36" s="923"/>
      <c r="DW36" s="923"/>
      <c r="DX36" s="923"/>
      <c r="DY36" s="923"/>
      <c r="DZ36" s="923"/>
      <c r="EA36" s="923"/>
      <c r="EB36" s="923"/>
      <c r="EC36" s="923"/>
      <c r="ED36" s="923"/>
      <c r="EE36" s="923"/>
      <c r="EF36" s="923"/>
      <c r="EG36" s="923"/>
      <c r="EH36" s="923"/>
      <c r="EI36" s="923"/>
      <c r="EJ36" s="923"/>
      <c r="EK36" s="923"/>
      <c r="EL36" s="923"/>
      <c r="EM36" s="923"/>
      <c r="EN36" s="923"/>
      <c r="EO36" s="923"/>
      <c r="EP36" s="923"/>
      <c r="EQ36" s="923"/>
      <c r="ER36" s="923"/>
      <c r="ES36" s="923"/>
      <c r="ET36" s="923"/>
      <c r="EU36" s="923"/>
      <c r="EV36" s="923"/>
      <c r="EW36" s="923"/>
      <c r="EX36" s="923"/>
      <c r="EY36" s="923"/>
      <c r="EZ36" s="923"/>
      <c r="FA36" s="923"/>
      <c r="FB36" s="923"/>
      <c r="FC36" s="923"/>
      <c r="FD36" s="923"/>
      <c r="FE36" s="923"/>
      <c r="FF36" s="923"/>
      <c r="FG36" s="923"/>
      <c r="FH36" s="923"/>
      <c r="FI36" s="923"/>
      <c r="FJ36" s="923"/>
      <c r="FK36" s="923"/>
      <c r="FL36" s="923"/>
      <c r="FM36" s="923"/>
      <c r="FN36" s="923"/>
      <c r="FO36" s="923"/>
      <c r="FP36" s="923"/>
      <c r="FQ36" s="923"/>
      <c r="FR36" s="923"/>
      <c r="FS36" s="923"/>
      <c r="FT36" s="923"/>
      <c r="FU36" s="923"/>
      <c r="FV36" s="923"/>
      <c r="FW36" s="923"/>
      <c r="FX36" s="923"/>
      <c r="FY36" s="923"/>
      <c r="FZ36" s="923"/>
      <c r="GA36" s="923"/>
      <c r="GB36" s="923"/>
      <c r="GC36" s="923"/>
      <c r="GD36" s="923"/>
      <c r="GE36" s="923"/>
      <c r="GF36" s="923"/>
      <c r="GG36" s="1105"/>
      <c r="GH36" s="923"/>
      <c r="GI36" s="923"/>
      <c r="GJ36" s="923"/>
      <c r="GK36" s="923"/>
      <c r="GL36" s="923"/>
      <c r="GM36" s="923"/>
      <c r="GN36" s="923"/>
      <c r="GO36" s="923"/>
      <c r="GP36" s="923"/>
      <c r="GQ36" s="923"/>
      <c r="GR36" s="923"/>
      <c r="GS36" s="923"/>
      <c r="GT36" s="923"/>
      <c r="GU36" s="923"/>
      <c r="GV36" s="923"/>
      <c r="GW36" s="923"/>
      <c r="GX36" s="923"/>
      <c r="GY36" s="923"/>
      <c r="GZ36" s="923"/>
      <c r="HA36" s="923"/>
      <c r="HB36" s="923"/>
      <c r="HC36" s="923"/>
      <c r="HD36" s="923"/>
      <c r="HE36" s="923"/>
      <c r="HF36" s="923"/>
      <c r="HG36" s="923"/>
      <c r="HH36" s="923"/>
      <c r="HI36" s="923"/>
      <c r="HJ36" s="923"/>
      <c r="HK36" s="923"/>
      <c r="HL36" s="923"/>
      <c r="HM36" s="923"/>
      <c r="HN36" s="923"/>
      <c r="HO36" s="923"/>
      <c r="HP36" s="923"/>
      <c r="HQ36" s="923"/>
      <c r="HR36" s="923"/>
      <c r="HS36" s="923"/>
      <c r="HT36" s="923"/>
      <c r="HU36" s="923"/>
      <c r="HV36" s="923"/>
      <c r="HW36" s="923"/>
      <c r="HX36" s="923"/>
      <c r="HY36" s="923"/>
      <c r="HZ36" s="923"/>
      <c r="IA36" s="923"/>
      <c r="IB36" s="923"/>
      <c r="IC36" s="923"/>
      <c r="ID36" s="923"/>
      <c r="IE36" s="923"/>
      <c r="IF36" s="923"/>
      <c r="IG36" s="923"/>
      <c r="IH36" s="923"/>
      <c r="II36" s="923"/>
      <c r="IJ36" s="923"/>
      <c r="IK36" s="923"/>
    </row>
    <row r="37" spans="1:245" ht="15" customHeight="1">
      <c r="A37" s="72"/>
      <c r="B37" s="72"/>
      <c r="C37" s="72"/>
      <c r="D37" s="1131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W37" s="213"/>
      <c r="X37" s="213"/>
      <c r="Y37" s="213"/>
      <c r="Z37" s="213"/>
      <c r="AA37" s="213"/>
      <c r="AB37" s="213"/>
      <c r="AC37" s="213"/>
      <c r="AD37" s="213"/>
      <c r="AE37" s="213"/>
      <c r="AF37" s="213"/>
      <c r="AG37" s="213"/>
      <c r="AH37" s="213"/>
      <c r="AI37" s="213"/>
      <c r="AJ37" s="923"/>
      <c r="AK37" s="923"/>
      <c r="AL37" s="923"/>
      <c r="AM37" s="923"/>
      <c r="AN37" s="923"/>
      <c r="AO37" s="923"/>
      <c r="AP37" s="923"/>
      <c r="AQ37" s="923"/>
      <c r="AR37" s="923"/>
      <c r="AS37" s="923"/>
      <c r="AT37" s="923"/>
      <c r="AU37" s="923"/>
      <c r="AV37" s="923"/>
      <c r="AW37" s="923"/>
      <c r="AX37" s="923"/>
      <c r="AY37" s="923"/>
      <c r="AZ37" s="923"/>
      <c r="BA37" s="923"/>
      <c r="BB37" s="1104"/>
      <c r="BC37" s="923"/>
      <c r="BD37" s="923"/>
      <c r="BE37" s="923"/>
      <c r="BF37" s="923"/>
      <c r="BG37" s="923"/>
      <c r="BH37" s="923"/>
      <c r="BI37" s="923"/>
      <c r="BJ37" s="923"/>
      <c r="BK37" s="923"/>
      <c r="BL37" s="923"/>
      <c r="BM37" s="923"/>
      <c r="BN37" s="923"/>
      <c r="BO37" s="923"/>
      <c r="BP37" s="923"/>
      <c r="BQ37" s="923"/>
      <c r="BR37" s="923"/>
      <c r="BS37" s="923"/>
      <c r="BT37" s="923"/>
      <c r="BU37" s="923"/>
      <c r="BV37" s="923"/>
      <c r="BW37" s="923"/>
      <c r="BX37" s="923"/>
      <c r="BY37" s="923"/>
      <c r="BZ37" s="923"/>
      <c r="CA37" s="923"/>
      <c r="CB37" s="923"/>
      <c r="CC37" s="923"/>
      <c r="CD37" s="923"/>
      <c r="CE37" s="923"/>
      <c r="CF37" s="923"/>
      <c r="CG37" s="923"/>
      <c r="CH37" s="923"/>
      <c r="CI37" s="923"/>
      <c r="CJ37" s="923"/>
      <c r="CK37" s="923"/>
      <c r="CL37" s="923"/>
      <c r="CM37" s="923"/>
      <c r="CN37" s="923"/>
      <c r="CO37" s="923"/>
      <c r="CP37" s="923"/>
      <c r="CQ37" s="923"/>
      <c r="CR37" s="923"/>
      <c r="CS37" s="923"/>
      <c r="CT37" s="923"/>
      <c r="CU37" s="923"/>
      <c r="CV37" s="923"/>
      <c r="CW37" s="923"/>
      <c r="CX37" s="923"/>
      <c r="CY37" s="923"/>
      <c r="CZ37" s="923"/>
      <c r="DA37" s="923"/>
      <c r="DB37" s="923"/>
      <c r="DC37" s="923"/>
      <c r="DD37" s="923"/>
      <c r="DE37" s="923"/>
      <c r="DF37" s="923"/>
      <c r="DG37" s="923"/>
      <c r="DH37" s="923"/>
      <c r="DI37" s="923"/>
      <c r="DJ37" s="923"/>
      <c r="DK37" s="923"/>
      <c r="DL37" s="923"/>
      <c r="DM37" s="923"/>
      <c r="DN37" s="923"/>
      <c r="DO37" s="923"/>
      <c r="DP37" s="923"/>
      <c r="DQ37" s="923"/>
      <c r="DR37" s="923"/>
      <c r="DS37" s="923"/>
      <c r="DT37" s="923"/>
      <c r="DU37" s="923"/>
      <c r="DV37" s="923"/>
      <c r="DW37" s="923"/>
      <c r="DX37" s="923"/>
      <c r="DY37" s="923"/>
      <c r="DZ37" s="923"/>
      <c r="EA37" s="923"/>
      <c r="EB37" s="923"/>
      <c r="EC37" s="923"/>
      <c r="ED37" s="923"/>
      <c r="EE37" s="923"/>
      <c r="EF37" s="923"/>
      <c r="EG37" s="923"/>
      <c r="EH37" s="923"/>
      <c r="EI37" s="923"/>
      <c r="EJ37" s="923"/>
      <c r="EK37" s="923"/>
      <c r="EL37" s="923"/>
      <c r="EM37" s="923"/>
      <c r="EN37" s="923"/>
      <c r="EO37" s="923"/>
      <c r="EP37" s="923"/>
      <c r="EQ37" s="923"/>
      <c r="ER37" s="923"/>
      <c r="ES37" s="923"/>
      <c r="ET37" s="923"/>
      <c r="EU37" s="923"/>
      <c r="EV37" s="923"/>
      <c r="EW37" s="923"/>
      <c r="EX37" s="923"/>
      <c r="EY37" s="923"/>
      <c r="EZ37" s="923"/>
      <c r="FA37" s="923"/>
      <c r="FB37" s="923"/>
      <c r="FC37" s="923"/>
      <c r="FD37" s="923"/>
      <c r="FE37" s="923"/>
      <c r="FF37" s="923"/>
      <c r="FG37" s="923"/>
      <c r="FH37" s="923"/>
      <c r="FI37" s="923"/>
      <c r="FJ37" s="923"/>
      <c r="FK37" s="923"/>
      <c r="FL37" s="923"/>
      <c r="FM37" s="923"/>
      <c r="FN37" s="923"/>
      <c r="FO37" s="923"/>
      <c r="FP37" s="923"/>
      <c r="FQ37" s="923"/>
      <c r="FR37" s="923"/>
      <c r="FS37" s="923"/>
      <c r="FT37" s="923"/>
      <c r="FU37" s="923"/>
      <c r="FV37" s="923"/>
      <c r="FW37" s="923"/>
      <c r="FX37" s="923"/>
      <c r="FY37" s="923"/>
      <c r="FZ37" s="923"/>
      <c r="GA37" s="923"/>
      <c r="GB37" s="923"/>
      <c r="GC37" s="923"/>
      <c r="GD37" s="923"/>
      <c r="GE37" s="923"/>
      <c r="GF37" s="923"/>
      <c r="GG37" s="1105"/>
      <c r="GH37" s="923"/>
      <c r="GI37" s="923"/>
      <c r="GJ37" s="923"/>
      <c r="GK37" s="923"/>
      <c r="GL37" s="923"/>
      <c r="GM37" s="923"/>
      <c r="GN37" s="923"/>
      <c r="GO37" s="923"/>
      <c r="GP37" s="923"/>
      <c r="GQ37" s="923"/>
      <c r="GR37" s="923"/>
      <c r="GS37" s="923"/>
      <c r="GT37" s="923"/>
      <c r="GU37" s="923"/>
      <c r="GV37" s="923"/>
      <c r="GW37" s="923"/>
      <c r="GX37" s="923"/>
      <c r="GY37" s="923"/>
      <c r="GZ37" s="923"/>
      <c r="HA37" s="923"/>
      <c r="HB37" s="923"/>
      <c r="HC37" s="923"/>
      <c r="HD37" s="923"/>
      <c r="HE37" s="923"/>
      <c r="HF37" s="923"/>
      <c r="HG37" s="923"/>
      <c r="HH37" s="923"/>
      <c r="HI37" s="923"/>
      <c r="HJ37" s="923"/>
      <c r="HK37" s="923"/>
      <c r="HL37" s="923"/>
      <c r="HM37" s="923"/>
      <c r="HN37" s="923"/>
      <c r="HO37" s="923"/>
      <c r="HP37" s="923"/>
      <c r="HQ37" s="923"/>
      <c r="HR37" s="923"/>
      <c r="HS37" s="923"/>
      <c r="HT37" s="923"/>
      <c r="HU37" s="923"/>
      <c r="HV37" s="923"/>
      <c r="HW37" s="923"/>
      <c r="HX37" s="923"/>
      <c r="HY37" s="923"/>
      <c r="HZ37" s="923"/>
      <c r="IA37" s="923"/>
      <c r="IB37" s="923"/>
      <c r="IC37" s="923"/>
      <c r="ID37" s="923"/>
      <c r="IE37" s="923"/>
      <c r="IF37" s="923"/>
      <c r="IG37" s="923"/>
      <c r="IH37" s="923"/>
      <c r="II37" s="923"/>
      <c r="IJ37" s="923"/>
      <c r="IK37" s="923"/>
    </row>
    <row r="38" spans="1:245" ht="15" customHeight="1" thickBot="1">
      <c r="A38" s="72"/>
      <c r="B38" s="72"/>
      <c r="C38" s="72"/>
      <c r="D38" s="1131"/>
      <c r="E38" s="213"/>
      <c r="F38" s="213"/>
      <c r="G38" s="213"/>
      <c r="H38" s="213"/>
      <c r="I38" s="213"/>
      <c r="J38" s="213"/>
      <c r="K38" s="213"/>
      <c r="L38" s="213"/>
      <c r="M38" s="213"/>
      <c r="N38" s="213"/>
      <c r="O38" s="213"/>
      <c r="P38" s="213"/>
      <c r="Q38" s="213"/>
      <c r="R38" s="213"/>
      <c r="S38" s="213"/>
      <c r="T38" s="213"/>
      <c r="U38" s="213"/>
      <c r="V38" s="213"/>
      <c r="W38" s="213"/>
      <c r="X38" s="213"/>
      <c r="Y38" s="213"/>
      <c r="Z38" s="213"/>
      <c r="AA38" s="213"/>
      <c r="AB38" s="213"/>
      <c r="AC38" s="213"/>
      <c r="AD38" s="213"/>
      <c r="AE38" s="213"/>
      <c r="AF38" s="213"/>
      <c r="AG38" s="213"/>
      <c r="AH38" s="213"/>
      <c r="AI38" s="213"/>
      <c r="AJ38" s="923"/>
      <c r="AK38" s="923"/>
      <c r="AL38" s="923"/>
      <c r="AM38" s="923"/>
      <c r="AN38" s="923"/>
      <c r="AO38" s="923"/>
      <c r="AP38" s="923"/>
      <c r="AQ38" s="923"/>
      <c r="AR38" s="923"/>
      <c r="AS38" s="923"/>
      <c r="AT38" s="923"/>
      <c r="AU38" s="923"/>
      <c r="AV38" s="923"/>
      <c r="AW38" s="923"/>
      <c r="AX38" s="923"/>
      <c r="AY38" s="923"/>
      <c r="AZ38" s="923"/>
      <c r="BA38" s="923"/>
      <c r="BB38" s="1104"/>
      <c r="BC38" s="923"/>
      <c r="BD38" s="923"/>
      <c r="BE38" s="923"/>
      <c r="BF38" s="923"/>
      <c r="BG38" s="923"/>
      <c r="BH38" s="923"/>
      <c r="BI38" s="923"/>
      <c r="BJ38" s="923"/>
      <c r="BK38" s="923"/>
      <c r="BL38" s="923"/>
      <c r="BM38" s="923"/>
      <c r="BN38" s="923"/>
      <c r="BO38" s="923"/>
      <c r="BP38" s="923"/>
      <c r="BQ38" s="923"/>
      <c r="BR38" s="923"/>
      <c r="BS38" s="923"/>
      <c r="BT38" s="923"/>
      <c r="BU38" s="923"/>
      <c r="BV38" s="923"/>
      <c r="BW38" s="923"/>
      <c r="BX38" s="923"/>
      <c r="BY38" s="923"/>
      <c r="BZ38" s="923"/>
      <c r="CA38" s="923"/>
      <c r="CB38" s="923"/>
      <c r="CC38" s="923"/>
      <c r="CD38" s="923"/>
      <c r="CE38" s="923"/>
      <c r="CF38" s="923"/>
      <c r="CG38" s="923"/>
      <c r="CH38" s="923"/>
      <c r="CI38" s="923"/>
      <c r="CJ38" s="923"/>
      <c r="CK38" s="923"/>
      <c r="CL38" s="923"/>
      <c r="CM38" s="923"/>
      <c r="CN38" s="923"/>
      <c r="CO38" s="923"/>
      <c r="CP38" s="923"/>
      <c r="CQ38" s="923"/>
      <c r="CR38" s="923"/>
      <c r="CS38" s="923"/>
      <c r="CT38" s="923"/>
      <c r="CU38" s="923"/>
      <c r="CV38" s="923"/>
      <c r="CW38" s="923"/>
      <c r="CX38" s="923"/>
      <c r="CY38" s="923"/>
      <c r="CZ38" s="923"/>
      <c r="DA38" s="923"/>
      <c r="DB38" s="923"/>
      <c r="DC38" s="923"/>
      <c r="DD38" s="923"/>
      <c r="DE38" s="923"/>
      <c r="DF38" s="923"/>
      <c r="DG38" s="923"/>
      <c r="DH38" s="923"/>
      <c r="DI38" s="923"/>
      <c r="DJ38" s="923"/>
      <c r="DK38" s="923"/>
      <c r="DL38" s="923"/>
      <c r="DM38" s="923"/>
      <c r="DN38" s="923"/>
      <c r="DO38" s="923"/>
      <c r="DP38" s="923"/>
      <c r="DQ38" s="923"/>
      <c r="DR38" s="923"/>
      <c r="DS38" s="923"/>
      <c r="DT38" s="923"/>
      <c r="DU38" s="923"/>
      <c r="DV38" s="923"/>
      <c r="DW38" s="923"/>
      <c r="DX38" s="923"/>
      <c r="DY38" s="923"/>
      <c r="DZ38" s="923"/>
      <c r="EA38" s="923"/>
      <c r="EB38" s="923"/>
      <c r="EC38" s="923"/>
      <c r="ED38" s="923"/>
      <c r="EE38" s="923"/>
      <c r="EF38" s="923"/>
      <c r="EG38" s="923"/>
      <c r="EH38" s="923"/>
      <c r="EI38" s="923"/>
      <c r="EJ38" s="923"/>
      <c r="EK38" s="923"/>
      <c r="EL38" s="923"/>
      <c r="EM38" s="923"/>
      <c r="EN38" s="923"/>
      <c r="EO38" s="923"/>
      <c r="EP38" s="923"/>
      <c r="EQ38" s="923"/>
      <c r="ER38" s="923"/>
      <c r="ES38" s="923"/>
      <c r="ET38" s="923"/>
      <c r="EU38" s="923"/>
      <c r="EV38" s="923"/>
      <c r="EW38" s="923"/>
      <c r="EX38" s="923"/>
      <c r="EY38" s="923"/>
      <c r="EZ38" s="923"/>
      <c r="FA38" s="923"/>
      <c r="FB38" s="923"/>
      <c r="FC38" s="923"/>
      <c r="FD38" s="923"/>
      <c r="FE38" s="923"/>
      <c r="FF38" s="923"/>
      <c r="FG38" s="923"/>
      <c r="FH38" s="923"/>
      <c r="FI38" s="923"/>
      <c r="FJ38" s="923"/>
      <c r="FK38" s="923"/>
      <c r="FL38" s="923"/>
      <c r="FM38" s="923"/>
      <c r="FN38" s="923"/>
      <c r="FO38" s="923"/>
      <c r="FP38" s="923"/>
      <c r="FQ38" s="923"/>
      <c r="FR38" s="923"/>
      <c r="FS38" s="923"/>
      <c r="FT38" s="923"/>
      <c r="FU38" s="923"/>
      <c r="FV38" s="923"/>
      <c r="FW38" s="923"/>
      <c r="FX38" s="923"/>
      <c r="FY38" s="923"/>
      <c r="FZ38" s="923"/>
      <c r="GA38" s="923"/>
      <c r="GB38" s="923"/>
      <c r="GC38" s="923"/>
      <c r="GD38" s="923"/>
      <c r="GE38" s="923"/>
      <c r="GF38" s="923"/>
      <c r="GG38" s="1105"/>
      <c r="GH38" s="923"/>
      <c r="GI38" s="923"/>
      <c r="GJ38" s="923"/>
      <c r="GK38" s="923"/>
      <c r="GL38" s="923"/>
      <c r="GM38" s="923"/>
      <c r="GN38" s="923"/>
      <c r="GO38" s="923"/>
      <c r="GP38" s="923"/>
      <c r="GQ38" s="923"/>
      <c r="GR38" s="923"/>
      <c r="GS38" s="923"/>
      <c r="GT38" s="923"/>
      <c r="GU38" s="923"/>
      <c r="GV38" s="923"/>
      <c r="GW38" s="923"/>
      <c r="GX38" s="923"/>
      <c r="GY38" s="923"/>
      <c r="GZ38" s="923"/>
      <c r="HA38" s="923"/>
      <c r="HB38" s="923"/>
      <c r="HC38" s="923"/>
      <c r="HD38" s="923"/>
      <c r="HE38" s="923"/>
      <c r="HF38" s="923"/>
      <c r="HG38" s="923"/>
      <c r="HH38" s="923"/>
      <c r="HI38" s="923"/>
      <c r="HJ38" s="923"/>
      <c r="HK38" s="923"/>
      <c r="HL38" s="923"/>
      <c r="HM38" s="923"/>
      <c r="HN38" s="923"/>
      <c r="HO38" s="923"/>
      <c r="HP38" s="923"/>
      <c r="HQ38" s="923"/>
      <c r="HR38" s="923"/>
      <c r="HS38" s="923"/>
      <c r="HT38" s="923"/>
      <c r="HU38" s="923"/>
      <c r="HV38" s="923"/>
      <c r="HW38" s="923"/>
      <c r="HX38" s="923"/>
      <c r="HY38" s="923"/>
      <c r="HZ38" s="923"/>
      <c r="IA38" s="923"/>
      <c r="IB38" s="923"/>
      <c r="IC38" s="923"/>
      <c r="ID38" s="923"/>
      <c r="IE38" s="923"/>
      <c r="IF38" s="923"/>
      <c r="IG38" s="923"/>
      <c r="IH38" s="923"/>
      <c r="II38" s="923"/>
      <c r="IJ38" s="923"/>
      <c r="IK38" s="923"/>
    </row>
    <row r="39" spans="1:245" ht="15" customHeight="1" thickTop="1" thickBot="1">
      <c r="A39" s="72"/>
      <c r="B39" s="72"/>
      <c r="C39" s="72"/>
      <c r="D39" s="1255" t="str">
        <f>IF(MasterSheet!$A$1=1,MasterSheet!B444,MasterSheet!B443)</f>
        <v>Stanje javnog duga, po mjesecima</v>
      </c>
      <c r="E39" s="1260">
        <v>2013</v>
      </c>
      <c r="F39" s="1261"/>
      <c r="G39" s="1261"/>
      <c r="H39" s="1261"/>
      <c r="I39" s="1261"/>
      <c r="J39" s="1261"/>
      <c r="K39" s="1261"/>
      <c r="L39" s="1261"/>
      <c r="M39" s="1261"/>
      <c r="N39" s="1261"/>
      <c r="O39" s="1261"/>
      <c r="P39" s="1261"/>
      <c r="Q39" s="1261"/>
      <c r="R39" s="1261"/>
      <c r="S39" s="1261"/>
      <c r="T39" s="1261"/>
      <c r="U39" s="1261"/>
      <c r="V39" s="1261"/>
      <c r="W39" s="1261"/>
      <c r="X39" s="1261"/>
      <c r="Y39" s="1261"/>
      <c r="Z39" s="1261"/>
      <c r="AA39" s="1261"/>
      <c r="AB39" s="1261"/>
      <c r="AC39" s="213"/>
      <c r="AD39" s="213"/>
      <c r="AE39" s="213"/>
      <c r="AF39" s="213"/>
      <c r="AG39" s="213"/>
      <c r="AH39" s="213"/>
      <c r="AI39" s="213"/>
      <c r="AJ39" s="923"/>
      <c r="AK39" s="923"/>
      <c r="AL39" s="923"/>
      <c r="AM39" s="923"/>
      <c r="AN39" s="923"/>
      <c r="AO39" s="923"/>
      <c r="AP39" s="923"/>
      <c r="AQ39" s="923"/>
      <c r="AR39" s="923"/>
      <c r="AS39" s="923"/>
      <c r="AT39" s="923"/>
      <c r="AU39" s="923"/>
      <c r="AV39" s="923"/>
      <c r="AW39" s="923"/>
      <c r="AX39" s="923"/>
      <c r="AY39" s="923"/>
      <c r="AZ39" s="923"/>
      <c r="BA39" s="923"/>
      <c r="BB39" s="1104"/>
      <c r="BC39" s="923"/>
      <c r="BD39" s="923"/>
      <c r="BE39" s="923"/>
      <c r="BF39" s="923"/>
      <c r="BG39" s="923"/>
      <c r="BH39" s="923"/>
      <c r="BI39" s="923"/>
      <c r="BJ39" s="923"/>
      <c r="BK39" s="923"/>
      <c r="BL39" s="923"/>
      <c r="BM39" s="923"/>
      <c r="BN39" s="923"/>
      <c r="BO39" s="923"/>
      <c r="BP39" s="923"/>
      <c r="BQ39" s="923"/>
      <c r="BR39" s="923"/>
      <c r="BS39" s="923"/>
      <c r="BT39" s="923"/>
      <c r="BU39" s="923"/>
      <c r="BV39" s="923"/>
      <c r="BW39" s="923"/>
      <c r="BX39" s="923"/>
      <c r="BY39" s="923"/>
      <c r="BZ39" s="923"/>
      <c r="CA39" s="923"/>
      <c r="CB39" s="923"/>
      <c r="CC39" s="923"/>
      <c r="CD39" s="923"/>
      <c r="CE39" s="923"/>
      <c r="CF39" s="923"/>
      <c r="CG39" s="923"/>
      <c r="CH39" s="923"/>
      <c r="CI39" s="923"/>
      <c r="CJ39" s="923"/>
      <c r="CK39" s="923"/>
      <c r="CL39" s="923"/>
      <c r="CM39" s="923"/>
      <c r="CN39" s="923"/>
      <c r="CO39" s="923"/>
      <c r="CP39" s="923"/>
      <c r="CQ39" s="923"/>
      <c r="CR39" s="923"/>
      <c r="CS39" s="923"/>
      <c r="CT39" s="923"/>
      <c r="CU39" s="923"/>
      <c r="CV39" s="923"/>
      <c r="CW39" s="923"/>
      <c r="CX39" s="923"/>
      <c r="CY39" s="923"/>
      <c r="CZ39" s="923"/>
      <c r="DA39" s="923"/>
      <c r="DB39" s="923"/>
      <c r="DC39" s="923"/>
      <c r="DD39" s="923"/>
      <c r="DE39" s="923"/>
      <c r="DF39" s="923"/>
      <c r="DG39" s="923"/>
      <c r="DH39" s="923"/>
      <c r="DI39" s="923"/>
      <c r="DJ39" s="923"/>
      <c r="DK39" s="923"/>
      <c r="DL39" s="923"/>
      <c r="DM39" s="923"/>
      <c r="DN39" s="923"/>
      <c r="DO39" s="923"/>
      <c r="DP39" s="923"/>
      <c r="DQ39" s="923"/>
      <c r="DR39" s="923"/>
      <c r="DS39" s="923"/>
      <c r="DT39" s="923"/>
      <c r="DU39" s="923"/>
      <c r="DV39" s="923"/>
      <c r="DW39" s="923"/>
      <c r="DX39" s="923"/>
      <c r="DY39" s="923"/>
      <c r="DZ39" s="923"/>
      <c r="EA39" s="923"/>
      <c r="EB39" s="923"/>
      <c r="EC39" s="923"/>
      <c r="ED39" s="923"/>
      <c r="EE39" s="923"/>
      <c r="EF39" s="923"/>
      <c r="EG39" s="923"/>
      <c r="EH39" s="923"/>
      <c r="EI39" s="923"/>
      <c r="EJ39" s="923"/>
      <c r="EK39" s="923"/>
      <c r="EL39" s="923"/>
      <c r="EM39" s="923"/>
      <c r="EN39" s="923"/>
      <c r="EO39" s="923"/>
      <c r="EP39" s="923"/>
      <c r="EQ39" s="923"/>
      <c r="ER39" s="923"/>
      <c r="ES39" s="923"/>
      <c r="ET39" s="923"/>
      <c r="EU39" s="923"/>
      <c r="EV39" s="923"/>
      <c r="EW39" s="923"/>
      <c r="EX39" s="923"/>
      <c r="EY39" s="923"/>
      <c r="EZ39" s="923"/>
      <c r="FA39" s="923"/>
      <c r="FB39" s="923"/>
      <c r="FC39" s="923"/>
      <c r="FD39" s="923"/>
      <c r="FE39" s="923"/>
      <c r="FF39" s="923"/>
      <c r="FG39" s="923"/>
      <c r="FH39" s="923"/>
      <c r="FI39" s="923"/>
      <c r="FJ39" s="923"/>
      <c r="FK39" s="923"/>
      <c r="FL39" s="923"/>
      <c r="FM39" s="923"/>
      <c r="FN39" s="923"/>
      <c r="FO39" s="923"/>
      <c r="FP39" s="923"/>
      <c r="FQ39" s="923"/>
      <c r="FR39" s="923"/>
      <c r="FS39" s="923"/>
      <c r="FT39" s="923"/>
      <c r="FU39" s="923"/>
      <c r="FV39" s="923"/>
      <c r="FW39" s="923"/>
      <c r="FX39" s="923"/>
      <c r="FY39" s="923"/>
      <c r="FZ39" s="923"/>
      <c r="GA39" s="923"/>
      <c r="GB39" s="923"/>
      <c r="GC39" s="923"/>
      <c r="GD39" s="923"/>
      <c r="GE39" s="923"/>
      <c r="GF39" s="923"/>
      <c r="GG39" s="1105"/>
      <c r="GH39" s="923"/>
      <c r="GI39" s="923"/>
      <c r="GJ39" s="923"/>
      <c r="GK39" s="923"/>
      <c r="GL39" s="923"/>
      <c r="GM39" s="923"/>
      <c r="GN39" s="923"/>
      <c r="GO39" s="923"/>
      <c r="GP39" s="923"/>
      <c r="GQ39" s="923"/>
      <c r="GR39" s="923"/>
      <c r="GS39" s="923"/>
      <c r="GT39" s="923"/>
      <c r="GU39" s="923"/>
      <c r="GV39" s="923"/>
      <c r="GW39" s="923"/>
      <c r="GX39" s="923"/>
      <c r="GY39" s="923"/>
      <c r="GZ39" s="923"/>
      <c r="HA39" s="923"/>
      <c r="HB39" s="923"/>
      <c r="HC39" s="923"/>
      <c r="HD39" s="923"/>
      <c r="HE39" s="923"/>
      <c r="HF39" s="923"/>
      <c r="HG39" s="923"/>
      <c r="HH39" s="923"/>
      <c r="HI39" s="923"/>
      <c r="HJ39" s="923"/>
      <c r="HK39" s="923"/>
      <c r="HL39" s="923"/>
      <c r="HM39" s="923"/>
      <c r="HN39" s="923"/>
      <c r="HO39" s="923"/>
      <c r="HP39" s="923"/>
      <c r="HQ39" s="923"/>
      <c r="HR39" s="923"/>
      <c r="HS39" s="923"/>
      <c r="HT39" s="923"/>
      <c r="HU39" s="923"/>
      <c r="HV39" s="923"/>
      <c r="HW39" s="923"/>
      <c r="HX39" s="923"/>
      <c r="HY39" s="923"/>
      <c r="HZ39" s="923"/>
      <c r="IA39" s="923"/>
      <c r="IB39" s="923"/>
      <c r="IC39" s="923"/>
      <c r="ID39" s="923"/>
      <c r="IE39" s="923"/>
      <c r="IF39" s="923"/>
      <c r="IG39" s="923"/>
      <c r="IH39" s="923"/>
      <c r="II39" s="923"/>
      <c r="IJ39" s="923"/>
      <c r="IK39" s="923"/>
    </row>
    <row r="40" spans="1:245" ht="15" customHeight="1" thickTop="1">
      <c r="A40" s="72"/>
      <c r="B40" s="72"/>
      <c r="C40" s="72"/>
      <c r="D40" s="1256"/>
      <c r="E40" s="1258" t="str">
        <f>'Monthly plan for 2013'!E18</f>
        <v>Januar</v>
      </c>
      <c r="F40" s="1262"/>
      <c r="G40" s="1258" t="str">
        <f>'Monthly plan for 2013'!F18</f>
        <v>Februar</v>
      </c>
      <c r="H40" s="1259"/>
      <c r="I40" s="1258" t="str">
        <f>'Monthly plan for 2013'!G18</f>
        <v>Mart</v>
      </c>
      <c r="J40" s="1259"/>
      <c r="K40" s="1258" t="str">
        <f>'Monthly plan for 2013'!H18</f>
        <v>April</v>
      </c>
      <c r="L40" s="1259"/>
      <c r="M40" s="1258" t="str">
        <f>'Monthly plan for 2013'!I18</f>
        <v>Maj</v>
      </c>
      <c r="N40" s="1259"/>
      <c r="O40" s="1258" t="str">
        <f>'Monthly plan for 2013'!J18</f>
        <v>Jun</v>
      </c>
      <c r="P40" s="1259"/>
      <c r="Q40" s="1258" t="str">
        <f>'Monthly plan for 2013'!K18</f>
        <v>Jul</v>
      </c>
      <c r="R40" s="1259"/>
      <c r="S40" s="1258" t="str">
        <f>'Monthly plan for 2013'!L18</f>
        <v>Avgust</v>
      </c>
      <c r="T40" s="1259"/>
      <c r="U40" s="1258" t="str">
        <f>'Monthly plan for 2013'!M18</f>
        <v>Septembar</v>
      </c>
      <c r="V40" s="1259"/>
      <c r="W40" s="1253" t="str">
        <f>'Monthly plan for 2013'!N18</f>
        <v>Oktobar</v>
      </c>
      <c r="X40" s="1254"/>
      <c r="Y40" s="1253" t="str">
        <f>'Monthly plan for 2013'!O18</f>
        <v>Novembar</v>
      </c>
      <c r="Z40" s="1254"/>
      <c r="AA40" s="1253" t="str">
        <f>'Monthly plan for 2013'!P18</f>
        <v>Decembar</v>
      </c>
      <c r="AB40" s="1254"/>
      <c r="AC40" s="213"/>
      <c r="AD40" s="213"/>
      <c r="AE40" s="213"/>
      <c r="AF40" s="213"/>
      <c r="AG40" s="213"/>
      <c r="AH40" s="213"/>
      <c r="AI40" s="213"/>
      <c r="AJ40" s="923"/>
      <c r="AK40" s="923"/>
      <c r="AL40" s="923"/>
      <c r="AM40" s="923"/>
      <c r="AN40" s="923"/>
      <c r="AO40" s="923"/>
      <c r="AP40" s="923"/>
      <c r="AQ40" s="923"/>
      <c r="AR40" s="923"/>
      <c r="AS40" s="923"/>
      <c r="AT40" s="923"/>
      <c r="AU40" s="923"/>
      <c r="AV40" s="923"/>
      <c r="AW40" s="923"/>
      <c r="AX40" s="923"/>
      <c r="AY40" s="923"/>
      <c r="AZ40" s="923"/>
      <c r="BA40" s="923"/>
      <c r="BB40" s="1104"/>
      <c r="BC40" s="923"/>
      <c r="BD40" s="923"/>
      <c r="BE40" s="923"/>
      <c r="BF40" s="923"/>
      <c r="BG40" s="923"/>
      <c r="BH40" s="923"/>
      <c r="BI40" s="923"/>
      <c r="BJ40" s="923"/>
      <c r="BK40" s="923"/>
      <c r="BL40" s="923"/>
      <c r="BM40" s="923"/>
      <c r="BN40" s="923"/>
      <c r="BO40" s="923"/>
      <c r="BP40" s="923"/>
      <c r="BQ40" s="923"/>
      <c r="BR40" s="923"/>
      <c r="BS40" s="923"/>
      <c r="BT40" s="923"/>
      <c r="BU40" s="923"/>
      <c r="BV40" s="923"/>
      <c r="BW40" s="923"/>
      <c r="BX40" s="923"/>
      <c r="BY40" s="923"/>
      <c r="BZ40" s="923"/>
      <c r="CA40" s="923"/>
      <c r="CB40" s="923"/>
      <c r="CC40" s="923"/>
      <c r="CD40" s="923"/>
      <c r="CE40" s="923"/>
      <c r="CF40" s="923"/>
      <c r="CG40" s="923"/>
      <c r="CH40" s="923"/>
      <c r="CI40" s="923"/>
      <c r="CJ40" s="923"/>
      <c r="CK40" s="923"/>
      <c r="CL40" s="923"/>
      <c r="CM40" s="923"/>
      <c r="CN40" s="923"/>
      <c r="CO40" s="923"/>
      <c r="CP40" s="923"/>
      <c r="CQ40" s="923"/>
      <c r="CR40" s="923"/>
      <c r="CS40" s="923"/>
      <c r="CT40" s="923"/>
      <c r="CU40" s="923"/>
      <c r="CV40" s="923"/>
      <c r="CW40" s="923"/>
      <c r="CX40" s="923"/>
      <c r="CY40" s="923"/>
      <c r="CZ40" s="923"/>
      <c r="DA40" s="923"/>
      <c r="DB40" s="923"/>
      <c r="DC40" s="923"/>
      <c r="DD40" s="923"/>
      <c r="DE40" s="923"/>
      <c r="DF40" s="923"/>
      <c r="DG40" s="923"/>
      <c r="DH40" s="923"/>
      <c r="DI40" s="923"/>
      <c r="DJ40" s="923"/>
      <c r="DK40" s="923"/>
      <c r="DL40" s="923"/>
      <c r="DM40" s="923"/>
      <c r="DN40" s="923"/>
      <c r="DO40" s="923"/>
      <c r="DP40" s="923"/>
      <c r="DQ40" s="923"/>
      <c r="DR40" s="923"/>
      <c r="DS40" s="923"/>
      <c r="DT40" s="923"/>
      <c r="DU40" s="923"/>
      <c r="DV40" s="923"/>
      <c r="DW40" s="923"/>
      <c r="DX40" s="923"/>
      <c r="DY40" s="923"/>
      <c r="DZ40" s="923"/>
      <c r="EA40" s="923"/>
      <c r="EB40" s="923"/>
      <c r="EC40" s="923"/>
      <c r="ED40" s="923"/>
      <c r="EE40" s="923"/>
      <c r="EF40" s="923"/>
      <c r="EG40" s="923"/>
      <c r="EH40" s="923"/>
      <c r="EI40" s="923"/>
      <c r="EJ40" s="923"/>
      <c r="EK40" s="923"/>
      <c r="EL40" s="923"/>
      <c r="EM40" s="923"/>
      <c r="EN40" s="923"/>
      <c r="EO40" s="923"/>
      <c r="EP40" s="923"/>
      <c r="EQ40" s="923"/>
      <c r="ER40" s="923"/>
      <c r="ES40" s="923"/>
      <c r="ET40" s="923"/>
      <c r="EU40" s="923"/>
      <c r="EV40" s="923"/>
      <c r="EW40" s="923"/>
      <c r="EX40" s="923"/>
      <c r="EY40" s="923"/>
      <c r="EZ40" s="923"/>
      <c r="FA40" s="923"/>
      <c r="FB40" s="923"/>
      <c r="FC40" s="923"/>
      <c r="FD40" s="923"/>
      <c r="FE40" s="923"/>
      <c r="FF40" s="923"/>
      <c r="FG40" s="923"/>
      <c r="FH40" s="923"/>
      <c r="FI40" s="923"/>
      <c r="FJ40" s="923"/>
      <c r="FK40" s="923"/>
      <c r="FL40" s="923"/>
      <c r="FM40" s="923"/>
      <c r="FN40" s="923"/>
      <c r="FO40" s="923"/>
      <c r="FP40" s="923"/>
      <c r="FQ40" s="923"/>
      <c r="FR40" s="923"/>
      <c r="FS40" s="923"/>
      <c r="FT40" s="923"/>
      <c r="FU40" s="923"/>
      <c r="FV40" s="923"/>
      <c r="FW40" s="923"/>
      <c r="FX40" s="923"/>
      <c r="FY40" s="923"/>
      <c r="FZ40" s="923"/>
      <c r="GA40" s="923"/>
      <c r="GB40" s="923"/>
      <c r="GC40" s="923"/>
      <c r="GD40" s="923"/>
      <c r="GE40" s="923"/>
      <c r="GF40" s="923"/>
      <c r="GG40" s="1105"/>
      <c r="GH40" s="923"/>
      <c r="GI40" s="923"/>
      <c r="GJ40" s="923"/>
      <c r="GK40" s="923"/>
      <c r="GL40" s="923"/>
      <c r="GM40" s="923"/>
      <c r="GN40" s="923"/>
      <c r="GO40" s="923"/>
      <c r="GP40" s="923"/>
      <c r="GQ40" s="923"/>
      <c r="GR40" s="923"/>
      <c r="GS40" s="923"/>
      <c r="GT40" s="923"/>
      <c r="GU40" s="923"/>
      <c r="GV40" s="923"/>
      <c r="GW40" s="923"/>
      <c r="GX40" s="923"/>
      <c r="GY40" s="923"/>
      <c r="GZ40" s="923"/>
      <c r="HA40" s="923"/>
      <c r="HB40" s="923"/>
      <c r="HC40" s="923"/>
      <c r="HD40" s="923"/>
      <c r="HE40" s="923"/>
      <c r="HF40" s="923"/>
      <c r="HG40" s="923"/>
      <c r="HH40" s="923"/>
      <c r="HI40" s="923"/>
      <c r="HJ40" s="923"/>
      <c r="HK40" s="923"/>
      <c r="HL40" s="923"/>
      <c r="HM40" s="923"/>
      <c r="HN40" s="923"/>
      <c r="HO40" s="923"/>
      <c r="HP40" s="923"/>
      <c r="HQ40" s="923"/>
      <c r="HR40" s="923"/>
      <c r="HS40" s="923"/>
      <c r="HT40" s="923"/>
      <c r="HU40" s="923"/>
      <c r="HV40" s="923"/>
      <c r="HW40" s="923"/>
      <c r="HX40" s="923"/>
      <c r="HY40" s="923"/>
      <c r="HZ40" s="923"/>
      <c r="IA40" s="923"/>
      <c r="IB40" s="923"/>
      <c r="IC40" s="923"/>
      <c r="ID40" s="923"/>
      <c r="IE40" s="923"/>
      <c r="IF40" s="923"/>
      <c r="IG40" s="923"/>
      <c r="IH40" s="923"/>
      <c r="II40" s="923"/>
      <c r="IJ40" s="923"/>
      <c r="IK40" s="923"/>
    </row>
    <row r="41" spans="1:245" ht="15" customHeight="1" thickBot="1">
      <c r="A41" s="72"/>
      <c r="B41" s="72"/>
      <c r="C41" s="72"/>
      <c r="D41" s="1257"/>
      <c r="E41" s="468" t="str">
        <f>IF(MasterSheet!$A$1=1,MasterSheet!$C$258,MasterSheet!$C$257)</f>
        <v>mil. €</v>
      </c>
      <c r="F41" s="469" t="str">
        <f>IF(MasterSheet!$A$1=1,MasterSheet!$D$258,MasterSheet!$D$257)</f>
        <v xml:space="preserve"> % BDP</v>
      </c>
      <c r="G41" s="468" t="str">
        <f>IF(MasterSheet!$A$1=1,MasterSheet!$C$258,MasterSheet!$C$257)</f>
        <v>mil. €</v>
      </c>
      <c r="H41" s="469" t="str">
        <f>IF(MasterSheet!$A$1=1,MasterSheet!$D$258,MasterSheet!$D$257)</f>
        <v xml:space="preserve"> % BDP</v>
      </c>
      <c r="I41" s="468" t="str">
        <f>IF(MasterSheet!$A$1=1,MasterSheet!$C$258,MasterSheet!$C$257)</f>
        <v>mil. €</v>
      </c>
      <c r="J41" s="469" t="str">
        <f>IF(MasterSheet!$A$1=1,MasterSheet!$D$258,MasterSheet!$D$257)</f>
        <v xml:space="preserve"> % BDP</v>
      </c>
      <c r="K41" s="468" t="str">
        <f>IF(MasterSheet!$A$1=1,MasterSheet!$C$258,MasterSheet!$C$257)</f>
        <v>mil. €</v>
      </c>
      <c r="L41" s="469" t="str">
        <f>IF(MasterSheet!$A$1=1,MasterSheet!$D$258,MasterSheet!$D$257)</f>
        <v xml:space="preserve"> % BDP</v>
      </c>
      <c r="M41" s="468" t="str">
        <f>IF(MasterSheet!$A$1=1,MasterSheet!$C$258,MasterSheet!$C$257)</f>
        <v>mil. €</v>
      </c>
      <c r="N41" s="469" t="str">
        <f>IF(MasterSheet!$A$1=1,MasterSheet!$D$258,MasterSheet!$D$257)</f>
        <v xml:space="preserve"> % BDP</v>
      </c>
      <c r="O41" s="468" t="str">
        <f>IF(MasterSheet!$A$1=1,MasterSheet!$C$258,MasterSheet!$C$257)</f>
        <v>mil. €</v>
      </c>
      <c r="P41" s="469" t="str">
        <f>IF(MasterSheet!$A$1=1,MasterSheet!$D$258,MasterSheet!$D$257)</f>
        <v xml:space="preserve"> % BDP</v>
      </c>
      <c r="Q41" s="468" t="str">
        <f>IF(MasterSheet!$A$1=1,MasterSheet!$C$258,MasterSheet!$C$257)</f>
        <v>mil. €</v>
      </c>
      <c r="R41" s="469" t="str">
        <f>IF(MasterSheet!$A$1=1,MasterSheet!$D$258,MasterSheet!$D$257)</f>
        <v xml:space="preserve"> % BDP</v>
      </c>
      <c r="S41" s="468" t="str">
        <f>IF(MasterSheet!$A$1=1,MasterSheet!$C$258,MasterSheet!$C$257)</f>
        <v>mil. €</v>
      </c>
      <c r="T41" s="469" t="str">
        <f>IF(MasterSheet!$A$1=1,MasterSheet!$D$258,MasterSheet!$D$257)</f>
        <v xml:space="preserve"> % BDP</v>
      </c>
      <c r="U41" s="468" t="str">
        <f>IF(MasterSheet!$A$1=1,MasterSheet!$C$258,MasterSheet!$C$257)</f>
        <v>mil. €</v>
      </c>
      <c r="V41" s="469" t="str">
        <f>IF(MasterSheet!$A$1=1,MasterSheet!$D$258,MasterSheet!$D$257)</f>
        <v xml:space="preserve"> % BDP</v>
      </c>
      <c r="W41" s="468" t="str">
        <f>IF(MasterSheet!$A$1=1,MasterSheet!$C$258,MasterSheet!$C$257)</f>
        <v>mil. €</v>
      </c>
      <c r="X41" s="469" t="str">
        <f>IF(MasterSheet!$A$1=1,MasterSheet!$D$258,MasterSheet!$D$257)</f>
        <v xml:space="preserve"> % BDP</v>
      </c>
      <c r="Y41" s="468" t="str">
        <f>IF(MasterSheet!$A$1=1,MasterSheet!$C$258,MasterSheet!$C$257)</f>
        <v>mil. €</v>
      </c>
      <c r="Z41" s="469" t="str">
        <f>IF(MasterSheet!$A$1=1,MasterSheet!$D$258,MasterSheet!$D$257)</f>
        <v xml:space="preserve"> % BDP</v>
      </c>
      <c r="AA41" s="468" t="str">
        <f>IF(MasterSheet!$A$1=1,MasterSheet!$C$258,MasterSheet!$C$257)</f>
        <v>mil. €</v>
      </c>
      <c r="AB41" s="469" t="str">
        <f>IF(MasterSheet!$A$1=1,MasterSheet!$D$258,MasterSheet!$D$257)</f>
        <v xml:space="preserve"> % BDP</v>
      </c>
      <c r="AC41" s="213"/>
      <c r="AD41" s="213"/>
      <c r="AE41" s="213"/>
      <c r="AF41" s="213"/>
      <c r="AG41" s="213"/>
      <c r="AH41" s="213"/>
      <c r="AI41" s="213"/>
      <c r="AJ41" s="923"/>
      <c r="AK41" s="923"/>
      <c r="AL41" s="923"/>
      <c r="AM41" s="923"/>
      <c r="AN41" s="923"/>
      <c r="AO41" s="923"/>
      <c r="AP41" s="923"/>
      <c r="AQ41" s="923"/>
      <c r="AR41" s="923"/>
      <c r="AS41" s="923"/>
      <c r="AT41" s="923"/>
      <c r="AU41" s="923"/>
      <c r="AV41" s="923"/>
      <c r="AW41" s="923"/>
      <c r="AX41" s="923"/>
      <c r="AY41" s="923"/>
      <c r="AZ41" s="923"/>
      <c r="BA41" s="923"/>
      <c r="BB41" s="1104"/>
      <c r="BC41" s="923"/>
      <c r="BD41" s="923"/>
      <c r="BE41" s="923"/>
      <c r="BF41" s="923"/>
      <c r="BG41" s="923"/>
      <c r="BH41" s="923"/>
      <c r="BI41" s="923"/>
      <c r="BJ41" s="923"/>
      <c r="BK41" s="923"/>
      <c r="BL41" s="923"/>
      <c r="BM41" s="923"/>
      <c r="BN41" s="923"/>
      <c r="BO41" s="923"/>
      <c r="BP41" s="923"/>
      <c r="BQ41" s="923"/>
      <c r="BR41" s="923"/>
      <c r="BS41" s="923"/>
      <c r="BT41" s="923"/>
      <c r="BU41" s="923"/>
      <c r="BV41" s="923"/>
      <c r="BW41" s="923"/>
      <c r="BX41" s="923"/>
      <c r="BY41" s="923"/>
      <c r="BZ41" s="923"/>
      <c r="CA41" s="923"/>
      <c r="CB41" s="923"/>
      <c r="CC41" s="923"/>
      <c r="CD41" s="923"/>
      <c r="CE41" s="923"/>
      <c r="CF41" s="923"/>
      <c r="CG41" s="923"/>
      <c r="CH41" s="923"/>
      <c r="CI41" s="923"/>
      <c r="CJ41" s="923"/>
      <c r="CK41" s="923"/>
      <c r="CL41" s="923"/>
      <c r="CM41" s="923"/>
      <c r="CN41" s="923"/>
      <c r="CO41" s="923"/>
      <c r="CP41" s="923"/>
      <c r="CQ41" s="923"/>
      <c r="CR41" s="923"/>
      <c r="CS41" s="923"/>
      <c r="CT41" s="923"/>
      <c r="CU41" s="923"/>
      <c r="CV41" s="923"/>
      <c r="CW41" s="923"/>
      <c r="CX41" s="923"/>
      <c r="CY41" s="923"/>
      <c r="CZ41" s="923"/>
      <c r="DA41" s="923"/>
      <c r="DB41" s="923"/>
      <c r="DC41" s="923"/>
      <c r="DD41" s="923"/>
      <c r="DE41" s="923"/>
      <c r="DF41" s="923"/>
      <c r="DG41" s="923"/>
      <c r="DH41" s="923"/>
      <c r="DI41" s="923"/>
      <c r="DJ41" s="923"/>
      <c r="DK41" s="923"/>
      <c r="DL41" s="923"/>
      <c r="DM41" s="923"/>
      <c r="DN41" s="923"/>
      <c r="DO41" s="923"/>
      <c r="DP41" s="923"/>
      <c r="DQ41" s="923"/>
      <c r="DR41" s="923"/>
      <c r="DS41" s="923"/>
      <c r="DT41" s="923"/>
      <c r="DU41" s="923"/>
      <c r="DV41" s="923"/>
      <c r="DW41" s="923"/>
      <c r="DX41" s="923"/>
      <c r="DY41" s="923"/>
      <c r="DZ41" s="923"/>
      <c r="EA41" s="923"/>
      <c r="EB41" s="923"/>
      <c r="EC41" s="923"/>
      <c r="ED41" s="923"/>
      <c r="EE41" s="923"/>
      <c r="EF41" s="923"/>
      <c r="EG41" s="923"/>
      <c r="EH41" s="923"/>
      <c r="EI41" s="923"/>
      <c r="EJ41" s="923"/>
      <c r="EK41" s="923"/>
      <c r="EL41" s="923"/>
      <c r="EM41" s="923"/>
      <c r="EN41" s="923"/>
      <c r="EO41" s="923"/>
      <c r="EP41" s="923"/>
      <c r="EQ41" s="923"/>
      <c r="ER41" s="923"/>
      <c r="ES41" s="923"/>
      <c r="ET41" s="923"/>
      <c r="EU41" s="923"/>
      <c r="EV41" s="923"/>
      <c r="EW41" s="923"/>
      <c r="EX41" s="923"/>
      <c r="EY41" s="923"/>
      <c r="EZ41" s="923"/>
      <c r="FA41" s="923"/>
      <c r="FB41" s="923"/>
      <c r="FC41" s="923"/>
      <c r="FD41" s="923"/>
      <c r="FE41" s="923"/>
      <c r="FF41" s="923"/>
      <c r="FG41" s="923"/>
      <c r="FH41" s="923"/>
      <c r="FI41" s="923"/>
      <c r="FJ41" s="923"/>
      <c r="FK41" s="923"/>
      <c r="FL41" s="923"/>
      <c r="FM41" s="923"/>
      <c r="FN41" s="923"/>
      <c r="FO41" s="923"/>
      <c r="FP41" s="923"/>
      <c r="FQ41" s="923"/>
      <c r="FR41" s="923"/>
      <c r="FS41" s="923"/>
      <c r="FT41" s="923"/>
      <c r="FU41" s="923"/>
      <c r="FV41" s="923"/>
      <c r="FW41" s="923"/>
      <c r="FX41" s="923"/>
      <c r="FY41" s="923"/>
      <c r="FZ41" s="923"/>
      <c r="GA41" s="923"/>
      <c r="GB41" s="923"/>
      <c r="GC41" s="923"/>
      <c r="GD41" s="923"/>
      <c r="GE41" s="923"/>
      <c r="GF41" s="923"/>
      <c r="GG41" s="1105"/>
      <c r="GH41" s="923"/>
      <c r="GI41" s="923"/>
      <c r="GJ41" s="923"/>
      <c r="GK41" s="923"/>
      <c r="GL41" s="923"/>
      <c r="GM41" s="923"/>
      <c r="GN41" s="923"/>
      <c r="GO41" s="923"/>
      <c r="GP41" s="923"/>
      <c r="GQ41" s="923"/>
      <c r="GR41" s="923"/>
      <c r="GS41" s="923"/>
      <c r="GT41" s="923"/>
      <c r="GU41" s="923"/>
      <c r="GV41" s="923"/>
      <c r="GW41" s="923"/>
      <c r="GX41" s="923"/>
      <c r="GY41" s="923"/>
      <c r="GZ41" s="923"/>
      <c r="HA41" s="923"/>
      <c r="HB41" s="923"/>
      <c r="HC41" s="923"/>
      <c r="HD41" s="923"/>
      <c r="HE41" s="923"/>
      <c r="HF41" s="923"/>
      <c r="HG41" s="923"/>
      <c r="HH41" s="923"/>
      <c r="HI41" s="923"/>
      <c r="HJ41" s="923"/>
      <c r="HK41" s="923"/>
      <c r="HL41" s="923"/>
      <c r="HM41" s="923"/>
      <c r="HN41" s="923"/>
      <c r="HO41" s="923"/>
      <c r="HP41" s="923"/>
      <c r="HQ41" s="923"/>
      <c r="HR41" s="923"/>
      <c r="HS41" s="923"/>
      <c r="HT41" s="923"/>
      <c r="HU41" s="923"/>
      <c r="HV41" s="923"/>
      <c r="HW41" s="923"/>
      <c r="HX41" s="923"/>
      <c r="HY41" s="923"/>
      <c r="HZ41" s="923"/>
      <c r="IA41" s="923"/>
      <c r="IB41" s="923"/>
      <c r="IC41" s="923"/>
      <c r="ID41" s="923"/>
      <c r="IE41" s="923"/>
      <c r="IF41" s="923"/>
      <c r="IG41" s="923"/>
      <c r="IH41" s="923"/>
      <c r="II41" s="923"/>
      <c r="IJ41" s="923"/>
      <c r="IK41" s="923"/>
    </row>
    <row r="42" spans="1:245" ht="15" customHeight="1" thickTop="1" thickBot="1">
      <c r="A42" s="72"/>
      <c r="B42" s="72"/>
      <c r="C42" s="72"/>
      <c r="D42" s="463" t="str">
        <f>IF(MasterSheet!$A$1=1,MasterSheet!$C$437,MasterSheet!$B$437)</f>
        <v>Ukupno javni dug</v>
      </c>
      <c r="E42" s="464">
        <f>SUM(E43:E44)</f>
        <v>1726600000</v>
      </c>
      <c r="F42" s="977">
        <f>E42/$G$15*100</f>
        <v>49.09297696900768</v>
      </c>
      <c r="G42" s="925">
        <f>SUM(G43:G44)</f>
        <v>1732700000</v>
      </c>
      <c r="H42" s="977">
        <f>G42/$G$15*100</f>
        <v>49.266420244526586</v>
      </c>
      <c r="I42" s="925">
        <f>SUM(I43:I44)</f>
        <v>1755700000</v>
      </c>
      <c r="J42" s="977">
        <f>I42/$G$15*100</f>
        <v>49.920386693204435</v>
      </c>
      <c r="K42" s="978">
        <f>SUM(K43:K44)</f>
        <v>1764200000</v>
      </c>
      <c r="L42" s="977">
        <f>K42/$G$15*100</f>
        <v>50.162069945976683</v>
      </c>
      <c r="M42" s="978">
        <f>SUM(M43:M44)</f>
        <v>1767100000</v>
      </c>
      <c r="N42" s="977">
        <f>M42/$G$15*100</f>
        <v>50.2445265851578</v>
      </c>
      <c r="O42" s="978">
        <f>SUM(O43:O44)</f>
        <v>1760900000</v>
      </c>
      <c r="P42" s="977">
        <f>+O42/$G$15*100</f>
        <v>50.068239977253334</v>
      </c>
      <c r="Q42" s="978">
        <f>SUM(Q43:Q44)</f>
        <v>1810400000</v>
      </c>
      <c r="R42" s="977">
        <f>Q42/$G$15*100</f>
        <v>51.475689508103493</v>
      </c>
      <c r="S42" s="978">
        <f>SUM(S43:S44)</f>
        <v>1844900000</v>
      </c>
      <c r="T42" s="977">
        <f>S42/$G$15*100</f>
        <v>52.456639181120266</v>
      </c>
      <c r="U42" s="978">
        <f>SUM(U43:U44)</f>
        <v>1846500000</v>
      </c>
      <c r="V42" s="977">
        <f>U42/$G$15*100</f>
        <v>52.502132499289168</v>
      </c>
      <c r="W42" s="978">
        <f>SUM(W43:W44)</f>
        <v>0</v>
      </c>
      <c r="X42" s="977">
        <f>W42/$G$15*100</f>
        <v>0</v>
      </c>
      <c r="Y42" s="978">
        <f t="shared" ref="Y42:AA42" si="12">SUM(Y43:Y44)</f>
        <v>0</v>
      </c>
      <c r="Z42" s="977">
        <f>Y42/$G$15*100</f>
        <v>0</v>
      </c>
      <c r="AA42" s="978">
        <f t="shared" si="12"/>
        <v>0</v>
      </c>
      <c r="AB42" s="977">
        <f>AA42/$G$15*100</f>
        <v>0</v>
      </c>
      <c r="AC42" s="213"/>
      <c r="AD42" s="213"/>
      <c r="AE42" s="213"/>
      <c r="AF42" s="213"/>
      <c r="AG42" s="213"/>
      <c r="AH42" s="213"/>
      <c r="AI42" s="213"/>
      <c r="AJ42" s="923"/>
      <c r="AK42" s="923"/>
      <c r="AL42" s="923"/>
      <c r="AM42" s="923"/>
      <c r="AN42" s="923"/>
      <c r="AO42" s="923"/>
      <c r="AP42" s="923"/>
      <c r="AQ42" s="923"/>
      <c r="AR42" s="923"/>
      <c r="AS42" s="923"/>
      <c r="AT42" s="923"/>
      <c r="AU42" s="923"/>
      <c r="AV42" s="923"/>
      <c r="AW42" s="923"/>
      <c r="AX42" s="923"/>
      <c r="AY42" s="923"/>
      <c r="AZ42" s="923"/>
      <c r="BA42" s="923"/>
      <c r="BB42" s="1104"/>
      <c r="BC42" s="923"/>
      <c r="BD42" s="923"/>
      <c r="BE42" s="923"/>
      <c r="BF42" s="923"/>
      <c r="BG42" s="923"/>
      <c r="BH42" s="923"/>
      <c r="BI42" s="923"/>
      <c r="BJ42" s="923"/>
      <c r="BK42" s="923"/>
      <c r="BL42" s="923"/>
      <c r="BM42" s="923"/>
      <c r="BN42" s="923"/>
      <c r="BO42" s="923"/>
      <c r="BP42" s="923"/>
      <c r="BQ42" s="923"/>
      <c r="BR42" s="923"/>
      <c r="BS42" s="923"/>
      <c r="BT42" s="923"/>
      <c r="BU42" s="923"/>
      <c r="BV42" s="923"/>
      <c r="BW42" s="923"/>
      <c r="BX42" s="923"/>
      <c r="BY42" s="923"/>
      <c r="BZ42" s="923"/>
      <c r="CA42" s="923"/>
      <c r="CB42" s="923"/>
      <c r="CC42" s="923"/>
      <c r="CD42" s="923"/>
      <c r="CE42" s="923"/>
      <c r="CF42" s="923"/>
      <c r="CG42" s="923"/>
      <c r="CH42" s="923"/>
      <c r="CI42" s="923"/>
      <c r="CJ42" s="923"/>
      <c r="CK42" s="923"/>
      <c r="CL42" s="923"/>
      <c r="CM42" s="923"/>
      <c r="CN42" s="923"/>
      <c r="CO42" s="923"/>
      <c r="CP42" s="923"/>
      <c r="CQ42" s="923"/>
      <c r="CR42" s="923"/>
      <c r="CS42" s="923"/>
      <c r="CT42" s="923"/>
      <c r="CU42" s="923"/>
      <c r="CV42" s="923"/>
      <c r="CW42" s="923"/>
      <c r="CX42" s="923"/>
      <c r="CY42" s="923"/>
      <c r="CZ42" s="923"/>
      <c r="DA42" s="923"/>
      <c r="DB42" s="923"/>
      <c r="DC42" s="923"/>
      <c r="DD42" s="923"/>
      <c r="DE42" s="923"/>
      <c r="DF42" s="923"/>
      <c r="DG42" s="923"/>
      <c r="DH42" s="923"/>
      <c r="DI42" s="923"/>
      <c r="DJ42" s="923"/>
      <c r="DK42" s="923"/>
      <c r="DL42" s="923"/>
      <c r="DM42" s="923"/>
      <c r="DN42" s="923"/>
      <c r="DO42" s="923"/>
      <c r="DP42" s="923"/>
      <c r="DQ42" s="923"/>
      <c r="DR42" s="923"/>
      <c r="DS42" s="923"/>
      <c r="DT42" s="923"/>
      <c r="DU42" s="923"/>
      <c r="DV42" s="923"/>
      <c r="DW42" s="923"/>
      <c r="DX42" s="923"/>
      <c r="DY42" s="923"/>
      <c r="DZ42" s="923"/>
      <c r="EA42" s="923"/>
      <c r="EB42" s="923"/>
      <c r="EC42" s="923"/>
      <c r="ED42" s="923"/>
      <c r="EE42" s="923"/>
      <c r="EF42" s="923"/>
      <c r="EG42" s="923"/>
      <c r="EH42" s="923"/>
      <c r="EI42" s="923"/>
      <c r="EJ42" s="923"/>
      <c r="EK42" s="923"/>
      <c r="EL42" s="923"/>
      <c r="EM42" s="923"/>
      <c r="EN42" s="923"/>
      <c r="EO42" s="923"/>
      <c r="EP42" s="923"/>
      <c r="EQ42" s="923"/>
      <c r="ER42" s="923"/>
      <c r="ES42" s="923"/>
      <c r="ET42" s="923"/>
      <c r="EU42" s="923"/>
      <c r="EV42" s="923"/>
      <c r="EW42" s="923"/>
      <c r="EX42" s="923"/>
      <c r="EY42" s="923"/>
      <c r="EZ42" s="923"/>
      <c r="FA42" s="923"/>
      <c r="FB42" s="923"/>
      <c r="FC42" s="923"/>
      <c r="FD42" s="923"/>
      <c r="FE42" s="923"/>
      <c r="FF42" s="923"/>
      <c r="FG42" s="923"/>
      <c r="FH42" s="923"/>
      <c r="FI42" s="923"/>
      <c r="FJ42" s="923"/>
      <c r="FK42" s="923"/>
      <c r="FL42" s="923"/>
      <c r="FM42" s="923"/>
      <c r="FN42" s="923"/>
      <c r="FO42" s="923"/>
      <c r="FP42" s="923"/>
      <c r="FQ42" s="923"/>
      <c r="FR42" s="923"/>
      <c r="FS42" s="923"/>
      <c r="FT42" s="923"/>
      <c r="FU42" s="923"/>
      <c r="FV42" s="923"/>
      <c r="FW42" s="923"/>
      <c r="FX42" s="923"/>
      <c r="FY42" s="923"/>
      <c r="FZ42" s="923"/>
      <c r="GA42" s="923"/>
      <c r="GB42" s="923"/>
      <c r="GC42" s="923"/>
      <c r="GD42" s="923"/>
      <c r="GE42" s="923"/>
      <c r="GF42" s="923"/>
      <c r="GG42" s="1105"/>
      <c r="GH42" s="923"/>
      <c r="GI42" s="923"/>
      <c r="GJ42" s="923"/>
      <c r="GK42" s="923"/>
      <c r="GL42" s="923"/>
      <c r="GM42" s="923"/>
      <c r="GN42" s="923"/>
      <c r="GO42" s="923"/>
      <c r="GP42" s="923"/>
      <c r="GQ42" s="923"/>
      <c r="GR42" s="923"/>
      <c r="GS42" s="923"/>
      <c r="GT42" s="923"/>
      <c r="GU42" s="923"/>
      <c r="GV42" s="923"/>
      <c r="GW42" s="923"/>
      <c r="GX42" s="923"/>
      <c r="GY42" s="923"/>
      <c r="GZ42" s="923"/>
      <c r="HA42" s="923"/>
      <c r="HB42" s="923"/>
      <c r="HC42" s="923"/>
      <c r="HD42" s="923"/>
      <c r="HE42" s="923"/>
      <c r="HF42" s="923"/>
      <c r="HG42" s="923"/>
      <c r="HH42" s="923"/>
      <c r="HI42" s="923"/>
      <c r="HJ42" s="923"/>
      <c r="HK42" s="923"/>
      <c r="HL42" s="923"/>
      <c r="HM42" s="923"/>
      <c r="HN42" s="923"/>
      <c r="HO42" s="923"/>
      <c r="HP42" s="923"/>
      <c r="HQ42" s="923"/>
      <c r="HR42" s="923"/>
      <c r="HS42" s="923"/>
      <c r="HT42" s="923"/>
      <c r="HU42" s="923"/>
      <c r="HV42" s="923"/>
      <c r="HW42" s="923"/>
      <c r="HX42" s="923"/>
      <c r="HY42" s="923"/>
      <c r="HZ42" s="923"/>
      <c r="IA42" s="923"/>
      <c r="IB42" s="923"/>
      <c r="IC42" s="923"/>
      <c r="ID42" s="923"/>
      <c r="IE42" s="923"/>
      <c r="IF42" s="923"/>
      <c r="IG42" s="923"/>
      <c r="IH42" s="923"/>
      <c r="II42" s="923"/>
      <c r="IJ42" s="923"/>
      <c r="IK42" s="923"/>
    </row>
    <row r="43" spans="1:245" ht="15" customHeight="1" thickTop="1">
      <c r="A43" s="72"/>
      <c r="B43" s="72"/>
      <c r="C43" s="72"/>
      <c r="D43" s="478" t="str">
        <f>IF(MasterSheet!$A$1=1,MasterSheet!$C$438,MasterSheet!$B$438)</f>
        <v>Dug prema rezidentima</v>
      </c>
      <c r="E43" s="975">
        <v>394000000</v>
      </c>
      <c r="F43" s="983">
        <f t="shared" ref="F43:F44" si="13">E43/$G$15*100</f>
        <v>11.202729599090134</v>
      </c>
      <c r="G43" s="985">
        <v>396700000</v>
      </c>
      <c r="H43" s="983">
        <f t="shared" ref="H43:H44" si="14">G43/$G$15*100</f>
        <v>11.279499573500141</v>
      </c>
      <c r="I43" s="985">
        <v>420300000</v>
      </c>
      <c r="J43" s="983">
        <f t="shared" ref="J43:J44" si="15">I43/$G$15*100</f>
        <v>11.950526016491327</v>
      </c>
      <c r="K43" s="981">
        <v>431700000</v>
      </c>
      <c r="L43" s="983">
        <f t="shared" ref="L43:L44" si="16">K43/$G$15*100</f>
        <v>12.274665908444698</v>
      </c>
      <c r="M43" s="981">
        <v>436000000</v>
      </c>
      <c r="N43" s="983">
        <f t="shared" ref="N43:N44" si="17">M43/$G$15*100</f>
        <v>12.3969292010236</v>
      </c>
      <c r="O43" s="981">
        <v>442700000</v>
      </c>
      <c r="P43" s="983">
        <f t="shared" ref="P43:P44" si="18">+O43/$G$15*100</f>
        <v>12.587432470855845</v>
      </c>
      <c r="Q43" s="981">
        <v>442800000</v>
      </c>
      <c r="R43" s="983">
        <f t="shared" ref="R43:R44" si="19">Q43/$G$15*100</f>
        <v>12.590275803241399</v>
      </c>
      <c r="S43" s="981">
        <v>433800000</v>
      </c>
      <c r="T43" s="1076">
        <f t="shared" ref="T43:T44" si="20">S43/$G$15*100</f>
        <v>12.33437588854137</v>
      </c>
      <c r="U43" s="981">
        <v>480900000</v>
      </c>
      <c r="V43" s="983">
        <f t="shared" ref="V43:V44" si="21">U43/$G$15*100</f>
        <v>13.673585442138187</v>
      </c>
      <c r="W43" s="981"/>
      <c r="X43" s="983">
        <f t="shared" ref="X43:X44" si="22">W43/$G$15*100</f>
        <v>0</v>
      </c>
      <c r="Y43" s="981"/>
      <c r="Z43" s="983">
        <f t="shared" ref="Z43:Z44" si="23">Y43/$G$15*100</f>
        <v>0</v>
      </c>
      <c r="AA43" s="981"/>
      <c r="AB43" s="983">
        <f t="shared" ref="AB43:AB44" si="24">AA43/$G$15*100</f>
        <v>0</v>
      </c>
      <c r="AC43" s="213"/>
      <c r="AD43" s="213"/>
      <c r="AE43" s="213"/>
      <c r="AF43" s="213"/>
      <c r="AG43" s="213"/>
      <c r="AH43" s="213"/>
      <c r="AI43" s="213"/>
      <c r="AJ43" s="923"/>
      <c r="AK43" s="923"/>
      <c r="AL43" s="923"/>
      <c r="AM43" s="923"/>
      <c r="AN43" s="923"/>
      <c r="AO43" s="923"/>
      <c r="AP43" s="923"/>
      <c r="AQ43" s="923"/>
      <c r="AR43" s="923"/>
      <c r="AS43" s="923"/>
      <c r="AT43" s="923"/>
      <c r="AU43" s="923"/>
      <c r="AV43" s="923"/>
      <c r="AW43" s="923"/>
      <c r="AX43" s="923"/>
      <c r="AY43" s="923"/>
      <c r="AZ43" s="923"/>
      <c r="BA43" s="923"/>
      <c r="BB43" s="1104"/>
      <c r="BC43" s="923"/>
      <c r="BD43" s="923"/>
      <c r="BE43" s="923"/>
      <c r="BF43" s="923"/>
      <c r="BG43" s="923"/>
      <c r="BH43" s="923"/>
      <c r="BI43" s="923"/>
      <c r="BJ43" s="923"/>
      <c r="BK43" s="923"/>
      <c r="BL43" s="923"/>
      <c r="BM43" s="923"/>
      <c r="BN43" s="923"/>
      <c r="BO43" s="923"/>
      <c r="BP43" s="923"/>
      <c r="BQ43" s="923"/>
      <c r="BR43" s="923"/>
      <c r="BS43" s="923"/>
      <c r="BT43" s="923"/>
      <c r="BU43" s="923"/>
      <c r="BV43" s="923"/>
      <c r="BW43" s="923"/>
      <c r="BX43" s="923"/>
      <c r="BY43" s="923"/>
      <c r="BZ43" s="923"/>
      <c r="CA43" s="923"/>
      <c r="CB43" s="923"/>
      <c r="CC43" s="923"/>
      <c r="CD43" s="923"/>
      <c r="CE43" s="923"/>
      <c r="CF43" s="923"/>
      <c r="CG43" s="923"/>
      <c r="CH43" s="923"/>
      <c r="CI43" s="923"/>
      <c r="CJ43" s="923"/>
      <c r="CK43" s="923"/>
      <c r="CL43" s="923"/>
      <c r="CM43" s="923"/>
      <c r="CN43" s="923"/>
      <c r="CO43" s="923"/>
      <c r="CP43" s="923"/>
      <c r="CQ43" s="923"/>
      <c r="CR43" s="923"/>
      <c r="CS43" s="923"/>
      <c r="CT43" s="923"/>
      <c r="CU43" s="923"/>
      <c r="CV43" s="923"/>
      <c r="CW43" s="923"/>
      <c r="CX43" s="923"/>
      <c r="CY43" s="923"/>
      <c r="CZ43" s="923"/>
      <c r="DA43" s="923"/>
      <c r="DB43" s="923"/>
      <c r="DC43" s="923"/>
      <c r="DD43" s="923"/>
      <c r="DE43" s="923"/>
      <c r="DF43" s="923"/>
      <c r="DG43" s="923"/>
      <c r="DH43" s="923"/>
      <c r="DI43" s="923"/>
      <c r="DJ43" s="923"/>
      <c r="DK43" s="923"/>
      <c r="DL43" s="923"/>
      <c r="DM43" s="923"/>
      <c r="DN43" s="923"/>
      <c r="DO43" s="923"/>
      <c r="DP43" s="923"/>
      <c r="DQ43" s="923"/>
      <c r="DR43" s="923"/>
      <c r="DS43" s="923"/>
      <c r="DT43" s="923"/>
      <c r="DU43" s="923"/>
      <c r="DV43" s="923"/>
      <c r="DW43" s="923"/>
      <c r="DX43" s="923"/>
      <c r="DY43" s="923"/>
      <c r="DZ43" s="923"/>
      <c r="EA43" s="923"/>
      <c r="EB43" s="923"/>
      <c r="EC43" s="923"/>
      <c r="ED43" s="923"/>
      <c r="EE43" s="923"/>
      <c r="EF43" s="923"/>
      <c r="EG43" s="923"/>
      <c r="EH43" s="923"/>
      <c r="EI43" s="923"/>
      <c r="EJ43" s="923"/>
      <c r="EK43" s="923"/>
      <c r="EL43" s="923"/>
      <c r="EM43" s="923"/>
      <c r="EN43" s="923"/>
      <c r="EO43" s="923"/>
      <c r="EP43" s="923"/>
      <c r="EQ43" s="923"/>
      <c r="ER43" s="923"/>
      <c r="ES43" s="923"/>
      <c r="ET43" s="923"/>
      <c r="EU43" s="923"/>
      <c r="EV43" s="923"/>
      <c r="EW43" s="923"/>
      <c r="EX43" s="923"/>
      <c r="EY43" s="923"/>
      <c r="EZ43" s="923"/>
      <c r="FA43" s="923"/>
      <c r="FB43" s="923"/>
      <c r="FC43" s="923"/>
      <c r="FD43" s="923"/>
      <c r="FE43" s="923"/>
      <c r="FF43" s="923"/>
      <c r="FG43" s="923"/>
      <c r="FH43" s="923"/>
      <c r="FI43" s="923"/>
      <c r="FJ43" s="923"/>
      <c r="FK43" s="923"/>
      <c r="FL43" s="923"/>
      <c r="FM43" s="923"/>
      <c r="FN43" s="923"/>
      <c r="FO43" s="923"/>
      <c r="FP43" s="923"/>
      <c r="FQ43" s="923"/>
      <c r="FR43" s="923"/>
      <c r="FS43" s="923"/>
      <c r="FT43" s="923"/>
      <c r="FU43" s="923"/>
      <c r="FV43" s="923"/>
      <c r="FW43" s="923"/>
      <c r="FX43" s="923"/>
      <c r="FY43" s="923"/>
      <c r="FZ43" s="923"/>
      <c r="GA43" s="923"/>
      <c r="GB43" s="923"/>
      <c r="GC43" s="923"/>
      <c r="GD43" s="923"/>
      <c r="GE43" s="923"/>
      <c r="GF43" s="923"/>
      <c r="GG43" s="1105"/>
      <c r="GH43" s="923"/>
      <c r="GI43" s="923"/>
      <c r="GJ43" s="923"/>
      <c r="GK43" s="923"/>
      <c r="GL43" s="923"/>
      <c r="GM43" s="923"/>
      <c r="GN43" s="923"/>
      <c r="GO43" s="923"/>
      <c r="GP43" s="923"/>
      <c r="GQ43" s="923"/>
      <c r="GR43" s="923"/>
      <c r="GS43" s="923"/>
      <c r="GT43" s="923"/>
      <c r="GU43" s="923"/>
      <c r="GV43" s="923"/>
      <c r="GW43" s="923"/>
      <c r="GX43" s="923"/>
      <c r="GY43" s="923"/>
      <c r="GZ43" s="923"/>
      <c r="HA43" s="923"/>
      <c r="HB43" s="923"/>
      <c r="HC43" s="923"/>
      <c r="HD43" s="923"/>
      <c r="HE43" s="923"/>
      <c r="HF43" s="923"/>
      <c r="HG43" s="923"/>
      <c r="HH43" s="923"/>
      <c r="HI43" s="923"/>
      <c r="HJ43" s="923"/>
      <c r="HK43" s="923"/>
      <c r="HL43" s="923"/>
      <c r="HM43" s="923"/>
      <c r="HN43" s="923"/>
      <c r="HO43" s="923"/>
      <c r="HP43" s="923"/>
      <c r="HQ43" s="923"/>
      <c r="HR43" s="923"/>
      <c r="HS43" s="923"/>
      <c r="HT43" s="923"/>
      <c r="HU43" s="923"/>
      <c r="HV43" s="923"/>
      <c r="HW43" s="923"/>
      <c r="HX43" s="923"/>
      <c r="HY43" s="923"/>
      <c r="HZ43" s="923"/>
      <c r="IA43" s="923"/>
      <c r="IB43" s="923"/>
      <c r="IC43" s="923"/>
      <c r="ID43" s="923"/>
      <c r="IE43" s="923"/>
      <c r="IF43" s="923"/>
      <c r="IG43" s="923"/>
      <c r="IH43" s="923"/>
      <c r="II43" s="923"/>
      <c r="IJ43" s="923"/>
      <c r="IK43" s="923"/>
    </row>
    <row r="44" spans="1:245" ht="15" customHeight="1" thickBot="1">
      <c r="A44" s="72"/>
      <c r="B44" s="72"/>
      <c r="C44" s="72"/>
      <c r="D44" s="461" t="str">
        <f>IF(MasterSheet!$A$1=1,MasterSheet!$C$439,MasterSheet!B439)</f>
        <v>Dug prema nerezidentima</v>
      </c>
      <c r="E44" s="976">
        <v>1332600000</v>
      </c>
      <c r="F44" s="1046">
        <f t="shared" si="13"/>
        <v>37.890247369917546</v>
      </c>
      <c r="G44" s="1081">
        <v>1336000000</v>
      </c>
      <c r="H44" s="1046">
        <f t="shared" si="14"/>
        <v>37.986920671026439</v>
      </c>
      <c r="I44" s="1081">
        <v>1335400000</v>
      </c>
      <c r="J44" s="1046">
        <f t="shared" si="15"/>
        <v>37.969860676713111</v>
      </c>
      <c r="K44" s="1078">
        <v>1332500000</v>
      </c>
      <c r="L44" s="1046">
        <f t="shared" si="16"/>
        <v>37.887404037531986</v>
      </c>
      <c r="M44" s="1078">
        <v>1331100000</v>
      </c>
      <c r="N44" s="1046">
        <f t="shared" si="17"/>
        <v>37.847597384134204</v>
      </c>
      <c r="O44" s="1078">
        <v>1318200000</v>
      </c>
      <c r="P44" s="1046">
        <f t="shared" si="18"/>
        <v>37.480807506397497</v>
      </c>
      <c r="Q44" s="1078">
        <v>1367600000</v>
      </c>
      <c r="R44" s="1046">
        <f t="shared" si="19"/>
        <v>38.885413704862096</v>
      </c>
      <c r="S44" s="1078">
        <v>1411100000</v>
      </c>
      <c r="T44" s="1080">
        <f t="shared" si="20"/>
        <v>40.1222632925789</v>
      </c>
      <c r="U44" s="1078">
        <v>1365600000</v>
      </c>
      <c r="V44" s="984">
        <f t="shared" si="21"/>
        <v>38.828547057150978</v>
      </c>
      <c r="W44" s="982"/>
      <c r="X44" s="984">
        <f t="shared" si="22"/>
        <v>0</v>
      </c>
      <c r="Y44" s="982"/>
      <c r="Z44" s="984">
        <f t="shared" si="23"/>
        <v>0</v>
      </c>
      <c r="AA44" s="982"/>
      <c r="AB44" s="984">
        <f t="shared" si="24"/>
        <v>0</v>
      </c>
      <c r="AC44" s="213"/>
      <c r="AD44" s="213"/>
      <c r="AE44" s="213"/>
      <c r="AF44" s="213"/>
      <c r="AG44" s="213"/>
      <c r="AH44" s="213"/>
      <c r="AI44" s="213"/>
      <c r="AJ44" s="923"/>
      <c r="AK44" s="923"/>
      <c r="AL44" s="923"/>
      <c r="AM44" s="923"/>
      <c r="AN44" s="923"/>
      <c r="AO44" s="923"/>
      <c r="AP44" s="923"/>
      <c r="AQ44" s="923"/>
      <c r="AR44" s="923"/>
      <c r="AS44" s="923"/>
      <c r="AT44" s="923"/>
      <c r="AU44" s="923"/>
      <c r="AV44" s="923"/>
      <c r="AW44" s="923"/>
      <c r="AX44" s="923"/>
      <c r="AY44" s="923"/>
      <c r="AZ44" s="923"/>
      <c r="BA44" s="923"/>
      <c r="BB44" s="1104"/>
      <c r="BC44" s="923"/>
      <c r="BD44" s="923"/>
      <c r="BE44" s="923"/>
      <c r="BF44" s="923"/>
      <c r="BG44" s="923"/>
      <c r="BH44" s="923"/>
      <c r="BI44" s="923"/>
      <c r="BJ44" s="923"/>
      <c r="BK44" s="923"/>
      <c r="BL44" s="923"/>
      <c r="BM44" s="923"/>
      <c r="BN44" s="923"/>
      <c r="BO44" s="923"/>
      <c r="BP44" s="923"/>
      <c r="BQ44" s="923"/>
      <c r="BR44" s="923"/>
      <c r="BS44" s="923"/>
      <c r="BT44" s="923"/>
      <c r="BU44" s="923"/>
      <c r="BV44" s="923"/>
      <c r="BW44" s="923"/>
      <c r="BX44" s="923"/>
      <c r="BY44" s="923"/>
      <c r="BZ44" s="923"/>
      <c r="CA44" s="923"/>
      <c r="CB44" s="923"/>
      <c r="CC44" s="923"/>
      <c r="CD44" s="923"/>
      <c r="CE44" s="923"/>
      <c r="CF44" s="923"/>
      <c r="CG44" s="923"/>
      <c r="CH44" s="923"/>
      <c r="CI44" s="923"/>
      <c r="CJ44" s="923"/>
      <c r="CK44" s="923"/>
      <c r="CL44" s="923"/>
      <c r="CM44" s="923"/>
      <c r="CN44" s="923"/>
      <c r="CO44" s="923"/>
      <c r="CP44" s="923"/>
      <c r="CQ44" s="923"/>
      <c r="CR44" s="923"/>
      <c r="CS44" s="923"/>
      <c r="CT44" s="923"/>
      <c r="CU44" s="923"/>
      <c r="CV44" s="923"/>
      <c r="CW44" s="923"/>
      <c r="CX44" s="923"/>
      <c r="CY44" s="923"/>
      <c r="CZ44" s="923"/>
      <c r="DA44" s="923"/>
      <c r="DB44" s="923"/>
      <c r="DC44" s="923"/>
      <c r="DD44" s="923"/>
      <c r="DE44" s="923"/>
      <c r="DF44" s="923"/>
      <c r="DG44" s="923"/>
      <c r="DH44" s="923"/>
      <c r="DI44" s="923"/>
      <c r="DJ44" s="923"/>
      <c r="DK44" s="923"/>
      <c r="DL44" s="923"/>
      <c r="DM44" s="923"/>
      <c r="DN44" s="923"/>
      <c r="DO44" s="923"/>
      <c r="DP44" s="923"/>
      <c r="DQ44" s="923"/>
      <c r="DR44" s="923"/>
      <c r="DS44" s="923"/>
      <c r="DT44" s="923"/>
      <c r="DU44" s="923"/>
      <c r="DV44" s="923"/>
      <c r="DW44" s="923"/>
      <c r="DX44" s="923"/>
      <c r="DY44" s="923"/>
      <c r="DZ44" s="923"/>
      <c r="EA44" s="923"/>
      <c r="EB44" s="923"/>
      <c r="EC44" s="923"/>
      <c r="ED44" s="923"/>
      <c r="EE44" s="923"/>
      <c r="EF44" s="923"/>
      <c r="EG44" s="923"/>
      <c r="EH44" s="923"/>
      <c r="EI44" s="923"/>
      <c r="EJ44" s="923"/>
      <c r="EK44" s="923"/>
      <c r="EL44" s="923"/>
      <c r="EM44" s="923"/>
      <c r="EN44" s="923"/>
      <c r="EO44" s="923"/>
      <c r="EP44" s="923"/>
      <c r="EQ44" s="923"/>
      <c r="ER44" s="923"/>
      <c r="ES44" s="923"/>
      <c r="ET44" s="923"/>
      <c r="EU44" s="923"/>
      <c r="EV44" s="923"/>
      <c r="EW44" s="923"/>
      <c r="EX44" s="923"/>
      <c r="EY44" s="923"/>
      <c r="EZ44" s="923"/>
      <c r="FA44" s="923"/>
      <c r="FB44" s="923"/>
      <c r="FC44" s="923"/>
      <c r="FD44" s="923"/>
      <c r="FE44" s="923"/>
      <c r="FF44" s="923"/>
      <c r="FG44" s="923"/>
      <c r="FH44" s="923"/>
      <c r="FI44" s="923"/>
      <c r="FJ44" s="923"/>
      <c r="FK44" s="923"/>
      <c r="FL44" s="923"/>
      <c r="FM44" s="923"/>
      <c r="FN44" s="923"/>
      <c r="FO44" s="923"/>
      <c r="FP44" s="923"/>
      <c r="FQ44" s="923"/>
      <c r="FR44" s="923"/>
      <c r="FS44" s="923"/>
      <c r="FT44" s="923"/>
      <c r="FU44" s="923"/>
      <c r="FV44" s="923"/>
      <c r="FW44" s="923"/>
      <c r="FX44" s="923"/>
      <c r="FY44" s="923"/>
      <c r="FZ44" s="923"/>
      <c r="GA44" s="923"/>
      <c r="GB44" s="923"/>
      <c r="GC44" s="923"/>
      <c r="GD44" s="923"/>
      <c r="GE44" s="923"/>
      <c r="GF44" s="923"/>
      <c r="GG44" s="1105"/>
      <c r="GH44" s="923"/>
      <c r="GI44" s="923"/>
      <c r="GJ44" s="923"/>
      <c r="GK44" s="923"/>
      <c r="GL44" s="923"/>
      <c r="GM44" s="923"/>
      <c r="GN44" s="923"/>
      <c r="GO44" s="923"/>
      <c r="GP44" s="923"/>
      <c r="GQ44" s="923"/>
      <c r="GR44" s="923"/>
      <c r="GS44" s="923"/>
      <c r="GT44" s="923"/>
      <c r="GU44" s="923"/>
      <c r="GV44" s="923"/>
      <c r="GW44" s="923"/>
      <c r="GX44" s="923"/>
      <c r="GY44" s="923"/>
      <c r="GZ44" s="923"/>
      <c r="HA44" s="923"/>
      <c r="HB44" s="923"/>
      <c r="HC44" s="923"/>
      <c r="HD44" s="923"/>
      <c r="HE44" s="923"/>
      <c r="HF44" s="923"/>
      <c r="HG44" s="923"/>
      <c r="HH44" s="923"/>
      <c r="HI44" s="923"/>
      <c r="HJ44" s="923"/>
      <c r="HK44" s="923"/>
      <c r="HL44" s="923"/>
      <c r="HM44" s="923"/>
      <c r="HN44" s="923"/>
      <c r="HO44" s="923"/>
      <c r="HP44" s="923"/>
      <c r="HQ44" s="923"/>
      <c r="HR44" s="923"/>
      <c r="HS44" s="923"/>
      <c r="HT44" s="923"/>
      <c r="HU44" s="923"/>
      <c r="HV44" s="923"/>
      <c r="HW44" s="923"/>
      <c r="HX44" s="923"/>
      <c r="HY44" s="923"/>
      <c r="HZ44" s="923"/>
      <c r="IA44" s="923"/>
      <c r="IB44" s="923"/>
      <c r="IC44" s="923"/>
      <c r="ID44" s="923"/>
      <c r="IE44" s="923"/>
      <c r="IF44" s="923"/>
      <c r="IG44" s="923"/>
      <c r="IH44" s="923"/>
      <c r="II44" s="923"/>
      <c r="IJ44" s="923"/>
      <c r="IK44" s="923"/>
    </row>
    <row r="45" spans="1:245" ht="15" customHeight="1" thickTop="1">
      <c r="A45" s="72"/>
      <c r="B45" s="72"/>
      <c r="C45" s="72"/>
      <c r="D45" s="378" t="str">
        <f>IF(MasterSheet!$A$1=1,MasterSheet!$C$328,MasterSheet!$B$328)</f>
        <v>Izvor: Ministarstvo finansija Crne Gore</v>
      </c>
      <c r="E45" s="1124"/>
      <c r="F45" s="712"/>
      <c r="G45" s="1124"/>
      <c r="H45" s="712"/>
      <c r="I45" s="1124"/>
      <c r="J45" s="712"/>
      <c r="K45" s="1124"/>
      <c r="L45" s="712"/>
      <c r="M45" s="712"/>
      <c r="N45" s="712"/>
      <c r="O45" s="1124"/>
      <c r="P45" s="712"/>
      <c r="Q45" s="1124"/>
      <c r="R45" s="712"/>
      <c r="S45" s="1124"/>
      <c r="T45" s="71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X45" s="923"/>
      <c r="AY45" s="923"/>
      <c r="AZ45" s="923"/>
      <c r="BA45" s="923"/>
      <c r="BB45" s="1104"/>
      <c r="BC45" s="923"/>
      <c r="BD45" s="923"/>
      <c r="BE45" s="923"/>
      <c r="BF45" s="923"/>
      <c r="BG45" s="923"/>
      <c r="BH45" s="923"/>
      <c r="BI45" s="923"/>
      <c r="BJ45" s="923"/>
      <c r="BK45" s="923"/>
      <c r="BL45" s="923"/>
      <c r="BM45" s="923"/>
      <c r="BN45" s="923"/>
      <c r="BO45" s="923"/>
      <c r="BP45" s="923"/>
      <c r="BQ45" s="923"/>
      <c r="BR45" s="923"/>
      <c r="BS45" s="923"/>
      <c r="BT45" s="923"/>
      <c r="BU45" s="923"/>
      <c r="BV45" s="923"/>
      <c r="BW45" s="923"/>
      <c r="BX45" s="923"/>
      <c r="BY45" s="923"/>
      <c r="BZ45" s="923"/>
      <c r="CA45" s="923"/>
      <c r="CB45" s="923"/>
      <c r="CC45" s="923"/>
      <c r="CD45" s="923"/>
      <c r="CE45" s="923"/>
      <c r="CF45" s="923"/>
      <c r="CG45" s="923"/>
      <c r="CH45" s="923"/>
      <c r="CI45" s="923"/>
      <c r="CJ45" s="923"/>
      <c r="CK45" s="923"/>
      <c r="CL45" s="923"/>
      <c r="CM45" s="923"/>
      <c r="CN45" s="923"/>
      <c r="CO45" s="923"/>
      <c r="CP45" s="923"/>
      <c r="CQ45" s="923"/>
      <c r="CR45" s="923"/>
      <c r="CS45" s="923"/>
      <c r="CT45" s="923"/>
      <c r="CU45" s="923"/>
      <c r="CV45" s="923"/>
      <c r="CW45" s="923"/>
      <c r="CX45" s="923"/>
      <c r="CY45" s="923"/>
      <c r="CZ45" s="923"/>
      <c r="DA45" s="923"/>
      <c r="DB45" s="923"/>
      <c r="DC45" s="923"/>
      <c r="DD45" s="923"/>
      <c r="DE45" s="923"/>
      <c r="DF45" s="923"/>
      <c r="DG45" s="923"/>
      <c r="DH45" s="923"/>
      <c r="DI45" s="923"/>
      <c r="DJ45" s="923"/>
      <c r="DK45" s="923"/>
      <c r="DL45" s="923"/>
      <c r="DM45" s="923"/>
      <c r="DN45" s="923"/>
      <c r="DO45" s="923"/>
      <c r="DP45" s="923"/>
      <c r="DQ45" s="923"/>
      <c r="DR45" s="923"/>
      <c r="DS45" s="923"/>
      <c r="DT45" s="923"/>
      <c r="DU45" s="923"/>
      <c r="DV45" s="923"/>
      <c r="DW45" s="923"/>
      <c r="DX45" s="923"/>
      <c r="DY45" s="923"/>
      <c r="DZ45" s="923"/>
      <c r="EA45" s="923"/>
      <c r="EB45" s="923"/>
      <c r="EC45" s="923"/>
      <c r="ED45" s="923"/>
      <c r="EE45" s="923"/>
      <c r="EF45" s="923"/>
      <c r="EG45" s="923"/>
      <c r="EH45" s="923"/>
      <c r="EI45" s="923"/>
      <c r="EJ45" s="923"/>
      <c r="EK45" s="923"/>
      <c r="EL45" s="923"/>
      <c r="EM45" s="923"/>
      <c r="EN45" s="923"/>
      <c r="EO45" s="923"/>
      <c r="EP45" s="923"/>
      <c r="EQ45" s="923"/>
      <c r="ER45" s="923"/>
      <c r="ES45" s="923"/>
      <c r="ET45" s="923"/>
      <c r="EU45" s="923"/>
      <c r="EV45" s="923"/>
      <c r="EW45" s="923"/>
      <c r="EX45" s="923"/>
      <c r="EY45" s="923"/>
      <c r="EZ45" s="923"/>
      <c r="FA45" s="923"/>
      <c r="FB45" s="923"/>
      <c r="FC45" s="923"/>
      <c r="FD45" s="923"/>
      <c r="FE45" s="923"/>
      <c r="FF45" s="923"/>
      <c r="FG45" s="923"/>
      <c r="FH45" s="923"/>
      <c r="FI45" s="923"/>
      <c r="FJ45" s="923"/>
      <c r="FK45" s="923"/>
      <c r="FL45" s="923"/>
      <c r="FM45" s="923"/>
      <c r="FN45" s="923"/>
      <c r="FO45" s="923"/>
      <c r="FP45" s="923"/>
      <c r="FQ45" s="923"/>
      <c r="FR45" s="923"/>
      <c r="FS45" s="923"/>
      <c r="FT45" s="923"/>
      <c r="FU45" s="923"/>
      <c r="FV45" s="923"/>
      <c r="FW45" s="923"/>
      <c r="FX45" s="923"/>
      <c r="FY45" s="923"/>
      <c r="FZ45" s="923"/>
      <c r="GA45" s="923"/>
      <c r="GB45" s="923"/>
      <c r="GC45" s="923"/>
      <c r="GD45" s="923"/>
      <c r="GE45" s="923"/>
      <c r="GF45" s="923"/>
      <c r="GG45" s="1105"/>
      <c r="GH45" s="923"/>
      <c r="GI45" s="923"/>
      <c r="GJ45" s="923"/>
      <c r="GK45" s="923"/>
      <c r="GL45" s="923"/>
      <c r="GM45" s="923"/>
      <c r="GN45" s="923"/>
      <c r="GO45" s="923"/>
      <c r="GP45" s="923"/>
      <c r="GQ45" s="923"/>
      <c r="GR45" s="923"/>
      <c r="GS45" s="923"/>
      <c r="GT45" s="923"/>
      <c r="GU45" s="923"/>
      <c r="GV45" s="923"/>
      <c r="GW45" s="923"/>
      <c r="GX45" s="923"/>
      <c r="GY45" s="923"/>
      <c r="GZ45" s="923"/>
      <c r="HA45" s="923"/>
      <c r="HB45" s="923"/>
      <c r="HC45" s="923"/>
      <c r="HD45" s="923"/>
      <c r="HE45" s="923"/>
      <c r="HF45" s="923"/>
      <c r="HG45" s="923"/>
      <c r="HH45" s="923"/>
      <c r="HI45" s="923"/>
      <c r="HJ45" s="923"/>
      <c r="HK45" s="923"/>
      <c r="HL45" s="923"/>
      <c r="HM45" s="923"/>
      <c r="HN45" s="923"/>
      <c r="HO45" s="923"/>
      <c r="HP45" s="923"/>
      <c r="HQ45" s="923"/>
      <c r="HR45" s="923"/>
      <c r="HS45" s="923"/>
      <c r="HT45" s="923"/>
      <c r="HU45" s="923"/>
      <c r="HV45" s="923"/>
      <c r="HW45" s="923"/>
      <c r="HX45" s="923"/>
      <c r="HY45" s="923"/>
      <c r="HZ45" s="923"/>
      <c r="IA45" s="923"/>
      <c r="IB45" s="923"/>
      <c r="IC45" s="923"/>
      <c r="ID45" s="923"/>
      <c r="IE45" s="923"/>
      <c r="IF45" s="923"/>
      <c r="IG45" s="923"/>
      <c r="IH45" s="923"/>
      <c r="II45" s="923"/>
      <c r="IJ45" s="923"/>
      <c r="IK45" s="923"/>
    </row>
    <row r="46" spans="1:245" ht="15" customHeight="1">
      <c r="A46" s="72"/>
      <c r="B46" s="72"/>
      <c r="C46" s="72"/>
      <c r="D46" s="1128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X46" s="923"/>
      <c r="AY46" s="923"/>
      <c r="AZ46" s="923"/>
      <c r="BA46" s="923"/>
      <c r="BB46" s="1104"/>
      <c r="BC46" s="923"/>
      <c r="BD46" s="923"/>
      <c r="BE46" s="923"/>
      <c r="BF46" s="923"/>
      <c r="BG46" s="923"/>
      <c r="BH46" s="923"/>
      <c r="BI46" s="923"/>
      <c r="BJ46" s="923"/>
      <c r="BK46" s="923"/>
      <c r="BL46" s="923"/>
      <c r="BM46" s="923"/>
      <c r="BN46" s="923"/>
      <c r="BO46" s="923"/>
      <c r="BP46" s="923"/>
      <c r="BQ46" s="923"/>
      <c r="BR46" s="923"/>
      <c r="BS46" s="923"/>
      <c r="BT46" s="923"/>
      <c r="BU46" s="923"/>
      <c r="BV46" s="923"/>
      <c r="BW46" s="923"/>
      <c r="BX46" s="923"/>
      <c r="BY46" s="923"/>
      <c r="BZ46" s="923"/>
      <c r="CA46" s="923"/>
      <c r="CB46" s="923"/>
      <c r="CC46" s="923"/>
      <c r="CD46" s="923"/>
      <c r="CE46" s="923"/>
      <c r="CF46" s="923"/>
      <c r="CG46" s="923"/>
      <c r="CH46" s="923"/>
      <c r="CI46" s="923"/>
      <c r="CJ46" s="923"/>
      <c r="CK46" s="923"/>
      <c r="CL46" s="923"/>
      <c r="CM46" s="923"/>
      <c r="CN46" s="923"/>
      <c r="CO46" s="923"/>
      <c r="CP46" s="923"/>
      <c r="CQ46" s="923"/>
      <c r="CR46" s="923"/>
      <c r="CS46" s="923"/>
      <c r="CT46" s="923"/>
      <c r="CU46" s="923"/>
      <c r="CV46" s="923"/>
      <c r="CW46" s="923"/>
      <c r="CX46" s="923"/>
      <c r="CY46" s="923"/>
      <c r="CZ46" s="923"/>
      <c r="DA46" s="923"/>
      <c r="DB46" s="923"/>
      <c r="DC46" s="923"/>
      <c r="DD46" s="923"/>
      <c r="DE46" s="923"/>
      <c r="DF46" s="923"/>
      <c r="DG46" s="923"/>
      <c r="DH46" s="923"/>
      <c r="DI46" s="923"/>
      <c r="DJ46" s="923"/>
      <c r="DK46" s="923"/>
      <c r="DL46" s="923"/>
      <c r="DM46" s="923"/>
      <c r="DN46" s="923"/>
      <c r="DO46" s="923"/>
      <c r="DP46" s="923"/>
      <c r="DQ46" s="923"/>
      <c r="DR46" s="923"/>
      <c r="DS46" s="923"/>
      <c r="DT46" s="923"/>
      <c r="DU46" s="923"/>
      <c r="DV46" s="923"/>
      <c r="DW46" s="923"/>
      <c r="DX46" s="923"/>
      <c r="DY46" s="923"/>
      <c r="DZ46" s="923"/>
      <c r="EA46" s="923"/>
      <c r="EB46" s="923"/>
      <c r="EC46" s="923"/>
      <c r="ED46" s="923"/>
      <c r="EE46" s="923"/>
      <c r="EF46" s="923"/>
      <c r="EG46" s="923"/>
      <c r="EH46" s="923"/>
      <c r="EI46" s="923"/>
      <c r="EJ46" s="923"/>
      <c r="EK46" s="923"/>
      <c r="EL46" s="923"/>
      <c r="EM46" s="923"/>
      <c r="EN46" s="923"/>
      <c r="EO46" s="923"/>
      <c r="EP46" s="923"/>
      <c r="EQ46" s="923"/>
      <c r="ER46" s="923"/>
      <c r="ES46" s="923"/>
      <c r="ET46" s="923"/>
      <c r="EU46" s="923"/>
      <c r="EV46" s="923"/>
      <c r="EW46" s="923"/>
      <c r="EX46" s="923"/>
      <c r="EY46" s="923"/>
      <c r="EZ46" s="923"/>
      <c r="FA46" s="923"/>
      <c r="FB46" s="923"/>
      <c r="FC46" s="923"/>
      <c r="FD46" s="923"/>
      <c r="FE46" s="923"/>
      <c r="FF46" s="923"/>
      <c r="FG46" s="923"/>
      <c r="FH46" s="923"/>
      <c r="FI46" s="923"/>
      <c r="FJ46" s="923"/>
      <c r="FK46" s="923"/>
      <c r="FL46" s="923"/>
      <c r="FM46" s="923"/>
      <c r="FN46" s="923"/>
      <c r="FO46" s="923"/>
      <c r="FP46" s="923"/>
      <c r="FQ46" s="923"/>
      <c r="FR46" s="923"/>
      <c r="FS46" s="923"/>
      <c r="FT46" s="923"/>
      <c r="FU46" s="923"/>
      <c r="FV46" s="923"/>
      <c r="FW46" s="923"/>
      <c r="FX46" s="923"/>
      <c r="FY46" s="923"/>
      <c r="FZ46" s="923"/>
      <c r="GA46" s="923"/>
      <c r="GB46" s="923"/>
      <c r="GC46" s="923"/>
      <c r="GD46" s="923"/>
      <c r="GE46" s="923"/>
      <c r="GF46" s="923"/>
      <c r="GG46" s="1105"/>
      <c r="GH46" s="923"/>
      <c r="GI46" s="923"/>
      <c r="GJ46" s="923"/>
      <c r="GK46" s="923"/>
      <c r="GL46" s="923"/>
      <c r="GM46" s="923"/>
      <c r="GN46" s="923"/>
      <c r="GO46" s="923"/>
      <c r="GP46" s="923"/>
      <c r="GQ46" s="923"/>
      <c r="GR46" s="923"/>
      <c r="GS46" s="923"/>
      <c r="GT46" s="923"/>
      <c r="GU46" s="923"/>
      <c r="GV46" s="923"/>
      <c r="GW46" s="923"/>
      <c r="GX46" s="923"/>
      <c r="GY46" s="923"/>
      <c r="GZ46" s="923"/>
      <c r="HA46" s="923"/>
      <c r="HB46" s="923"/>
      <c r="HC46" s="923"/>
      <c r="HD46" s="923"/>
      <c r="HE46" s="923"/>
      <c r="HF46" s="923"/>
      <c r="HG46" s="923"/>
      <c r="HH46" s="923"/>
      <c r="HI46" s="923"/>
      <c r="HJ46" s="923"/>
      <c r="HK46" s="923"/>
      <c r="HL46" s="923"/>
      <c r="HM46" s="923"/>
      <c r="HN46" s="923"/>
      <c r="HO46" s="923"/>
      <c r="HP46" s="923"/>
      <c r="HQ46" s="923"/>
      <c r="HR46" s="923"/>
      <c r="HS46" s="923"/>
      <c r="HT46" s="923"/>
      <c r="HU46" s="923"/>
      <c r="HV46" s="923"/>
      <c r="HW46" s="923"/>
      <c r="HX46" s="923"/>
      <c r="HY46" s="923"/>
      <c r="HZ46" s="923"/>
      <c r="IA46" s="923"/>
      <c r="IB46" s="923"/>
      <c r="IC46" s="923"/>
      <c r="ID46" s="923"/>
      <c r="IE46" s="923"/>
      <c r="IF46" s="923"/>
      <c r="IG46" s="923"/>
      <c r="IH46" s="923"/>
      <c r="II46" s="923"/>
      <c r="IJ46" s="923"/>
      <c r="IK46" s="923"/>
    </row>
    <row r="47" spans="1:245" ht="15" customHeight="1">
      <c r="A47" s="72"/>
      <c r="B47" s="72"/>
      <c r="C47" s="72"/>
      <c r="D47" s="1128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X47" s="923"/>
      <c r="AY47" s="923"/>
      <c r="AZ47" s="923"/>
      <c r="BA47" s="923"/>
      <c r="BB47" s="1104"/>
      <c r="BC47" s="923"/>
      <c r="BD47" s="923"/>
      <c r="BE47" s="923"/>
      <c r="BF47" s="923"/>
      <c r="BG47" s="923"/>
      <c r="BH47" s="923"/>
      <c r="BI47" s="923"/>
      <c r="BJ47" s="923"/>
      <c r="BK47" s="923"/>
      <c r="BL47" s="923"/>
      <c r="BM47" s="923"/>
      <c r="BN47" s="923"/>
      <c r="BO47" s="923"/>
      <c r="BP47" s="923"/>
      <c r="BQ47" s="923"/>
      <c r="BR47" s="923"/>
      <c r="BS47" s="923"/>
      <c r="BT47" s="923"/>
      <c r="BU47" s="923"/>
      <c r="BV47" s="923"/>
      <c r="BW47" s="923"/>
      <c r="BX47" s="923"/>
      <c r="BY47" s="923"/>
      <c r="BZ47" s="923"/>
      <c r="CA47" s="923"/>
      <c r="CB47" s="923"/>
      <c r="CC47" s="923"/>
      <c r="CD47" s="923"/>
      <c r="CE47" s="923"/>
      <c r="CF47" s="923"/>
      <c r="CG47" s="923"/>
      <c r="CH47" s="923"/>
      <c r="CI47" s="923"/>
      <c r="CJ47" s="923"/>
      <c r="CK47" s="923"/>
      <c r="CL47" s="923"/>
      <c r="CM47" s="923"/>
      <c r="CN47" s="923"/>
      <c r="CO47" s="923"/>
      <c r="CP47" s="923"/>
      <c r="CQ47" s="923"/>
      <c r="CR47" s="923"/>
      <c r="CS47" s="923"/>
      <c r="CT47" s="923"/>
      <c r="CU47" s="923"/>
      <c r="CV47" s="923"/>
      <c r="CW47" s="923"/>
      <c r="CX47" s="923"/>
      <c r="CY47" s="923"/>
      <c r="CZ47" s="923"/>
      <c r="DA47" s="923"/>
      <c r="DB47" s="923"/>
      <c r="DC47" s="923"/>
      <c r="DD47" s="923"/>
      <c r="DE47" s="923"/>
      <c r="DF47" s="923"/>
      <c r="DG47" s="923"/>
      <c r="DH47" s="923"/>
      <c r="DI47" s="923"/>
      <c r="DJ47" s="923"/>
      <c r="DK47" s="923"/>
      <c r="DL47" s="923"/>
      <c r="DM47" s="923"/>
      <c r="DN47" s="923"/>
      <c r="DO47" s="923"/>
      <c r="DP47" s="923"/>
      <c r="DQ47" s="923"/>
      <c r="DR47" s="923"/>
      <c r="DS47" s="923"/>
      <c r="DT47" s="923"/>
      <c r="DU47" s="923"/>
      <c r="DV47" s="923"/>
      <c r="DW47" s="923"/>
      <c r="DX47" s="923"/>
      <c r="DY47" s="923"/>
      <c r="DZ47" s="923"/>
      <c r="EA47" s="923"/>
      <c r="EB47" s="923"/>
      <c r="EC47" s="923"/>
      <c r="ED47" s="923"/>
      <c r="EE47" s="923"/>
      <c r="EF47" s="923"/>
      <c r="EG47" s="923"/>
      <c r="EH47" s="923"/>
      <c r="EI47" s="923"/>
      <c r="EJ47" s="923"/>
      <c r="EK47" s="923"/>
      <c r="EL47" s="923"/>
      <c r="EM47" s="923"/>
      <c r="EN47" s="923"/>
      <c r="EO47" s="923"/>
      <c r="EP47" s="923"/>
      <c r="EQ47" s="923"/>
      <c r="ER47" s="923"/>
      <c r="ES47" s="923"/>
      <c r="ET47" s="923"/>
      <c r="EU47" s="923"/>
      <c r="EV47" s="923"/>
      <c r="EW47" s="923"/>
      <c r="EX47" s="923"/>
      <c r="EY47" s="923"/>
      <c r="EZ47" s="923"/>
      <c r="FA47" s="923"/>
      <c r="FB47" s="923"/>
      <c r="FC47" s="923"/>
      <c r="FD47" s="923"/>
      <c r="FE47" s="923"/>
      <c r="FF47" s="923"/>
      <c r="FG47" s="923"/>
      <c r="FH47" s="923"/>
      <c r="FI47" s="923"/>
      <c r="FJ47" s="923"/>
      <c r="FK47" s="923"/>
      <c r="FL47" s="923"/>
      <c r="FM47" s="923"/>
      <c r="FN47" s="923"/>
      <c r="FO47" s="923"/>
      <c r="FP47" s="923"/>
      <c r="FQ47" s="923"/>
      <c r="FR47" s="923"/>
      <c r="FS47" s="923"/>
      <c r="FT47" s="923"/>
      <c r="FU47" s="923"/>
      <c r="FV47" s="923"/>
      <c r="FW47" s="923"/>
      <c r="FX47" s="923"/>
      <c r="FY47" s="923"/>
      <c r="FZ47" s="923"/>
      <c r="GA47" s="923"/>
      <c r="GB47" s="923"/>
      <c r="GC47" s="923"/>
      <c r="GD47" s="923"/>
      <c r="GE47" s="923"/>
      <c r="GF47" s="923"/>
      <c r="GG47" s="1105"/>
      <c r="GH47" s="923"/>
      <c r="GI47" s="923"/>
      <c r="GJ47" s="923"/>
      <c r="GK47" s="923"/>
      <c r="GL47" s="923"/>
      <c r="GM47" s="923"/>
      <c r="GN47" s="923"/>
      <c r="GO47" s="923"/>
      <c r="GP47" s="923"/>
      <c r="GQ47" s="923"/>
      <c r="GR47" s="923"/>
      <c r="GS47" s="923"/>
      <c r="GT47" s="923"/>
      <c r="GU47" s="923"/>
      <c r="GV47" s="923"/>
      <c r="GW47" s="923"/>
      <c r="GX47" s="923"/>
      <c r="GY47" s="923"/>
      <c r="GZ47" s="923"/>
      <c r="HA47" s="923"/>
      <c r="HB47" s="923"/>
      <c r="HC47" s="923"/>
      <c r="HD47" s="923"/>
      <c r="HE47" s="923"/>
      <c r="HF47" s="923"/>
      <c r="HG47" s="923"/>
      <c r="HH47" s="923"/>
      <c r="HI47" s="923"/>
      <c r="HJ47" s="923"/>
      <c r="HK47" s="923"/>
      <c r="HL47" s="923"/>
      <c r="HM47" s="923"/>
      <c r="HN47" s="923"/>
      <c r="HO47" s="923"/>
      <c r="HP47" s="923"/>
      <c r="HQ47" s="923"/>
      <c r="HR47" s="923"/>
      <c r="HS47" s="923"/>
      <c r="HT47" s="923"/>
      <c r="HU47" s="923"/>
      <c r="HV47" s="923"/>
      <c r="HW47" s="923"/>
      <c r="HX47" s="923"/>
      <c r="HY47" s="923"/>
      <c r="HZ47" s="923"/>
      <c r="IA47" s="923"/>
      <c r="IB47" s="923"/>
      <c r="IC47" s="923"/>
      <c r="ID47" s="923"/>
      <c r="IE47" s="923"/>
      <c r="IF47" s="923"/>
      <c r="IG47" s="923"/>
      <c r="IH47" s="923"/>
      <c r="II47" s="923"/>
      <c r="IJ47" s="923"/>
      <c r="IK47" s="923"/>
    </row>
    <row r="48" spans="1:245" ht="15" customHeight="1">
      <c r="A48" s="72"/>
      <c r="B48" s="72"/>
      <c r="C48" s="72"/>
      <c r="D48" s="1128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X48" s="923"/>
      <c r="AY48" s="923"/>
      <c r="AZ48" s="923"/>
      <c r="BA48" s="923"/>
      <c r="BB48" s="1104"/>
      <c r="BC48" s="923"/>
      <c r="BD48" s="923"/>
      <c r="BE48" s="923"/>
      <c r="BF48" s="923"/>
      <c r="BG48" s="923"/>
      <c r="BH48" s="923"/>
      <c r="BI48" s="923"/>
      <c r="BJ48" s="923"/>
      <c r="BK48" s="923"/>
      <c r="BL48" s="923"/>
      <c r="BM48" s="923"/>
      <c r="BN48" s="923"/>
      <c r="BO48" s="923"/>
      <c r="BP48" s="923"/>
      <c r="BQ48" s="923"/>
      <c r="BR48" s="923"/>
      <c r="BS48" s="923"/>
      <c r="BT48" s="923"/>
      <c r="BU48" s="923"/>
      <c r="BV48" s="923"/>
      <c r="BW48" s="923"/>
      <c r="BX48" s="923"/>
      <c r="BY48" s="923"/>
      <c r="BZ48" s="923"/>
      <c r="CA48" s="923"/>
      <c r="CB48" s="923"/>
      <c r="CC48" s="923"/>
      <c r="CD48" s="923"/>
      <c r="CE48" s="923"/>
      <c r="CF48" s="923"/>
      <c r="CG48" s="923"/>
      <c r="CH48" s="923"/>
      <c r="CI48" s="923"/>
      <c r="CJ48" s="923"/>
      <c r="CK48" s="923"/>
      <c r="CL48" s="923"/>
      <c r="CM48" s="923"/>
      <c r="CN48" s="923"/>
      <c r="CO48" s="923"/>
      <c r="CP48" s="923"/>
      <c r="CQ48" s="923"/>
      <c r="CR48" s="923"/>
      <c r="CS48" s="923"/>
      <c r="CT48" s="923"/>
      <c r="CU48" s="923"/>
      <c r="CV48" s="923"/>
      <c r="CW48" s="923"/>
      <c r="CX48" s="923"/>
      <c r="CY48" s="923"/>
      <c r="CZ48" s="923"/>
      <c r="DA48" s="923"/>
      <c r="DB48" s="923"/>
      <c r="DC48" s="923"/>
      <c r="DD48" s="923"/>
      <c r="DE48" s="923"/>
      <c r="DF48" s="923"/>
      <c r="DG48" s="923"/>
      <c r="DH48" s="923"/>
      <c r="DI48" s="923"/>
      <c r="DJ48" s="923"/>
      <c r="DK48" s="923"/>
      <c r="DL48" s="923"/>
      <c r="DM48" s="923"/>
      <c r="DN48" s="923"/>
      <c r="DO48" s="923"/>
      <c r="DP48" s="923"/>
      <c r="DQ48" s="923"/>
      <c r="DR48" s="923"/>
      <c r="DS48" s="923"/>
      <c r="DT48" s="923"/>
      <c r="DU48" s="923"/>
      <c r="DV48" s="923"/>
      <c r="DW48" s="923"/>
      <c r="DX48" s="923"/>
      <c r="DY48" s="923"/>
      <c r="DZ48" s="923"/>
      <c r="EA48" s="923"/>
      <c r="EB48" s="923"/>
      <c r="EC48" s="923"/>
      <c r="ED48" s="923"/>
      <c r="EE48" s="923"/>
      <c r="EF48" s="923"/>
      <c r="EG48" s="923"/>
      <c r="EH48" s="923"/>
      <c r="EI48" s="923"/>
      <c r="EJ48" s="923"/>
      <c r="EK48" s="923"/>
      <c r="EL48" s="923"/>
      <c r="EM48" s="923"/>
      <c r="EN48" s="923"/>
      <c r="EO48" s="923"/>
      <c r="EP48" s="923"/>
      <c r="EQ48" s="923"/>
      <c r="ER48" s="923"/>
      <c r="ES48" s="923"/>
      <c r="ET48" s="923"/>
      <c r="EU48" s="923"/>
      <c r="EV48" s="923"/>
      <c r="EW48" s="923"/>
      <c r="EX48" s="923"/>
      <c r="EY48" s="923"/>
      <c r="EZ48" s="923"/>
      <c r="FA48" s="923"/>
      <c r="FB48" s="923"/>
      <c r="FC48" s="923"/>
      <c r="FD48" s="923"/>
      <c r="FE48" s="923"/>
      <c r="FF48" s="923"/>
      <c r="FG48" s="923"/>
      <c r="FH48" s="923"/>
      <c r="FI48" s="923"/>
      <c r="FJ48" s="923"/>
      <c r="FK48" s="923"/>
      <c r="FL48" s="923"/>
      <c r="FM48" s="923"/>
      <c r="FN48" s="923"/>
      <c r="FO48" s="923"/>
      <c r="FP48" s="923"/>
      <c r="FQ48" s="923"/>
      <c r="FR48" s="923"/>
      <c r="FS48" s="923"/>
      <c r="FT48" s="923"/>
      <c r="FU48" s="923"/>
      <c r="FV48" s="923"/>
      <c r="FW48" s="923"/>
      <c r="FX48" s="923"/>
      <c r="FY48" s="923"/>
      <c r="FZ48" s="923"/>
      <c r="GA48" s="923"/>
      <c r="GB48" s="923"/>
      <c r="GC48" s="923"/>
      <c r="GD48" s="923"/>
      <c r="GE48" s="923"/>
      <c r="GF48" s="923"/>
      <c r="GG48" s="1105"/>
      <c r="GH48" s="923"/>
      <c r="GI48" s="923"/>
      <c r="GJ48" s="923"/>
      <c r="GK48" s="923"/>
      <c r="GL48" s="923"/>
      <c r="GM48" s="923"/>
      <c r="GN48" s="923"/>
      <c r="GO48" s="923"/>
      <c r="GP48" s="923"/>
      <c r="GQ48" s="923"/>
      <c r="GR48" s="923"/>
      <c r="GS48" s="923"/>
      <c r="GT48" s="923"/>
      <c r="GU48" s="923"/>
      <c r="GV48" s="923"/>
      <c r="GW48" s="923"/>
      <c r="GX48" s="923"/>
      <c r="GY48" s="923"/>
      <c r="GZ48" s="923"/>
      <c r="HA48" s="923"/>
      <c r="HB48" s="923"/>
      <c r="HC48" s="923"/>
      <c r="HD48" s="923"/>
      <c r="HE48" s="923"/>
      <c r="HF48" s="923"/>
      <c r="HG48" s="923"/>
      <c r="HH48" s="923"/>
      <c r="HI48" s="923"/>
      <c r="HJ48" s="923"/>
      <c r="HK48" s="923"/>
      <c r="HL48" s="923"/>
      <c r="HM48" s="923"/>
      <c r="HN48" s="923"/>
      <c r="HO48" s="923"/>
      <c r="HP48" s="923"/>
      <c r="HQ48" s="923"/>
      <c r="HR48" s="923"/>
      <c r="HS48" s="923"/>
      <c r="HT48" s="923"/>
      <c r="HU48" s="923"/>
      <c r="HV48" s="923"/>
      <c r="HW48" s="923"/>
      <c r="HX48" s="923"/>
      <c r="HY48" s="923"/>
      <c r="HZ48" s="923"/>
      <c r="IA48" s="923"/>
      <c r="IB48" s="923"/>
      <c r="IC48" s="923"/>
      <c r="ID48" s="923"/>
      <c r="IE48" s="923"/>
      <c r="IF48" s="923"/>
      <c r="IG48" s="923"/>
      <c r="IH48" s="923"/>
      <c r="II48" s="923"/>
      <c r="IJ48" s="923"/>
      <c r="IK48" s="923"/>
    </row>
    <row r="49" spans="1:245" ht="15" customHeight="1">
      <c r="A49" s="72"/>
      <c r="B49" s="72"/>
      <c r="C49" s="72"/>
      <c r="D49" s="1128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X49" s="923"/>
      <c r="AY49" s="923"/>
      <c r="AZ49" s="923"/>
      <c r="BA49" s="923"/>
      <c r="BB49" s="1104"/>
      <c r="BC49" s="923"/>
      <c r="BD49" s="923"/>
      <c r="BE49" s="923"/>
      <c r="BF49" s="923"/>
      <c r="BG49" s="923"/>
      <c r="BH49" s="923"/>
      <c r="BI49" s="923"/>
      <c r="BJ49" s="923"/>
      <c r="BK49" s="923"/>
      <c r="BL49" s="923"/>
      <c r="BM49" s="923"/>
      <c r="BN49" s="923"/>
      <c r="BO49" s="923"/>
      <c r="BP49" s="923"/>
      <c r="BQ49" s="923"/>
      <c r="BR49" s="923"/>
      <c r="BS49" s="923"/>
      <c r="BT49" s="923"/>
      <c r="BU49" s="923"/>
      <c r="BV49" s="923"/>
      <c r="BW49" s="923"/>
      <c r="BX49" s="923"/>
      <c r="BY49" s="923"/>
      <c r="BZ49" s="923"/>
      <c r="CA49" s="923"/>
      <c r="CB49" s="923"/>
      <c r="CC49" s="923"/>
      <c r="CD49" s="923"/>
      <c r="CE49" s="923"/>
      <c r="CF49" s="923"/>
      <c r="CG49" s="923"/>
      <c r="CH49" s="923"/>
      <c r="CI49" s="923"/>
      <c r="CJ49" s="923"/>
      <c r="CK49" s="923"/>
      <c r="CL49" s="923"/>
      <c r="CM49" s="923"/>
      <c r="CN49" s="923"/>
      <c r="CO49" s="923"/>
      <c r="CP49" s="923"/>
      <c r="CQ49" s="923"/>
      <c r="CR49" s="923"/>
      <c r="CS49" s="923"/>
      <c r="CT49" s="923"/>
      <c r="CU49" s="923"/>
      <c r="CV49" s="923"/>
      <c r="CW49" s="923"/>
      <c r="CX49" s="923"/>
      <c r="CY49" s="923"/>
      <c r="CZ49" s="923"/>
      <c r="DA49" s="923"/>
      <c r="DB49" s="923"/>
      <c r="DC49" s="923"/>
      <c r="DD49" s="923"/>
      <c r="DE49" s="923"/>
      <c r="DF49" s="923"/>
      <c r="DG49" s="923"/>
      <c r="DH49" s="923"/>
      <c r="DI49" s="923"/>
      <c r="DJ49" s="923"/>
      <c r="DK49" s="923"/>
      <c r="DL49" s="923"/>
      <c r="DM49" s="923"/>
      <c r="DN49" s="923"/>
      <c r="DO49" s="923"/>
      <c r="DP49" s="923"/>
      <c r="DQ49" s="923"/>
      <c r="DR49" s="923"/>
      <c r="DS49" s="923"/>
      <c r="DT49" s="923"/>
      <c r="DU49" s="923"/>
      <c r="DV49" s="923"/>
      <c r="DW49" s="923"/>
      <c r="DX49" s="923"/>
      <c r="DY49" s="923"/>
      <c r="DZ49" s="923"/>
      <c r="EA49" s="923"/>
      <c r="EB49" s="923"/>
      <c r="EC49" s="923"/>
      <c r="ED49" s="923"/>
      <c r="EE49" s="923"/>
      <c r="EF49" s="923"/>
      <c r="EG49" s="923"/>
      <c r="EH49" s="923"/>
      <c r="EI49" s="923"/>
      <c r="EJ49" s="923"/>
      <c r="EK49" s="923"/>
      <c r="EL49" s="923"/>
      <c r="EM49" s="923"/>
      <c r="EN49" s="923"/>
      <c r="EO49" s="923"/>
      <c r="EP49" s="923"/>
      <c r="EQ49" s="923"/>
      <c r="ER49" s="923"/>
      <c r="ES49" s="923"/>
      <c r="ET49" s="923"/>
      <c r="EU49" s="923"/>
      <c r="EV49" s="923"/>
      <c r="EW49" s="923"/>
      <c r="EX49" s="923"/>
      <c r="EY49" s="923"/>
      <c r="EZ49" s="923"/>
      <c r="FA49" s="923"/>
      <c r="FB49" s="923"/>
      <c r="FC49" s="923"/>
      <c r="FD49" s="923"/>
      <c r="FE49" s="923"/>
      <c r="FF49" s="923"/>
      <c r="FG49" s="923"/>
      <c r="FH49" s="923"/>
      <c r="FI49" s="923"/>
      <c r="FJ49" s="923"/>
      <c r="FK49" s="923"/>
      <c r="FL49" s="923"/>
      <c r="FM49" s="923"/>
      <c r="FN49" s="923"/>
      <c r="FO49" s="923"/>
      <c r="FP49" s="923"/>
      <c r="FQ49" s="923"/>
      <c r="FR49" s="923"/>
      <c r="FS49" s="923"/>
      <c r="FT49" s="923"/>
      <c r="FU49" s="923"/>
      <c r="FV49" s="923"/>
      <c r="FW49" s="923"/>
      <c r="FX49" s="923"/>
      <c r="FY49" s="923"/>
      <c r="FZ49" s="923"/>
      <c r="GA49" s="923"/>
      <c r="GB49" s="923"/>
      <c r="GC49" s="923"/>
      <c r="GD49" s="923"/>
      <c r="GE49" s="923"/>
      <c r="GF49" s="923"/>
      <c r="GG49" s="1105"/>
      <c r="GH49" s="923"/>
      <c r="GI49" s="923"/>
      <c r="GJ49" s="923"/>
      <c r="GK49" s="923"/>
      <c r="GL49" s="923"/>
      <c r="GM49" s="923"/>
      <c r="GN49" s="923"/>
      <c r="GO49" s="923"/>
      <c r="GP49" s="923"/>
      <c r="GQ49" s="923"/>
      <c r="GR49" s="923"/>
      <c r="GS49" s="923"/>
      <c r="GT49" s="923"/>
      <c r="GU49" s="923"/>
      <c r="GV49" s="923"/>
      <c r="GW49" s="923"/>
      <c r="GX49" s="923"/>
      <c r="GY49" s="923"/>
      <c r="GZ49" s="923"/>
      <c r="HA49" s="923"/>
      <c r="HB49" s="923"/>
      <c r="HC49" s="923"/>
      <c r="HD49" s="923"/>
      <c r="HE49" s="923"/>
      <c r="HF49" s="923"/>
      <c r="HG49" s="923"/>
      <c r="HH49" s="923"/>
      <c r="HI49" s="923"/>
      <c r="HJ49" s="923"/>
      <c r="HK49" s="923"/>
      <c r="HL49" s="923"/>
      <c r="HM49" s="923"/>
      <c r="HN49" s="923"/>
      <c r="HO49" s="923"/>
      <c r="HP49" s="923"/>
      <c r="HQ49" s="923"/>
      <c r="HR49" s="923"/>
      <c r="HS49" s="923"/>
      <c r="HT49" s="923"/>
      <c r="HU49" s="923"/>
      <c r="HV49" s="923"/>
      <c r="HW49" s="923"/>
      <c r="HX49" s="923"/>
      <c r="HY49" s="923"/>
      <c r="HZ49" s="923"/>
      <c r="IA49" s="923"/>
      <c r="IB49" s="923"/>
      <c r="IC49" s="923"/>
      <c r="ID49" s="923"/>
      <c r="IE49" s="923"/>
      <c r="IF49" s="923"/>
      <c r="IG49" s="923"/>
      <c r="IH49" s="923"/>
      <c r="II49" s="923"/>
      <c r="IJ49" s="923"/>
      <c r="IK49" s="923"/>
    </row>
    <row r="50" spans="1:245" ht="15" customHeight="1">
      <c r="A50" s="72"/>
      <c r="B50" s="72"/>
      <c r="C50" s="72"/>
      <c r="D50" s="1128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X50" s="923"/>
      <c r="AY50" s="923"/>
      <c r="AZ50" s="923"/>
      <c r="BA50" s="923"/>
      <c r="BB50" s="1104"/>
      <c r="BC50" s="923"/>
      <c r="BD50" s="923"/>
      <c r="BE50" s="923"/>
      <c r="BF50" s="923"/>
      <c r="BG50" s="923"/>
      <c r="BH50" s="923"/>
      <c r="BI50" s="923"/>
      <c r="BJ50" s="923"/>
      <c r="BK50" s="923"/>
      <c r="BL50" s="923"/>
      <c r="BM50" s="923"/>
      <c r="BN50" s="923"/>
      <c r="BO50" s="923"/>
      <c r="BP50" s="923"/>
      <c r="BQ50" s="923"/>
      <c r="BR50" s="923"/>
      <c r="BS50" s="923"/>
      <c r="BT50" s="923"/>
      <c r="BU50" s="923"/>
      <c r="BV50" s="923"/>
      <c r="BW50" s="923"/>
      <c r="BX50" s="923"/>
      <c r="BY50" s="923"/>
      <c r="BZ50" s="923"/>
      <c r="CA50" s="923"/>
      <c r="CB50" s="923"/>
      <c r="CC50" s="923"/>
      <c r="CD50" s="923"/>
      <c r="CE50" s="923"/>
      <c r="CF50" s="923"/>
      <c r="CG50" s="923"/>
      <c r="CH50" s="923"/>
      <c r="CI50" s="923"/>
      <c r="CJ50" s="923"/>
      <c r="CK50" s="923"/>
      <c r="CL50" s="923"/>
      <c r="CM50" s="923"/>
      <c r="CN50" s="923"/>
      <c r="CO50" s="923"/>
      <c r="CP50" s="923"/>
      <c r="CQ50" s="923"/>
      <c r="CR50" s="923"/>
      <c r="CS50" s="923"/>
      <c r="CT50" s="923"/>
      <c r="CU50" s="923"/>
      <c r="CV50" s="923"/>
      <c r="CW50" s="923"/>
      <c r="CX50" s="923"/>
      <c r="CY50" s="923"/>
      <c r="CZ50" s="923"/>
      <c r="DA50" s="923"/>
      <c r="DB50" s="923"/>
      <c r="DC50" s="923"/>
      <c r="DD50" s="923"/>
      <c r="DE50" s="923"/>
      <c r="DF50" s="923"/>
      <c r="DG50" s="923"/>
      <c r="DH50" s="923"/>
      <c r="DI50" s="923"/>
      <c r="DJ50" s="923"/>
      <c r="DK50" s="923"/>
      <c r="DL50" s="923"/>
      <c r="DM50" s="923"/>
      <c r="DN50" s="923"/>
      <c r="DO50" s="923"/>
      <c r="DP50" s="923"/>
      <c r="DQ50" s="923"/>
      <c r="DR50" s="923"/>
      <c r="DS50" s="923"/>
      <c r="DT50" s="923"/>
      <c r="DU50" s="923"/>
      <c r="DV50" s="923"/>
      <c r="DW50" s="923"/>
      <c r="DX50" s="923"/>
      <c r="DY50" s="923"/>
      <c r="DZ50" s="923"/>
      <c r="EA50" s="923"/>
      <c r="EB50" s="923"/>
      <c r="EC50" s="923"/>
      <c r="ED50" s="923"/>
      <c r="EE50" s="923"/>
      <c r="EF50" s="923"/>
      <c r="EG50" s="923"/>
      <c r="EH50" s="923"/>
      <c r="EI50" s="923"/>
      <c r="EJ50" s="923"/>
      <c r="EK50" s="923"/>
      <c r="EL50" s="923"/>
      <c r="EM50" s="923"/>
      <c r="EN50" s="923"/>
      <c r="EO50" s="923"/>
      <c r="EP50" s="923"/>
      <c r="EQ50" s="923"/>
      <c r="ER50" s="923"/>
      <c r="ES50" s="923"/>
      <c r="ET50" s="923"/>
      <c r="EU50" s="923"/>
      <c r="EV50" s="923"/>
      <c r="EW50" s="923"/>
      <c r="EX50" s="923"/>
      <c r="EY50" s="923"/>
      <c r="EZ50" s="923"/>
      <c r="FA50" s="923"/>
      <c r="FB50" s="923"/>
      <c r="FC50" s="923"/>
      <c r="FD50" s="923"/>
      <c r="FE50" s="923"/>
      <c r="FF50" s="923"/>
      <c r="FG50" s="923"/>
      <c r="FH50" s="923"/>
      <c r="FI50" s="923"/>
      <c r="FJ50" s="923"/>
      <c r="FK50" s="923"/>
      <c r="FL50" s="923"/>
      <c r="FM50" s="923"/>
      <c r="FN50" s="923"/>
      <c r="FO50" s="923"/>
      <c r="FP50" s="923"/>
      <c r="FQ50" s="923"/>
      <c r="FR50" s="923"/>
      <c r="FS50" s="923"/>
      <c r="FT50" s="923"/>
      <c r="FU50" s="923"/>
      <c r="FV50" s="923"/>
      <c r="FW50" s="923"/>
      <c r="FX50" s="923"/>
      <c r="FY50" s="923"/>
      <c r="FZ50" s="923"/>
      <c r="GA50" s="923"/>
      <c r="GB50" s="923"/>
      <c r="GC50" s="923"/>
      <c r="GD50" s="923"/>
      <c r="GE50" s="923"/>
      <c r="GF50" s="923"/>
      <c r="GG50" s="1105"/>
      <c r="GH50" s="923"/>
      <c r="GI50" s="923"/>
      <c r="GJ50" s="923"/>
      <c r="GK50" s="923"/>
      <c r="GL50" s="923"/>
      <c r="GM50" s="923"/>
      <c r="GN50" s="923"/>
      <c r="GO50" s="923"/>
      <c r="GP50" s="923"/>
      <c r="GQ50" s="923"/>
      <c r="GR50" s="923"/>
      <c r="GS50" s="923"/>
      <c r="GT50" s="923"/>
      <c r="GU50" s="923"/>
      <c r="GV50" s="923"/>
      <c r="GW50" s="923"/>
      <c r="GX50" s="923"/>
      <c r="GY50" s="923"/>
      <c r="GZ50" s="923"/>
      <c r="HA50" s="923"/>
      <c r="HB50" s="923"/>
      <c r="HC50" s="923"/>
      <c r="HD50" s="923"/>
      <c r="HE50" s="923"/>
      <c r="HF50" s="923"/>
      <c r="HG50" s="923"/>
      <c r="HH50" s="923"/>
      <c r="HI50" s="923"/>
      <c r="HJ50" s="923"/>
      <c r="HK50" s="923"/>
      <c r="HL50" s="923"/>
      <c r="HM50" s="923"/>
      <c r="HN50" s="923"/>
      <c r="HO50" s="923"/>
      <c r="HP50" s="923"/>
      <c r="HQ50" s="923"/>
      <c r="HR50" s="923"/>
      <c r="HS50" s="923"/>
      <c r="HT50" s="923"/>
      <c r="HU50" s="923"/>
      <c r="HV50" s="923"/>
      <c r="HW50" s="923"/>
      <c r="HX50" s="923"/>
      <c r="HY50" s="923"/>
      <c r="HZ50" s="923"/>
      <c r="IA50" s="923"/>
      <c r="IB50" s="923"/>
      <c r="IC50" s="923"/>
      <c r="ID50" s="923"/>
      <c r="IE50" s="923"/>
      <c r="IF50" s="923"/>
      <c r="IG50" s="923"/>
      <c r="IH50" s="923"/>
      <c r="II50" s="923"/>
      <c r="IJ50" s="923"/>
      <c r="IK50" s="923"/>
    </row>
    <row r="51" spans="1:245" ht="15" customHeight="1">
      <c r="A51" s="72"/>
      <c r="B51" s="72"/>
      <c r="C51" s="72"/>
      <c r="D51" s="1128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X51" s="923"/>
      <c r="AY51" s="923"/>
      <c r="AZ51" s="923"/>
      <c r="BA51" s="923"/>
      <c r="BB51" s="1104"/>
      <c r="BC51" s="923"/>
      <c r="BD51" s="923"/>
      <c r="BE51" s="923"/>
      <c r="BF51" s="923"/>
      <c r="BG51" s="923"/>
      <c r="BH51" s="923"/>
      <c r="BI51" s="923"/>
      <c r="BJ51" s="923"/>
      <c r="BK51" s="923"/>
      <c r="BL51" s="923"/>
      <c r="BM51" s="923"/>
      <c r="BN51" s="923"/>
      <c r="BO51" s="923"/>
      <c r="BP51" s="923"/>
      <c r="BQ51" s="923"/>
      <c r="BR51" s="923"/>
      <c r="BS51" s="923"/>
      <c r="BT51" s="923"/>
      <c r="BU51" s="923"/>
      <c r="BV51" s="923"/>
      <c r="BW51" s="923"/>
      <c r="BX51" s="923"/>
      <c r="BY51" s="923"/>
      <c r="BZ51" s="923"/>
      <c r="CA51" s="923"/>
      <c r="CB51" s="923"/>
      <c r="CC51" s="923"/>
      <c r="CD51" s="923"/>
      <c r="CE51" s="923"/>
      <c r="CF51" s="923"/>
      <c r="CG51" s="923"/>
      <c r="CH51" s="923"/>
      <c r="CI51" s="923"/>
      <c r="CJ51" s="923"/>
      <c r="CK51" s="923"/>
      <c r="CL51" s="923"/>
      <c r="CM51" s="923"/>
      <c r="CN51" s="923"/>
      <c r="CO51" s="923"/>
      <c r="CP51" s="923"/>
      <c r="CQ51" s="923"/>
      <c r="CR51" s="923"/>
      <c r="CS51" s="923"/>
      <c r="CT51" s="923"/>
      <c r="CU51" s="923"/>
      <c r="CV51" s="923"/>
      <c r="CW51" s="923"/>
      <c r="CX51" s="923"/>
      <c r="CY51" s="923"/>
      <c r="CZ51" s="923"/>
      <c r="DA51" s="923"/>
      <c r="DB51" s="923"/>
      <c r="DC51" s="923"/>
      <c r="DD51" s="923"/>
      <c r="DE51" s="923"/>
      <c r="DF51" s="923"/>
      <c r="DG51" s="923"/>
      <c r="DH51" s="923"/>
      <c r="DI51" s="923"/>
      <c r="DJ51" s="923"/>
      <c r="DK51" s="923"/>
      <c r="DL51" s="923"/>
      <c r="DM51" s="923"/>
      <c r="DN51" s="923"/>
      <c r="DO51" s="923"/>
      <c r="DP51" s="923"/>
      <c r="DQ51" s="923"/>
      <c r="DR51" s="923"/>
      <c r="DS51" s="923"/>
      <c r="DT51" s="923"/>
      <c r="DU51" s="923"/>
      <c r="DV51" s="923"/>
      <c r="DW51" s="923"/>
      <c r="DX51" s="923"/>
      <c r="DY51" s="923"/>
      <c r="DZ51" s="923"/>
      <c r="EA51" s="923"/>
      <c r="EB51" s="923"/>
      <c r="EC51" s="923"/>
      <c r="ED51" s="923"/>
      <c r="EE51" s="923"/>
      <c r="EF51" s="923"/>
      <c r="EG51" s="923"/>
      <c r="EH51" s="923"/>
      <c r="EI51" s="923"/>
      <c r="EJ51" s="923"/>
      <c r="EK51" s="923"/>
      <c r="EL51" s="923"/>
      <c r="EM51" s="923"/>
      <c r="EN51" s="923"/>
      <c r="EO51" s="923"/>
      <c r="EP51" s="923"/>
      <c r="EQ51" s="923"/>
      <c r="ER51" s="923"/>
      <c r="ES51" s="923"/>
      <c r="ET51" s="923"/>
      <c r="EU51" s="923"/>
      <c r="EV51" s="923"/>
      <c r="EW51" s="923"/>
      <c r="EX51" s="923"/>
      <c r="EY51" s="923"/>
      <c r="EZ51" s="923"/>
      <c r="FA51" s="923"/>
      <c r="FB51" s="923"/>
      <c r="FC51" s="923"/>
      <c r="FD51" s="923"/>
      <c r="FE51" s="923"/>
      <c r="FF51" s="923"/>
      <c r="FG51" s="923"/>
      <c r="FH51" s="923"/>
      <c r="FI51" s="923"/>
      <c r="FJ51" s="923"/>
      <c r="FK51" s="923"/>
      <c r="FL51" s="923"/>
      <c r="FM51" s="923"/>
      <c r="FN51" s="923"/>
      <c r="FO51" s="923"/>
      <c r="FP51" s="923"/>
      <c r="FQ51" s="923"/>
      <c r="FR51" s="923"/>
      <c r="FS51" s="923"/>
      <c r="FT51" s="923"/>
      <c r="FU51" s="923"/>
      <c r="FV51" s="923"/>
      <c r="FW51" s="923"/>
      <c r="FX51" s="923"/>
      <c r="FY51" s="923"/>
      <c r="FZ51" s="923"/>
      <c r="GA51" s="923"/>
      <c r="GB51" s="923"/>
      <c r="GC51" s="923"/>
      <c r="GD51" s="923"/>
      <c r="GE51" s="923"/>
      <c r="GF51" s="923"/>
      <c r="GG51" s="1105"/>
      <c r="GH51" s="923"/>
      <c r="GI51" s="923"/>
      <c r="GJ51" s="923"/>
      <c r="GK51" s="923"/>
      <c r="GL51" s="923"/>
      <c r="GM51" s="923"/>
      <c r="GN51" s="923"/>
      <c r="GO51" s="923"/>
      <c r="GP51" s="923"/>
      <c r="GQ51" s="923"/>
      <c r="GR51" s="923"/>
      <c r="GS51" s="923"/>
      <c r="GT51" s="923"/>
      <c r="GU51" s="923"/>
      <c r="GV51" s="923"/>
      <c r="GW51" s="923"/>
      <c r="GX51" s="923"/>
      <c r="GY51" s="923"/>
      <c r="GZ51" s="923"/>
      <c r="HA51" s="923"/>
      <c r="HB51" s="923"/>
      <c r="HC51" s="923"/>
      <c r="HD51" s="923"/>
      <c r="HE51" s="923"/>
      <c r="HF51" s="923"/>
      <c r="HG51" s="923"/>
      <c r="HH51" s="923"/>
      <c r="HI51" s="923"/>
      <c r="HJ51" s="923"/>
      <c r="HK51" s="923"/>
      <c r="HL51" s="923"/>
      <c r="HM51" s="923"/>
      <c r="HN51" s="923"/>
      <c r="HO51" s="923"/>
      <c r="HP51" s="923"/>
      <c r="HQ51" s="923"/>
      <c r="HR51" s="923"/>
      <c r="HS51" s="923"/>
      <c r="HT51" s="923"/>
      <c r="HU51" s="923"/>
      <c r="HV51" s="923"/>
      <c r="HW51" s="923"/>
      <c r="HX51" s="923"/>
      <c r="HY51" s="923"/>
      <c r="HZ51" s="923"/>
      <c r="IA51" s="923"/>
      <c r="IB51" s="923"/>
      <c r="IC51" s="923"/>
      <c r="ID51" s="923"/>
      <c r="IE51" s="923"/>
      <c r="IF51" s="923"/>
      <c r="IG51" s="923"/>
      <c r="IH51" s="923"/>
      <c r="II51" s="923"/>
      <c r="IJ51" s="923"/>
      <c r="IK51" s="923"/>
    </row>
    <row r="52" spans="1:245" ht="15" customHeight="1">
      <c r="A52" s="72"/>
      <c r="B52" s="72"/>
      <c r="C52" s="72"/>
      <c r="D52" s="1128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X52" s="923"/>
      <c r="AY52" s="923"/>
      <c r="AZ52" s="923"/>
      <c r="BA52" s="923"/>
      <c r="BB52" s="1104"/>
      <c r="BC52" s="923"/>
      <c r="BD52" s="923"/>
      <c r="BE52" s="923"/>
      <c r="BF52" s="923"/>
      <c r="BG52" s="923"/>
      <c r="BH52" s="923"/>
      <c r="BI52" s="923"/>
      <c r="BJ52" s="923"/>
      <c r="BK52" s="923"/>
      <c r="BL52" s="923"/>
      <c r="BM52" s="923"/>
      <c r="BN52" s="923"/>
      <c r="BO52" s="923"/>
      <c r="BP52" s="923"/>
      <c r="BQ52" s="923"/>
      <c r="BR52" s="923"/>
      <c r="BS52" s="923"/>
      <c r="BT52" s="923"/>
      <c r="BU52" s="923"/>
      <c r="BV52" s="923"/>
      <c r="BW52" s="923"/>
      <c r="BX52" s="923"/>
      <c r="BY52" s="923"/>
      <c r="BZ52" s="923"/>
      <c r="CA52" s="923"/>
      <c r="CB52" s="923"/>
      <c r="CC52" s="923"/>
      <c r="CD52" s="923"/>
      <c r="CE52" s="923"/>
      <c r="CF52" s="923"/>
      <c r="CG52" s="923"/>
      <c r="CH52" s="923"/>
      <c r="CI52" s="923"/>
      <c r="CJ52" s="923"/>
      <c r="CK52" s="923"/>
      <c r="CL52" s="923"/>
      <c r="CM52" s="923"/>
      <c r="CN52" s="923"/>
      <c r="CO52" s="923"/>
      <c r="CP52" s="923"/>
      <c r="CQ52" s="923"/>
      <c r="CR52" s="923"/>
      <c r="CS52" s="923"/>
      <c r="CT52" s="923"/>
      <c r="CU52" s="923"/>
      <c r="CV52" s="923"/>
      <c r="CW52" s="923"/>
      <c r="CX52" s="923"/>
      <c r="CY52" s="923"/>
      <c r="CZ52" s="923"/>
      <c r="DA52" s="923"/>
      <c r="DB52" s="923"/>
      <c r="DC52" s="923"/>
      <c r="DD52" s="923"/>
      <c r="DE52" s="923"/>
      <c r="DF52" s="923"/>
      <c r="DG52" s="923"/>
      <c r="DH52" s="923"/>
      <c r="DI52" s="923"/>
      <c r="DJ52" s="923"/>
      <c r="DK52" s="923"/>
      <c r="DL52" s="923"/>
      <c r="DM52" s="923"/>
      <c r="DN52" s="923"/>
      <c r="DO52" s="923"/>
      <c r="DP52" s="923"/>
      <c r="DQ52" s="923"/>
      <c r="DR52" s="923"/>
      <c r="DS52" s="923"/>
      <c r="DT52" s="923"/>
      <c r="DU52" s="923"/>
      <c r="DV52" s="923"/>
      <c r="DW52" s="923"/>
      <c r="DX52" s="923"/>
      <c r="DY52" s="923"/>
      <c r="DZ52" s="923"/>
      <c r="EA52" s="923"/>
      <c r="EB52" s="923"/>
      <c r="EC52" s="923"/>
      <c r="ED52" s="923"/>
      <c r="EE52" s="923"/>
      <c r="EF52" s="923"/>
      <c r="EG52" s="923"/>
      <c r="EH52" s="923"/>
      <c r="EI52" s="923"/>
      <c r="EJ52" s="923"/>
      <c r="EK52" s="923"/>
      <c r="EL52" s="923"/>
      <c r="EM52" s="923"/>
      <c r="EN52" s="923"/>
      <c r="EO52" s="923"/>
      <c r="EP52" s="923"/>
      <c r="EQ52" s="923"/>
      <c r="ER52" s="923"/>
      <c r="ES52" s="923"/>
      <c r="ET52" s="923"/>
      <c r="EU52" s="923"/>
      <c r="EV52" s="923"/>
      <c r="EW52" s="923"/>
      <c r="EX52" s="923"/>
      <c r="EY52" s="923"/>
      <c r="EZ52" s="923"/>
      <c r="FA52" s="923"/>
      <c r="FB52" s="923"/>
      <c r="FC52" s="923"/>
      <c r="FD52" s="923"/>
      <c r="FE52" s="923"/>
      <c r="FF52" s="923"/>
      <c r="FG52" s="923"/>
      <c r="FH52" s="923"/>
      <c r="FI52" s="923"/>
      <c r="FJ52" s="923"/>
      <c r="FK52" s="923"/>
      <c r="FL52" s="923"/>
      <c r="FM52" s="923"/>
      <c r="FN52" s="923"/>
      <c r="FO52" s="923"/>
      <c r="FP52" s="923"/>
      <c r="FQ52" s="923"/>
      <c r="FR52" s="923"/>
      <c r="FS52" s="923"/>
      <c r="FT52" s="923"/>
      <c r="FU52" s="923"/>
      <c r="FV52" s="923"/>
      <c r="FW52" s="923"/>
      <c r="FX52" s="923"/>
      <c r="FY52" s="923"/>
      <c r="FZ52" s="923"/>
      <c r="GA52" s="923"/>
      <c r="GB52" s="923"/>
      <c r="GC52" s="923"/>
      <c r="GD52" s="923"/>
      <c r="GE52" s="923"/>
      <c r="GF52" s="923"/>
      <c r="GG52" s="1105"/>
      <c r="GH52" s="923"/>
      <c r="GI52" s="923"/>
      <c r="GJ52" s="923"/>
      <c r="GK52" s="923"/>
      <c r="GL52" s="923"/>
      <c r="GM52" s="923"/>
      <c r="GN52" s="923"/>
      <c r="GO52" s="923"/>
      <c r="GP52" s="923"/>
      <c r="GQ52" s="923"/>
      <c r="GR52" s="923"/>
      <c r="GS52" s="923"/>
      <c r="GT52" s="923"/>
      <c r="GU52" s="923"/>
      <c r="GV52" s="923"/>
      <c r="GW52" s="923"/>
      <c r="GX52" s="923"/>
      <c r="GY52" s="923"/>
      <c r="GZ52" s="923"/>
      <c r="HA52" s="923"/>
      <c r="HB52" s="923"/>
      <c r="HC52" s="923"/>
      <c r="HD52" s="923"/>
      <c r="HE52" s="923"/>
      <c r="HF52" s="923"/>
      <c r="HG52" s="923"/>
      <c r="HH52" s="923"/>
      <c r="HI52" s="923"/>
      <c r="HJ52" s="923"/>
      <c r="HK52" s="923"/>
      <c r="HL52" s="923"/>
      <c r="HM52" s="923"/>
      <c r="HN52" s="923"/>
      <c r="HO52" s="923"/>
      <c r="HP52" s="923"/>
      <c r="HQ52" s="923"/>
      <c r="HR52" s="923"/>
      <c r="HS52" s="923"/>
      <c r="HT52" s="923"/>
      <c r="HU52" s="923"/>
      <c r="HV52" s="923"/>
      <c r="HW52" s="923"/>
      <c r="HX52" s="923"/>
      <c r="HY52" s="923"/>
      <c r="HZ52" s="923"/>
      <c r="IA52" s="923"/>
      <c r="IB52" s="923"/>
      <c r="IC52" s="923"/>
      <c r="ID52" s="923"/>
      <c r="IE52" s="923"/>
      <c r="IF52" s="923"/>
      <c r="IG52" s="923"/>
      <c r="IH52" s="923"/>
      <c r="II52" s="923"/>
      <c r="IJ52" s="923"/>
      <c r="IK52" s="923"/>
    </row>
    <row r="53" spans="1:245" ht="15" customHeight="1">
      <c r="A53" s="72"/>
      <c r="B53" s="72"/>
      <c r="C53" s="72"/>
      <c r="D53" s="1128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X53" s="923"/>
      <c r="AY53" s="923"/>
      <c r="AZ53" s="923"/>
      <c r="BA53" s="923"/>
      <c r="BB53" s="1104"/>
      <c r="BC53" s="923"/>
      <c r="BD53" s="923"/>
      <c r="BE53" s="923"/>
      <c r="BF53" s="923"/>
      <c r="BG53" s="923"/>
      <c r="BH53" s="923"/>
      <c r="BI53" s="923"/>
      <c r="BJ53" s="923"/>
      <c r="BK53" s="923"/>
      <c r="BL53" s="923"/>
      <c r="BM53" s="923"/>
      <c r="BN53" s="923"/>
      <c r="BO53" s="923"/>
      <c r="BP53" s="923"/>
      <c r="BQ53" s="923"/>
      <c r="BR53" s="923"/>
      <c r="BS53" s="923"/>
      <c r="BT53" s="923"/>
      <c r="BU53" s="923"/>
      <c r="BV53" s="923"/>
      <c r="BW53" s="923"/>
      <c r="BX53" s="923"/>
      <c r="BY53" s="923"/>
      <c r="BZ53" s="923"/>
      <c r="CA53" s="923"/>
      <c r="CB53" s="923"/>
      <c r="CC53" s="923"/>
      <c r="CD53" s="923"/>
      <c r="CE53" s="923"/>
      <c r="CF53" s="923"/>
      <c r="CG53" s="923"/>
      <c r="CH53" s="923"/>
      <c r="CI53" s="923"/>
      <c r="CJ53" s="923"/>
      <c r="CK53" s="923"/>
      <c r="CL53" s="923"/>
      <c r="CM53" s="923"/>
      <c r="CN53" s="923"/>
      <c r="CO53" s="923"/>
      <c r="CP53" s="923"/>
      <c r="CQ53" s="923"/>
      <c r="CR53" s="923"/>
      <c r="CS53" s="923"/>
      <c r="CT53" s="923"/>
      <c r="CU53" s="923"/>
      <c r="CV53" s="923"/>
      <c r="CW53" s="923"/>
      <c r="CX53" s="923"/>
      <c r="CY53" s="923"/>
      <c r="CZ53" s="923"/>
      <c r="DA53" s="923"/>
      <c r="DB53" s="923"/>
      <c r="DC53" s="923"/>
      <c r="DD53" s="923"/>
      <c r="DE53" s="923"/>
      <c r="DF53" s="923"/>
      <c r="DG53" s="923"/>
      <c r="DH53" s="923"/>
      <c r="DI53" s="923"/>
      <c r="DJ53" s="923"/>
      <c r="DK53" s="923"/>
      <c r="DL53" s="923"/>
      <c r="DM53" s="923"/>
      <c r="DN53" s="923"/>
      <c r="DO53" s="923"/>
      <c r="DP53" s="923"/>
      <c r="DQ53" s="923"/>
      <c r="DR53" s="923"/>
      <c r="DS53" s="923"/>
      <c r="DT53" s="923"/>
      <c r="DU53" s="923"/>
      <c r="DV53" s="923"/>
      <c r="DW53" s="923"/>
      <c r="DX53" s="923"/>
      <c r="DY53" s="923"/>
      <c r="DZ53" s="923"/>
      <c r="EA53" s="923"/>
      <c r="EB53" s="923"/>
      <c r="EC53" s="923"/>
      <c r="ED53" s="923"/>
      <c r="EE53" s="923"/>
      <c r="EF53" s="923"/>
      <c r="EG53" s="923"/>
      <c r="EH53" s="923"/>
      <c r="EI53" s="923"/>
      <c r="EJ53" s="923"/>
      <c r="EK53" s="923"/>
      <c r="EL53" s="923"/>
      <c r="EM53" s="923"/>
      <c r="EN53" s="923"/>
      <c r="EO53" s="923"/>
      <c r="EP53" s="923"/>
      <c r="EQ53" s="923"/>
      <c r="ER53" s="923"/>
      <c r="ES53" s="923"/>
      <c r="ET53" s="923"/>
      <c r="EU53" s="923"/>
      <c r="EV53" s="923"/>
      <c r="EW53" s="923"/>
      <c r="EX53" s="923"/>
      <c r="EY53" s="923"/>
      <c r="EZ53" s="923"/>
      <c r="FA53" s="923"/>
      <c r="FB53" s="923"/>
      <c r="FC53" s="923"/>
      <c r="FD53" s="923"/>
      <c r="FE53" s="923"/>
      <c r="FF53" s="923"/>
      <c r="FG53" s="923"/>
      <c r="FH53" s="923"/>
      <c r="FI53" s="923"/>
      <c r="FJ53" s="923"/>
      <c r="FK53" s="923"/>
      <c r="FL53" s="923"/>
      <c r="FM53" s="923"/>
      <c r="FN53" s="923"/>
      <c r="FO53" s="923"/>
      <c r="FP53" s="923"/>
      <c r="FQ53" s="923"/>
      <c r="FR53" s="923"/>
      <c r="FS53" s="923"/>
      <c r="FT53" s="923"/>
      <c r="FU53" s="923"/>
      <c r="FV53" s="923"/>
      <c r="FW53" s="923"/>
      <c r="FX53" s="923"/>
      <c r="FY53" s="923"/>
      <c r="FZ53" s="923"/>
      <c r="GA53" s="923"/>
      <c r="GB53" s="923"/>
      <c r="GC53" s="923"/>
      <c r="GD53" s="923"/>
      <c r="GE53" s="923"/>
      <c r="GF53" s="923"/>
      <c r="GG53" s="1105"/>
      <c r="GH53" s="923"/>
      <c r="GI53" s="923"/>
      <c r="GJ53" s="923"/>
      <c r="GK53" s="923"/>
      <c r="GL53" s="923"/>
      <c r="GM53" s="923"/>
      <c r="GN53" s="923"/>
      <c r="GO53" s="923"/>
      <c r="GP53" s="923"/>
      <c r="GQ53" s="923"/>
      <c r="GR53" s="923"/>
      <c r="GS53" s="923"/>
      <c r="GT53" s="923"/>
      <c r="GU53" s="923"/>
      <c r="GV53" s="923"/>
      <c r="GW53" s="923"/>
      <c r="GX53" s="923"/>
      <c r="GY53" s="923"/>
      <c r="GZ53" s="923"/>
      <c r="HA53" s="923"/>
      <c r="HB53" s="923"/>
      <c r="HC53" s="923"/>
      <c r="HD53" s="923"/>
      <c r="HE53" s="923"/>
      <c r="HF53" s="923"/>
      <c r="HG53" s="923"/>
      <c r="HH53" s="923"/>
      <c r="HI53" s="923"/>
      <c r="HJ53" s="923"/>
      <c r="HK53" s="923"/>
      <c r="HL53" s="923"/>
      <c r="HM53" s="923"/>
      <c r="HN53" s="923"/>
      <c r="HO53" s="923"/>
      <c r="HP53" s="923"/>
      <c r="HQ53" s="923"/>
      <c r="HR53" s="923"/>
      <c r="HS53" s="923"/>
      <c r="HT53" s="923"/>
      <c r="HU53" s="923"/>
      <c r="HV53" s="923"/>
      <c r="HW53" s="923"/>
      <c r="HX53" s="923"/>
      <c r="HY53" s="923"/>
      <c r="HZ53" s="923"/>
      <c r="IA53" s="923"/>
      <c r="IB53" s="923"/>
      <c r="IC53" s="923"/>
      <c r="ID53" s="923"/>
      <c r="IE53" s="923"/>
      <c r="IF53" s="923"/>
      <c r="IG53" s="923"/>
      <c r="IH53" s="923"/>
      <c r="II53" s="923"/>
      <c r="IJ53" s="923"/>
      <c r="IK53" s="923"/>
    </row>
    <row r="54" spans="1:245" ht="15" customHeight="1">
      <c r="A54" s="72"/>
      <c r="B54" s="72"/>
      <c r="C54" s="72"/>
      <c r="D54" s="1128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X54" s="923"/>
      <c r="AY54" s="923"/>
      <c r="AZ54" s="923"/>
      <c r="BA54" s="923"/>
      <c r="BB54" s="1104"/>
      <c r="BC54" s="923"/>
      <c r="BD54" s="923"/>
      <c r="BE54" s="923"/>
      <c r="BF54" s="923"/>
      <c r="BG54" s="923"/>
      <c r="BH54" s="923"/>
      <c r="BI54" s="923"/>
      <c r="BJ54" s="923"/>
      <c r="BK54" s="923"/>
      <c r="BL54" s="923"/>
      <c r="BM54" s="923"/>
      <c r="BN54" s="923"/>
      <c r="BO54" s="923"/>
      <c r="BP54" s="923"/>
      <c r="BQ54" s="923"/>
      <c r="BR54" s="923"/>
      <c r="BS54" s="923"/>
      <c r="BT54" s="923"/>
      <c r="BU54" s="923"/>
      <c r="BV54" s="923"/>
      <c r="BW54" s="923"/>
      <c r="BX54" s="923"/>
      <c r="BY54" s="923"/>
      <c r="BZ54" s="923"/>
      <c r="CA54" s="923"/>
      <c r="CB54" s="923"/>
      <c r="CC54" s="923"/>
      <c r="CD54" s="923"/>
      <c r="CE54" s="923"/>
      <c r="CF54" s="923"/>
      <c r="CG54" s="923"/>
      <c r="CH54" s="923"/>
      <c r="CI54" s="923"/>
      <c r="CJ54" s="923"/>
      <c r="CK54" s="923"/>
      <c r="CL54" s="923"/>
      <c r="CM54" s="923"/>
      <c r="CN54" s="923"/>
      <c r="CO54" s="923"/>
      <c r="CP54" s="923"/>
      <c r="CQ54" s="923"/>
      <c r="CR54" s="923"/>
      <c r="CS54" s="923"/>
      <c r="CT54" s="923"/>
      <c r="CU54" s="923"/>
      <c r="CV54" s="923"/>
      <c r="CW54" s="923"/>
      <c r="CX54" s="923"/>
      <c r="CY54" s="923"/>
      <c r="CZ54" s="923"/>
      <c r="DA54" s="923"/>
      <c r="DB54" s="923"/>
      <c r="DC54" s="923"/>
      <c r="DD54" s="923"/>
      <c r="DE54" s="923"/>
      <c r="DF54" s="923"/>
      <c r="DG54" s="923"/>
      <c r="DH54" s="923"/>
      <c r="DI54" s="923"/>
      <c r="DJ54" s="923"/>
      <c r="DK54" s="923"/>
      <c r="DL54" s="923"/>
      <c r="DM54" s="923"/>
      <c r="DN54" s="923"/>
      <c r="DO54" s="923"/>
      <c r="DP54" s="923"/>
      <c r="DQ54" s="923"/>
      <c r="DR54" s="923"/>
      <c r="DS54" s="923"/>
      <c r="DT54" s="923"/>
      <c r="DU54" s="923"/>
      <c r="DV54" s="923"/>
      <c r="DW54" s="923"/>
      <c r="DX54" s="923"/>
      <c r="DY54" s="923"/>
      <c r="DZ54" s="923"/>
      <c r="EA54" s="923"/>
      <c r="EB54" s="923"/>
      <c r="EC54" s="923"/>
      <c r="ED54" s="923"/>
      <c r="EE54" s="923"/>
      <c r="EF54" s="923"/>
      <c r="EG54" s="923"/>
      <c r="EH54" s="923"/>
      <c r="EI54" s="923"/>
      <c r="EJ54" s="923"/>
      <c r="EK54" s="923"/>
      <c r="EL54" s="923"/>
      <c r="EM54" s="923"/>
      <c r="EN54" s="923"/>
      <c r="EO54" s="923"/>
      <c r="EP54" s="923"/>
      <c r="EQ54" s="923"/>
      <c r="ER54" s="923"/>
      <c r="ES54" s="923"/>
      <c r="ET54" s="923"/>
      <c r="EU54" s="923"/>
      <c r="EV54" s="923"/>
      <c r="EW54" s="923"/>
      <c r="EX54" s="923"/>
      <c r="EY54" s="923"/>
      <c r="EZ54" s="923"/>
      <c r="FA54" s="923"/>
      <c r="FB54" s="923"/>
      <c r="FC54" s="923"/>
      <c r="FD54" s="923"/>
      <c r="FE54" s="923"/>
      <c r="FF54" s="923"/>
      <c r="FG54" s="923"/>
      <c r="FH54" s="923"/>
      <c r="FI54" s="923"/>
      <c r="FJ54" s="923"/>
      <c r="FK54" s="923"/>
      <c r="FL54" s="923"/>
      <c r="FM54" s="923"/>
      <c r="FN54" s="923"/>
      <c r="FO54" s="923"/>
      <c r="FP54" s="923"/>
      <c r="FQ54" s="923"/>
      <c r="FR54" s="923"/>
      <c r="FS54" s="923"/>
      <c r="FT54" s="923"/>
      <c r="FU54" s="923"/>
      <c r="FV54" s="923"/>
      <c r="FW54" s="923"/>
      <c r="FX54" s="923"/>
      <c r="FY54" s="923"/>
      <c r="FZ54" s="923"/>
      <c r="GA54" s="923"/>
      <c r="GB54" s="923"/>
      <c r="GC54" s="923"/>
      <c r="GD54" s="923"/>
      <c r="GE54" s="923"/>
      <c r="GF54" s="923"/>
      <c r="GG54" s="1105"/>
      <c r="GH54" s="923"/>
      <c r="GI54" s="923"/>
      <c r="GJ54" s="923"/>
      <c r="GK54" s="923"/>
      <c r="GL54" s="923"/>
      <c r="GM54" s="923"/>
      <c r="GN54" s="923"/>
      <c r="GO54" s="923"/>
      <c r="GP54" s="923"/>
      <c r="GQ54" s="923"/>
      <c r="GR54" s="923"/>
      <c r="GS54" s="923"/>
      <c r="GT54" s="923"/>
      <c r="GU54" s="923"/>
      <c r="GV54" s="923"/>
      <c r="GW54" s="923"/>
      <c r="GX54" s="923"/>
      <c r="GY54" s="923"/>
      <c r="GZ54" s="923"/>
      <c r="HA54" s="923"/>
      <c r="HB54" s="923"/>
      <c r="HC54" s="923"/>
      <c r="HD54" s="923"/>
      <c r="HE54" s="923"/>
      <c r="HF54" s="923"/>
      <c r="HG54" s="923"/>
      <c r="HH54" s="923"/>
      <c r="HI54" s="923"/>
      <c r="HJ54" s="923"/>
      <c r="HK54" s="923"/>
      <c r="HL54" s="923"/>
      <c r="HM54" s="923"/>
      <c r="HN54" s="923"/>
      <c r="HO54" s="923"/>
      <c r="HP54" s="923"/>
      <c r="HQ54" s="923"/>
      <c r="HR54" s="923"/>
      <c r="HS54" s="923"/>
      <c r="HT54" s="923"/>
      <c r="HU54" s="923"/>
      <c r="HV54" s="923"/>
      <c r="HW54" s="923"/>
      <c r="HX54" s="923"/>
      <c r="HY54" s="923"/>
      <c r="HZ54" s="923"/>
      <c r="IA54" s="923"/>
      <c r="IB54" s="923"/>
      <c r="IC54" s="923"/>
      <c r="ID54" s="923"/>
      <c r="IE54" s="923"/>
      <c r="IF54" s="923"/>
      <c r="IG54" s="923"/>
      <c r="IH54" s="923"/>
      <c r="II54" s="923"/>
      <c r="IJ54" s="923"/>
      <c r="IK54" s="923"/>
    </row>
    <row r="55" spans="1:245" ht="15" customHeight="1">
      <c r="A55" s="72"/>
      <c r="B55" s="72"/>
      <c r="C55" s="72"/>
      <c r="D55" s="1128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X55" s="923"/>
      <c r="AY55" s="923"/>
      <c r="AZ55" s="923"/>
      <c r="BA55" s="923"/>
      <c r="BB55" s="1104"/>
      <c r="BC55" s="923"/>
      <c r="BD55" s="923"/>
      <c r="BE55" s="923"/>
      <c r="BF55" s="923"/>
      <c r="BG55" s="923"/>
      <c r="BH55" s="923"/>
      <c r="BI55" s="923"/>
      <c r="BJ55" s="923"/>
      <c r="BK55" s="923"/>
      <c r="BL55" s="923"/>
      <c r="BM55" s="923"/>
      <c r="BN55" s="923"/>
      <c r="BO55" s="923"/>
      <c r="BP55" s="923"/>
      <c r="BQ55" s="923"/>
      <c r="BR55" s="923"/>
      <c r="BS55" s="923"/>
      <c r="BT55" s="923"/>
      <c r="BU55" s="923"/>
      <c r="BV55" s="923"/>
      <c r="BW55" s="923"/>
      <c r="BX55" s="923"/>
      <c r="BY55" s="923"/>
      <c r="BZ55" s="923"/>
      <c r="CA55" s="923"/>
      <c r="CB55" s="923"/>
      <c r="CC55" s="923"/>
      <c r="CD55" s="923"/>
      <c r="CE55" s="923"/>
      <c r="CF55" s="923"/>
      <c r="CG55" s="923"/>
      <c r="CH55" s="923"/>
      <c r="CI55" s="923"/>
      <c r="CJ55" s="923"/>
      <c r="CK55" s="923"/>
      <c r="CL55" s="923"/>
      <c r="CM55" s="923"/>
      <c r="CN55" s="923"/>
      <c r="CO55" s="923"/>
      <c r="CP55" s="923"/>
      <c r="CQ55" s="923"/>
      <c r="CR55" s="923"/>
      <c r="CS55" s="923"/>
      <c r="CT55" s="923"/>
      <c r="CU55" s="923"/>
      <c r="CV55" s="923"/>
      <c r="CW55" s="923"/>
      <c r="CX55" s="923"/>
      <c r="CY55" s="923"/>
      <c r="CZ55" s="923"/>
      <c r="DA55" s="923"/>
      <c r="DB55" s="923"/>
      <c r="DC55" s="923"/>
      <c r="DD55" s="923"/>
      <c r="DE55" s="923"/>
      <c r="DF55" s="923"/>
      <c r="DG55" s="923"/>
      <c r="DH55" s="923"/>
      <c r="DI55" s="923"/>
      <c r="DJ55" s="923"/>
      <c r="DK55" s="923"/>
      <c r="DL55" s="923"/>
      <c r="DM55" s="923"/>
      <c r="DN55" s="923"/>
      <c r="DO55" s="923"/>
      <c r="DP55" s="923"/>
      <c r="DQ55" s="923"/>
      <c r="DR55" s="923"/>
      <c r="DS55" s="923"/>
      <c r="DT55" s="923"/>
      <c r="DU55" s="923"/>
      <c r="DV55" s="923"/>
      <c r="DW55" s="923"/>
      <c r="DX55" s="923"/>
      <c r="DY55" s="923"/>
      <c r="DZ55" s="923"/>
      <c r="EA55" s="923"/>
      <c r="EB55" s="923"/>
      <c r="EC55" s="923"/>
      <c r="ED55" s="923"/>
      <c r="EE55" s="923"/>
      <c r="EF55" s="923"/>
      <c r="EG55" s="923"/>
      <c r="EH55" s="923"/>
      <c r="EI55" s="923"/>
      <c r="EJ55" s="923"/>
      <c r="EK55" s="923"/>
      <c r="EL55" s="923"/>
      <c r="EM55" s="923"/>
      <c r="EN55" s="923"/>
      <c r="EO55" s="923"/>
      <c r="EP55" s="923"/>
      <c r="EQ55" s="923"/>
      <c r="ER55" s="923"/>
      <c r="ES55" s="923"/>
      <c r="ET55" s="923"/>
      <c r="EU55" s="923"/>
      <c r="EV55" s="923"/>
      <c r="EW55" s="923"/>
      <c r="EX55" s="923"/>
      <c r="EY55" s="923"/>
      <c r="EZ55" s="923"/>
      <c r="FA55" s="923"/>
      <c r="FB55" s="923"/>
      <c r="FC55" s="923"/>
      <c r="FD55" s="923"/>
      <c r="FE55" s="923"/>
      <c r="FF55" s="923"/>
      <c r="FG55" s="923"/>
      <c r="FH55" s="923"/>
      <c r="FI55" s="923"/>
      <c r="FJ55" s="923"/>
      <c r="FK55" s="923"/>
      <c r="FL55" s="923"/>
      <c r="FM55" s="923"/>
      <c r="FN55" s="923"/>
      <c r="FO55" s="923"/>
      <c r="FP55" s="923"/>
      <c r="FQ55" s="923"/>
      <c r="FR55" s="923"/>
      <c r="FS55" s="923"/>
      <c r="FT55" s="923"/>
      <c r="FU55" s="923"/>
      <c r="FV55" s="923"/>
      <c r="FW55" s="923"/>
      <c r="FX55" s="923"/>
      <c r="FY55" s="923"/>
      <c r="FZ55" s="923"/>
      <c r="GA55" s="923"/>
      <c r="GB55" s="923"/>
      <c r="GC55" s="923"/>
      <c r="GD55" s="923"/>
      <c r="GE55" s="923"/>
      <c r="GF55" s="923"/>
      <c r="GG55" s="1105"/>
      <c r="GH55" s="923"/>
      <c r="GI55" s="923"/>
      <c r="GJ55" s="923"/>
      <c r="GK55" s="923"/>
      <c r="GL55" s="923"/>
      <c r="GM55" s="923"/>
      <c r="GN55" s="923"/>
      <c r="GO55" s="923"/>
      <c r="GP55" s="923"/>
      <c r="GQ55" s="923"/>
      <c r="GR55" s="923"/>
      <c r="GS55" s="923"/>
      <c r="GT55" s="923"/>
      <c r="GU55" s="923"/>
      <c r="GV55" s="923"/>
      <c r="GW55" s="923"/>
      <c r="GX55" s="923"/>
      <c r="GY55" s="923"/>
      <c r="GZ55" s="923"/>
      <c r="HA55" s="923"/>
      <c r="HB55" s="923"/>
      <c r="HC55" s="923"/>
      <c r="HD55" s="923"/>
      <c r="HE55" s="923"/>
      <c r="HF55" s="923"/>
      <c r="HG55" s="923"/>
      <c r="HH55" s="923"/>
      <c r="HI55" s="923"/>
      <c r="HJ55" s="923"/>
      <c r="HK55" s="923"/>
      <c r="HL55" s="923"/>
      <c r="HM55" s="923"/>
      <c r="HN55" s="923"/>
      <c r="HO55" s="923"/>
      <c r="HP55" s="923"/>
      <c r="HQ55" s="923"/>
      <c r="HR55" s="923"/>
      <c r="HS55" s="923"/>
      <c r="HT55" s="923"/>
      <c r="HU55" s="923"/>
      <c r="HV55" s="923"/>
      <c r="HW55" s="923"/>
      <c r="HX55" s="923"/>
      <c r="HY55" s="923"/>
      <c r="HZ55" s="923"/>
      <c r="IA55" s="923"/>
      <c r="IB55" s="923"/>
      <c r="IC55" s="923"/>
      <c r="ID55" s="923"/>
      <c r="IE55" s="923"/>
      <c r="IF55" s="923"/>
      <c r="IG55" s="923"/>
      <c r="IH55" s="923"/>
      <c r="II55" s="923"/>
      <c r="IJ55" s="923"/>
      <c r="IK55" s="923"/>
    </row>
    <row r="56" spans="1:245" ht="15" customHeight="1">
      <c r="A56" s="72"/>
      <c r="B56" s="72"/>
      <c r="C56" s="72"/>
      <c r="D56" s="1128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X56" s="923"/>
      <c r="AY56" s="923"/>
      <c r="AZ56" s="923"/>
      <c r="BA56" s="923"/>
      <c r="BB56" s="1104"/>
      <c r="BC56" s="923"/>
      <c r="BD56" s="923"/>
      <c r="BE56" s="923"/>
      <c r="BF56" s="923"/>
      <c r="BG56" s="923"/>
      <c r="BH56" s="923"/>
      <c r="BI56" s="923"/>
      <c r="BJ56" s="923"/>
      <c r="BK56" s="923"/>
      <c r="BL56" s="923"/>
      <c r="BM56" s="923"/>
      <c r="BN56" s="923"/>
      <c r="BO56" s="923"/>
      <c r="BP56" s="923"/>
      <c r="BQ56" s="923"/>
      <c r="BR56" s="923"/>
      <c r="BS56" s="923"/>
      <c r="BT56" s="923"/>
      <c r="BU56" s="923"/>
      <c r="BV56" s="923"/>
      <c r="BW56" s="923"/>
      <c r="BX56" s="923"/>
      <c r="BY56" s="923"/>
      <c r="BZ56" s="923"/>
      <c r="CA56" s="923"/>
      <c r="CB56" s="923"/>
      <c r="CC56" s="923"/>
      <c r="CD56" s="923"/>
      <c r="CE56" s="923"/>
      <c r="CF56" s="923"/>
      <c r="CG56" s="923"/>
      <c r="CH56" s="923"/>
      <c r="CI56" s="923"/>
      <c r="CJ56" s="923"/>
      <c r="CK56" s="923"/>
      <c r="CL56" s="923"/>
      <c r="CM56" s="923"/>
      <c r="CN56" s="923"/>
      <c r="CO56" s="923"/>
      <c r="CP56" s="923"/>
      <c r="CQ56" s="923"/>
      <c r="CR56" s="923"/>
      <c r="CS56" s="923"/>
      <c r="CT56" s="923"/>
      <c r="CU56" s="923"/>
      <c r="CV56" s="923"/>
      <c r="CW56" s="923"/>
      <c r="CX56" s="923"/>
      <c r="CY56" s="923"/>
      <c r="CZ56" s="923"/>
      <c r="DA56" s="923"/>
      <c r="DB56" s="923"/>
      <c r="DC56" s="923"/>
      <c r="DD56" s="923"/>
      <c r="DE56" s="923"/>
      <c r="DF56" s="923"/>
      <c r="DG56" s="923"/>
      <c r="DH56" s="923"/>
      <c r="DI56" s="923"/>
      <c r="DJ56" s="923"/>
      <c r="DK56" s="923"/>
      <c r="DL56" s="923"/>
      <c r="DM56" s="923"/>
      <c r="DN56" s="923"/>
      <c r="DO56" s="923"/>
      <c r="DP56" s="923"/>
      <c r="DQ56" s="923"/>
      <c r="DR56" s="923"/>
      <c r="DS56" s="923"/>
      <c r="DT56" s="923"/>
      <c r="DU56" s="923"/>
      <c r="DV56" s="923"/>
      <c r="DW56" s="923"/>
      <c r="DX56" s="923"/>
      <c r="DY56" s="923"/>
      <c r="DZ56" s="923"/>
      <c r="EA56" s="923"/>
      <c r="EB56" s="923"/>
      <c r="EC56" s="923"/>
      <c r="ED56" s="923"/>
      <c r="EE56" s="923"/>
      <c r="EF56" s="923"/>
      <c r="EG56" s="923"/>
      <c r="EH56" s="923"/>
      <c r="EI56" s="923"/>
      <c r="EJ56" s="923"/>
      <c r="EK56" s="923"/>
      <c r="EL56" s="923"/>
      <c r="EM56" s="923"/>
      <c r="EN56" s="923"/>
      <c r="EO56" s="923"/>
      <c r="EP56" s="923"/>
      <c r="EQ56" s="923"/>
      <c r="ER56" s="923"/>
      <c r="ES56" s="923"/>
      <c r="ET56" s="923"/>
      <c r="EU56" s="923"/>
      <c r="EV56" s="923"/>
      <c r="EW56" s="923"/>
      <c r="EX56" s="923"/>
      <c r="EY56" s="923"/>
      <c r="EZ56" s="923"/>
      <c r="FA56" s="923"/>
      <c r="FB56" s="923"/>
      <c r="FC56" s="923"/>
      <c r="FD56" s="923"/>
      <c r="FE56" s="923"/>
      <c r="FF56" s="923"/>
      <c r="FG56" s="923"/>
      <c r="FH56" s="923"/>
      <c r="FI56" s="923"/>
      <c r="FJ56" s="923"/>
      <c r="FK56" s="923"/>
      <c r="FL56" s="923"/>
      <c r="FM56" s="923"/>
      <c r="FN56" s="923"/>
      <c r="FO56" s="923"/>
      <c r="FP56" s="923"/>
      <c r="FQ56" s="923"/>
      <c r="FR56" s="923"/>
      <c r="FS56" s="923"/>
      <c r="FT56" s="923"/>
      <c r="FU56" s="923"/>
      <c r="FV56" s="923"/>
      <c r="FW56" s="923"/>
      <c r="FX56" s="923"/>
      <c r="FY56" s="923"/>
      <c r="FZ56" s="923"/>
      <c r="GA56" s="923"/>
      <c r="GB56" s="923"/>
      <c r="GC56" s="923"/>
      <c r="GD56" s="923"/>
      <c r="GE56" s="923"/>
      <c r="GF56" s="923"/>
      <c r="GG56" s="1105"/>
      <c r="GH56" s="923"/>
      <c r="GI56" s="923"/>
      <c r="GJ56" s="923"/>
      <c r="GK56" s="923"/>
      <c r="GL56" s="923"/>
      <c r="GM56" s="923"/>
      <c r="GN56" s="923"/>
      <c r="GO56" s="923"/>
      <c r="GP56" s="923"/>
      <c r="GQ56" s="923"/>
      <c r="GR56" s="923"/>
      <c r="GS56" s="923"/>
      <c r="GT56" s="923"/>
      <c r="GU56" s="923"/>
      <c r="GV56" s="923"/>
      <c r="GW56" s="923"/>
      <c r="GX56" s="923"/>
      <c r="GY56" s="923"/>
      <c r="GZ56" s="923"/>
      <c r="HA56" s="923"/>
      <c r="HB56" s="923"/>
      <c r="HC56" s="923"/>
      <c r="HD56" s="923"/>
      <c r="HE56" s="923"/>
      <c r="HF56" s="923"/>
      <c r="HG56" s="923"/>
      <c r="HH56" s="923"/>
      <c r="HI56" s="923"/>
      <c r="HJ56" s="923"/>
      <c r="HK56" s="923"/>
      <c r="HL56" s="923"/>
      <c r="HM56" s="923"/>
      <c r="HN56" s="923"/>
      <c r="HO56" s="923"/>
      <c r="HP56" s="923"/>
      <c r="HQ56" s="923"/>
      <c r="HR56" s="923"/>
      <c r="HS56" s="923"/>
      <c r="HT56" s="923"/>
      <c r="HU56" s="923"/>
      <c r="HV56" s="923"/>
      <c r="HW56" s="923"/>
      <c r="HX56" s="923"/>
      <c r="HY56" s="923"/>
      <c r="HZ56" s="923"/>
      <c r="IA56" s="923"/>
      <c r="IB56" s="923"/>
      <c r="IC56" s="923"/>
      <c r="ID56" s="923"/>
      <c r="IE56" s="923"/>
      <c r="IF56" s="923"/>
      <c r="IG56" s="923"/>
      <c r="IH56" s="923"/>
      <c r="II56" s="923"/>
      <c r="IJ56" s="923"/>
      <c r="IK56" s="923"/>
    </row>
    <row r="57" spans="1:245" ht="15" customHeight="1">
      <c r="A57" s="72"/>
      <c r="B57" s="72"/>
      <c r="C57" s="72"/>
      <c r="D57" s="1128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X57" s="923"/>
      <c r="AY57" s="923"/>
      <c r="AZ57" s="923"/>
      <c r="BA57" s="923"/>
      <c r="BB57" s="1104"/>
      <c r="BC57" s="923"/>
      <c r="BD57" s="923"/>
      <c r="BE57" s="923"/>
      <c r="BF57" s="923"/>
      <c r="BG57" s="923"/>
      <c r="BH57" s="923"/>
      <c r="BI57" s="923"/>
      <c r="BJ57" s="923"/>
      <c r="BK57" s="923"/>
      <c r="BL57" s="923"/>
      <c r="BM57" s="923"/>
      <c r="BN57" s="923"/>
      <c r="BO57" s="923"/>
      <c r="BP57" s="923"/>
      <c r="BQ57" s="923"/>
      <c r="BR57" s="923"/>
      <c r="BS57" s="923"/>
      <c r="BT57" s="923"/>
      <c r="BU57" s="923"/>
      <c r="BV57" s="923"/>
      <c r="BW57" s="923"/>
      <c r="BX57" s="923"/>
      <c r="BY57" s="923"/>
      <c r="BZ57" s="923"/>
      <c r="CA57" s="923"/>
      <c r="CB57" s="923"/>
      <c r="CC57" s="923"/>
      <c r="CD57" s="923"/>
      <c r="CE57" s="923"/>
      <c r="CF57" s="923"/>
      <c r="CG57" s="923"/>
      <c r="CH57" s="923"/>
      <c r="CI57" s="923"/>
      <c r="CJ57" s="923"/>
      <c r="CK57" s="923"/>
      <c r="CL57" s="923"/>
      <c r="CM57" s="923"/>
      <c r="CN57" s="923"/>
      <c r="CO57" s="923"/>
      <c r="CP57" s="923"/>
      <c r="CQ57" s="923"/>
      <c r="CR57" s="923"/>
      <c r="CS57" s="923"/>
      <c r="CT57" s="923"/>
      <c r="CU57" s="923"/>
      <c r="CV57" s="923"/>
      <c r="CW57" s="923"/>
      <c r="CX57" s="923"/>
      <c r="CY57" s="923"/>
      <c r="CZ57" s="923"/>
      <c r="DA57" s="923"/>
      <c r="DB57" s="923"/>
      <c r="DC57" s="923"/>
      <c r="DD57" s="923"/>
      <c r="DE57" s="923"/>
      <c r="DF57" s="923"/>
      <c r="DG57" s="923"/>
      <c r="DH57" s="923"/>
      <c r="DI57" s="923"/>
      <c r="DJ57" s="923"/>
      <c r="DK57" s="923"/>
      <c r="DL57" s="923"/>
      <c r="DM57" s="923"/>
      <c r="DN57" s="923"/>
      <c r="DO57" s="923"/>
      <c r="DP57" s="923"/>
      <c r="DQ57" s="923"/>
      <c r="DR57" s="923"/>
      <c r="DS57" s="923"/>
      <c r="DT57" s="923"/>
      <c r="DU57" s="923"/>
      <c r="DV57" s="923"/>
      <c r="DW57" s="923"/>
      <c r="DX57" s="923"/>
      <c r="DY57" s="923"/>
      <c r="DZ57" s="923"/>
      <c r="EA57" s="923"/>
      <c r="EB57" s="923"/>
      <c r="EC57" s="923"/>
      <c r="ED57" s="923"/>
      <c r="EE57" s="923"/>
      <c r="EF57" s="923"/>
      <c r="EG57" s="923"/>
      <c r="EH57" s="923"/>
      <c r="EI57" s="923"/>
      <c r="EJ57" s="923"/>
      <c r="EK57" s="923"/>
      <c r="EL57" s="923"/>
      <c r="EM57" s="923"/>
      <c r="EN57" s="923"/>
      <c r="EO57" s="923"/>
      <c r="EP57" s="923"/>
      <c r="EQ57" s="923"/>
      <c r="ER57" s="923"/>
      <c r="ES57" s="923"/>
      <c r="ET57" s="923"/>
      <c r="EU57" s="923"/>
      <c r="EV57" s="923"/>
      <c r="EW57" s="923"/>
      <c r="EX57" s="923"/>
      <c r="EY57" s="923"/>
      <c r="EZ57" s="923"/>
      <c r="FA57" s="923"/>
      <c r="FB57" s="923"/>
      <c r="FC57" s="923"/>
      <c r="FD57" s="923"/>
      <c r="FE57" s="923"/>
      <c r="FF57" s="923"/>
      <c r="FG57" s="923"/>
      <c r="FH57" s="923"/>
      <c r="FI57" s="923"/>
      <c r="FJ57" s="923"/>
      <c r="FK57" s="923"/>
      <c r="FL57" s="923"/>
      <c r="FM57" s="923"/>
      <c r="FN57" s="923"/>
      <c r="FO57" s="923"/>
      <c r="FP57" s="923"/>
      <c r="FQ57" s="923"/>
      <c r="FR57" s="923"/>
      <c r="FS57" s="923"/>
      <c r="FT57" s="923"/>
      <c r="FU57" s="923"/>
      <c r="FV57" s="923"/>
      <c r="FW57" s="923"/>
      <c r="FX57" s="923"/>
      <c r="FY57" s="923"/>
      <c r="FZ57" s="923"/>
      <c r="GA57" s="923"/>
      <c r="GB57" s="923"/>
      <c r="GC57" s="923"/>
      <c r="GD57" s="923"/>
      <c r="GE57" s="923"/>
      <c r="GF57" s="923"/>
      <c r="GG57" s="1105"/>
      <c r="GH57" s="923"/>
      <c r="GI57" s="923"/>
      <c r="GJ57" s="923"/>
      <c r="GK57" s="923"/>
      <c r="GL57" s="923"/>
      <c r="GM57" s="923"/>
      <c r="GN57" s="923"/>
      <c r="GO57" s="923"/>
      <c r="GP57" s="923"/>
      <c r="GQ57" s="923"/>
      <c r="GR57" s="923"/>
      <c r="GS57" s="923"/>
      <c r="GT57" s="923"/>
      <c r="GU57" s="923"/>
      <c r="GV57" s="923"/>
      <c r="GW57" s="923"/>
      <c r="GX57" s="923"/>
      <c r="GY57" s="923"/>
      <c r="GZ57" s="923"/>
      <c r="HA57" s="923"/>
      <c r="HB57" s="923"/>
      <c r="HC57" s="923"/>
      <c r="HD57" s="923"/>
      <c r="HE57" s="923"/>
      <c r="HF57" s="923"/>
      <c r="HG57" s="923"/>
      <c r="HH57" s="923"/>
      <c r="HI57" s="923"/>
      <c r="HJ57" s="923"/>
      <c r="HK57" s="923"/>
      <c r="HL57" s="923"/>
      <c r="HM57" s="923"/>
      <c r="HN57" s="923"/>
      <c r="HO57" s="923"/>
      <c r="HP57" s="923"/>
      <c r="HQ57" s="923"/>
      <c r="HR57" s="923"/>
      <c r="HS57" s="923"/>
      <c r="HT57" s="923"/>
      <c r="HU57" s="923"/>
      <c r="HV57" s="923"/>
      <c r="HW57" s="923"/>
      <c r="HX57" s="923"/>
      <c r="HY57" s="923"/>
      <c r="HZ57" s="923"/>
      <c r="IA57" s="923"/>
      <c r="IB57" s="923"/>
      <c r="IC57" s="923"/>
      <c r="ID57" s="923"/>
      <c r="IE57" s="923"/>
      <c r="IF57" s="923"/>
      <c r="IG57" s="923"/>
      <c r="IH57" s="923"/>
      <c r="II57" s="923"/>
      <c r="IJ57" s="923"/>
      <c r="IK57" s="923"/>
    </row>
    <row r="58" spans="1:245" ht="15" customHeight="1">
      <c r="A58" s="72"/>
      <c r="B58" s="72"/>
      <c r="C58" s="72"/>
      <c r="D58" s="1128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X58" s="923"/>
      <c r="AY58" s="923"/>
      <c r="AZ58" s="923"/>
      <c r="BA58" s="923"/>
      <c r="BB58" s="1104"/>
      <c r="BC58" s="923"/>
      <c r="BD58" s="923"/>
      <c r="BE58" s="923"/>
      <c r="BF58" s="923"/>
      <c r="BG58" s="923"/>
      <c r="BH58" s="923"/>
      <c r="BI58" s="923"/>
      <c r="BJ58" s="923"/>
      <c r="BK58" s="923"/>
      <c r="BL58" s="923"/>
      <c r="BM58" s="923"/>
      <c r="BN58" s="923"/>
      <c r="BO58" s="923"/>
      <c r="BP58" s="923"/>
      <c r="BQ58" s="923"/>
      <c r="BR58" s="923"/>
      <c r="BS58" s="923"/>
      <c r="BT58" s="923"/>
      <c r="BU58" s="923"/>
      <c r="BV58" s="923"/>
      <c r="BW58" s="923"/>
      <c r="BX58" s="923"/>
      <c r="BY58" s="923"/>
      <c r="BZ58" s="923"/>
      <c r="CA58" s="923"/>
      <c r="CB58" s="923"/>
      <c r="CC58" s="923"/>
      <c r="CD58" s="923"/>
      <c r="CE58" s="923"/>
      <c r="CF58" s="923"/>
      <c r="CG58" s="923"/>
      <c r="CH58" s="923"/>
      <c r="CI58" s="923"/>
      <c r="CJ58" s="923"/>
      <c r="CK58" s="923"/>
      <c r="CL58" s="923"/>
      <c r="CM58" s="923"/>
      <c r="CN58" s="923"/>
      <c r="CO58" s="923"/>
      <c r="CP58" s="923"/>
      <c r="CQ58" s="923"/>
      <c r="CR58" s="923"/>
      <c r="CS58" s="923"/>
      <c r="CT58" s="923"/>
      <c r="CU58" s="923"/>
      <c r="CV58" s="923"/>
      <c r="CW58" s="923"/>
      <c r="CX58" s="923"/>
      <c r="CY58" s="923"/>
      <c r="CZ58" s="923"/>
      <c r="DA58" s="923"/>
      <c r="DB58" s="923"/>
      <c r="DC58" s="923"/>
      <c r="DD58" s="923"/>
      <c r="DE58" s="923"/>
      <c r="DF58" s="923"/>
      <c r="DG58" s="923"/>
      <c r="DH58" s="923"/>
      <c r="DI58" s="923"/>
      <c r="DJ58" s="923"/>
      <c r="DK58" s="923"/>
      <c r="DL58" s="923"/>
      <c r="DM58" s="923"/>
      <c r="DN58" s="923"/>
      <c r="DO58" s="923"/>
      <c r="DP58" s="923"/>
      <c r="DQ58" s="923"/>
      <c r="DR58" s="923"/>
      <c r="DS58" s="923"/>
      <c r="DT58" s="923"/>
      <c r="DU58" s="923"/>
      <c r="DV58" s="923"/>
      <c r="DW58" s="923"/>
      <c r="DX58" s="923"/>
      <c r="DY58" s="923"/>
      <c r="DZ58" s="923"/>
      <c r="EA58" s="923"/>
      <c r="EB58" s="923"/>
      <c r="EC58" s="923"/>
      <c r="ED58" s="923"/>
      <c r="EE58" s="923"/>
      <c r="EF58" s="923"/>
      <c r="EG58" s="923"/>
      <c r="EH58" s="923"/>
      <c r="EI58" s="923"/>
      <c r="EJ58" s="923"/>
      <c r="EK58" s="923"/>
      <c r="EL58" s="923"/>
      <c r="EM58" s="923"/>
      <c r="EN58" s="923"/>
      <c r="EO58" s="923"/>
      <c r="EP58" s="923"/>
      <c r="EQ58" s="923"/>
      <c r="ER58" s="923"/>
      <c r="ES58" s="923"/>
      <c r="ET58" s="923"/>
      <c r="EU58" s="923"/>
      <c r="EV58" s="923"/>
      <c r="EW58" s="923"/>
      <c r="EX58" s="923"/>
      <c r="EY58" s="923"/>
      <c r="EZ58" s="923"/>
      <c r="FA58" s="923"/>
      <c r="FB58" s="923"/>
      <c r="FC58" s="923"/>
      <c r="FD58" s="923"/>
      <c r="FE58" s="923"/>
      <c r="FF58" s="923"/>
      <c r="FG58" s="923"/>
      <c r="FH58" s="923"/>
      <c r="FI58" s="923"/>
      <c r="FJ58" s="923"/>
      <c r="FK58" s="923"/>
      <c r="FL58" s="923"/>
      <c r="FM58" s="923"/>
      <c r="FN58" s="923"/>
      <c r="FO58" s="923"/>
      <c r="FP58" s="923"/>
      <c r="FQ58" s="923"/>
      <c r="FR58" s="923"/>
      <c r="FS58" s="923"/>
      <c r="FT58" s="923"/>
      <c r="FU58" s="923"/>
      <c r="FV58" s="923"/>
      <c r="FW58" s="923"/>
      <c r="FX58" s="923"/>
      <c r="FY58" s="923"/>
      <c r="FZ58" s="923"/>
      <c r="GA58" s="923"/>
      <c r="GB58" s="923"/>
      <c r="GC58" s="923"/>
      <c r="GD58" s="923"/>
      <c r="GE58" s="923"/>
      <c r="GF58" s="923"/>
      <c r="GG58" s="1105"/>
      <c r="GH58" s="923"/>
      <c r="GI58" s="923"/>
      <c r="GJ58" s="923"/>
      <c r="GK58" s="923"/>
      <c r="GL58" s="923"/>
      <c r="GM58" s="923"/>
      <c r="GN58" s="923"/>
      <c r="GO58" s="923"/>
      <c r="GP58" s="923"/>
      <c r="GQ58" s="923"/>
      <c r="GR58" s="923"/>
      <c r="GS58" s="923"/>
      <c r="GT58" s="923"/>
      <c r="GU58" s="923"/>
      <c r="GV58" s="923"/>
      <c r="GW58" s="923"/>
      <c r="GX58" s="923"/>
      <c r="GY58" s="923"/>
      <c r="GZ58" s="923"/>
      <c r="HA58" s="923"/>
      <c r="HB58" s="923"/>
      <c r="HC58" s="923"/>
      <c r="HD58" s="923"/>
      <c r="HE58" s="923"/>
      <c r="HF58" s="923"/>
      <c r="HG58" s="923"/>
      <c r="HH58" s="923"/>
      <c r="HI58" s="923"/>
      <c r="HJ58" s="923"/>
      <c r="HK58" s="923"/>
      <c r="HL58" s="923"/>
      <c r="HM58" s="923"/>
      <c r="HN58" s="923"/>
      <c r="HO58" s="923"/>
      <c r="HP58" s="923"/>
      <c r="HQ58" s="923"/>
      <c r="HR58" s="923"/>
      <c r="HS58" s="923"/>
      <c r="HT58" s="923"/>
      <c r="HU58" s="923"/>
      <c r="HV58" s="923"/>
      <c r="HW58" s="923"/>
      <c r="HX58" s="923"/>
      <c r="HY58" s="923"/>
      <c r="HZ58" s="923"/>
      <c r="IA58" s="923"/>
      <c r="IB58" s="923"/>
      <c r="IC58" s="923"/>
      <c r="ID58" s="923"/>
      <c r="IE58" s="923"/>
      <c r="IF58" s="923"/>
      <c r="IG58" s="923"/>
      <c r="IH58" s="923"/>
      <c r="II58" s="923"/>
      <c r="IJ58" s="923"/>
      <c r="IK58" s="923"/>
    </row>
    <row r="59" spans="1:245" ht="15" customHeight="1">
      <c r="A59" s="72"/>
      <c r="B59" s="72"/>
      <c r="C59" s="72"/>
      <c r="D59" s="1128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X59" s="923"/>
      <c r="AY59" s="923"/>
      <c r="AZ59" s="923"/>
      <c r="BA59" s="923"/>
      <c r="BB59" s="1104"/>
      <c r="BC59" s="923"/>
      <c r="BD59" s="923"/>
      <c r="BE59" s="923"/>
      <c r="BF59" s="923"/>
      <c r="BG59" s="923"/>
      <c r="BH59" s="923"/>
      <c r="BI59" s="923"/>
      <c r="BJ59" s="923"/>
      <c r="BK59" s="923"/>
      <c r="BL59" s="923"/>
      <c r="BM59" s="923"/>
      <c r="BN59" s="923"/>
      <c r="BO59" s="923"/>
      <c r="BP59" s="923"/>
      <c r="BQ59" s="923"/>
      <c r="BR59" s="923"/>
      <c r="BS59" s="923"/>
      <c r="BT59" s="923"/>
      <c r="BU59" s="923"/>
      <c r="BV59" s="923"/>
      <c r="BW59" s="923"/>
      <c r="BX59" s="923"/>
      <c r="BY59" s="923"/>
      <c r="BZ59" s="923"/>
      <c r="CA59" s="923"/>
      <c r="CB59" s="923"/>
      <c r="CC59" s="923"/>
      <c r="CD59" s="923"/>
      <c r="CE59" s="923"/>
      <c r="CF59" s="923"/>
      <c r="CG59" s="923"/>
      <c r="CH59" s="923"/>
      <c r="CI59" s="923"/>
      <c r="CJ59" s="923"/>
      <c r="CK59" s="923"/>
      <c r="CL59" s="923"/>
      <c r="CM59" s="923"/>
      <c r="CN59" s="923"/>
      <c r="CO59" s="923"/>
      <c r="CP59" s="923"/>
      <c r="CQ59" s="923"/>
      <c r="CR59" s="923"/>
      <c r="CS59" s="923"/>
      <c r="CT59" s="923"/>
      <c r="CU59" s="923"/>
      <c r="CV59" s="923"/>
      <c r="CW59" s="923"/>
      <c r="CX59" s="923"/>
      <c r="CY59" s="923"/>
      <c r="CZ59" s="923"/>
      <c r="DA59" s="923"/>
      <c r="DB59" s="923"/>
      <c r="DC59" s="923"/>
      <c r="DD59" s="923"/>
      <c r="DE59" s="923"/>
      <c r="DF59" s="923"/>
      <c r="DG59" s="923"/>
      <c r="DH59" s="923"/>
      <c r="DI59" s="923"/>
      <c r="DJ59" s="923"/>
      <c r="DK59" s="923"/>
      <c r="DL59" s="923"/>
      <c r="DM59" s="923"/>
      <c r="DN59" s="923"/>
      <c r="DO59" s="923"/>
      <c r="DP59" s="923"/>
      <c r="DQ59" s="923"/>
      <c r="DR59" s="923"/>
      <c r="DS59" s="923"/>
      <c r="DT59" s="923"/>
      <c r="DU59" s="923"/>
      <c r="DV59" s="923"/>
      <c r="DW59" s="923"/>
      <c r="DX59" s="923"/>
      <c r="DY59" s="923"/>
      <c r="DZ59" s="923"/>
      <c r="EA59" s="923"/>
      <c r="EB59" s="923"/>
      <c r="EC59" s="923"/>
      <c r="ED59" s="923"/>
      <c r="EE59" s="923"/>
      <c r="EF59" s="923"/>
      <c r="EG59" s="923"/>
      <c r="EH59" s="923"/>
      <c r="EI59" s="923"/>
      <c r="EJ59" s="923"/>
      <c r="EK59" s="923"/>
      <c r="EL59" s="923"/>
      <c r="EM59" s="923"/>
      <c r="EN59" s="923"/>
      <c r="EO59" s="923"/>
      <c r="EP59" s="923"/>
      <c r="EQ59" s="923"/>
      <c r="ER59" s="923"/>
      <c r="ES59" s="923"/>
      <c r="ET59" s="923"/>
      <c r="EU59" s="923"/>
      <c r="EV59" s="923"/>
      <c r="EW59" s="923"/>
      <c r="EX59" s="923"/>
      <c r="EY59" s="923"/>
      <c r="EZ59" s="923"/>
      <c r="FA59" s="923"/>
      <c r="FB59" s="923"/>
      <c r="FC59" s="923"/>
      <c r="FD59" s="923"/>
      <c r="FE59" s="923"/>
      <c r="FF59" s="923"/>
      <c r="FG59" s="923"/>
      <c r="FH59" s="923"/>
      <c r="FI59" s="923"/>
      <c r="FJ59" s="923"/>
      <c r="FK59" s="923"/>
      <c r="FL59" s="923"/>
      <c r="FM59" s="923"/>
      <c r="FN59" s="923"/>
      <c r="FO59" s="923"/>
      <c r="FP59" s="923"/>
      <c r="FQ59" s="923"/>
      <c r="FR59" s="923"/>
      <c r="FS59" s="923"/>
      <c r="FT59" s="923"/>
      <c r="FU59" s="923"/>
      <c r="FV59" s="923"/>
      <c r="FW59" s="923"/>
      <c r="FX59" s="923"/>
      <c r="FY59" s="923"/>
      <c r="FZ59" s="923"/>
      <c r="GA59" s="923"/>
      <c r="GB59" s="923"/>
      <c r="GC59" s="923"/>
      <c r="GD59" s="923"/>
      <c r="GE59" s="923"/>
      <c r="GF59" s="923"/>
      <c r="GG59" s="1105"/>
      <c r="GH59" s="923"/>
      <c r="GI59" s="923"/>
      <c r="GJ59" s="923"/>
      <c r="GK59" s="923"/>
      <c r="GL59" s="923"/>
      <c r="GM59" s="923"/>
      <c r="GN59" s="923"/>
      <c r="GO59" s="923"/>
      <c r="GP59" s="923"/>
      <c r="GQ59" s="923"/>
      <c r="GR59" s="923"/>
      <c r="GS59" s="923"/>
      <c r="GT59" s="923"/>
      <c r="GU59" s="923"/>
      <c r="GV59" s="923"/>
      <c r="GW59" s="923"/>
      <c r="GX59" s="923"/>
      <c r="GY59" s="923"/>
      <c r="GZ59" s="923"/>
      <c r="HA59" s="923"/>
      <c r="HB59" s="923"/>
      <c r="HC59" s="923"/>
      <c r="HD59" s="923"/>
      <c r="HE59" s="923"/>
      <c r="HF59" s="923"/>
      <c r="HG59" s="923"/>
      <c r="HH59" s="923"/>
      <c r="HI59" s="923"/>
      <c r="HJ59" s="923"/>
      <c r="HK59" s="923"/>
      <c r="HL59" s="923"/>
      <c r="HM59" s="923"/>
      <c r="HN59" s="923"/>
      <c r="HO59" s="923"/>
      <c r="HP59" s="923"/>
      <c r="HQ59" s="923"/>
      <c r="HR59" s="923"/>
      <c r="HS59" s="923"/>
      <c r="HT59" s="923"/>
      <c r="HU59" s="923"/>
      <c r="HV59" s="923"/>
      <c r="HW59" s="923"/>
      <c r="HX59" s="923"/>
      <c r="HY59" s="923"/>
      <c r="HZ59" s="923"/>
      <c r="IA59" s="923"/>
      <c r="IB59" s="923"/>
      <c r="IC59" s="923"/>
      <c r="ID59" s="923"/>
      <c r="IE59" s="923"/>
      <c r="IF59" s="923"/>
      <c r="IG59" s="923"/>
      <c r="IH59" s="923"/>
      <c r="II59" s="923"/>
      <c r="IJ59" s="923"/>
      <c r="IK59" s="923"/>
    </row>
    <row r="60" spans="1:245" ht="15" customHeight="1">
      <c r="A60" s="72"/>
      <c r="B60" s="72"/>
      <c r="C60" s="72"/>
      <c r="D60" s="1128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X60" s="923"/>
      <c r="AY60" s="923"/>
      <c r="AZ60" s="923"/>
      <c r="BA60" s="923"/>
      <c r="BB60" s="1104"/>
      <c r="BC60" s="923"/>
      <c r="BD60" s="923"/>
      <c r="BE60" s="923"/>
      <c r="BF60" s="923"/>
      <c r="BG60" s="923"/>
      <c r="BH60" s="923"/>
      <c r="BI60" s="923"/>
      <c r="BJ60" s="923"/>
      <c r="BK60" s="923"/>
      <c r="BL60" s="923"/>
      <c r="BM60" s="923"/>
      <c r="BN60" s="923"/>
      <c r="BO60" s="923"/>
      <c r="BP60" s="923"/>
      <c r="BQ60" s="923"/>
      <c r="BR60" s="923"/>
      <c r="BS60" s="923"/>
      <c r="BT60" s="923"/>
      <c r="BU60" s="923"/>
      <c r="BV60" s="923"/>
      <c r="BW60" s="923"/>
      <c r="BX60" s="923"/>
      <c r="BY60" s="923"/>
      <c r="BZ60" s="923"/>
      <c r="CA60" s="923"/>
      <c r="CB60" s="923"/>
      <c r="CC60" s="923"/>
      <c r="CD60" s="923"/>
      <c r="CE60" s="923"/>
      <c r="CF60" s="923"/>
      <c r="CG60" s="923"/>
      <c r="CH60" s="923"/>
      <c r="CI60" s="923"/>
      <c r="CJ60" s="923"/>
      <c r="CK60" s="923"/>
      <c r="CL60" s="923"/>
      <c r="CM60" s="923"/>
      <c r="CN60" s="923"/>
      <c r="CO60" s="923"/>
      <c r="CP60" s="923"/>
      <c r="CQ60" s="923"/>
      <c r="CR60" s="923"/>
      <c r="CS60" s="923"/>
      <c r="CT60" s="923"/>
      <c r="CU60" s="923"/>
      <c r="CV60" s="923"/>
      <c r="CW60" s="923"/>
      <c r="CX60" s="923"/>
      <c r="CY60" s="923"/>
      <c r="CZ60" s="923"/>
      <c r="DA60" s="923"/>
      <c r="DB60" s="923"/>
      <c r="DC60" s="923"/>
      <c r="DD60" s="923"/>
      <c r="DE60" s="923"/>
      <c r="DF60" s="923"/>
      <c r="DG60" s="923"/>
      <c r="DH60" s="923"/>
      <c r="DI60" s="923"/>
      <c r="DJ60" s="923"/>
      <c r="DK60" s="923"/>
      <c r="DL60" s="923"/>
      <c r="DM60" s="923"/>
      <c r="DN60" s="923"/>
      <c r="DO60" s="923"/>
      <c r="DP60" s="923"/>
      <c r="DQ60" s="923"/>
      <c r="DR60" s="923"/>
      <c r="DS60" s="923"/>
      <c r="DT60" s="923"/>
      <c r="DU60" s="923"/>
      <c r="DV60" s="923"/>
      <c r="DW60" s="923"/>
      <c r="DX60" s="923"/>
      <c r="DY60" s="923"/>
      <c r="DZ60" s="923"/>
      <c r="EA60" s="923"/>
      <c r="EB60" s="923"/>
      <c r="EC60" s="923"/>
      <c r="ED60" s="923"/>
      <c r="EE60" s="923"/>
      <c r="EF60" s="923"/>
      <c r="EG60" s="923"/>
      <c r="EH60" s="923"/>
      <c r="EI60" s="923"/>
      <c r="EJ60" s="923"/>
      <c r="EK60" s="923"/>
      <c r="EL60" s="923"/>
      <c r="EM60" s="923"/>
      <c r="EN60" s="923"/>
      <c r="EO60" s="923"/>
      <c r="EP60" s="923"/>
      <c r="EQ60" s="923"/>
      <c r="ER60" s="923"/>
      <c r="ES60" s="923"/>
      <c r="ET60" s="923"/>
      <c r="EU60" s="923"/>
      <c r="EV60" s="923"/>
      <c r="EW60" s="923"/>
      <c r="EX60" s="923"/>
      <c r="EY60" s="923"/>
      <c r="EZ60" s="923"/>
      <c r="FA60" s="923"/>
      <c r="FB60" s="923"/>
      <c r="FC60" s="923"/>
      <c r="FD60" s="923"/>
      <c r="FE60" s="923"/>
      <c r="FF60" s="923"/>
      <c r="FG60" s="923"/>
      <c r="FH60" s="923"/>
      <c r="FI60" s="923"/>
      <c r="FJ60" s="923"/>
      <c r="FK60" s="923"/>
      <c r="FL60" s="923"/>
      <c r="FM60" s="923"/>
      <c r="FN60" s="923"/>
      <c r="FO60" s="923"/>
      <c r="FP60" s="923"/>
      <c r="FQ60" s="923"/>
      <c r="FR60" s="923"/>
      <c r="FS60" s="923"/>
      <c r="FT60" s="923"/>
      <c r="FU60" s="923"/>
      <c r="FV60" s="923"/>
      <c r="FW60" s="923"/>
      <c r="FX60" s="923"/>
      <c r="FY60" s="923"/>
      <c r="FZ60" s="923"/>
      <c r="GA60" s="923"/>
      <c r="GB60" s="923"/>
      <c r="GC60" s="923"/>
      <c r="GD60" s="923"/>
      <c r="GE60" s="923"/>
      <c r="GF60" s="923"/>
      <c r="GG60" s="1105"/>
      <c r="GH60" s="923"/>
      <c r="GI60" s="923"/>
      <c r="GJ60" s="923"/>
      <c r="GK60" s="923"/>
      <c r="GL60" s="923"/>
      <c r="GM60" s="923"/>
      <c r="GN60" s="923"/>
      <c r="GO60" s="923"/>
      <c r="GP60" s="923"/>
      <c r="GQ60" s="923"/>
      <c r="GR60" s="923"/>
      <c r="GS60" s="923"/>
      <c r="GT60" s="923"/>
      <c r="GU60" s="923"/>
      <c r="GV60" s="923"/>
      <c r="GW60" s="923"/>
      <c r="GX60" s="923"/>
      <c r="GY60" s="923"/>
      <c r="GZ60" s="923"/>
      <c r="HA60" s="923"/>
      <c r="HB60" s="923"/>
      <c r="HC60" s="923"/>
      <c r="HD60" s="923"/>
      <c r="HE60" s="923"/>
      <c r="HF60" s="923"/>
      <c r="HG60" s="923"/>
      <c r="HH60" s="923"/>
      <c r="HI60" s="923"/>
      <c r="HJ60" s="923"/>
      <c r="HK60" s="923"/>
      <c r="HL60" s="923"/>
      <c r="HM60" s="923"/>
      <c r="HN60" s="923"/>
      <c r="HO60" s="923"/>
      <c r="HP60" s="923"/>
      <c r="HQ60" s="923"/>
      <c r="HR60" s="923"/>
      <c r="HS60" s="923"/>
      <c r="HT60" s="923"/>
      <c r="HU60" s="923"/>
      <c r="HV60" s="923"/>
      <c r="HW60" s="923"/>
      <c r="HX60" s="923"/>
      <c r="HY60" s="923"/>
      <c r="HZ60" s="923"/>
      <c r="IA60" s="923"/>
      <c r="IB60" s="923"/>
      <c r="IC60" s="923"/>
      <c r="ID60" s="923"/>
      <c r="IE60" s="923"/>
      <c r="IF60" s="923"/>
      <c r="IG60" s="923"/>
      <c r="IH60" s="923"/>
      <c r="II60" s="923"/>
      <c r="IJ60" s="923"/>
      <c r="IK60" s="923"/>
    </row>
    <row r="61" spans="1:245" ht="15" customHeight="1">
      <c r="A61" s="72"/>
      <c r="B61" s="72"/>
      <c r="C61" s="72"/>
      <c r="D61" s="1128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X61" s="923"/>
      <c r="AY61" s="923"/>
      <c r="AZ61" s="923"/>
      <c r="BA61" s="923"/>
      <c r="BB61" s="1104"/>
      <c r="BC61" s="923"/>
      <c r="BD61" s="923"/>
      <c r="BE61" s="923"/>
      <c r="BF61" s="923"/>
      <c r="BG61" s="923"/>
      <c r="BH61" s="923"/>
      <c r="BI61" s="923"/>
      <c r="BJ61" s="923"/>
      <c r="BK61" s="923"/>
      <c r="BL61" s="923"/>
      <c r="BM61" s="923"/>
      <c r="BN61" s="923"/>
      <c r="BO61" s="923"/>
      <c r="BP61" s="923"/>
      <c r="BQ61" s="923"/>
      <c r="BR61" s="923"/>
      <c r="BS61" s="923"/>
      <c r="BT61" s="923"/>
      <c r="BU61" s="923"/>
      <c r="BV61" s="923"/>
      <c r="BW61" s="923"/>
      <c r="BX61" s="923"/>
      <c r="BY61" s="923"/>
      <c r="BZ61" s="923"/>
      <c r="CA61" s="923"/>
      <c r="CB61" s="923"/>
      <c r="CC61" s="923"/>
      <c r="CD61" s="923"/>
      <c r="CE61" s="923"/>
      <c r="CF61" s="923"/>
      <c r="CG61" s="923"/>
      <c r="CH61" s="923"/>
      <c r="CI61" s="923"/>
      <c r="CJ61" s="923"/>
      <c r="CK61" s="923"/>
      <c r="CL61" s="923"/>
      <c r="CM61" s="923"/>
      <c r="CN61" s="923"/>
      <c r="CO61" s="923"/>
      <c r="CP61" s="923"/>
      <c r="CQ61" s="923"/>
      <c r="CR61" s="923"/>
      <c r="CS61" s="923"/>
      <c r="CT61" s="923"/>
      <c r="CU61" s="923"/>
      <c r="CV61" s="923"/>
      <c r="CW61" s="923"/>
      <c r="CX61" s="923"/>
      <c r="CY61" s="923"/>
      <c r="CZ61" s="923"/>
      <c r="DA61" s="923"/>
      <c r="DB61" s="923"/>
      <c r="DC61" s="923"/>
      <c r="DD61" s="923"/>
      <c r="DE61" s="923"/>
      <c r="DF61" s="923"/>
      <c r="DG61" s="923"/>
      <c r="DH61" s="923"/>
      <c r="DI61" s="923"/>
      <c r="DJ61" s="923"/>
      <c r="DK61" s="923"/>
      <c r="DL61" s="923"/>
      <c r="DM61" s="923"/>
      <c r="DN61" s="923"/>
      <c r="DO61" s="923"/>
      <c r="DP61" s="923"/>
      <c r="DQ61" s="923"/>
      <c r="DR61" s="923"/>
      <c r="DS61" s="923"/>
      <c r="DT61" s="923"/>
      <c r="DU61" s="923"/>
      <c r="DV61" s="923"/>
      <c r="DW61" s="923"/>
      <c r="DX61" s="923"/>
      <c r="DY61" s="923"/>
      <c r="DZ61" s="923"/>
      <c r="EA61" s="923"/>
      <c r="EB61" s="923"/>
      <c r="EC61" s="923"/>
      <c r="ED61" s="923"/>
      <c r="EE61" s="923"/>
      <c r="EF61" s="923"/>
      <c r="EG61" s="923"/>
      <c r="EH61" s="923"/>
      <c r="EI61" s="923"/>
      <c r="EJ61" s="923"/>
      <c r="EK61" s="923"/>
      <c r="EL61" s="923"/>
      <c r="EM61" s="923"/>
      <c r="EN61" s="923"/>
      <c r="EO61" s="923"/>
      <c r="EP61" s="923"/>
      <c r="EQ61" s="923"/>
      <c r="ER61" s="923"/>
      <c r="ES61" s="923"/>
      <c r="ET61" s="923"/>
      <c r="EU61" s="923"/>
      <c r="EV61" s="923"/>
      <c r="EW61" s="923"/>
      <c r="EX61" s="923"/>
      <c r="EY61" s="923"/>
      <c r="EZ61" s="923"/>
      <c r="FA61" s="923"/>
      <c r="FB61" s="923"/>
      <c r="FC61" s="923"/>
      <c r="FD61" s="923"/>
      <c r="FE61" s="923"/>
      <c r="FF61" s="923"/>
      <c r="FG61" s="923"/>
      <c r="FH61" s="923"/>
      <c r="FI61" s="923"/>
      <c r="FJ61" s="923"/>
      <c r="FK61" s="923"/>
      <c r="FL61" s="923"/>
      <c r="FM61" s="923"/>
      <c r="FN61" s="923"/>
      <c r="FO61" s="923"/>
      <c r="FP61" s="923"/>
      <c r="FQ61" s="923"/>
      <c r="FR61" s="923"/>
      <c r="FS61" s="923"/>
      <c r="FT61" s="923"/>
      <c r="FU61" s="923"/>
      <c r="FV61" s="923"/>
      <c r="FW61" s="923"/>
      <c r="FX61" s="923"/>
      <c r="FY61" s="923"/>
      <c r="FZ61" s="923"/>
      <c r="GA61" s="923"/>
      <c r="GB61" s="923"/>
      <c r="GC61" s="923"/>
      <c r="GD61" s="923"/>
      <c r="GE61" s="923"/>
      <c r="GF61" s="923"/>
      <c r="GG61" s="1105"/>
      <c r="GH61" s="923"/>
      <c r="GI61" s="923"/>
      <c r="GJ61" s="923"/>
      <c r="GK61" s="923"/>
      <c r="GL61" s="923"/>
      <c r="GM61" s="923"/>
      <c r="GN61" s="923"/>
      <c r="GO61" s="923"/>
      <c r="GP61" s="923"/>
      <c r="GQ61" s="923"/>
      <c r="GR61" s="923"/>
      <c r="GS61" s="923"/>
      <c r="GT61" s="923"/>
      <c r="GU61" s="923"/>
      <c r="GV61" s="923"/>
      <c r="GW61" s="923"/>
      <c r="GX61" s="923"/>
      <c r="GY61" s="923"/>
      <c r="GZ61" s="923"/>
      <c r="HA61" s="923"/>
      <c r="HB61" s="923"/>
      <c r="HC61" s="923"/>
      <c r="HD61" s="923"/>
      <c r="HE61" s="923"/>
      <c r="HF61" s="923"/>
      <c r="HG61" s="923"/>
      <c r="HH61" s="923"/>
      <c r="HI61" s="923"/>
      <c r="HJ61" s="923"/>
      <c r="HK61" s="923"/>
      <c r="HL61" s="923"/>
      <c r="HM61" s="923"/>
      <c r="HN61" s="923"/>
      <c r="HO61" s="923"/>
      <c r="HP61" s="923"/>
      <c r="HQ61" s="923"/>
      <c r="HR61" s="923"/>
      <c r="HS61" s="923"/>
      <c r="HT61" s="923"/>
      <c r="HU61" s="923"/>
      <c r="HV61" s="923"/>
      <c r="HW61" s="923"/>
      <c r="HX61" s="923"/>
      <c r="HY61" s="923"/>
      <c r="HZ61" s="923"/>
      <c r="IA61" s="923"/>
      <c r="IB61" s="923"/>
      <c r="IC61" s="923"/>
      <c r="ID61" s="923"/>
      <c r="IE61" s="923"/>
      <c r="IF61" s="923"/>
      <c r="IG61" s="923"/>
      <c r="IH61" s="923"/>
      <c r="II61" s="923"/>
      <c r="IJ61" s="923"/>
      <c r="IK61" s="923"/>
    </row>
    <row r="62" spans="1:245" ht="15" customHeight="1">
      <c r="A62" s="72"/>
      <c r="B62" s="72"/>
      <c r="C62" s="72"/>
      <c r="D62" s="1128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X62" s="923"/>
      <c r="AY62" s="923"/>
      <c r="AZ62" s="923"/>
      <c r="BA62" s="923"/>
      <c r="BB62" s="1104"/>
      <c r="BC62" s="923"/>
      <c r="BD62" s="923"/>
      <c r="BE62" s="923"/>
      <c r="BF62" s="923"/>
      <c r="BG62" s="923"/>
      <c r="BH62" s="923"/>
      <c r="BI62" s="923"/>
      <c r="BJ62" s="923"/>
      <c r="BK62" s="923"/>
      <c r="BL62" s="923"/>
      <c r="BM62" s="923"/>
      <c r="BN62" s="923"/>
      <c r="BO62" s="923"/>
      <c r="BP62" s="923"/>
      <c r="BQ62" s="923"/>
      <c r="BR62" s="923"/>
      <c r="BS62" s="923"/>
      <c r="BT62" s="923"/>
      <c r="BU62" s="923"/>
      <c r="BV62" s="923"/>
      <c r="BW62" s="923"/>
      <c r="BX62" s="923"/>
      <c r="BY62" s="923"/>
      <c r="BZ62" s="923"/>
      <c r="CA62" s="923"/>
      <c r="CB62" s="923"/>
      <c r="CC62" s="923"/>
      <c r="CD62" s="923"/>
      <c r="CE62" s="923"/>
      <c r="CF62" s="923"/>
      <c r="CG62" s="923"/>
      <c r="CH62" s="923"/>
      <c r="CI62" s="923"/>
      <c r="CJ62" s="923"/>
      <c r="CK62" s="923"/>
      <c r="CL62" s="923"/>
      <c r="CM62" s="923"/>
      <c r="CN62" s="923"/>
      <c r="CO62" s="923"/>
      <c r="CP62" s="923"/>
      <c r="CQ62" s="923"/>
      <c r="CR62" s="923"/>
      <c r="CS62" s="923"/>
      <c r="CT62" s="923"/>
      <c r="CU62" s="923"/>
      <c r="CV62" s="923"/>
      <c r="CW62" s="923"/>
      <c r="CX62" s="923"/>
      <c r="CY62" s="923"/>
      <c r="CZ62" s="923"/>
      <c r="DA62" s="923"/>
      <c r="DB62" s="923"/>
      <c r="DC62" s="923"/>
      <c r="DD62" s="923"/>
      <c r="DE62" s="923"/>
      <c r="DF62" s="923"/>
      <c r="DG62" s="923"/>
      <c r="DH62" s="923"/>
      <c r="DI62" s="923"/>
      <c r="DJ62" s="923"/>
      <c r="DK62" s="923"/>
      <c r="DL62" s="923"/>
      <c r="DM62" s="923"/>
      <c r="DN62" s="923"/>
      <c r="DO62" s="923"/>
      <c r="DP62" s="923"/>
      <c r="DQ62" s="923"/>
      <c r="DR62" s="923"/>
      <c r="DS62" s="923"/>
      <c r="DT62" s="923"/>
      <c r="DU62" s="923"/>
      <c r="DV62" s="923"/>
      <c r="DW62" s="923"/>
      <c r="DX62" s="923"/>
      <c r="DY62" s="923"/>
      <c r="DZ62" s="923"/>
      <c r="EA62" s="923"/>
      <c r="EB62" s="923"/>
      <c r="EC62" s="923"/>
      <c r="ED62" s="923"/>
      <c r="EE62" s="923"/>
      <c r="EF62" s="923"/>
      <c r="EG62" s="923"/>
      <c r="EH62" s="923"/>
      <c r="EI62" s="923"/>
      <c r="EJ62" s="923"/>
      <c r="EK62" s="923"/>
      <c r="EL62" s="923"/>
      <c r="EM62" s="923"/>
      <c r="EN62" s="923"/>
      <c r="EO62" s="923"/>
      <c r="EP62" s="923"/>
      <c r="EQ62" s="923"/>
      <c r="ER62" s="923"/>
      <c r="ES62" s="923"/>
      <c r="ET62" s="923"/>
      <c r="EU62" s="923"/>
      <c r="EV62" s="923"/>
      <c r="EW62" s="923"/>
      <c r="EX62" s="923"/>
      <c r="EY62" s="923"/>
      <c r="EZ62" s="923"/>
      <c r="FA62" s="923"/>
      <c r="FB62" s="923"/>
      <c r="FC62" s="923"/>
      <c r="FD62" s="923"/>
      <c r="FE62" s="923"/>
      <c r="FF62" s="923"/>
      <c r="FG62" s="923"/>
      <c r="FH62" s="923"/>
      <c r="FI62" s="923"/>
      <c r="FJ62" s="923"/>
      <c r="FK62" s="923"/>
      <c r="FL62" s="923"/>
      <c r="FM62" s="923"/>
      <c r="FN62" s="923"/>
      <c r="FO62" s="923"/>
      <c r="FP62" s="923"/>
      <c r="FQ62" s="923"/>
      <c r="FR62" s="923"/>
      <c r="FS62" s="923"/>
      <c r="FT62" s="923"/>
      <c r="FU62" s="923"/>
      <c r="FV62" s="923"/>
      <c r="FW62" s="923"/>
      <c r="FX62" s="923"/>
      <c r="FY62" s="923"/>
      <c r="FZ62" s="923"/>
      <c r="GA62" s="923"/>
      <c r="GB62" s="923"/>
      <c r="GC62" s="923"/>
      <c r="GD62" s="923"/>
      <c r="GE62" s="923"/>
      <c r="GF62" s="923"/>
      <c r="GG62" s="1105"/>
      <c r="GH62" s="923"/>
      <c r="GI62" s="923"/>
      <c r="GJ62" s="923"/>
      <c r="GK62" s="923"/>
      <c r="GL62" s="923"/>
      <c r="GM62" s="923"/>
      <c r="GN62" s="923"/>
      <c r="GO62" s="923"/>
      <c r="GP62" s="923"/>
      <c r="GQ62" s="923"/>
      <c r="GR62" s="923"/>
      <c r="GS62" s="923"/>
      <c r="GT62" s="923"/>
      <c r="GU62" s="923"/>
      <c r="GV62" s="923"/>
      <c r="GW62" s="923"/>
      <c r="GX62" s="923"/>
      <c r="GY62" s="923"/>
      <c r="GZ62" s="923"/>
      <c r="HA62" s="923"/>
      <c r="HB62" s="923"/>
      <c r="HC62" s="923"/>
      <c r="HD62" s="923"/>
      <c r="HE62" s="923"/>
      <c r="HF62" s="923"/>
      <c r="HG62" s="923"/>
      <c r="HH62" s="923"/>
      <c r="HI62" s="923"/>
      <c r="HJ62" s="923"/>
      <c r="HK62" s="923"/>
      <c r="HL62" s="923"/>
      <c r="HM62" s="923"/>
      <c r="HN62" s="923"/>
      <c r="HO62" s="923"/>
      <c r="HP62" s="923"/>
      <c r="HQ62" s="923"/>
      <c r="HR62" s="923"/>
      <c r="HS62" s="923"/>
      <c r="HT62" s="923"/>
      <c r="HU62" s="923"/>
      <c r="HV62" s="923"/>
      <c r="HW62" s="923"/>
      <c r="HX62" s="923"/>
      <c r="HY62" s="923"/>
      <c r="HZ62" s="923"/>
      <c r="IA62" s="923"/>
      <c r="IB62" s="923"/>
      <c r="IC62" s="923"/>
      <c r="ID62" s="923"/>
      <c r="IE62" s="923"/>
      <c r="IF62" s="923"/>
      <c r="IG62" s="923"/>
      <c r="IH62" s="923"/>
      <c r="II62" s="923"/>
      <c r="IJ62" s="923"/>
      <c r="IK62" s="923"/>
    </row>
    <row r="63" spans="1:245" ht="15" customHeight="1">
      <c r="A63" s="72"/>
      <c r="B63" s="72"/>
      <c r="C63" s="72"/>
      <c r="D63" s="1128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X63" s="923"/>
      <c r="AY63" s="923"/>
      <c r="AZ63" s="923"/>
      <c r="BA63" s="923"/>
      <c r="BB63" s="1104"/>
      <c r="BC63" s="923"/>
      <c r="BD63" s="923"/>
      <c r="BE63" s="923"/>
      <c r="BF63" s="923"/>
      <c r="BG63" s="923"/>
      <c r="BH63" s="923"/>
      <c r="BI63" s="923"/>
      <c r="BJ63" s="923"/>
      <c r="BK63" s="923"/>
      <c r="BL63" s="923"/>
      <c r="BM63" s="923"/>
      <c r="BN63" s="923"/>
      <c r="BO63" s="923"/>
      <c r="BP63" s="923"/>
      <c r="BQ63" s="923"/>
      <c r="BR63" s="923"/>
      <c r="BS63" s="923"/>
      <c r="BT63" s="923"/>
      <c r="BU63" s="923"/>
      <c r="BV63" s="923"/>
      <c r="BW63" s="923"/>
      <c r="BX63" s="923"/>
      <c r="BY63" s="923"/>
      <c r="BZ63" s="923"/>
      <c r="CA63" s="923"/>
      <c r="CB63" s="923"/>
      <c r="CC63" s="923"/>
      <c r="CD63" s="923"/>
      <c r="CE63" s="923"/>
      <c r="CF63" s="923"/>
      <c r="CG63" s="923"/>
      <c r="CH63" s="923"/>
      <c r="CI63" s="923"/>
      <c r="CJ63" s="923"/>
      <c r="CK63" s="923"/>
      <c r="CL63" s="923"/>
      <c r="CM63" s="923"/>
      <c r="CN63" s="923"/>
      <c r="CO63" s="923"/>
      <c r="CP63" s="923"/>
      <c r="CQ63" s="923"/>
      <c r="CR63" s="923"/>
      <c r="CS63" s="923"/>
      <c r="CT63" s="923"/>
      <c r="CU63" s="923"/>
      <c r="CV63" s="923"/>
      <c r="CW63" s="923"/>
      <c r="CX63" s="923"/>
      <c r="CY63" s="923"/>
      <c r="CZ63" s="923"/>
      <c r="DA63" s="923"/>
      <c r="DB63" s="923"/>
      <c r="DC63" s="923"/>
      <c r="DD63" s="923"/>
      <c r="DE63" s="923"/>
      <c r="DF63" s="923"/>
      <c r="DG63" s="923"/>
      <c r="DH63" s="923"/>
      <c r="DI63" s="923"/>
      <c r="DJ63" s="923"/>
      <c r="DK63" s="923"/>
      <c r="DL63" s="923"/>
      <c r="DM63" s="923"/>
      <c r="DN63" s="923"/>
      <c r="DO63" s="923"/>
      <c r="DP63" s="923"/>
      <c r="DQ63" s="923"/>
      <c r="DR63" s="923"/>
      <c r="DS63" s="923"/>
      <c r="DT63" s="923"/>
      <c r="DU63" s="923"/>
      <c r="DV63" s="923"/>
      <c r="DW63" s="923"/>
      <c r="DX63" s="923"/>
      <c r="DY63" s="923"/>
      <c r="DZ63" s="923"/>
      <c r="EA63" s="923"/>
      <c r="EB63" s="923"/>
      <c r="EC63" s="923"/>
      <c r="ED63" s="923"/>
      <c r="EE63" s="923"/>
      <c r="EF63" s="923"/>
      <c r="EG63" s="923"/>
      <c r="EH63" s="923"/>
      <c r="EI63" s="923"/>
      <c r="EJ63" s="923"/>
      <c r="EK63" s="923"/>
      <c r="EL63" s="923"/>
      <c r="EM63" s="923"/>
      <c r="EN63" s="923"/>
      <c r="EO63" s="923"/>
      <c r="EP63" s="923"/>
      <c r="EQ63" s="923"/>
      <c r="ER63" s="923"/>
      <c r="ES63" s="923"/>
      <c r="ET63" s="923"/>
      <c r="EU63" s="923"/>
      <c r="EV63" s="923"/>
      <c r="EW63" s="923"/>
      <c r="EX63" s="923"/>
      <c r="EY63" s="923"/>
      <c r="EZ63" s="923"/>
      <c r="FA63" s="923"/>
      <c r="FB63" s="923"/>
      <c r="FC63" s="923"/>
      <c r="FD63" s="923"/>
      <c r="FE63" s="923"/>
      <c r="FF63" s="923"/>
      <c r="FG63" s="923"/>
      <c r="FH63" s="923"/>
      <c r="FI63" s="923"/>
      <c r="FJ63" s="923"/>
      <c r="FK63" s="923"/>
      <c r="FL63" s="923"/>
      <c r="FM63" s="923"/>
      <c r="FN63" s="923"/>
      <c r="FO63" s="923"/>
      <c r="FP63" s="923"/>
      <c r="FQ63" s="923"/>
      <c r="FR63" s="923"/>
      <c r="FS63" s="923"/>
      <c r="FT63" s="923"/>
      <c r="FU63" s="923"/>
      <c r="FV63" s="923"/>
      <c r="FW63" s="923"/>
      <c r="FX63" s="923"/>
      <c r="FY63" s="923"/>
      <c r="FZ63" s="923"/>
      <c r="GA63" s="923"/>
      <c r="GB63" s="923"/>
      <c r="GC63" s="923"/>
      <c r="GD63" s="923"/>
      <c r="GE63" s="923"/>
      <c r="GF63" s="923"/>
      <c r="GG63" s="1105"/>
      <c r="GH63" s="923"/>
      <c r="GI63" s="923"/>
      <c r="GJ63" s="923"/>
      <c r="GK63" s="923"/>
      <c r="GL63" s="923"/>
      <c r="GM63" s="923"/>
      <c r="GN63" s="923"/>
      <c r="GO63" s="923"/>
      <c r="GP63" s="923"/>
      <c r="GQ63" s="923"/>
      <c r="GR63" s="923"/>
      <c r="GS63" s="923"/>
      <c r="GT63" s="923"/>
      <c r="GU63" s="923"/>
      <c r="GV63" s="923"/>
      <c r="GW63" s="923"/>
      <c r="GX63" s="923"/>
      <c r="GY63" s="923"/>
      <c r="GZ63" s="923"/>
      <c r="HA63" s="923"/>
      <c r="HB63" s="923"/>
      <c r="HC63" s="923"/>
      <c r="HD63" s="923"/>
      <c r="HE63" s="923"/>
      <c r="HF63" s="923"/>
      <c r="HG63" s="923"/>
      <c r="HH63" s="923"/>
      <c r="HI63" s="923"/>
      <c r="HJ63" s="923"/>
      <c r="HK63" s="923"/>
      <c r="HL63" s="923"/>
      <c r="HM63" s="923"/>
      <c r="HN63" s="923"/>
      <c r="HO63" s="923"/>
      <c r="HP63" s="923"/>
      <c r="HQ63" s="923"/>
      <c r="HR63" s="923"/>
      <c r="HS63" s="923"/>
      <c r="HT63" s="923"/>
      <c r="HU63" s="923"/>
      <c r="HV63" s="923"/>
      <c r="HW63" s="923"/>
      <c r="HX63" s="923"/>
      <c r="HY63" s="923"/>
      <c r="HZ63" s="923"/>
      <c r="IA63" s="923"/>
      <c r="IB63" s="923"/>
      <c r="IC63" s="923"/>
      <c r="ID63" s="923"/>
      <c r="IE63" s="923"/>
      <c r="IF63" s="923"/>
      <c r="IG63" s="923"/>
      <c r="IH63" s="923"/>
      <c r="II63" s="923"/>
      <c r="IJ63" s="923"/>
      <c r="IK63" s="923"/>
    </row>
    <row r="64" spans="1:245" ht="15" customHeight="1">
      <c r="A64" s="72"/>
      <c r="B64" s="72"/>
      <c r="C64" s="72"/>
      <c r="D64" s="1128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X64" s="923"/>
      <c r="AY64" s="923"/>
      <c r="AZ64" s="923"/>
      <c r="BA64" s="923"/>
      <c r="BB64" s="1104"/>
      <c r="BC64" s="923"/>
      <c r="BD64" s="923"/>
      <c r="BE64" s="923"/>
      <c r="BF64" s="923"/>
      <c r="BG64" s="923"/>
      <c r="BH64" s="923"/>
      <c r="BI64" s="923"/>
      <c r="BJ64" s="923"/>
      <c r="BK64" s="923"/>
      <c r="BL64" s="923"/>
      <c r="BM64" s="923"/>
      <c r="BN64" s="923"/>
      <c r="BO64" s="923"/>
      <c r="BP64" s="923"/>
      <c r="BQ64" s="923"/>
      <c r="BR64" s="923"/>
      <c r="BS64" s="923"/>
      <c r="BT64" s="923"/>
      <c r="BU64" s="923"/>
      <c r="BV64" s="923"/>
      <c r="BW64" s="923"/>
      <c r="BX64" s="923"/>
      <c r="BY64" s="923"/>
      <c r="BZ64" s="923"/>
      <c r="CA64" s="923"/>
      <c r="CB64" s="923"/>
      <c r="CC64" s="923"/>
      <c r="CD64" s="923"/>
      <c r="CE64" s="923"/>
      <c r="CF64" s="923"/>
      <c r="CG64" s="923"/>
      <c r="CH64" s="923"/>
      <c r="CI64" s="923"/>
      <c r="CJ64" s="923"/>
      <c r="CK64" s="923"/>
      <c r="CL64" s="923"/>
      <c r="CM64" s="923"/>
      <c r="CN64" s="923"/>
      <c r="CO64" s="923"/>
      <c r="CP64" s="923"/>
      <c r="CQ64" s="923"/>
      <c r="CR64" s="923"/>
      <c r="CS64" s="923"/>
      <c r="CT64" s="923"/>
      <c r="CU64" s="923"/>
      <c r="CV64" s="923"/>
      <c r="CW64" s="923"/>
      <c r="CX64" s="923"/>
      <c r="CY64" s="923"/>
      <c r="CZ64" s="923"/>
      <c r="DA64" s="923"/>
      <c r="DB64" s="923"/>
      <c r="DC64" s="923"/>
      <c r="DD64" s="923"/>
      <c r="DE64" s="923"/>
      <c r="DF64" s="923"/>
      <c r="DG64" s="923"/>
      <c r="DH64" s="923"/>
      <c r="DI64" s="923"/>
      <c r="DJ64" s="923"/>
      <c r="DK64" s="923"/>
      <c r="DL64" s="923"/>
      <c r="DM64" s="923"/>
      <c r="DN64" s="923"/>
      <c r="DO64" s="923"/>
      <c r="DP64" s="923"/>
      <c r="DQ64" s="923"/>
      <c r="DR64" s="923"/>
      <c r="DS64" s="923"/>
      <c r="DT64" s="923"/>
      <c r="DU64" s="923"/>
      <c r="DV64" s="923"/>
      <c r="DW64" s="923"/>
      <c r="DX64" s="923"/>
      <c r="DY64" s="923"/>
      <c r="DZ64" s="923"/>
      <c r="EA64" s="923"/>
      <c r="EB64" s="923"/>
      <c r="EC64" s="923"/>
      <c r="ED64" s="923"/>
      <c r="EE64" s="923"/>
      <c r="EF64" s="923"/>
      <c r="EG64" s="923"/>
      <c r="EH64" s="923"/>
      <c r="EI64" s="923"/>
      <c r="EJ64" s="923"/>
      <c r="EK64" s="923"/>
      <c r="EL64" s="923"/>
      <c r="EM64" s="923"/>
      <c r="EN64" s="923"/>
      <c r="EO64" s="923"/>
      <c r="EP64" s="923"/>
      <c r="EQ64" s="923"/>
      <c r="ER64" s="923"/>
      <c r="ES64" s="923"/>
      <c r="ET64" s="923"/>
      <c r="EU64" s="923"/>
      <c r="EV64" s="923"/>
      <c r="EW64" s="923"/>
      <c r="EX64" s="923"/>
      <c r="EY64" s="923"/>
      <c r="EZ64" s="923"/>
      <c r="FA64" s="923"/>
      <c r="FB64" s="923"/>
      <c r="FC64" s="923"/>
      <c r="FD64" s="923"/>
      <c r="FE64" s="923"/>
      <c r="FF64" s="923"/>
      <c r="FG64" s="923"/>
      <c r="FH64" s="923"/>
      <c r="FI64" s="923"/>
      <c r="FJ64" s="923"/>
      <c r="FK64" s="923"/>
      <c r="FL64" s="923"/>
      <c r="FM64" s="923"/>
      <c r="FN64" s="923"/>
      <c r="FO64" s="923"/>
      <c r="FP64" s="923"/>
      <c r="FQ64" s="923"/>
      <c r="FR64" s="923"/>
      <c r="FS64" s="923"/>
      <c r="FT64" s="923"/>
      <c r="FU64" s="923"/>
      <c r="FV64" s="923"/>
      <c r="FW64" s="923"/>
      <c r="FX64" s="923"/>
      <c r="FY64" s="923"/>
      <c r="FZ64" s="923"/>
      <c r="GA64" s="923"/>
      <c r="GB64" s="923"/>
      <c r="GC64" s="923"/>
      <c r="GD64" s="923"/>
      <c r="GE64" s="923"/>
      <c r="GF64" s="923"/>
      <c r="GG64" s="1105"/>
      <c r="GH64" s="923"/>
      <c r="GI64" s="923"/>
      <c r="GJ64" s="923"/>
      <c r="GK64" s="923"/>
      <c r="GL64" s="923"/>
      <c r="GM64" s="923"/>
      <c r="GN64" s="923"/>
      <c r="GO64" s="923"/>
      <c r="GP64" s="923"/>
      <c r="GQ64" s="923"/>
      <c r="GR64" s="923"/>
      <c r="GS64" s="923"/>
      <c r="GT64" s="923"/>
      <c r="GU64" s="923"/>
      <c r="GV64" s="923"/>
      <c r="GW64" s="923"/>
      <c r="GX64" s="923"/>
      <c r="GY64" s="923"/>
      <c r="GZ64" s="923"/>
      <c r="HA64" s="923"/>
      <c r="HB64" s="923"/>
      <c r="HC64" s="923"/>
      <c r="HD64" s="923"/>
      <c r="HE64" s="923"/>
      <c r="HF64" s="923"/>
      <c r="HG64" s="923"/>
      <c r="HH64" s="923"/>
      <c r="HI64" s="923"/>
      <c r="HJ64" s="923"/>
      <c r="HK64" s="923"/>
      <c r="HL64" s="923"/>
      <c r="HM64" s="923"/>
      <c r="HN64" s="923"/>
      <c r="HO64" s="923"/>
      <c r="HP64" s="923"/>
      <c r="HQ64" s="923"/>
      <c r="HR64" s="923"/>
      <c r="HS64" s="923"/>
      <c r="HT64" s="923"/>
      <c r="HU64" s="923"/>
      <c r="HV64" s="923"/>
      <c r="HW64" s="923"/>
      <c r="HX64" s="923"/>
      <c r="HY64" s="923"/>
      <c r="HZ64" s="923"/>
      <c r="IA64" s="923"/>
      <c r="IB64" s="923"/>
      <c r="IC64" s="923"/>
      <c r="ID64" s="923"/>
      <c r="IE64" s="923"/>
      <c r="IF64" s="923"/>
      <c r="IG64" s="923"/>
      <c r="IH64" s="923"/>
      <c r="II64" s="923"/>
      <c r="IJ64" s="923"/>
      <c r="IK64" s="923"/>
    </row>
    <row r="65" spans="1:245" ht="15" customHeight="1">
      <c r="A65" s="72"/>
      <c r="B65" s="72"/>
      <c r="C65" s="72"/>
      <c r="D65" s="1128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X65" s="923"/>
      <c r="AY65" s="923"/>
      <c r="AZ65" s="923"/>
      <c r="BA65" s="923"/>
      <c r="BB65" s="1104"/>
      <c r="BC65" s="923"/>
      <c r="BD65" s="923"/>
      <c r="BE65" s="923"/>
      <c r="BF65" s="923"/>
      <c r="BG65" s="923"/>
      <c r="BH65" s="923"/>
      <c r="BI65" s="923"/>
      <c r="BJ65" s="923"/>
      <c r="BK65" s="923"/>
      <c r="BL65" s="923"/>
      <c r="BM65" s="923"/>
      <c r="BN65" s="923"/>
      <c r="BO65" s="923"/>
      <c r="BP65" s="923"/>
      <c r="BQ65" s="923"/>
      <c r="BR65" s="923"/>
      <c r="BS65" s="923"/>
      <c r="BT65" s="923"/>
      <c r="BU65" s="923"/>
      <c r="BV65" s="923"/>
      <c r="BW65" s="923"/>
      <c r="BX65" s="923"/>
      <c r="BY65" s="923"/>
      <c r="BZ65" s="923"/>
      <c r="CA65" s="923"/>
      <c r="CB65" s="923"/>
      <c r="CC65" s="923"/>
      <c r="CD65" s="923"/>
      <c r="CE65" s="923"/>
      <c r="CF65" s="923"/>
      <c r="CG65" s="923"/>
      <c r="CH65" s="923"/>
      <c r="CI65" s="923"/>
      <c r="CJ65" s="923"/>
      <c r="CK65" s="923"/>
      <c r="CL65" s="923"/>
      <c r="CM65" s="923"/>
      <c r="CN65" s="923"/>
      <c r="CO65" s="923"/>
      <c r="CP65" s="923"/>
      <c r="CQ65" s="923"/>
      <c r="CR65" s="923"/>
      <c r="CS65" s="923"/>
      <c r="CT65" s="923"/>
      <c r="CU65" s="923"/>
      <c r="CV65" s="923"/>
      <c r="CW65" s="923"/>
      <c r="CX65" s="923"/>
      <c r="CY65" s="923"/>
      <c r="CZ65" s="923"/>
      <c r="DA65" s="923"/>
      <c r="DB65" s="923"/>
      <c r="DC65" s="923"/>
      <c r="DD65" s="923"/>
      <c r="DE65" s="923"/>
      <c r="DF65" s="923"/>
      <c r="DG65" s="923"/>
      <c r="DH65" s="923"/>
      <c r="DI65" s="923"/>
      <c r="DJ65" s="923"/>
      <c r="DK65" s="923"/>
      <c r="DL65" s="923"/>
      <c r="DM65" s="923"/>
      <c r="DN65" s="923"/>
      <c r="DO65" s="923"/>
      <c r="DP65" s="923"/>
      <c r="DQ65" s="923"/>
      <c r="DR65" s="923"/>
      <c r="DS65" s="923"/>
      <c r="DT65" s="923"/>
      <c r="DU65" s="923"/>
      <c r="DV65" s="923"/>
      <c r="DW65" s="923"/>
      <c r="DX65" s="923"/>
      <c r="DY65" s="923"/>
      <c r="DZ65" s="923"/>
      <c r="EA65" s="923"/>
      <c r="EB65" s="923"/>
      <c r="EC65" s="923"/>
      <c r="ED65" s="923"/>
      <c r="EE65" s="923"/>
      <c r="EF65" s="923"/>
      <c r="EG65" s="923"/>
      <c r="EH65" s="923"/>
      <c r="EI65" s="923"/>
      <c r="EJ65" s="923"/>
      <c r="EK65" s="923"/>
      <c r="EL65" s="923"/>
      <c r="EM65" s="923"/>
      <c r="EN65" s="923"/>
      <c r="EO65" s="923"/>
      <c r="EP65" s="923"/>
      <c r="EQ65" s="923"/>
      <c r="ER65" s="923"/>
      <c r="ES65" s="923"/>
      <c r="ET65" s="923"/>
      <c r="EU65" s="923"/>
      <c r="EV65" s="923"/>
      <c r="EW65" s="923"/>
      <c r="EX65" s="923"/>
      <c r="EY65" s="923"/>
      <c r="EZ65" s="923"/>
      <c r="FA65" s="923"/>
      <c r="FB65" s="923"/>
      <c r="FC65" s="923"/>
      <c r="FD65" s="923"/>
      <c r="FE65" s="923"/>
      <c r="FF65" s="923"/>
      <c r="FG65" s="923"/>
      <c r="FH65" s="923"/>
      <c r="FI65" s="923"/>
      <c r="FJ65" s="923"/>
      <c r="FK65" s="923"/>
      <c r="FL65" s="923"/>
      <c r="FM65" s="923"/>
      <c r="FN65" s="923"/>
      <c r="FO65" s="923"/>
      <c r="FP65" s="923"/>
      <c r="FQ65" s="923"/>
      <c r="FR65" s="923"/>
      <c r="FS65" s="923"/>
      <c r="FT65" s="923"/>
      <c r="FU65" s="923"/>
      <c r="FV65" s="923"/>
      <c r="FW65" s="923"/>
      <c r="FX65" s="923"/>
      <c r="FY65" s="923"/>
      <c r="FZ65" s="923"/>
      <c r="GA65" s="923"/>
      <c r="GB65" s="923"/>
      <c r="GC65" s="923"/>
      <c r="GD65" s="923"/>
      <c r="GE65" s="923"/>
      <c r="GF65" s="923"/>
      <c r="GG65" s="1105"/>
      <c r="GH65" s="923"/>
      <c r="GI65" s="923"/>
      <c r="GJ65" s="923"/>
      <c r="GK65" s="923"/>
      <c r="GL65" s="923"/>
      <c r="GM65" s="923"/>
      <c r="GN65" s="923"/>
      <c r="GO65" s="923"/>
      <c r="GP65" s="923"/>
      <c r="GQ65" s="923"/>
      <c r="GR65" s="923"/>
      <c r="GS65" s="923"/>
      <c r="GT65" s="923"/>
      <c r="GU65" s="923"/>
      <c r="GV65" s="923"/>
      <c r="GW65" s="923"/>
      <c r="GX65" s="923"/>
      <c r="GY65" s="923"/>
      <c r="GZ65" s="923"/>
      <c r="HA65" s="923"/>
      <c r="HB65" s="923"/>
      <c r="HC65" s="923"/>
      <c r="HD65" s="923"/>
      <c r="HE65" s="923"/>
      <c r="HF65" s="923"/>
      <c r="HG65" s="923"/>
      <c r="HH65" s="923"/>
      <c r="HI65" s="923"/>
      <c r="HJ65" s="923"/>
      <c r="HK65" s="923"/>
      <c r="HL65" s="923"/>
      <c r="HM65" s="923"/>
      <c r="HN65" s="923"/>
      <c r="HO65" s="923"/>
      <c r="HP65" s="923"/>
      <c r="HQ65" s="923"/>
      <c r="HR65" s="923"/>
      <c r="HS65" s="923"/>
      <c r="HT65" s="923"/>
      <c r="HU65" s="923"/>
      <c r="HV65" s="923"/>
      <c r="HW65" s="923"/>
      <c r="HX65" s="923"/>
      <c r="HY65" s="923"/>
      <c r="HZ65" s="923"/>
      <c r="IA65" s="923"/>
      <c r="IB65" s="923"/>
      <c r="IC65" s="923"/>
      <c r="ID65" s="923"/>
      <c r="IE65" s="923"/>
      <c r="IF65" s="923"/>
      <c r="IG65" s="923"/>
      <c r="IH65" s="923"/>
      <c r="II65" s="923"/>
      <c r="IJ65" s="923"/>
      <c r="IK65" s="923"/>
    </row>
    <row r="66" spans="1:245" ht="15" customHeight="1">
      <c r="A66" s="72"/>
      <c r="B66" s="72"/>
      <c r="C66" s="72"/>
      <c r="D66" s="1128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X66" s="923"/>
      <c r="AY66" s="923"/>
      <c r="AZ66" s="923"/>
      <c r="BA66" s="923"/>
      <c r="BB66" s="1104"/>
      <c r="BC66" s="923"/>
      <c r="BD66" s="923"/>
      <c r="BE66" s="923"/>
      <c r="BF66" s="923"/>
      <c r="BG66" s="923"/>
      <c r="BH66" s="923"/>
      <c r="BI66" s="923"/>
      <c r="BJ66" s="923"/>
      <c r="BK66" s="923"/>
      <c r="BL66" s="923"/>
      <c r="BM66" s="923"/>
      <c r="BN66" s="923"/>
      <c r="BO66" s="923"/>
      <c r="BP66" s="923"/>
      <c r="BQ66" s="923"/>
      <c r="BR66" s="923"/>
      <c r="BS66" s="923"/>
      <c r="BT66" s="923"/>
      <c r="BU66" s="923"/>
      <c r="BV66" s="923"/>
      <c r="BW66" s="923"/>
      <c r="BX66" s="923"/>
      <c r="BY66" s="923"/>
      <c r="BZ66" s="923"/>
      <c r="CA66" s="923"/>
      <c r="CB66" s="923"/>
      <c r="CC66" s="923"/>
      <c r="CD66" s="923"/>
      <c r="CE66" s="923"/>
      <c r="CF66" s="923"/>
      <c r="CG66" s="923"/>
      <c r="CH66" s="923"/>
      <c r="CI66" s="923"/>
      <c r="CJ66" s="923"/>
      <c r="CK66" s="923"/>
      <c r="CL66" s="923"/>
      <c r="CM66" s="923"/>
      <c r="CN66" s="923"/>
      <c r="CO66" s="923"/>
      <c r="CP66" s="923"/>
      <c r="CQ66" s="923"/>
      <c r="CR66" s="923"/>
      <c r="CS66" s="923"/>
      <c r="CT66" s="923"/>
      <c r="CU66" s="923"/>
      <c r="CV66" s="923"/>
      <c r="CW66" s="923"/>
      <c r="CX66" s="923"/>
      <c r="CY66" s="923"/>
      <c r="CZ66" s="923"/>
      <c r="DA66" s="923"/>
      <c r="DB66" s="923"/>
      <c r="DC66" s="923"/>
      <c r="DD66" s="923"/>
      <c r="DE66" s="923"/>
      <c r="DF66" s="923"/>
      <c r="DG66" s="923"/>
      <c r="DH66" s="923"/>
      <c r="DI66" s="923"/>
      <c r="DJ66" s="923"/>
      <c r="DK66" s="923"/>
      <c r="DL66" s="923"/>
      <c r="DM66" s="923"/>
      <c r="DN66" s="923"/>
      <c r="DO66" s="923"/>
      <c r="DP66" s="923"/>
      <c r="DQ66" s="923"/>
      <c r="DR66" s="923"/>
      <c r="DS66" s="923"/>
      <c r="DT66" s="923"/>
      <c r="DU66" s="923"/>
      <c r="DV66" s="923"/>
      <c r="DW66" s="923"/>
      <c r="DX66" s="923"/>
      <c r="DY66" s="923"/>
      <c r="DZ66" s="923"/>
      <c r="EA66" s="923"/>
      <c r="EB66" s="923"/>
      <c r="EC66" s="923"/>
      <c r="ED66" s="923"/>
      <c r="EE66" s="923"/>
      <c r="EF66" s="923"/>
      <c r="EG66" s="923"/>
      <c r="EH66" s="923"/>
      <c r="EI66" s="923"/>
      <c r="EJ66" s="923"/>
      <c r="EK66" s="923"/>
      <c r="EL66" s="923"/>
      <c r="EM66" s="923"/>
      <c r="EN66" s="923"/>
      <c r="EO66" s="923"/>
      <c r="EP66" s="923"/>
      <c r="EQ66" s="923"/>
      <c r="ER66" s="923"/>
      <c r="ES66" s="923"/>
      <c r="ET66" s="923"/>
      <c r="EU66" s="923"/>
      <c r="EV66" s="923"/>
      <c r="EW66" s="923"/>
      <c r="EX66" s="923"/>
      <c r="EY66" s="923"/>
      <c r="EZ66" s="923"/>
      <c r="FA66" s="923"/>
      <c r="FB66" s="923"/>
      <c r="FC66" s="923"/>
      <c r="FD66" s="923"/>
      <c r="FE66" s="923"/>
      <c r="FF66" s="923"/>
      <c r="FG66" s="923"/>
      <c r="FH66" s="923"/>
      <c r="FI66" s="923"/>
      <c r="FJ66" s="923"/>
      <c r="FK66" s="923"/>
      <c r="FL66" s="923"/>
      <c r="FM66" s="923"/>
      <c r="FN66" s="923"/>
      <c r="FO66" s="923"/>
      <c r="FP66" s="923"/>
      <c r="FQ66" s="923"/>
      <c r="FR66" s="923"/>
      <c r="FS66" s="923"/>
      <c r="FT66" s="923"/>
      <c r="FU66" s="923"/>
      <c r="FV66" s="923"/>
      <c r="FW66" s="923"/>
      <c r="FX66" s="923"/>
      <c r="FY66" s="923"/>
      <c r="FZ66" s="923"/>
      <c r="GA66" s="923"/>
      <c r="GB66" s="923"/>
      <c r="GC66" s="923"/>
      <c r="GD66" s="923"/>
      <c r="GE66" s="923"/>
      <c r="GF66" s="923"/>
      <c r="GG66" s="1105"/>
      <c r="GH66" s="923"/>
      <c r="GI66" s="923"/>
      <c r="GJ66" s="923"/>
      <c r="GK66" s="923"/>
      <c r="GL66" s="923"/>
      <c r="GM66" s="923"/>
      <c r="GN66" s="923"/>
      <c r="GO66" s="923"/>
      <c r="GP66" s="923"/>
      <c r="GQ66" s="923"/>
      <c r="GR66" s="923"/>
      <c r="GS66" s="923"/>
      <c r="GT66" s="923"/>
      <c r="GU66" s="923"/>
      <c r="GV66" s="923"/>
      <c r="GW66" s="923"/>
      <c r="GX66" s="923"/>
      <c r="GY66" s="923"/>
      <c r="GZ66" s="923"/>
      <c r="HA66" s="923"/>
      <c r="HB66" s="923"/>
      <c r="HC66" s="923"/>
      <c r="HD66" s="923"/>
      <c r="HE66" s="923"/>
      <c r="HF66" s="923"/>
      <c r="HG66" s="923"/>
      <c r="HH66" s="923"/>
      <c r="HI66" s="923"/>
      <c r="HJ66" s="923"/>
      <c r="HK66" s="923"/>
      <c r="HL66" s="923"/>
      <c r="HM66" s="923"/>
      <c r="HN66" s="923"/>
      <c r="HO66" s="923"/>
      <c r="HP66" s="923"/>
      <c r="HQ66" s="923"/>
      <c r="HR66" s="923"/>
      <c r="HS66" s="923"/>
      <c r="HT66" s="923"/>
      <c r="HU66" s="923"/>
      <c r="HV66" s="923"/>
      <c r="HW66" s="923"/>
      <c r="HX66" s="923"/>
      <c r="HY66" s="923"/>
      <c r="HZ66" s="923"/>
      <c r="IA66" s="923"/>
      <c r="IB66" s="923"/>
      <c r="IC66" s="923"/>
      <c r="ID66" s="923"/>
      <c r="IE66" s="923"/>
      <c r="IF66" s="923"/>
      <c r="IG66" s="923"/>
      <c r="IH66" s="923"/>
      <c r="II66" s="923"/>
      <c r="IJ66" s="923"/>
      <c r="IK66" s="923"/>
    </row>
    <row r="67" spans="1:245" ht="15" customHeight="1">
      <c r="A67" s="72"/>
      <c r="B67" s="72"/>
      <c r="C67" s="72"/>
      <c r="D67" s="1128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X67" s="923"/>
      <c r="AY67" s="923"/>
      <c r="AZ67" s="923"/>
      <c r="BA67" s="923"/>
      <c r="BB67" s="1104"/>
      <c r="BC67" s="923"/>
      <c r="BD67" s="923"/>
      <c r="BE67" s="923"/>
      <c r="BF67" s="923"/>
      <c r="BG67" s="923"/>
      <c r="BH67" s="923"/>
      <c r="BI67" s="923"/>
      <c r="BJ67" s="923"/>
      <c r="BK67" s="923"/>
      <c r="BL67" s="923"/>
      <c r="BM67" s="923"/>
      <c r="BN67" s="923"/>
      <c r="BO67" s="923"/>
      <c r="BP67" s="923"/>
      <c r="BQ67" s="923"/>
      <c r="BR67" s="923"/>
      <c r="BS67" s="923"/>
      <c r="BT67" s="923"/>
      <c r="BU67" s="923"/>
      <c r="BV67" s="923"/>
      <c r="BW67" s="923"/>
      <c r="BX67" s="923"/>
      <c r="BY67" s="923"/>
      <c r="BZ67" s="923"/>
      <c r="CA67" s="923"/>
      <c r="CB67" s="923"/>
      <c r="CC67" s="923"/>
      <c r="CD67" s="923"/>
      <c r="CE67" s="923"/>
      <c r="CF67" s="923"/>
      <c r="CG67" s="923"/>
      <c r="CH67" s="923"/>
      <c r="CI67" s="923"/>
      <c r="CJ67" s="923"/>
      <c r="CK67" s="923"/>
      <c r="CL67" s="923"/>
      <c r="CM67" s="923"/>
      <c r="CN67" s="923"/>
      <c r="CO67" s="923"/>
      <c r="CP67" s="923"/>
      <c r="CQ67" s="923"/>
      <c r="CR67" s="923"/>
      <c r="CS67" s="923"/>
      <c r="CT67" s="923"/>
      <c r="CU67" s="923"/>
      <c r="CV67" s="923"/>
      <c r="CW67" s="923"/>
      <c r="CX67" s="923"/>
      <c r="CY67" s="923"/>
      <c r="CZ67" s="923"/>
      <c r="DA67" s="923"/>
      <c r="DB67" s="923"/>
      <c r="DC67" s="923"/>
      <c r="DD67" s="923"/>
      <c r="DE67" s="923"/>
      <c r="DF67" s="923"/>
      <c r="DG67" s="923"/>
      <c r="DH67" s="923"/>
      <c r="DI67" s="923"/>
      <c r="DJ67" s="923"/>
      <c r="DK67" s="923"/>
      <c r="DL67" s="923"/>
      <c r="DM67" s="923"/>
      <c r="DN67" s="923"/>
      <c r="DO67" s="923"/>
      <c r="DP67" s="923"/>
      <c r="DQ67" s="923"/>
      <c r="DR67" s="923"/>
      <c r="DS67" s="923"/>
      <c r="DT67" s="923"/>
      <c r="DU67" s="923"/>
      <c r="DV67" s="923"/>
      <c r="DW67" s="923"/>
      <c r="DX67" s="923"/>
      <c r="DY67" s="923"/>
      <c r="DZ67" s="923"/>
      <c r="EA67" s="923"/>
      <c r="EB67" s="923"/>
      <c r="EC67" s="923"/>
      <c r="ED67" s="923"/>
      <c r="EE67" s="923"/>
      <c r="EF67" s="923"/>
      <c r="EG67" s="923"/>
      <c r="EH67" s="923"/>
      <c r="EI67" s="923"/>
      <c r="EJ67" s="923"/>
      <c r="EK67" s="923"/>
      <c r="EL67" s="923"/>
      <c r="EM67" s="923"/>
      <c r="EN67" s="923"/>
      <c r="EO67" s="923"/>
      <c r="EP67" s="923"/>
      <c r="EQ67" s="923"/>
      <c r="ER67" s="923"/>
      <c r="ES67" s="923"/>
      <c r="ET67" s="923"/>
      <c r="EU67" s="923"/>
      <c r="EV67" s="923"/>
      <c r="EW67" s="923"/>
      <c r="EX67" s="923"/>
      <c r="EY67" s="923"/>
      <c r="EZ67" s="923"/>
      <c r="FA67" s="923"/>
      <c r="FB67" s="923"/>
      <c r="FC67" s="923"/>
      <c r="FD67" s="923"/>
      <c r="FE67" s="923"/>
      <c r="FF67" s="923"/>
      <c r="FG67" s="923"/>
      <c r="FH67" s="923"/>
      <c r="FI67" s="923"/>
      <c r="FJ67" s="923"/>
      <c r="FK67" s="923"/>
      <c r="FL67" s="923"/>
      <c r="FM67" s="923"/>
      <c r="FN67" s="923"/>
      <c r="FO67" s="923"/>
      <c r="FP67" s="923"/>
      <c r="FQ67" s="923"/>
      <c r="FR67" s="923"/>
      <c r="FS67" s="923"/>
      <c r="FT67" s="923"/>
      <c r="FU67" s="923"/>
      <c r="FV67" s="923"/>
      <c r="FW67" s="923"/>
      <c r="FX67" s="923"/>
      <c r="FY67" s="923"/>
      <c r="FZ67" s="923"/>
      <c r="GA67" s="923"/>
      <c r="GB67" s="923"/>
      <c r="GC67" s="923"/>
      <c r="GD67" s="923"/>
      <c r="GE67" s="923"/>
      <c r="GF67" s="923"/>
      <c r="GG67" s="1105"/>
      <c r="GH67" s="923"/>
      <c r="GI67" s="923"/>
      <c r="GJ67" s="923"/>
      <c r="GK67" s="923"/>
      <c r="GL67" s="923"/>
      <c r="GM67" s="923"/>
      <c r="GN67" s="923"/>
      <c r="GO67" s="923"/>
      <c r="GP67" s="923"/>
      <c r="GQ67" s="923"/>
      <c r="GR67" s="923"/>
      <c r="GS67" s="923"/>
      <c r="GT67" s="923"/>
      <c r="GU67" s="923"/>
      <c r="GV67" s="923"/>
      <c r="GW67" s="923"/>
      <c r="GX67" s="923"/>
      <c r="GY67" s="923"/>
      <c r="GZ67" s="923"/>
      <c r="HA67" s="923"/>
      <c r="HB67" s="923"/>
      <c r="HC67" s="923"/>
      <c r="HD67" s="923"/>
      <c r="HE67" s="923"/>
      <c r="HF67" s="923"/>
      <c r="HG67" s="923"/>
      <c r="HH67" s="923"/>
      <c r="HI67" s="923"/>
      <c r="HJ67" s="923"/>
      <c r="HK67" s="923"/>
      <c r="HL67" s="923"/>
      <c r="HM67" s="923"/>
      <c r="HN67" s="923"/>
      <c r="HO67" s="923"/>
      <c r="HP67" s="923"/>
      <c r="HQ67" s="923"/>
      <c r="HR67" s="923"/>
      <c r="HS67" s="923"/>
      <c r="HT67" s="923"/>
      <c r="HU67" s="923"/>
      <c r="HV67" s="923"/>
      <c r="HW67" s="923"/>
      <c r="HX67" s="923"/>
      <c r="HY67" s="923"/>
      <c r="HZ67" s="923"/>
      <c r="IA67" s="923"/>
      <c r="IB67" s="923"/>
      <c r="IC67" s="923"/>
      <c r="ID67" s="923"/>
      <c r="IE67" s="923"/>
      <c r="IF67" s="923"/>
      <c r="IG67" s="923"/>
      <c r="IH67" s="923"/>
      <c r="II67" s="923"/>
      <c r="IJ67" s="923"/>
      <c r="IK67" s="923"/>
    </row>
    <row r="68" spans="1:245" ht="15" customHeight="1">
      <c r="A68" s="72"/>
      <c r="B68" s="72"/>
      <c r="C68" s="72"/>
      <c r="D68" s="1128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X68" s="923"/>
      <c r="AY68" s="923"/>
      <c r="AZ68" s="923"/>
      <c r="BA68" s="923"/>
      <c r="BB68" s="1104"/>
      <c r="BC68" s="923"/>
      <c r="BD68" s="923"/>
      <c r="BE68" s="923"/>
      <c r="BF68" s="923"/>
      <c r="BG68" s="923"/>
      <c r="BH68" s="923"/>
      <c r="BI68" s="923"/>
      <c r="BJ68" s="923"/>
      <c r="BK68" s="923"/>
      <c r="BL68" s="923"/>
      <c r="BM68" s="923"/>
      <c r="BN68" s="923"/>
      <c r="BO68" s="923"/>
      <c r="BP68" s="923"/>
      <c r="BQ68" s="923"/>
      <c r="BR68" s="923"/>
      <c r="BS68" s="923"/>
      <c r="BT68" s="923"/>
      <c r="BU68" s="923"/>
      <c r="BV68" s="923"/>
      <c r="BW68" s="923"/>
      <c r="BX68" s="923"/>
      <c r="BY68" s="923"/>
      <c r="BZ68" s="923"/>
      <c r="CA68" s="923"/>
      <c r="CB68" s="923"/>
      <c r="CC68" s="923"/>
      <c r="CD68" s="923"/>
      <c r="CE68" s="923"/>
      <c r="CF68" s="923"/>
      <c r="CG68" s="923"/>
      <c r="CH68" s="923"/>
      <c r="CI68" s="923"/>
      <c r="CJ68" s="923"/>
      <c r="CK68" s="923"/>
      <c r="CL68" s="923"/>
      <c r="CM68" s="923"/>
      <c r="CN68" s="923"/>
      <c r="CO68" s="923"/>
      <c r="CP68" s="923"/>
      <c r="CQ68" s="923"/>
      <c r="CR68" s="923"/>
      <c r="CS68" s="923"/>
      <c r="CT68" s="923"/>
      <c r="CU68" s="923"/>
      <c r="CV68" s="923"/>
      <c r="CW68" s="923"/>
      <c r="CX68" s="923"/>
      <c r="CY68" s="923"/>
      <c r="CZ68" s="923"/>
      <c r="DA68" s="923"/>
      <c r="DB68" s="923"/>
      <c r="DC68" s="923"/>
      <c r="DD68" s="923"/>
      <c r="DE68" s="923"/>
      <c r="DF68" s="923"/>
      <c r="DG68" s="923"/>
      <c r="DH68" s="923"/>
      <c r="DI68" s="923"/>
      <c r="DJ68" s="923"/>
      <c r="DK68" s="923"/>
      <c r="DL68" s="923"/>
      <c r="DM68" s="923"/>
      <c r="DN68" s="923"/>
      <c r="DO68" s="923"/>
      <c r="DP68" s="923"/>
      <c r="DQ68" s="923"/>
      <c r="DR68" s="923"/>
      <c r="DS68" s="923"/>
      <c r="DT68" s="923"/>
      <c r="DU68" s="923"/>
      <c r="DV68" s="923"/>
      <c r="DW68" s="923"/>
      <c r="DX68" s="923"/>
      <c r="DY68" s="923"/>
      <c r="DZ68" s="923"/>
      <c r="EA68" s="923"/>
      <c r="EB68" s="923"/>
      <c r="EC68" s="923"/>
      <c r="ED68" s="923"/>
      <c r="EE68" s="923"/>
      <c r="EF68" s="923"/>
      <c r="EG68" s="923"/>
      <c r="EH68" s="923"/>
      <c r="EI68" s="923"/>
      <c r="EJ68" s="923"/>
      <c r="EK68" s="923"/>
      <c r="EL68" s="923"/>
      <c r="EM68" s="923"/>
      <c r="EN68" s="923"/>
      <c r="EO68" s="923"/>
      <c r="EP68" s="923"/>
      <c r="EQ68" s="923"/>
      <c r="ER68" s="923"/>
      <c r="ES68" s="923"/>
      <c r="ET68" s="923"/>
      <c r="EU68" s="923"/>
      <c r="EV68" s="923"/>
      <c r="EW68" s="923"/>
      <c r="EX68" s="923"/>
      <c r="EY68" s="923"/>
      <c r="EZ68" s="923"/>
      <c r="FA68" s="923"/>
      <c r="FB68" s="923"/>
      <c r="FC68" s="923"/>
      <c r="FD68" s="923"/>
      <c r="FE68" s="923"/>
      <c r="FF68" s="923"/>
      <c r="FG68" s="923"/>
      <c r="FH68" s="923"/>
      <c r="FI68" s="923"/>
      <c r="FJ68" s="923"/>
      <c r="FK68" s="923"/>
      <c r="FL68" s="923"/>
      <c r="FM68" s="923"/>
      <c r="FN68" s="923"/>
      <c r="FO68" s="923"/>
      <c r="FP68" s="923"/>
      <c r="FQ68" s="923"/>
      <c r="FR68" s="923"/>
      <c r="FS68" s="923"/>
      <c r="FT68" s="923"/>
      <c r="FU68" s="923"/>
      <c r="FV68" s="923"/>
      <c r="FW68" s="923"/>
      <c r="FX68" s="923"/>
      <c r="FY68" s="923"/>
      <c r="FZ68" s="923"/>
      <c r="GA68" s="923"/>
      <c r="GB68" s="923"/>
      <c r="GC68" s="923"/>
      <c r="GD68" s="923"/>
      <c r="GE68" s="923"/>
      <c r="GF68" s="923"/>
      <c r="GG68" s="1105"/>
      <c r="GH68" s="923"/>
      <c r="GI68" s="923"/>
      <c r="GJ68" s="923"/>
      <c r="GK68" s="923"/>
      <c r="GL68" s="923"/>
      <c r="GM68" s="923"/>
      <c r="GN68" s="923"/>
      <c r="GO68" s="923"/>
      <c r="GP68" s="923"/>
      <c r="GQ68" s="923"/>
      <c r="GR68" s="923"/>
      <c r="GS68" s="923"/>
      <c r="GT68" s="923"/>
      <c r="GU68" s="923"/>
      <c r="GV68" s="923"/>
      <c r="GW68" s="923"/>
      <c r="GX68" s="923"/>
      <c r="GY68" s="923"/>
      <c r="GZ68" s="923"/>
      <c r="HA68" s="923"/>
      <c r="HB68" s="923"/>
      <c r="HC68" s="923"/>
      <c r="HD68" s="923"/>
      <c r="HE68" s="923"/>
      <c r="HF68" s="923"/>
      <c r="HG68" s="923"/>
      <c r="HH68" s="923"/>
      <c r="HI68" s="923"/>
      <c r="HJ68" s="923"/>
      <c r="HK68" s="923"/>
      <c r="HL68" s="923"/>
      <c r="HM68" s="923"/>
      <c r="HN68" s="923"/>
      <c r="HO68" s="923"/>
      <c r="HP68" s="923"/>
      <c r="HQ68" s="923"/>
      <c r="HR68" s="923"/>
      <c r="HS68" s="923"/>
      <c r="HT68" s="923"/>
      <c r="HU68" s="923"/>
      <c r="HV68" s="923"/>
      <c r="HW68" s="923"/>
      <c r="HX68" s="923"/>
      <c r="HY68" s="923"/>
      <c r="HZ68" s="923"/>
      <c r="IA68" s="923"/>
      <c r="IB68" s="923"/>
      <c r="IC68" s="923"/>
      <c r="ID68" s="923"/>
      <c r="IE68" s="923"/>
      <c r="IF68" s="923"/>
      <c r="IG68" s="923"/>
      <c r="IH68" s="923"/>
      <c r="II68" s="923"/>
      <c r="IJ68" s="923"/>
      <c r="IK68" s="923"/>
    </row>
    <row r="69" spans="1:245" ht="15" customHeight="1">
      <c r="A69" s="72"/>
      <c r="B69" s="72"/>
      <c r="C69" s="72"/>
      <c r="D69" s="1128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X69" s="923"/>
      <c r="AY69" s="923"/>
      <c r="AZ69" s="923"/>
      <c r="BA69" s="923"/>
      <c r="BB69" s="1104"/>
      <c r="BC69" s="923"/>
      <c r="BD69" s="923"/>
      <c r="BE69" s="923"/>
      <c r="BF69" s="923"/>
      <c r="BG69" s="923"/>
      <c r="BH69" s="923"/>
      <c r="BI69" s="923"/>
      <c r="BJ69" s="923"/>
      <c r="BK69" s="923"/>
      <c r="BL69" s="923"/>
      <c r="BM69" s="923"/>
      <c r="BN69" s="923"/>
      <c r="BO69" s="923"/>
      <c r="BP69" s="923"/>
      <c r="BQ69" s="923"/>
      <c r="BR69" s="923"/>
      <c r="BS69" s="923"/>
      <c r="BT69" s="923"/>
      <c r="BU69" s="923"/>
      <c r="BV69" s="923"/>
      <c r="BW69" s="923"/>
      <c r="BX69" s="923"/>
      <c r="BY69" s="923"/>
      <c r="BZ69" s="923"/>
      <c r="CA69" s="923"/>
      <c r="CB69" s="923"/>
      <c r="CC69" s="923"/>
      <c r="CD69" s="923"/>
      <c r="CE69" s="923"/>
      <c r="CF69" s="923"/>
      <c r="CG69" s="923"/>
      <c r="CH69" s="923"/>
      <c r="CI69" s="923"/>
      <c r="CJ69" s="923"/>
      <c r="CK69" s="923"/>
      <c r="CL69" s="923"/>
      <c r="CM69" s="923"/>
      <c r="CN69" s="923"/>
      <c r="CO69" s="923"/>
      <c r="CP69" s="923"/>
      <c r="CQ69" s="923"/>
      <c r="CR69" s="923"/>
      <c r="CS69" s="923"/>
      <c r="CT69" s="923"/>
      <c r="CU69" s="923"/>
      <c r="CV69" s="923"/>
      <c r="CW69" s="923"/>
      <c r="CX69" s="923"/>
      <c r="CY69" s="923"/>
      <c r="CZ69" s="923"/>
      <c r="DA69" s="923"/>
      <c r="DB69" s="923"/>
      <c r="DC69" s="923"/>
      <c r="DD69" s="923"/>
      <c r="DE69" s="923"/>
      <c r="DF69" s="923"/>
      <c r="DG69" s="923"/>
      <c r="DH69" s="923"/>
      <c r="DI69" s="923"/>
      <c r="DJ69" s="923"/>
      <c r="DK69" s="923"/>
      <c r="DL69" s="923"/>
      <c r="DM69" s="923"/>
      <c r="DN69" s="923"/>
      <c r="DO69" s="923"/>
      <c r="DP69" s="923"/>
      <c r="DQ69" s="923"/>
      <c r="DR69" s="923"/>
      <c r="DS69" s="923"/>
      <c r="DT69" s="923"/>
      <c r="DU69" s="923"/>
      <c r="DV69" s="923"/>
      <c r="DW69" s="923"/>
      <c r="DX69" s="923"/>
      <c r="DY69" s="923"/>
      <c r="DZ69" s="923"/>
      <c r="EA69" s="923"/>
      <c r="EB69" s="923"/>
      <c r="EC69" s="923"/>
      <c r="ED69" s="923"/>
      <c r="EE69" s="923"/>
      <c r="EF69" s="923"/>
      <c r="EG69" s="923"/>
      <c r="EH69" s="923"/>
      <c r="EI69" s="923"/>
      <c r="EJ69" s="923"/>
      <c r="EK69" s="923"/>
      <c r="EL69" s="923"/>
      <c r="EM69" s="923"/>
      <c r="EN69" s="923"/>
      <c r="EO69" s="923"/>
      <c r="EP69" s="923"/>
      <c r="EQ69" s="923"/>
      <c r="ER69" s="923"/>
      <c r="ES69" s="923"/>
      <c r="ET69" s="923"/>
      <c r="EU69" s="923"/>
      <c r="EV69" s="923"/>
      <c r="EW69" s="923"/>
      <c r="EX69" s="923"/>
      <c r="EY69" s="923"/>
      <c r="EZ69" s="923"/>
      <c r="FA69" s="923"/>
      <c r="FB69" s="923"/>
      <c r="FC69" s="923"/>
      <c r="FD69" s="923"/>
      <c r="FE69" s="923"/>
      <c r="FF69" s="923"/>
      <c r="FG69" s="923"/>
      <c r="FH69" s="923"/>
      <c r="FI69" s="923"/>
      <c r="FJ69" s="923"/>
      <c r="FK69" s="923"/>
      <c r="FL69" s="923"/>
      <c r="FM69" s="923"/>
      <c r="FN69" s="923"/>
      <c r="FO69" s="923"/>
      <c r="FP69" s="923"/>
      <c r="FQ69" s="923"/>
      <c r="FR69" s="923"/>
      <c r="FS69" s="923"/>
      <c r="FT69" s="923"/>
      <c r="FU69" s="923"/>
      <c r="FV69" s="923"/>
      <c r="FW69" s="923"/>
      <c r="FX69" s="923"/>
      <c r="FY69" s="923"/>
      <c r="FZ69" s="923"/>
      <c r="GA69" s="923"/>
      <c r="GB69" s="923"/>
      <c r="GC69" s="923"/>
      <c r="GD69" s="923"/>
      <c r="GE69" s="923"/>
      <c r="GF69" s="923"/>
      <c r="GG69" s="1105"/>
      <c r="GH69" s="923"/>
      <c r="GI69" s="923"/>
      <c r="GJ69" s="923"/>
      <c r="GK69" s="923"/>
      <c r="GL69" s="923"/>
      <c r="GM69" s="923"/>
      <c r="GN69" s="923"/>
      <c r="GO69" s="923"/>
      <c r="GP69" s="923"/>
      <c r="GQ69" s="923"/>
      <c r="GR69" s="923"/>
      <c r="GS69" s="923"/>
      <c r="GT69" s="923"/>
      <c r="GU69" s="923"/>
      <c r="GV69" s="923"/>
      <c r="GW69" s="923"/>
      <c r="GX69" s="923"/>
      <c r="GY69" s="923"/>
      <c r="GZ69" s="923"/>
      <c r="HA69" s="923"/>
      <c r="HB69" s="923"/>
      <c r="HC69" s="923"/>
      <c r="HD69" s="923"/>
      <c r="HE69" s="923"/>
      <c r="HF69" s="923"/>
      <c r="HG69" s="923"/>
      <c r="HH69" s="923"/>
      <c r="HI69" s="923"/>
      <c r="HJ69" s="923"/>
      <c r="HK69" s="923"/>
      <c r="HL69" s="923"/>
      <c r="HM69" s="923"/>
      <c r="HN69" s="923"/>
      <c r="HO69" s="923"/>
      <c r="HP69" s="923"/>
      <c r="HQ69" s="923"/>
      <c r="HR69" s="923"/>
      <c r="HS69" s="923"/>
      <c r="HT69" s="923"/>
      <c r="HU69" s="923"/>
      <c r="HV69" s="923"/>
      <c r="HW69" s="923"/>
      <c r="HX69" s="923"/>
      <c r="HY69" s="923"/>
      <c r="HZ69" s="923"/>
      <c r="IA69" s="923"/>
      <c r="IB69" s="923"/>
      <c r="IC69" s="923"/>
      <c r="ID69" s="923"/>
      <c r="IE69" s="923"/>
      <c r="IF69" s="923"/>
      <c r="IG69" s="923"/>
      <c r="IH69" s="923"/>
      <c r="II69" s="923"/>
      <c r="IJ69" s="923"/>
      <c r="IK69" s="923"/>
    </row>
    <row r="70" spans="1:245" ht="15" customHeight="1">
      <c r="A70" s="72"/>
      <c r="B70" s="72"/>
      <c r="C70" s="72"/>
      <c r="D70" s="1128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X70" s="923"/>
      <c r="AY70" s="923"/>
      <c r="AZ70" s="923"/>
      <c r="BA70" s="923"/>
      <c r="BB70" s="1104"/>
      <c r="BC70" s="923"/>
      <c r="BD70" s="923"/>
      <c r="BE70" s="923"/>
      <c r="BF70" s="923"/>
      <c r="BG70" s="923"/>
      <c r="BH70" s="923"/>
      <c r="BI70" s="923"/>
      <c r="BJ70" s="923"/>
      <c r="BK70" s="923"/>
      <c r="BL70" s="923"/>
      <c r="BM70" s="923"/>
      <c r="BN70" s="923"/>
      <c r="BO70" s="923"/>
      <c r="BP70" s="923"/>
      <c r="BQ70" s="923"/>
      <c r="BR70" s="923"/>
      <c r="BS70" s="923"/>
      <c r="BT70" s="923"/>
      <c r="BU70" s="923"/>
      <c r="BV70" s="923"/>
      <c r="BW70" s="923"/>
      <c r="BX70" s="923"/>
      <c r="BY70" s="923"/>
      <c r="BZ70" s="923"/>
      <c r="CA70" s="923"/>
      <c r="CB70" s="923"/>
      <c r="CC70" s="923"/>
      <c r="CD70" s="923"/>
      <c r="CE70" s="923"/>
      <c r="CF70" s="923"/>
      <c r="CG70" s="923"/>
      <c r="CH70" s="923"/>
      <c r="CI70" s="923"/>
      <c r="CJ70" s="923"/>
      <c r="CK70" s="923"/>
      <c r="CL70" s="923"/>
      <c r="CM70" s="923"/>
      <c r="CN70" s="923"/>
      <c r="CO70" s="923"/>
      <c r="CP70" s="923"/>
      <c r="CQ70" s="923"/>
      <c r="CR70" s="923"/>
      <c r="CS70" s="923"/>
      <c r="CT70" s="923"/>
      <c r="CU70" s="923"/>
      <c r="CV70" s="923"/>
      <c r="CW70" s="923"/>
      <c r="CX70" s="923"/>
      <c r="CY70" s="923"/>
      <c r="CZ70" s="923"/>
      <c r="DA70" s="923"/>
      <c r="DB70" s="923"/>
      <c r="DC70" s="923"/>
      <c r="DD70" s="923"/>
      <c r="DE70" s="923"/>
      <c r="DF70" s="923"/>
      <c r="DG70" s="923"/>
      <c r="DH70" s="923"/>
      <c r="DI70" s="923"/>
      <c r="DJ70" s="923"/>
      <c r="DK70" s="923"/>
      <c r="DL70" s="923"/>
      <c r="DM70" s="923"/>
      <c r="DN70" s="923"/>
      <c r="DO70" s="923"/>
      <c r="DP70" s="923"/>
      <c r="DQ70" s="923"/>
      <c r="DR70" s="923"/>
      <c r="DS70" s="923"/>
      <c r="DT70" s="923"/>
      <c r="DU70" s="923"/>
      <c r="DV70" s="923"/>
      <c r="DW70" s="923"/>
      <c r="DX70" s="923"/>
      <c r="DY70" s="923"/>
      <c r="DZ70" s="923"/>
      <c r="EA70" s="923"/>
      <c r="EB70" s="923"/>
      <c r="EC70" s="923"/>
      <c r="ED70" s="923"/>
      <c r="EE70" s="923"/>
      <c r="EF70" s="923"/>
      <c r="EG70" s="923"/>
      <c r="EH70" s="923"/>
      <c r="EI70" s="923"/>
      <c r="EJ70" s="923"/>
      <c r="EK70" s="923"/>
      <c r="EL70" s="923"/>
      <c r="EM70" s="923"/>
      <c r="EN70" s="923"/>
      <c r="EO70" s="923"/>
      <c r="EP70" s="923"/>
      <c r="EQ70" s="923"/>
      <c r="ER70" s="923"/>
      <c r="ES70" s="923"/>
      <c r="ET70" s="923"/>
      <c r="EU70" s="923"/>
      <c r="EV70" s="923"/>
      <c r="EW70" s="923"/>
      <c r="EX70" s="923"/>
      <c r="EY70" s="923"/>
      <c r="EZ70" s="923"/>
      <c r="FA70" s="923"/>
      <c r="FB70" s="923"/>
      <c r="FC70" s="923"/>
      <c r="FD70" s="923"/>
      <c r="FE70" s="923"/>
      <c r="FF70" s="923"/>
      <c r="FG70" s="923"/>
      <c r="FH70" s="923"/>
      <c r="FI70" s="923"/>
      <c r="FJ70" s="923"/>
      <c r="FK70" s="923"/>
      <c r="FL70" s="923"/>
      <c r="FM70" s="923"/>
      <c r="FN70" s="923"/>
      <c r="FO70" s="923"/>
      <c r="FP70" s="923"/>
      <c r="FQ70" s="923"/>
      <c r="FR70" s="923"/>
      <c r="FS70" s="923"/>
      <c r="FT70" s="923"/>
      <c r="FU70" s="923"/>
      <c r="FV70" s="923"/>
      <c r="FW70" s="923"/>
      <c r="FX70" s="923"/>
      <c r="FY70" s="923"/>
      <c r="FZ70" s="923"/>
      <c r="GA70" s="923"/>
      <c r="GB70" s="923"/>
      <c r="GC70" s="923"/>
      <c r="GD70" s="923"/>
      <c r="GE70" s="923"/>
      <c r="GF70" s="923"/>
      <c r="GG70" s="1105"/>
      <c r="GH70" s="923"/>
      <c r="GI70" s="923"/>
      <c r="GJ70" s="923"/>
      <c r="GK70" s="923"/>
      <c r="GL70" s="923"/>
      <c r="GM70" s="923"/>
      <c r="GN70" s="923"/>
      <c r="GO70" s="923"/>
      <c r="GP70" s="923"/>
      <c r="GQ70" s="923"/>
      <c r="GR70" s="923"/>
      <c r="GS70" s="923"/>
      <c r="GT70" s="923"/>
      <c r="GU70" s="923"/>
      <c r="GV70" s="923"/>
      <c r="GW70" s="923"/>
      <c r="GX70" s="923"/>
      <c r="GY70" s="923"/>
      <c r="GZ70" s="923"/>
      <c r="HA70" s="923"/>
      <c r="HB70" s="923"/>
      <c r="HC70" s="923"/>
      <c r="HD70" s="923"/>
      <c r="HE70" s="923"/>
      <c r="HF70" s="923"/>
      <c r="HG70" s="923"/>
      <c r="HH70" s="923"/>
      <c r="HI70" s="923"/>
      <c r="HJ70" s="923"/>
      <c r="HK70" s="923"/>
      <c r="HL70" s="923"/>
      <c r="HM70" s="923"/>
      <c r="HN70" s="923"/>
      <c r="HO70" s="923"/>
      <c r="HP70" s="923"/>
      <c r="HQ70" s="923"/>
      <c r="HR70" s="923"/>
      <c r="HS70" s="923"/>
      <c r="HT70" s="923"/>
      <c r="HU70" s="923"/>
      <c r="HV70" s="923"/>
      <c r="HW70" s="923"/>
      <c r="HX70" s="923"/>
      <c r="HY70" s="923"/>
      <c r="HZ70" s="923"/>
      <c r="IA70" s="923"/>
      <c r="IB70" s="923"/>
      <c r="IC70" s="923"/>
      <c r="ID70" s="923"/>
      <c r="IE70" s="923"/>
      <c r="IF70" s="923"/>
      <c r="IG70" s="923"/>
      <c r="IH70" s="923"/>
      <c r="II70" s="923"/>
      <c r="IJ70" s="923"/>
      <c r="IK70" s="923"/>
    </row>
    <row r="71" spans="1:245" ht="15" customHeight="1">
      <c r="A71" s="72"/>
      <c r="B71" s="72"/>
      <c r="C71" s="72"/>
      <c r="D71" s="1128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X71" s="923"/>
      <c r="AY71" s="923"/>
      <c r="AZ71" s="923"/>
      <c r="BA71" s="923"/>
      <c r="BB71" s="1104"/>
      <c r="BC71" s="923"/>
      <c r="BD71" s="923"/>
      <c r="BE71" s="923"/>
      <c r="BF71" s="923"/>
      <c r="BG71" s="923"/>
      <c r="BH71" s="923"/>
      <c r="BI71" s="923"/>
      <c r="BJ71" s="923"/>
      <c r="BK71" s="923"/>
      <c r="BL71" s="923"/>
      <c r="BM71" s="923"/>
      <c r="BN71" s="923"/>
      <c r="BO71" s="923"/>
      <c r="BP71" s="923"/>
      <c r="BQ71" s="923"/>
      <c r="BR71" s="923"/>
      <c r="BS71" s="923"/>
      <c r="BT71" s="923"/>
      <c r="BU71" s="923"/>
      <c r="BV71" s="923"/>
      <c r="BW71" s="923"/>
      <c r="BX71" s="923"/>
      <c r="BY71" s="923"/>
      <c r="BZ71" s="923"/>
      <c r="CA71" s="923"/>
      <c r="CB71" s="923"/>
      <c r="CC71" s="923"/>
      <c r="CD71" s="923"/>
      <c r="CE71" s="923"/>
      <c r="CF71" s="923"/>
      <c r="CG71" s="923"/>
      <c r="CH71" s="923"/>
      <c r="CI71" s="923"/>
      <c r="CJ71" s="923"/>
      <c r="CK71" s="923"/>
      <c r="CL71" s="923"/>
      <c r="CM71" s="923"/>
      <c r="CN71" s="923"/>
      <c r="CO71" s="923"/>
      <c r="CP71" s="923"/>
      <c r="CQ71" s="923"/>
      <c r="CR71" s="923"/>
      <c r="CS71" s="923"/>
      <c r="CT71" s="923"/>
      <c r="CU71" s="923"/>
      <c r="CV71" s="923"/>
      <c r="CW71" s="923"/>
      <c r="CX71" s="923"/>
      <c r="CY71" s="923"/>
      <c r="CZ71" s="923"/>
      <c r="DA71" s="923"/>
      <c r="DB71" s="923"/>
      <c r="DC71" s="923"/>
      <c r="DD71" s="923"/>
      <c r="DE71" s="923"/>
      <c r="DF71" s="923"/>
      <c r="DG71" s="923"/>
      <c r="DH71" s="923"/>
      <c r="DI71" s="923"/>
      <c r="DJ71" s="923"/>
      <c r="DK71" s="923"/>
      <c r="DL71" s="923"/>
      <c r="DM71" s="923"/>
      <c r="DN71" s="923"/>
      <c r="DO71" s="923"/>
      <c r="DP71" s="923"/>
      <c r="DQ71" s="923"/>
      <c r="DR71" s="923"/>
      <c r="DS71" s="923"/>
      <c r="DT71" s="923"/>
      <c r="DU71" s="923"/>
      <c r="DV71" s="923"/>
      <c r="DW71" s="923"/>
      <c r="DX71" s="923"/>
      <c r="DY71" s="923"/>
      <c r="DZ71" s="923"/>
      <c r="EA71" s="923"/>
      <c r="EB71" s="923"/>
      <c r="EC71" s="923"/>
      <c r="ED71" s="923"/>
      <c r="EE71" s="923"/>
      <c r="EF71" s="923"/>
      <c r="EG71" s="923"/>
      <c r="EH71" s="923"/>
      <c r="EI71" s="923"/>
      <c r="EJ71" s="923"/>
      <c r="EK71" s="923"/>
      <c r="EL71" s="923"/>
      <c r="EM71" s="923"/>
      <c r="EN71" s="923"/>
      <c r="EO71" s="923"/>
      <c r="EP71" s="923"/>
      <c r="EQ71" s="923"/>
      <c r="ER71" s="923"/>
      <c r="ES71" s="923"/>
      <c r="ET71" s="923"/>
      <c r="EU71" s="923"/>
      <c r="EV71" s="923"/>
      <c r="EW71" s="923"/>
      <c r="EX71" s="923"/>
      <c r="EY71" s="923"/>
      <c r="EZ71" s="923"/>
      <c r="FA71" s="923"/>
      <c r="FB71" s="923"/>
      <c r="FC71" s="923"/>
      <c r="FD71" s="923"/>
      <c r="FE71" s="923"/>
      <c r="FF71" s="923"/>
      <c r="FG71" s="923"/>
      <c r="FH71" s="923"/>
      <c r="FI71" s="923"/>
      <c r="FJ71" s="923"/>
      <c r="FK71" s="923"/>
      <c r="FL71" s="923"/>
      <c r="FM71" s="923"/>
      <c r="FN71" s="923"/>
      <c r="FO71" s="923"/>
      <c r="FP71" s="923"/>
      <c r="FQ71" s="923"/>
      <c r="FR71" s="923"/>
      <c r="FS71" s="923"/>
      <c r="FT71" s="923"/>
      <c r="FU71" s="923"/>
      <c r="FV71" s="923"/>
      <c r="FW71" s="923"/>
      <c r="FX71" s="923"/>
      <c r="FY71" s="923"/>
      <c r="FZ71" s="923"/>
      <c r="GA71" s="923"/>
      <c r="GB71" s="923"/>
      <c r="GC71" s="923"/>
      <c r="GD71" s="923"/>
      <c r="GE71" s="923"/>
      <c r="GF71" s="923"/>
      <c r="GG71" s="1105"/>
      <c r="GH71" s="923"/>
      <c r="GI71" s="923"/>
      <c r="GJ71" s="923"/>
      <c r="GK71" s="923"/>
      <c r="GL71" s="923"/>
      <c r="GM71" s="923"/>
      <c r="GN71" s="923"/>
      <c r="GO71" s="923"/>
      <c r="GP71" s="923"/>
      <c r="GQ71" s="923"/>
      <c r="GR71" s="923"/>
      <c r="GS71" s="923"/>
      <c r="GT71" s="923"/>
      <c r="GU71" s="923"/>
      <c r="GV71" s="923"/>
      <c r="GW71" s="923"/>
      <c r="GX71" s="923"/>
      <c r="GY71" s="923"/>
      <c r="GZ71" s="923"/>
      <c r="HA71" s="923"/>
      <c r="HB71" s="923"/>
      <c r="HC71" s="923"/>
      <c r="HD71" s="923"/>
      <c r="HE71" s="923"/>
      <c r="HF71" s="923"/>
      <c r="HG71" s="923"/>
      <c r="HH71" s="923"/>
      <c r="HI71" s="923"/>
      <c r="HJ71" s="923"/>
      <c r="HK71" s="923"/>
      <c r="HL71" s="923"/>
      <c r="HM71" s="923"/>
      <c r="HN71" s="923"/>
      <c r="HO71" s="923"/>
      <c r="HP71" s="923"/>
      <c r="HQ71" s="923"/>
      <c r="HR71" s="923"/>
      <c r="HS71" s="923"/>
      <c r="HT71" s="923"/>
      <c r="HU71" s="923"/>
      <c r="HV71" s="923"/>
      <c r="HW71" s="923"/>
      <c r="HX71" s="923"/>
      <c r="HY71" s="923"/>
      <c r="HZ71" s="923"/>
      <c r="IA71" s="923"/>
      <c r="IB71" s="923"/>
      <c r="IC71" s="923"/>
      <c r="ID71" s="923"/>
      <c r="IE71" s="923"/>
      <c r="IF71" s="923"/>
      <c r="IG71" s="923"/>
      <c r="IH71" s="923"/>
      <c r="II71" s="923"/>
      <c r="IJ71" s="923"/>
      <c r="IK71" s="923"/>
    </row>
    <row r="72" spans="1:245" ht="15" customHeight="1">
      <c r="A72" s="72"/>
      <c r="B72" s="72"/>
      <c r="C72" s="72"/>
      <c r="D72" s="1128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X72" s="923"/>
      <c r="AY72" s="923"/>
      <c r="AZ72" s="923"/>
      <c r="BA72" s="923"/>
      <c r="BB72" s="1104"/>
      <c r="BC72" s="923"/>
      <c r="BD72" s="923"/>
      <c r="BE72" s="923"/>
      <c r="BF72" s="923"/>
      <c r="BG72" s="923"/>
      <c r="BH72" s="923"/>
      <c r="BI72" s="923"/>
      <c r="BJ72" s="923"/>
      <c r="BK72" s="923"/>
      <c r="BL72" s="923"/>
      <c r="BM72" s="923"/>
      <c r="BN72" s="923"/>
      <c r="BO72" s="923"/>
      <c r="BP72" s="923"/>
      <c r="BQ72" s="923"/>
      <c r="BR72" s="923"/>
      <c r="BS72" s="923"/>
      <c r="BT72" s="923"/>
      <c r="BU72" s="923"/>
      <c r="BV72" s="923"/>
      <c r="BW72" s="923"/>
      <c r="BX72" s="923"/>
      <c r="BY72" s="923"/>
      <c r="BZ72" s="923"/>
      <c r="CA72" s="923"/>
      <c r="CB72" s="923"/>
      <c r="CC72" s="923"/>
      <c r="CD72" s="923"/>
      <c r="CE72" s="923"/>
      <c r="CF72" s="923"/>
      <c r="CG72" s="923"/>
      <c r="CH72" s="923"/>
      <c r="CI72" s="923"/>
      <c r="CJ72" s="923"/>
      <c r="CK72" s="923"/>
      <c r="CL72" s="923"/>
      <c r="CM72" s="923"/>
      <c r="CN72" s="923"/>
      <c r="CO72" s="923"/>
      <c r="CP72" s="923"/>
      <c r="CQ72" s="923"/>
      <c r="CR72" s="923"/>
      <c r="CS72" s="923"/>
      <c r="CT72" s="923"/>
      <c r="CU72" s="923"/>
      <c r="CV72" s="923"/>
      <c r="CW72" s="923"/>
      <c r="CX72" s="923"/>
      <c r="CY72" s="923"/>
      <c r="CZ72" s="923"/>
      <c r="DA72" s="923"/>
      <c r="DB72" s="923"/>
      <c r="DC72" s="923"/>
      <c r="DD72" s="923"/>
      <c r="DE72" s="923"/>
      <c r="DF72" s="923"/>
      <c r="DG72" s="923"/>
      <c r="DH72" s="923"/>
      <c r="DI72" s="923"/>
      <c r="DJ72" s="923"/>
      <c r="DK72" s="923"/>
      <c r="DL72" s="923"/>
      <c r="DM72" s="923"/>
      <c r="DN72" s="923"/>
      <c r="DO72" s="923"/>
      <c r="DP72" s="923"/>
      <c r="DQ72" s="923"/>
      <c r="DR72" s="923"/>
      <c r="DS72" s="923"/>
      <c r="DT72" s="923"/>
      <c r="DU72" s="923"/>
      <c r="DV72" s="923"/>
      <c r="DW72" s="923"/>
      <c r="DX72" s="923"/>
      <c r="DY72" s="923"/>
      <c r="DZ72" s="923"/>
      <c r="EA72" s="923"/>
      <c r="EB72" s="923"/>
      <c r="EC72" s="923"/>
      <c r="ED72" s="923"/>
      <c r="EE72" s="923"/>
      <c r="EF72" s="923"/>
      <c r="EG72" s="923"/>
      <c r="EH72" s="923"/>
      <c r="EI72" s="923"/>
      <c r="EJ72" s="923"/>
      <c r="EK72" s="923"/>
      <c r="EL72" s="923"/>
      <c r="EM72" s="923"/>
      <c r="EN72" s="923"/>
      <c r="EO72" s="923"/>
      <c r="EP72" s="923"/>
      <c r="EQ72" s="923"/>
      <c r="ER72" s="923"/>
      <c r="ES72" s="923"/>
      <c r="ET72" s="923"/>
      <c r="EU72" s="923"/>
      <c r="EV72" s="923"/>
      <c r="EW72" s="923"/>
      <c r="EX72" s="923"/>
      <c r="EY72" s="923"/>
      <c r="EZ72" s="923"/>
      <c r="FA72" s="923"/>
      <c r="FB72" s="923"/>
      <c r="FC72" s="923"/>
      <c r="FD72" s="923"/>
      <c r="FE72" s="923"/>
      <c r="FF72" s="923"/>
      <c r="FG72" s="923"/>
      <c r="FH72" s="923"/>
      <c r="FI72" s="923"/>
      <c r="FJ72" s="923"/>
      <c r="FK72" s="923"/>
      <c r="FL72" s="923"/>
      <c r="FM72" s="923"/>
      <c r="FN72" s="923"/>
      <c r="FO72" s="923"/>
      <c r="FP72" s="923"/>
      <c r="FQ72" s="923"/>
      <c r="FR72" s="923"/>
      <c r="FS72" s="923"/>
      <c r="FT72" s="923"/>
      <c r="FU72" s="923"/>
      <c r="FV72" s="923"/>
      <c r="FW72" s="923"/>
      <c r="FX72" s="923"/>
      <c r="FY72" s="923"/>
      <c r="FZ72" s="923"/>
      <c r="GA72" s="923"/>
      <c r="GB72" s="923"/>
      <c r="GC72" s="923"/>
      <c r="GD72" s="923"/>
      <c r="GE72" s="923"/>
      <c r="GF72" s="923"/>
      <c r="GG72" s="1105"/>
      <c r="GH72" s="923"/>
      <c r="GI72" s="923"/>
      <c r="GJ72" s="923"/>
      <c r="GK72" s="923"/>
      <c r="GL72" s="923"/>
      <c r="GM72" s="923"/>
      <c r="GN72" s="923"/>
      <c r="GO72" s="923"/>
      <c r="GP72" s="923"/>
      <c r="GQ72" s="923"/>
      <c r="GR72" s="923"/>
      <c r="GS72" s="923"/>
      <c r="GT72" s="923"/>
      <c r="GU72" s="923"/>
      <c r="GV72" s="923"/>
      <c r="GW72" s="923"/>
      <c r="GX72" s="923"/>
      <c r="GY72" s="923"/>
      <c r="GZ72" s="923"/>
      <c r="HA72" s="923"/>
      <c r="HB72" s="923"/>
      <c r="HC72" s="923"/>
      <c r="HD72" s="923"/>
      <c r="HE72" s="923"/>
      <c r="HF72" s="923"/>
      <c r="HG72" s="923"/>
      <c r="HH72" s="923"/>
      <c r="HI72" s="923"/>
      <c r="HJ72" s="923"/>
      <c r="HK72" s="923"/>
      <c r="HL72" s="923"/>
      <c r="HM72" s="923"/>
      <c r="HN72" s="923"/>
      <c r="HO72" s="923"/>
      <c r="HP72" s="923"/>
      <c r="HQ72" s="923"/>
      <c r="HR72" s="923"/>
      <c r="HS72" s="923"/>
      <c r="HT72" s="923"/>
      <c r="HU72" s="923"/>
      <c r="HV72" s="923"/>
      <c r="HW72" s="923"/>
      <c r="HX72" s="923"/>
      <c r="HY72" s="923"/>
      <c r="HZ72" s="923"/>
      <c r="IA72" s="923"/>
      <c r="IB72" s="923"/>
      <c r="IC72" s="923"/>
      <c r="ID72" s="923"/>
      <c r="IE72" s="923"/>
      <c r="IF72" s="923"/>
      <c r="IG72" s="923"/>
      <c r="IH72" s="923"/>
      <c r="II72" s="923"/>
      <c r="IJ72" s="923"/>
      <c r="IK72" s="923"/>
    </row>
    <row r="73" spans="1:245" ht="15" customHeight="1">
      <c r="A73" s="72"/>
      <c r="B73" s="72"/>
      <c r="C73" s="72"/>
      <c r="D73" s="1128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X73" s="923"/>
      <c r="AY73" s="923"/>
      <c r="AZ73" s="923"/>
      <c r="BA73" s="923"/>
      <c r="BB73" s="1104"/>
      <c r="BC73" s="923"/>
      <c r="BD73" s="923"/>
      <c r="BE73" s="923"/>
      <c r="BF73" s="923"/>
      <c r="BG73" s="923"/>
      <c r="BH73" s="923"/>
      <c r="BI73" s="923"/>
      <c r="BJ73" s="923"/>
      <c r="BK73" s="923"/>
      <c r="BL73" s="923"/>
      <c r="BM73" s="923"/>
      <c r="BN73" s="923"/>
      <c r="BO73" s="923"/>
      <c r="BP73" s="923"/>
      <c r="BQ73" s="923"/>
      <c r="BR73" s="923"/>
      <c r="BS73" s="923"/>
      <c r="BT73" s="923"/>
      <c r="BU73" s="923"/>
      <c r="BV73" s="923"/>
      <c r="BW73" s="923"/>
      <c r="BX73" s="923"/>
      <c r="BY73" s="923"/>
      <c r="BZ73" s="923"/>
      <c r="CA73" s="923"/>
      <c r="CB73" s="923"/>
      <c r="CC73" s="923"/>
      <c r="CD73" s="923"/>
      <c r="CE73" s="923"/>
      <c r="CF73" s="923"/>
      <c r="CG73" s="923"/>
      <c r="CH73" s="923"/>
      <c r="CI73" s="923"/>
      <c r="CJ73" s="923"/>
      <c r="CK73" s="923"/>
      <c r="CL73" s="923"/>
      <c r="CM73" s="923"/>
      <c r="CN73" s="923"/>
      <c r="CO73" s="923"/>
      <c r="CP73" s="923"/>
      <c r="CQ73" s="923"/>
      <c r="CR73" s="923"/>
      <c r="CS73" s="923"/>
      <c r="CT73" s="923"/>
      <c r="CU73" s="923"/>
      <c r="CV73" s="923"/>
      <c r="CW73" s="923"/>
      <c r="CX73" s="923"/>
      <c r="CY73" s="923"/>
      <c r="CZ73" s="923"/>
      <c r="DA73" s="923"/>
      <c r="DB73" s="923"/>
      <c r="DC73" s="923"/>
      <c r="DD73" s="923"/>
      <c r="DE73" s="923"/>
      <c r="DF73" s="923"/>
      <c r="DG73" s="923"/>
      <c r="DH73" s="923"/>
      <c r="DI73" s="923"/>
      <c r="DJ73" s="923"/>
      <c r="DK73" s="923"/>
      <c r="DL73" s="923"/>
      <c r="DM73" s="923"/>
      <c r="DN73" s="923"/>
      <c r="DO73" s="923"/>
      <c r="DP73" s="923"/>
      <c r="DQ73" s="923"/>
      <c r="DR73" s="923"/>
      <c r="DS73" s="923"/>
      <c r="DT73" s="923"/>
      <c r="DU73" s="923"/>
      <c r="DV73" s="923"/>
      <c r="DW73" s="923"/>
      <c r="DX73" s="923"/>
      <c r="DY73" s="923"/>
      <c r="DZ73" s="923"/>
      <c r="EA73" s="923"/>
      <c r="EB73" s="923"/>
      <c r="EC73" s="923"/>
      <c r="ED73" s="923"/>
      <c r="EE73" s="923"/>
      <c r="EF73" s="923"/>
      <c r="EG73" s="923"/>
      <c r="EH73" s="923"/>
      <c r="EI73" s="923"/>
      <c r="EJ73" s="923"/>
      <c r="EK73" s="923"/>
      <c r="EL73" s="923"/>
      <c r="EM73" s="923"/>
      <c r="EN73" s="923"/>
      <c r="EO73" s="923"/>
      <c r="EP73" s="923"/>
      <c r="EQ73" s="923"/>
      <c r="ER73" s="923"/>
      <c r="ES73" s="923"/>
      <c r="ET73" s="923"/>
      <c r="EU73" s="923"/>
      <c r="EV73" s="923"/>
      <c r="EW73" s="923"/>
      <c r="EX73" s="923"/>
      <c r="EY73" s="923"/>
      <c r="EZ73" s="923"/>
      <c r="FA73" s="923"/>
      <c r="FB73" s="923"/>
      <c r="FC73" s="923"/>
      <c r="FD73" s="923"/>
      <c r="FE73" s="923"/>
      <c r="FF73" s="923"/>
      <c r="FG73" s="923"/>
      <c r="FH73" s="923"/>
      <c r="FI73" s="923"/>
      <c r="FJ73" s="923"/>
      <c r="FK73" s="923"/>
      <c r="FL73" s="923"/>
      <c r="FM73" s="923"/>
      <c r="FN73" s="923"/>
      <c r="FO73" s="923"/>
      <c r="FP73" s="923"/>
      <c r="FQ73" s="923"/>
      <c r="FR73" s="923"/>
      <c r="FS73" s="923"/>
      <c r="FT73" s="923"/>
      <c r="FU73" s="923"/>
      <c r="FV73" s="923"/>
      <c r="FW73" s="923"/>
      <c r="FX73" s="923"/>
      <c r="FY73" s="923"/>
      <c r="FZ73" s="923"/>
      <c r="GA73" s="923"/>
      <c r="GB73" s="923"/>
      <c r="GC73" s="923"/>
      <c r="GD73" s="923"/>
      <c r="GE73" s="923"/>
      <c r="GF73" s="923"/>
      <c r="GG73" s="1105"/>
      <c r="GH73" s="923"/>
      <c r="GI73" s="923"/>
      <c r="GJ73" s="923"/>
      <c r="GK73" s="923"/>
      <c r="GL73" s="923"/>
      <c r="GM73" s="923"/>
      <c r="GN73" s="923"/>
      <c r="GO73" s="923"/>
      <c r="GP73" s="923"/>
      <c r="GQ73" s="923"/>
      <c r="GR73" s="923"/>
      <c r="GS73" s="923"/>
      <c r="GT73" s="923"/>
      <c r="GU73" s="923"/>
      <c r="GV73" s="923"/>
      <c r="GW73" s="923"/>
      <c r="GX73" s="923"/>
      <c r="GY73" s="923"/>
      <c r="GZ73" s="923"/>
      <c r="HA73" s="923"/>
      <c r="HB73" s="923"/>
      <c r="HC73" s="923"/>
      <c r="HD73" s="923"/>
      <c r="HE73" s="923"/>
      <c r="HF73" s="923"/>
      <c r="HG73" s="923"/>
      <c r="HH73" s="923"/>
      <c r="HI73" s="923"/>
      <c r="HJ73" s="923"/>
      <c r="HK73" s="923"/>
      <c r="HL73" s="923"/>
      <c r="HM73" s="923"/>
      <c r="HN73" s="923"/>
      <c r="HO73" s="923"/>
      <c r="HP73" s="923"/>
      <c r="HQ73" s="923"/>
      <c r="HR73" s="923"/>
      <c r="HS73" s="923"/>
      <c r="HT73" s="923"/>
      <c r="HU73" s="923"/>
      <c r="HV73" s="923"/>
      <c r="HW73" s="923"/>
      <c r="HX73" s="923"/>
      <c r="HY73" s="923"/>
      <c r="HZ73" s="923"/>
      <c r="IA73" s="923"/>
      <c r="IB73" s="923"/>
      <c r="IC73" s="923"/>
      <c r="ID73" s="923"/>
      <c r="IE73" s="923"/>
      <c r="IF73" s="923"/>
      <c r="IG73" s="923"/>
      <c r="IH73" s="923"/>
      <c r="II73" s="923"/>
      <c r="IJ73" s="923"/>
      <c r="IK73" s="923"/>
    </row>
    <row r="74" spans="1:245" ht="15" customHeight="1">
      <c r="A74" s="72"/>
      <c r="B74" s="72"/>
      <c r="C74" s="72"/>
      <c r="D74" s="1128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X74" s="923"/>
      <c r="AY74" s="923"/>
      <c r="AZ74" s="923"/>
      <c r="BA74" s="923"/>
      <c r="BB74" s="1104"/>
      <c r="BC74" s="923"/>
      <c r="BD74" s="923"/>
      <c r="BE74" s="923"/>
      <c r="BF74" s="923"/>
      <c r="BG74" s="923"/>
      <c r="BH74" s="923"/>
      <c r="BI74" s="923"/>
      <c r="BJ74" s="923"/>
      <c r="BK74" s="923"/>
      <c r="BL74" s="923"/>
      <c r="BM74" s="923"/>
      <c r="BN74" s="923"/>
      <c r="BO74" s="923"/>
      <c r="BP74" s="923"/>
      <c r="BQ74" s="923"/>
      <c r="BR74" s="923"/>
      <c r="BS74" s="923"/>
      <c r="BT74" s="923"/>
      <c r="BU74" s="923"/>
      <c r="BV74" s="923"/>
      <c r="BW74" s="923"/>
      <c r="BX74" s="923"/>
      <c r="BY74" s="923"/>
      <c r="BZ74" s="923"/>
      <c r="CA74" s="923"/>
      <c r="CB74" s="923"/>
      <c r="CC74" s="923"/>
      <c r="CD74" s="923"/>
      <c r="CE74" s="923"/>
      <c r="CF74" s="923"/>
      <c r="CG74" s="923"/>
      <c r="CH74" s="923"/>
      <c r="CI74" s="923"/>
      <c r="CJ74" s="923"/>
      <c r="CK74" s="923"/>
      <c r="CL74" s="923"/>
      <c r="CM74" s="923"/>
      <c r="CN74" s="923"/>
      <c r="CO74" s="923"/>
      <c r="CP74" s="923"/>
      <c r="CQ74" s="923"/>
      <c r="CR74" s="923"/>
      <c r="CS74" s="923"/>
      <c r="CT74" s="923"/>
      <c r="CU74" s="923"/>
      <c r="CV74" s="923"/>
      <c r="CW74" s="923"/>
      <c r="CX74" s="923"/>
      <c r="CY74" s="923"/>
      <c r="CZ74" s="923"/>
      <c r="DA74" s="923"/>
      <c r="DB74" s="923"/>
      <c r="DC74" s="923"/>
      <c r="DD74" s="923"/>
      <c r="DE74" s="923"/>
      <c r="DF74" s="923"/>
      <c r="DG74" s="923"/>
      <c r="DH74" s="923"/>
      <c r="DI74" s="923"/>
      <c r="DJ74" s="923"/>
      <c r="DK74" s="923"/>
      <c r="DL74" s="923"/>
      <c r="DM74" s="923"/>
      <c r="DN74" s="923"/>
      <c r="DO74" s="923"/>
      <c r="DP74" s="923"/>
      <c r="DQ74" s="923"/>
      <c r="DR74" s="923"/>
      <c r="DS74" s="923"/>
      <c r="DT74" s="923"/>
      <c r="DU74" s="923"/>
      <c r="DV74" s="923"/>
      <c r="DW74" s="923"/>
      <c r="DX74" s="923"/>
      <c r="DY74" s="923"/>
      <c r="DZ74" s="923"/>
      <c r="EA74" s="923"/>
      <c r="EB74" s="923"/>
      <c r="EC74" s="923"/>
      <c r="ED74" s="923"/>
      <c r="EE74" s="923"/>
      <c r="EF74" s="923"/>
      <c r="EG74" s="923"/>
      <c r="EH74" s="923"/>
      <c r="EI74" s="923"/>
      <c r="EJ74" s="923"/>
      <c r="EK74" s="923"/>
      <c r="EL74" s="923"/>
      <c r="EM74" s="923"/>
      <c r="EN74" s="923"/>
      <c r="EO74" s="923"/>
      <c r="EP74" s="923"/>
      <c r="EQ74" s="923"/>
      <c r="ER74" s="923"/>
      <c r="ES74" s="923"/>
      <c r="ET74" s="923"/>
      <c r="EU74" s="923"/>
      <c r="EV74" s="923"/>
      <c r="EW74" s="923"/>
      <c r="EX74" s="923"/>
      <c r="EY74" s="923"/>
      <c r="EZ74" s="923"/>
      <c r="FA74" s="923"/>
      <c r="FB74" s="923"/>
      <c r="FC74" s="923"/>
      <c r="FD74" s="923"/>
      <c r="FE74" s="923"/>
      <c r="FF74" s="923"/>
      <c r="FG74" s="923"/>
      <c r="FH74" s="923"/>
      <c r="FI74" s="923"/>
      <c r="FJ74" s="923"/>
      <c r="FK74" s="923"/>
      <c r="FL74" s="923"/>
      <c r="FM74" s="923"/>
      <c r="FN74" s="923"/>
      <c r="FO74" s="923"/>
      <c r="FP74" s="923"/>
      <c r="FQ74" s="923"/>
      <c r="FR74" s="923"/>
      <c r="FS74" s="923"/>
      <c r="FT74" s="923"/>
      <c r="FU74" s="923"/>
      <c r="FV74" s="923"/>
      <c r="FW74" s="923"/>
      <c r="FX74" s="923"/>
      <c r="FY74" s="923"/>
      <c r="FZ74" s="923"/>
      <c r="GA74" s="923"/>
      <c r="GB74" s="923"/>
      <c r="GC74" s="923"/>
      <c r="GD74" s="923"/>
      <c r="GE74" s="923"/>
      <c r="GF74" s="923"/>
      <c r="GG74" s="1105"/>
      <c r="GH74" s="923"/>
      <c r="GI74" s="923"/>
      <c r="GJ74" s="923"/>
      <c r="GK74" s="923"/>
      <c r="GL74" s="923"/>
      <c r="GM74" s="923"/>
      <c r="GN74" s="923"/>
      <c r="GO74" s="923"/>
      <c r="GP74" s="923"/>
      <c r="GQ74" s="923"/>
      <c r="GR74" s="923"/>
      <c r="GS74" s="923"/>
      <c r="GT74" s="923"/>
      <c r="GU74" s="923"/>
      <c r="GV74" s="923"/>
      <c r="GW74" s="923"/>
      <c r="GX74" s="923"/>
      <c r="GY74" s="923"/>
      <c r="GZ74" s="923"/>
      <c r="HA74" s="923"/>
      <c r="HB74" s="923"/>
      <c r="HC74" s="923"/>
      <c r="HD74" s="923"/>
      <c r="HE74" s="923"/>
      <c r="HF74" s="923"/>
      <c r="HG74" s="923"/>
      <c r="HH74" s="923"/>
      <c r="HI74" s="923"/>
      <c r="HJ74" s="923"/>
      <c r="HK74" s="923"/>
      <c r="HL74" s="923"/>
      <c r="HM74" s="923"/>
      <c r="HN74" s="923"/>
      <c r="HO74" s="923"/>
      <c r="HP74" s="923"/>
      <c r="HQ74" s="923"/>
      <c r="HR74" s="923"/>
      <c r="HS74" s="923"/>
      <c r="HT74" s="923"/>
      <c r="HU74" s="923"/>
      <c r="HV74" s="923"/>
      <c r="HW74" s="923"/>
      <c r="HX74" s="923"/>
      <c r="HY74" s="923"/>
      <c r="HZ74" s="923"/>
      <c r="IA74" s="923"/>
      <c r="IB74" s="923"/>
      <c r="IC74" s="923"/>
      <c r="ID74" s="923"/>
      <c r="IE74" s="923"/>
      <c r="IF74" s="923"/>
      <c r="IG74" s="923"/>
      <c r="IH74" s="923"/>
      <c r="II74" s="923"/>
      <c r="IJ74" s="923"/>
      <c r="IK74" s="923"/>
    </row>
    <row r="75" spans="1:245" ht="15" customHeight="1">
      <c r="A75" s="72"/>
      <c r="B75" s="72"/>
      <c r="C75" s="72"/>
      <c r="D75" s="1128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X75" s="923"/>
      <c r="AY75" s="923"/>
      <c r="AZ75" s="923"/>
      <c r="BA75" s="923"/>
      <c r="BB75" s="1104"/>
      <c r="BC75" s="923"/>
      <c r="BD75" s="923"/>
      <c r="BE75" s="923"/>
      <c r="BF75" s="923"/>
      <c r="BG75" s="923"/>
      <c r="BH75" s="923"/>
      <c r="BI75" s="923"/>
      <c r="BJ75" s="923"/>
      <c r="BK75" s="923"/>
      <c r="BL75" s="923"/>
      <c r="BM75" s="923"/>
      <c r="BN75" s="923"/>
      <c r="BO75" s="923"/>
      <c r="BP75" s="923"/>
      <c r="BQ75" s="923"/>
      <c r="BR75" s="923"/>
      <c r="BS75" s="923"/>
      <c r="BT75" s="923"/>
      <c r="BU75" s="923"/>
      <c r="BV75" s="923"/>
      <c r="BW75" s="923"/>
      <c r="BX75" s="923"/>
      <c r="BY75" s="923"/>
      <c r="BZ75" s="923"/>
      <c r="CA75" s="923"/>
      <c r="CB75" s="923"/>
      <c r="CC75" s="923"/>
      <c r="CD75" s="923"/>
      <c r="CE75" s="923"/>
      <c r="CF75" s="923"/>
      <c r="CG75" s="923"/>
      <c r="CH75" s="923"/>
      <c r="CI75" s="923"/>
      <c r="CJ75" s="923"/>
      <c r="CK75" s="923"/>
      <c r="CL75" s="923"/>
      <c r="CM75" s="923"/>
      <c r="CN75" s="923"/>
      <c r="CO75" s="923"/>
      <c r="CP75" s="923"/>
      <c r="CQ75" s="923"/>
      <c r="CR75" s="923"/>
      <c r="CS75" s="923"/>
      <c r="CT75" s="923"/>
      <c r="CU75" s="923"/>
      <c r="CV75" s="923"/>
      <c r="CW75" s="923"/>
      <c r="CX75" s="923"/>
      <c r="CY75" s="923"/>
      <c r="CZ75" s="923"/>
      <c r="DA75" s="923"/>
      <c r="DB75" s="923"/>
      <c r="DC75" s="923"/>
      <c r="DD75" s="923"/>
      <c r="DE75" s="923"/>
      <c r="DF75" s="923"/>
      <c r="DG75" s="923"/>
      <c r="DH75" s="923"/>
      <c r="DI75" s="923"/>
      <c r="DJ75" s="923"/>
      <c r="DK75" s="923"/>
      <c r="DL75" s="923"/>
      <c r="DM75" s="923"/>
      <c r="DN75" s="923"/>
      <c r="DO75" s="923"/>
      <c r="DP75" s="923"/>
      <c r="DQ75" s="923"/>
      <c r="DR75" s="923"/>
      <c r="DS75" s="923"/>
      <c r="DT75" s="923"/>
      <c r="DU75" s="923"/>
      <c r="DV75" s="923"/>
      <c r="DW75" s="923"/>
      <c r="DX75" s="923"/>
      <c r="DY75" s="923"/>
      <c r="DZ75" s="923"/>
      <c r="EA75" s="923"/>
      <c r="EB75" s="923"/>
      <c r="EC75" s="923"/>
      <c r="ED75" s="923"/>
      <c r="EE75" s="923"/>
      <c r="EF75" s="923"/>
      <c r="EG75" s="923"/>
      <c r="EH75" s="923"/>
      <c r="EI75" s="923"/>
      <c r="EJ75" s="923"/>
      <c r="EK75" s="923"/>
      <c r="EL75" s="923"/>
      <c r="EM75" s="923"/>
      <c r="EN75" s="923"/>
      <c r="EO75" s="923"/>
      <c r="EP75" s="923"/>
      <c r="EQ75" s="923"/>
      <c r="ER75" s="923"/>
      <c r="ES75" s="923"/>
      <c r="ET75" s="923"/>
      <c r="EU75" s="923"/>
      <c r="EV75" s="923"/>
      <c r="EW75" s="923"/>
      <c r="EX75" s="923"/>
      <c r="EY75" s="923"/>
      <c r="EZ75" s="923"/>
      <c r="FA75" s="923"/>
      <c r="FB75" s="923"/>
      <c r="FC75" s="923"/>
      <c r="FD75" s="923"/>
      <c r="FE75" s="923"/>
      <c r="FF75" s="923"/>
      <c r="FG75" s="923"/>
      <c r="FH75" s="923"/>
      <c r="FI75" s="923"/>
      <c r="FJ75" s="923"/>
      <c r="FK75" s="923"/>
      <c r="FL75" s="923"/>
      <c r="FM75" s="923"/>
      <c r="FN75" s="923"/>
      <c r="FO75" s="923"/>
      <c r="FP75" s="923"/>
      <c r="FQ75" s="923"/>
      <c r="FR75" s="923"/>
      <c r="FS75" s="923"/>
      <c r="FT75" s="923"/>
      <c r="FU75" s="923"/>
      <c r="FV75" s="923"/>
      <c r="FW75" s="923"/>
      <c r="FX75" s="923"/>
      <c r="FY75" s="923"/>
      <c r="FZ75" s="923"/>
      <c r="GA75" s="923"/>
      <c r="GB75" s="923"/>
      <c r="GC75" s="923"/>
      <c r="GD75" s="923"/>
      <c r="GE75" s="923"/>
      <c r="GF75" s="923"/>
      <c r="GG75" s="1105"/>
      <c r="GH75" s="923"/>
      <c r="GI75" s="923"/>
      <c r="GJ75" s="923"/>
      <c r="GK75" s="923"/>
      <c r="GL75" s="923"/>
      <c r="GM75" s="923"/>
      <c r="GN75" s="923"/>
      <c r="GO75" s="923"/>
      <c r="GP75" s="923"/>
      <c r="GQ75" s="923"/>
      <c r="GR75" s="923"/>
      <c r="GS75" s="923"/>
      <c r="GT75" s="923"/>
      <c r="GU75" s="923"/>
      <c r="GV75" s="923"/>
      <c r="GW75" s="923"/>
      <c r="GX75" s="923"/>
      <c r="GY75" s="923"/>
      <c r="GZ75" s="923"/>
      <c r="HA75" s="923"/>
      <c r="HB75" s="923"/>
      <c r="HC75" s="923"/>
      <c r="HD75" s="923"/>
      <c r="HE75" s="923"/>
      <c r="HF75" s="923"/>
      <c r="HG75" s="923"/>
      <c r="HH75" s="923"/>
      <c r="HI75" s="923"/>
      <c r="HJ75" s="923"/>
      <c r="HK75" s="923"/>
      <c r="HL75" s="923"/>
      <c r="HM75" s="923"/>
      <c r="HN75" s="923"/>
      <c r="HO75" s="923"/>
      <c r="HP75" s="923"/>
      <c r="HQ75" s="923"/>
      <c r="HR75" s="923"/>
      <c r="HS75" s="923"/>
      <c r="HT75" s="923"/>
      <c r="HU75" s="923"/>
      <c r="HV75" s="923"/>
      <c r="HW75" s="923"/>
      <c r="HX75" s="923"/>
      <c r="HY75" s="923"/>
      <c r="HZ75" s="923"/>
      <c r="IA75" s="923"/>
      <c r="IB75" s="923"/>
      <c r="IC75" s="923"/>
      <c r="ID75" s="923"/>
      <c r="IE75" s="923"/>
      <c r="IF75" s="923"/>
      <c r="IG75" s="923"/>
      <c r="IH75" s="923"/>
      <c r="II75" s="923"/>
      <c r="IJ75" s="923"/>
      <c r="IK75" s="923"/>
    </row>
    <row r="76" spans="1:245" ht="15" customHeight="1">
      <c r="A76" s="72"/>
      <c r="B76" s="72"/>
      <c r="C76" s="72"/>
      <c r="D76" s="1128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GG76" s="1133"/>
    </row>
    <row r="77" spans="1:245" ht="15" customHeight="1">
      <c r="A77" s="72"/>
      <c r="B77" s="72"/>
      <c r="C77" s="72"/>
      <c r="D77" s="1128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</row>
    <row r="78" spans="1:245" ht="15" customHeight="1">
      <c r="A78" s="72"/>
      <c r="B78" s="72"/>
      <c r="C78" s="72"/>
      <c r="D78" s="1128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</row>
    <row r="79" spans="1:245" ht="15" customHeight="1">
      <c r="A79" s="72"/>
      <c r="B79" s="72"/>
      <c r="C79" s="72"/>
      <c r="D79" s="1128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</row>
    <row r="80" spans="1:245">
      <c r="A80" s="72"/>
      <c r="B80" s="72"/>
      <c r="C80" s="72"/>
      <c r="D80" s="1128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</row>
    <row r="81" spans="1:35">
      <c r="A81" s="72"/>
      <c r="B81" s="72"/>
      <c r="C81" s="72"/>
      <c r="D81" s="1128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</row>
    <row r="82" spans="1:35">
      <c r="A82" s="72"/>
      <c r="B82" s="72"/>
      <c r="C82" s="72"/>
      <c r="D82" s="1128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</row>
    <row r="83" spans="1:35">
      <c r="A83" s="72"/>
      <c r="B83" s="72"/>
      <c r="C83" s="72"/>
      <c r="D83" s="1128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</row>
    <row r="84" spans="1:35">
      <c r="A84" s="72"/>
      <c r="B84" s="72"/>
      <c r="C84" s="72"/>
      <c r="D84" s="1128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</row>
    <row r="85" spans="1:35">
      <c r="A85" s="72"/>
      <c r="B85" s="72"/>
      <c r="C85" s="72"/>
      <c r="D85" s="1128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</row>
    <row r="86" spans="1:35">
      <c r="A86" s="72"/>
      <c r="B86" s="72"/>
      <c r="C86" s="72"/>
      <c r="D86" s="1128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</row>
    <row r="87" spans="1:35">
      <c r="D87" s="1134"/>
    </row>
    <row r="88" spans="1:35">
      <c r="D88" s="1134"/>
    </row>
    <row r="89" spans="1:35">
      <c r="D89" s="1134"/>
    </row>
    <row r="90" spans="1:35">
      <c r="D90" s="1134"/>
    </row>
    <row r="91" spans="1:35">
      <c r="D91" s="1134"/>
    </row>
    <row r="92" spans="1:35">
      <c r="D92" s="1134"/>
    </row>
    <row r="93" spans="1:35">
      <c r="D93" s="1134"/>
    </row>
    <row r="94" spans="1:35">
      <c r="D94" s="1134"/>
    </row>
    <row r="95" spans="1:35">
      <c r="D95" s="1134"/>
    </row>
    <row r="96" spans="1:35">
      <c r="D96" s="1134"/>
    </row>
    <row r="97" spans="4:4">
      <c r="D97" s="1134"/>
    </row>
    <row r="98" spans="4:4">
      <c r="D98" s="1134"/>
    </row>
    <row r="99" spans="4:4">
      <c r="D99" s="1134"/>
    </row>
    <row r="100" spans="4:4">
      <c r="D100" s="1134"/>
    </row>
    <row r="101" spans="4:4">
      <c r="D101" s="1134"/>
    </row>
    <row r="102" spans="4:4">
      <c r="D102" s="1134"/>
    </row>
    <row r="103" spans="4:4">
      <c r="D103" s="1134"/>
    </row>
    <row r="104" spans="4:4">
      <c r="D104" s="1134"/>
    </row>
    <row r="105" spans="4:4">
      <c r="D105" s="1134"/>
    </row>
    <row r="106" spans="4:4">
      <c r="D106" s="1134"/>
    </row>
    <row r="107" spans="4:4">
      <c r="D107" s="1134"/>
    </row>
    <row r="108" spans="4:4">
      <c r="D108" s="1134"/>
    </row>
    <row r="109" spans="4:4">
      <c r="D109" s="1134"/>
    </row>
    <row r="110" spans="4:4">
      <c r="D110" s="1134"/>
    </row>
    <row r="111" spans="4:4">
      <c r="D111" s="1134"/>
    </row>
    <row r="112" spans="4:4">
      <c r="D112" s="1134"/>
    </row>
    <row r="113" spans="4:4">
      <c r="D113" s="1134"/>
    </row>
    <row r="114" spans="4:4">
      <c r="D114" s="1134"/>
    </row>
    <row r="115" spans="4:4">
      <c r="D115" s="1134"/>
    </row>
    <row r="116" spans="4:4">
      <c r="D116" s="1134"/>
    </row>
    <row r="117" spans="4:4">
      <c r="D117" s="1134"/>
    </row>
    <row r="118" spans="4:4">
      <c r="D118" s="1134"/>
    </row>
    <row r="119" spans="4:4">
      <c r="D119" s="1134"/>
    </row>
    <row r="120" spans="4:4">
      <c r="D120" s="1134"/>
    </row>
    <row r="121" spans="4:4">
      <c r="D121" s="1134"/>
    </row>
    <row r="122" spans="4:4">
      <c r="D122" s="1134"/>
    </row>
    <row r="123" spans="4:4">
      <c r="D123" s="1134"/>
    </row>
    <row r="124" spans="4:4">
      <c r="D124" s="1134"/>
    </row>
    <row r="125" spans="4:4">
      <c r="D125" s="1134"/>
    </row>
    <row r="126" spans="4:4">
      <c r="D126" s="1134"/>
    </row>
    <row r="127" spans="4:4">
      <c r="D127" s="1134"/>
    </row>
    <row r="128" spans="4:4">
      <c r="D128" s="1134"/>
    </row>
    <row r="129" spans="4:4">
      <c r="D129" s="1134"/>
    </row>
    <row r="130" spans="4:4">
      <c r="D130" s="1134"/>
    </row>
    <row r="131" spans="4:4">
      <c r="D131" s="1134"/>
    </row>
    <row r="132" spans="4:4">
      <c r="D132" s="1134"/>
    </row>
    <row r="133" spans="4:4">
      <c r="D133" s="1134"/>
    </row>
    <row r="134" spans="4:4">
      <c r="D134" s="1134"/>
    </row>
    <row r="135" spans="4:4">
      <c r="D135" s="1134"/>
    </row>
    <row r="136" spans="4:4">
      <c r="D136" s="1134"/>
    </row>
    <row r="137" spans="4:4">
      <c r="D137" s="1134"/>
    </row>
    <row r="138" spans="4:4">
      <c r="D138" s="1134"/>
    </row>
    <row r="139" spans="4:4">
      <c r="D139" s="1134"/>
    </row>
    <row r="140" spans="4:4">
      <c r="D140" s="1134"/>
    </row>
    <row r="141" spans="4:4">
      <c r="D141" s="1134"/>
    </row>
    <row r="142" spans="4:4">
      <c r="D142" s="1134"/>
    </row>
    <row r="143" spans="4:4">
      <c r="D143" s="1134"/>
    </row>
    <row r="144" spans="4:4">
      <c r="D144" s="1134"/>
    </row>
    <row r="145" spans="4:4">
      <c r="D145" s="1134"/>
    </row>
    <row r="146" spans="4:4">
      <c r="D146" s="1134"/>
    </row>
    <row r="147" spans="4:4">
      <c r="D147" s="1134"/>
    </row>
    <row r="148" spans="4:4">
      <c r="D148" s="1134"/>
    </row>
    <row r="149" spans="4:4">
      <c r="D149" s="1134"/>
    </row>
    <row r="150" spans="4:4">
      <c r="D150" s="1134"/>
    </row>
    <row r="151" spans="4:4">
      <c r="D151" s="1134"/>
    </row>
    <row r="152" spans="4:4">
      <c r="D152" s="1134"/>
    </row>
    <row r="153" spans="4:4">
      <c r="D153" s="1134"/>
    </row>
    <row r="154" spans="4:4">
      <c r="D154" s="1134"/>
    </row>
  </sheetData>
  <sheetProtection formatCells="0" formatColumns="0" formatRows="0" sort="0" autoFilter="0" pivotTables="0"/>
  <mergeCells count="46">
    <mergeCell ref="AA40:AB40"/>
    <mergeCell ref="E39:AB39"/>
    <mergeCell ref="U28:AB28"/>
    <mergeCell ref="G18:H18"/>
    <mergeCell ref="I18:J18"/>
    <mergeCell ref="K18:L18"/>
    <mergeCell ref="U29:V29"/>
    <mergeCell ref="W29:X29"/>
    <mergeCell ref="Y29:Z29"/>
    <mergeCell ref="AA29:AB29"/>
    <mergeCell ref="E40:F40"/>
    <mergeCell ref="W40:X40"/>
    <mergeCell ref="D18:D19"/>
    <mergeCell ref="Y40:Z40"/>
    <mergeCell ref="D39:D41"/>
    <mergeCell ref="D28:D30"/>
    <mergeCell ref="Q40:R40"/>
    <mergeCell ref="S40:T40"/>
    <mergeCell ref="U40:V40"/>
    <mergeCell ref="G40:H40"/>
    <mergeCell ref="I40:J40"/>
    <mergeCell ref="K40:L40"/>
    <mergeCell ref="M40:N40"/>
    <mergeCell ref="O40:P40"/>
    <mergeCell ref="G29:H29"/>
    <mergeCell ref="E18:F18"/>
    <mergeCell ref="E29:F29"/>
    <mergeCell ref="E15:F15"/>
    <mergeCell ref="G15:H15"/>
    <mergeCell ref="I15:J15"/>
    <mergeCell ref="Q29:R29"/>
    <mergeCell ref="S29:T29"/>
    <mergeCell ref="M28:T28"/>
    <mergeCell ref="I29:J29"/>
    <mergeCell ref="K29:L29"/>
    <mergeCell ref="M29:N29"/>
    <mergeCell ref="O29:P29"/>
    <mergeCell ref="E28:L28"/>
    <mergeCell ref="K15:L15"/>
    <mergeCell ref="M15:N15"/>
    <mergeCell ref="BC19:BG19"/>
    <mergeCell ref="O1:P1"/>
    <mergeCell ref="O2:P2"/>
    <mergeCell ref="J7:L7"/>
    <mergeCell ref="M18:N18"/>
    <mergeCell ref="I8:M8"/>
  </mergeCells>
  <pageMargins left="0.70866141732283472" right="0.70866141732283472" top="0.74803149606299213" bottom="0.74803149606299213" header="0.31496062992125984" footer="0.31496062992125984"/>
  <pageSetup paperSize="9" scale="18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3</vt:i4>
      </vt:variant>
    </vt:vector>
  </HeadingPairs>
  <TitlesOfParts>
    <vt:vector size="22" baseType="lpstr">
      <vt:lpstr>Cental Budget</vt:lpstr>
      <vt:lpstr>Local Government</vt:lpstr>
      <vt:lpstr>Public expenditure</vt:lpstr>
      <vt:lpstr>Execution for 2012</vt:lpstr>
      <vt:lpstr>Core data tab</vt:lpstr>
      <vt:lpstr>Cental Budget_int</vt:lpstr>
      <vt:lpstr>Local Government_int</vt:lpstr>
      <vt:lpstr>Public expenditure_int</vt:lpstr>
      <vt:lpstr>Public debt tab</vt:lpstr>
      <vt:lpstr>Analitics tab 2013</vt:lpstr>
      <vt:lpstr>Execution for 2013</vt:lpstr>
      <vt:lpstr>Monthly plan for 2013</vt:lpstr>
      <vt:lpstr>Monthly plan for 2012</vt:lpstr>
      <vt:lpstr>Execution for 2012_int</vt:lpstr>
      <vt:lpstr>MasterSheet</vt:lpstr>
      <vt:lpstr>Data for 2011</vt:lpstr>
      <vt:lpstr>Sheet1</vt:lpstr>
      <vt:lpstr>Sheet2</vt:lpstr>
      <vt:lpstr>Sheet3</vt:lpstr>
      <vt:lpstr>'Core data tab'!Print_Area</vt:lpstr>
      <vt:lpstr>'Local Government'!Print_Area</vt:lpstr>
      <vt:lpstr>'Local Government_int'!Print_Area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iva.vukovic</cp:lastModifiedBy>
  <cp:lastPrinted>2013-09-20T08:16:46Z</cp:lastPrinted>
  <dcterms:created xsi:type="dcterms:W3CDTF">2008-03-17T08:49:23Z</dcterms:created>
  <dcterms:modified xsi:type="dcterms:W3CDTF">2013-10-23T10:31:26Z</dcterms:modified>
</cp:coreProperties>
</file>