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trlProps/ctrlProp3.xml" ContentType="application/vnd.ms-excel.controlproperties+xml"/>
  <Override PartName="/xl/ctrlProps/ctrlProp2.xml" ContentType="application/vnd.ms-excel.controlproperties+xml"/>
  <Override PartName="/xl/charts/colors1.xml" ContentType="application/vnd.ms-office.chartcolorstyle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updateLinks="never" codeName="ThisWorkbook" defaultThemeVersion="124226"/>
  <bookViews>
    <workbookView xWindow="0" yWindow="0" windowWidth="20490" windowHeight="7905" tabRatio="816"/>
  </bookViews>
  <sheets>
    <sheet name="Cental Budget" sheetId="10" r:id="rId1"/>
    <sheet name="Local Government" sheetId="32" r:id="rId2"/>
    <sheet name="Public Expenditure" sheetId="33" r:id="rId3"/>
    <sheet name="PRIMICI" sheetId="29" state="hidden" r:id="rId4"/>
    <sheet name="DEFICIT Tabela" sheetId="30" state="hidden" r:id="rId5"/>
    <sheet name="MasterSheet" sheetId="13" state="hidden" r:id="rId6"/>
    <sheet name="Sheet1" sheetId="31" state="hidden" r:id="rId7"/>
    <sheet name="Sheet2" sheetId="36" state="hidden" r:id="rId8"/>
    <sheet name="Sheet3" sheetId="37" state="hidden" r:id="rId9"/>
  </sheets>
  <externalReferences>
    <externalReference r:id="rId10"/>
  </externalReferences>
  <definedNames>
    <definedName name="_Order1" hidden="1">0</definedName>
    <definedName name="_Order2" hidden="1">0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a" hidden="1">#REF!</definedName>
    <definedName name="Z_05AB59A7_9F04_4F70_A17E_8EF60EF35C7C_.wvu.PrintArea" localSheetId="0" hidden="1">'Cental Budget'!$B$13:$C$87</definedName>
    <definedName name="Z_05AB59A7_9F04_4F70_A17E_8EF60EF35C7C_.wvu.PrintArea" localSheetId="1" hidden="1">'Local Government'!$B$13:$M$74</definedName>
    <definedName name="Z_05AB59A7_9F04_4F70_A17E_8EF60EF35C7C_.wvu.PrintArea" localSheetId="2" hidden="1">'Public Expenditure'!$B$13:$M$74</definedName>
    <definedName name="Z_636A372C_EE02_4B23_8381_E3299ADF8816_.wvu.Cols" localSheetId="0" hidden="1">'Cental Budget'!#REF!</definedName>
    <definedName name="Z_636A372C_EE02_4B23_8381_E3299ADF8816_.wvu.Cols" localSheetId="1" hidden="1">'Local Government'!#REF!</definedName>
    <definedName name="Z_636A372C_EE02_4B23_8381_E3299ADF8816_.wvu.Cols" localSheetId="2" hidden="1">'Public Expenditure'!#REF!</definedName>
    <definedName name="Z_7AC1CC92_093E_4DA9_98F8_470D5521A68C_.wvu.Rows" localSheetId="0" hidden="1">'Cental Budget'!#REF!,'Cental Budget'!#REF!,'Cental Budget'!#REF!,'Cental Budget'!#REF!</definedName>
    <definedName name="Z_7AC1CC92_093E_4DA9_98F8_470D5521A68C_.wvu.Rows" localSheetId="1" hidden="1">'Local Government'!#REF!,'Local Government'!#REF!,'Local Government'!#REF!,'Local Government'!#REF!</definedName>
    <definedName name="Z_7AC1CC92_093E_4DA9_98F8_470D5521A68C_.wvu.Rows" localSheetId="2" hidden="1">'Public Expenditure'!#REF!,'Public Expenditure'!#REF!,'Public Expenditure'!#REF!,'Public Expenditure'!#REF!</definedName>
    <definedName name="Z_A32CDCC2_9D7B_41FA_91EC_562A88521235_.wvu.Cols" localSheetId="0" hidden="1">'Cental Budget'!#REF!,'Cental Budget'!#REF!</definedName>
    <definedName name="Z_A32CDCC2_9D7B_41FA_91EC_562A88521235_.wvu.Cols" localSheetId="1" hidden="1">'Local Government'!#REF!,'Local Government'!#REF!</definedName>
    <definedName name="Z_A32CDCC2_9D7B_41FA_91EC_562A88521235_.wvu.Cols" localSheetId="2" hidden="1">'Public Expenditure'!#REF!,'Public Expenditure'!#REF!</definedName>
    <definedName name="Z_F37FAB72_D883_4CEB_A5EC_0FA851AD2DC3_.wvu.Cols" localSheetId="0" hidden="1">'Cental Budget'!#REF!</definedName>
    <definedName name="Z_F37FAB72_D883_4CEB_A5EC_0FA851AD2DC3_.wvu.Cols" localSheetId="1" hidden="1">'Local Government'!#REF!</definedName>
    <definedName name="Z_F37FAB72_D883_4CEB_A5EC_0FA851AD2DC3_.wvu.Cols" localSheetId="2" hidden="1">'Public Expenditure'!#REF!</definedName>
  </definedNames>
  <calcPr calcId="124519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P75" i="32"/>
  <c r="J63"/>
  <c r="F63"/>
  <c r="J89" i="33"/>
  <c r="F89"/>
  <c r="J84"/>
  <c r="F84"/>
  <c r="J79"/>
  <c r="F79"/>
  <c r="J56"/>
  <c r="F56"/>
  <c r="D63" i="32"/>
  <c r="D56" i="33"/>
  <c r="D52" i="32"/>
  <c r="D79" i="33"/>
  <c r="N61"/>
  <c r="N60"/>
  <c r="N59"/>
  <c r="N58"/>
  <c r="N38"/>
  <c r="J40" i="32"/>
  <c r="F40"/>
  <c r="D40"/>
  <c r="D84" i="33" s="1"/>
  <c r="D55" i="32"/>
  <c r="N55" i="33"/>
  <c r="N49"/>
  <c r="J16" i="10"/>
  <c r="F16"/>
  <c r="D16"/>
  <c r="L16" l="1"/>
  <c r="R22"/>
  <c r="R21"/>
  <c r="R20"/>
  <c r="Q22"/>
  <c r="Q21"/>
  <c r="Q20"/>
  <c r="P22"/>
  <c r="P21"/>
  <c r="P20"/>
  <c r="G86" l="1"/>
  <c r="G85"/>
  <c r="G84"/>
  <c r="G81"/>
  <c r="G80"/>
  <c r="G79"/>
  <c r="G75"/>
  <c r="G74"/>
  <c r="G73"/>
  <c r="G72"/>
  <c r="G71"/>
  <c r="G70"/>
  <c r="G69"/>
  <c r="G67"/>
  <c r="G66"/>
  <c r="G65"/>
  <c r="G64"/>
  <c r="G63"/>
  <c r="G61"/>
  <c r="G60"/>
  <c r="G59"/>
  <c r="G58"/>
  <c r="G57"/>
  <c r="G56"/>
  <c r="G55"/>
  <c r="G54"/>
  <c r="G53"/>
  <c r="G52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E86"/>
  <c r="E85"/>
  <c r="E84"/>
  <c r="E81"/>
  <c r="E80"/>
  <c r="E79"/>
  <c r="E75"/>
  <c r="E74"/>
  <c r="E73"/>
  <c r="E72"/>
  <c r="E71"/>
  <c r="E70"/>
  <c r="E69"/>
  <c r="E67"/>
  <c r="E66"/>
  <c r="E65"/>
  <c r="E64"/>
  <c r="E63"/>
  <c r="E61"/>
  <c r="E60"/>
  <c r="E59"/>
  <c r="E58"/>
  <c r="E57"/>
  <c r="E56"/>
  <c r="E55"/>
  <c r="E54"/>
  <c r="E53"/>
  <c r="E52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J78"/>
  <c r="F78"/>
  <c r="G78" s="1"/>
  <c r="D78"/>
  <c r="E78" s="1"/>
  <c r="J68"/>
  <c r="F68"/>
  <c r="G68" s="1"/>
  <c r="J62"/>
  <c r="F62"/>
  <c r="G62" s="1"/>
  <c r="J51"/>
  <c r="J49" s="1"/>
  <c r="F51"/>
  <c r="G51" s="1"/>
  <c r="D68"/>
  <c r="E68" s="1"/>
  <c r="D62"/>
  <c r="E62" s="1"/>
  <c r="D51"/>
  <c r="E51" s="1"/>
  <c r="M75" i="32"/>
  <c r="L75"/>
  <c r="M73"/>
  <c r="L73"/>
  <c r="L72"/>
  <c r="M71"/>
  <c r="L71"/>
  <c r="M68"/>
  <c r="L68"/>
  <c r="M67"/>
  <c r="L67"/>
  <c r="M66"/>
  <c r="L66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39"/>
  <c r="L39"/>
  <c r="M38"/>
  <c r="L38"/>
  <c r="M37"/>
  <c r="L37"/>
  <c r="M36"/>
  <c r="L36"/>
  <c r="M35"/>
  <c r="L35"/>
  <c r="M34"/>
  <c r="L34"/>
  <c r="M32"/>
  <c r="L32"/>
  <c r="M31"/>
  <c r="L31"/>
  <c r="M30"/>
  <c r="L30"/>
  <c r="M29"/>
  <c r="L29"/>
  <c r="M28"/>
  <c r="L28"/>
  <c r="M26"/>
  <c r="L26"/>
  <c r="M25"/>
  <c r="L25"/>
  <c r="M24"/>
  <c r="L24"/>
  <c r="M23"/>
  <c r="L23"/>
  <c r="M22"/>
  <c r="L22"/>
  <c r="M20"/>
  <c r="L20"/>
  <c r="M19"/>
  <c r="L19"/>
  <c r="M18"/>
  <c r="L18"/>
  <c r="I75"/>
  <c r="H75"/>
  <c r="I73"/>
  <c r="H73"/>
  <c r="H72"/>
  <c r="I71"/>
  <c r="H71"/>
  <c r="I68"/>
  <c r="H68"/>
  <c r="I67"/>
  <c r="H67"/>
  <c r="I66"/>
  <c r="H66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39"/>
  <c r="H39"/>
  <c r="I38"/>
  <c r="H38"/>
  <c r="I37"/>
  <c r="H37"/>
  <c r="I36"/>
  <c r="H36"/>
  <c r="I35"/>
  <c r="H35"/>
  <c r="I34"/>
  <c r="H34"/>
  <c r="I32"/>
  <c r="H32"/>
  <c r="I31"/>
  <c r="H31"/>
  <c r="I30"/>
  <c r="H30"/>
  <c r="I29"/>
  <c r="H29"/>
  <c r="I28"/>
  <c r="H28"/>
  <c r="I26"/>
  <c r="H26"/>
  <c r="I25"/>
  <c r="H25"/>
  <c r="I24"/>
  <c r="H24"/>
  <c r="I23"/>
  <c r="H23"/>
  <c r="I22"/>
  <c r="H22"/>
  <c r="I20"/>
  <c r="H20"/>
  <c r="I19"/>
  <c r="H19"/>
  <c r="I18"/>
  <c r="H18"/>
  <c r="J50" i="10" l="1"/>
  <c r="J76"/>
  <c r="F49"/>
  <c r="F76" s="1"/>
  <c r="G76" s="1"/>
  <c r="D49"/>
  <c r="J65" i="32"/>
  <c r="F65"/>
  <c r="D65"/>
  <c r="F41"/>
  <c r="J42"/>
  <c r="J41" s="1"/>
  <c r="F42"/>
  <c r="D42"/>
  <c r="J17"/>
  <c r="F17"/>
  <c r="J21"/>
  <c r="F21"/>
  <c r="J27"/>
  <c r="F27"/>
  <c r="J33"/>
  <c r="F33"/>
  <c r="D33"/>
  <c r="D27"/>
  <c r="C32"/>
  <c r="D21"/>
  <c r="D17"/>
  <c r="M27" l="1"/>
  <c r="H27"/>
  <c r="L27"/>
  <c r="I27"/>
  <c r="M42"/>
  <c r="H42"/>
  <c r="L42"/>
  <c r="I42"/>
  <c r="M33"/>
  <c r="H33"/>
  <c r="L33"/>
  <c r="I33"/>
  <c r="M65"/>
  <c r="H65"/>
  <c r="L65"/>
  <c r="I65"/>
  <c r="J82" i="10"/>
  <c r="J77"/>
  <c r="M17" i="32"/>
  <c r="H17"/>
  <c r="L17"/>
  <c r="I17"/>
  <c r="D16"/>
  <c r="M21"/>
  <c r="H21"/>
  <c r="L21"/>
  <c r="I21"/>
  <c r="F50" i="10"/>
  <c r="G50" s="1"/>
  <c r="F82"/>
  <c r="G82" s="1"/>
  <c r="G49"/>
  <c r="F77"/>
  <c r="G77" s="1"/>
  <c r="E49"/>
  <c r="D76"/>
  <c r="D50"/>
  <c r="E50" s="1"/>
  <c r="F16" i="32"/>
  <c r="J16"/>
  <c r="M40" l="1"/>
  <c r="H40"/>
  <c r="L40"/>
  <c r="I40"/>
  <c r="D41"/>
  <c r="J87" i="10"/>
  <c r="L16" i="32"/>
  <c r="H16"/>
  <c r="I16"/>
  <c r="M16"/>
  <c r="F87" i="10"/>
  <c r="F83" s="1"/>
  <c r="G83" s="1"/>
  <c r="E76"/>
  <c r="D82"/>
  <c r="L82" s="1"/>
  <c r="D77"/>
  <c r="E77" s="1"/>
  <c r="M86"/>
  <c r="L86"/>
  <c r="M85"/>
  <c r="L85"/>
  <c r="M84"/>
  <c r="L84"/>
  <c r="M82"/>
  <c r="M81"/>
  <c r="L81"/>
  <c r="M80"/>
  <c r="L80"/>
  <c r="M79"/>
  <c r="L79"/>
  <c r="M78"/>
  <c r="L78"/>
  <c r="M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I86"/>
  <c r="H86"/>
  <c r="I85"/>
  <c r="H85"/>
  <c r="I84"/>
  <c r="H84"/>
  <c r="I82"/>
  <c r="I81"/>
  <c r="H81"/>
  <c r="I80"/>
  <c r="H80"/>
  <c r="I79"/>
  <c r="H79"/>
  <c r="I78"/>
  <c r="H78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I59"/>
  <c r="H59"/>
  <c r="I58"/>
  <c r="H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M16"/>
  <c r="I16"/>
  <c r="H16"/>
  <c r="F18" i="33"/>
  <c r="N63" l="1"/>
  <c r="D89"/>
  <c r="G87" i="10"/>
  <c r="H82"/>
  <c r="H77"/>
  <c r="I77"/>
  <c r="M41" i="32"/>
  <c r="H41"/>
  <c r="L41"/>
  <c r="I41"/>
  <c r="J83" i="10"/>
  <c r="L77"/>
  <c r="M63" i="32"/>
  <c r="H63"/>
  <c r="L63"/>
  <c r="I63"/>
  <c r="D64"/>
  <c r="D69"/>
  <c r="F69"/>
  <c r="F64"/>
  <c r="J64"/>
  <c r="J69"/>
  <c r="D87" i="10"/>
  <c r="E82"/>
  <c r="D11" i="33"/>
  <c r="G18" s="1"/>
  <c r="D11" i="32"/>
  <c r="E15" i="10"/>
  <c r="D15"/>
  <c r="G64" i="32" l="1"/>
  <c r="F74"/>
  <c r="G69"/>
  <c r="E64"/>
  <c r="M64"/>
  <c r="H64"/>
  <c r="L64"/>
  <c r="I64"/>
  <c r="G72"/>
  <c r="G68"/>
  <c r="G66"/>
  <c r="G62"/>
  <c r="G60"/>
  <c r="G58"/>
  <c r="G56"/>
  <c r="G54"/>
  <c r="G52"/>
  <c r="G50"/>
  <c r="G48"/>
  <c r="G46"/>
  <c r="G44"/>
  <c r="G42"/>
  <c r="G40"/>
  <c r="G38"/>
  <c r="G36"/>
  <c r="G34"/>
  <c r="G32"/>
  <c r="G30"/>
  <c r="G28"/>
  <c r="G26"/>
  <c r="G24"/>
  <c r="G22"/>
  <c r="G20"/>
  <c r="G18"/>
  <c r="E72"/>
  <c r="E68"/>
  <c r="E66"/>
  <c r="E62"/>
  <c r="E60"/>
  <c r="E58"/>
  <c r="E56"/>
  <c r="E54"/>
  <c r="E52"/>
  <c r="E50"/>
  <c r="E48"/>
  <c r="E46"/>
  <c r="E44"/>
  <c r="E42"/>
  <c r="E40"/>
  <c r="E38"/>
  <c r="E36"/>
  <c r="E34"/>
  <c r="E32"/>
  <c r="E30"/>
  <c r="E28"/>
  <c r="E26"/>
  <c r="E24"/>
  <c r="E22"/>
  <c r="E20"/>
  <c r="E18"/>
  <c r="G75"/>
  <c r="G73"/>
  <c r="G71"/>
  <c r="G67"/>
  <c r="G65"/>
  <c r="G61"/>
  <c r="G59"/>
  <c r="G57"/>
  <c r="G55"/>
  <c r="G53"/>
  <c r="G51"/>
  <c r="G49"/>
  <c r="G47"/>
  <c r="G45"/>
  <c r="G43"/>
  <c r="G41"/>
  <c r="G39"/>
  <c r="G37"/>
  <c r="G35"/>
  <c r="G33"/>
  <c r="G31"/>
  <c r="G29"/>
  <c r="G27"/>
  <c r="G25"/>
  <c r="G23"/>
  <c r="G19"/>
  <c r="E75"/>
  <c r="E73"/>
  <c r="E71"/>
  <c r="E67"/>
  <c r="E65"/>
  <c r="E61"/>
  <c r="E59"/>
  <c r="E57"/>
  <c r="E55"/>
  <c r="E53"/>
  <c r="E51"/>
  <c r="E49"/>
  <c r="E47"/>
  <c r="E45"/>
  <c r="E43"/>
  <c r="E41"/>
  <c r="E39"/>
  <c r="E37"/>
  <c r="E35"/>
  <c r="E33"/>
  <c r="E31"/>
  <c r="E29"/>
  <c r="E27"/>
  <c r="E25"/>
  <c r="E23"/>
  <c r="E19"/>
  <c r="G21"/>
  <c r="E17"/>
  <c r="E21"/>
  <c r="G17"/>
  <c r="G16"/>
  <c r="E16"/>
  <c r="J74"/>
  <c r="M69"/>
  <c r="H69"/>
  <c r="D74"/>
  <c r="E69"/>
  <c r="L69"/>
  <c r="I69"/>
  <c r="G63"/>
  <c r="E63"/>
  <c r="E87" i="10"/>
  <c r="D83"/>
  <c r="M87"/>
  <c r="I87"/>
  <c r="L87"/>
  <c r="H87"/>
  <c r="C88"/>
  <c r="P6" i="31"/>
  <c r="P7"/>
  <c r="P5"/>
  <c r="J70" i="32" l="1"/>
  <c r="G74"/>
  <c r="F70"/>
  <c r="G70" s="1"/>
  <c r="E74"/>
  <c r="L74"/>
  <c r="I74"/>
  <c r="M74"/>
  <c r="H74"/>
  <c r="D70"/>
  <c r="E83" i="10"/>
  <c r="M83"/>
  <c r="I83"/>
  <c r="L83"/>
  <c r="H83"/>
  <c r="E43" i="36"/>
  <c r="I43" s="1"/>
  <c r="G43"/>
  <c r="L18"/>
  <c r="M13"/>
  <c r="L13"/>
  <c r="D7"/>
  <c r="C7"/>
  <c r="D78"/>
  <c r="D77"/>
  <c r="D76"/>
  <c r="D73"/>
  <c r="D72"/>
  <c r="D71"/>
  <c r="D67"/>
  <c r="D66"/>
  <c r="D65"/>
  <c r="D64"/>
  <c r="D63"/>
  <c r="D62"/>
  <c r="D61"/>
  <c r="D59"/>
  <c r="D58"/>
  <c r="D57"/>
  <c r="D56"/>
  <c r="D55"/>
  <c r="D53"/>
  <c r="D52"/>
  <c r="D51"/>
  <c r="D50"/>
  <c r="D49"/>
  <c r="D48"/>
  <c r="D47"/>
  <c r="D46"/>
  <c r="D45"/>
  <c r="D44"/>
  <c r="D40"/>
  <c r="D39"/>
  <c r="D38"/>
  <c r="D37"/>
  <c r="D36"/>
  <c r="D35"/>
  <c r="D33"/>
  <c r="D32"/>
  <c r="D31"/>
  <c r="D30"/>
  <c r="D29"/>
  <c r="D28"/>
  <c r="D26"/>
  <c r="D25"/>
  <c r="D24"/>
  <c r="D23"/>
  <c r="D21"/>
  <c r="D20"/>
  <c r="D19"/>
  <c r="D18"/>
  <c r="D16"/>
  <c r="D15"/>
  <c r="D14"/>
  <c r="D13"/>
  <c r="D12"/>
  <c r="D11"/>
  <c r="D10"/>
  <c r="C70"/>
  <c r="D70" s="1"/>
  <c r="C60"/>
  <c r="D60" s="1"/>
  <c r="C54"/>
  <c r="D54" s="1"/>
  <c r="C43"/>
  <c r="D43" s="1"/>
  <c r="C34"/>
  <c r="D34" s="1"/>
  <c r="C27"/>
  <c r="D27" s="1"/>
  <c r="C22"/>
  <c r="D22" s="1"/>
  <c r="C17"/>
  <c r="D17" s="1"/>
  <c r="C9"/>
  <c r="D9" s="1"/>
  <c r="J52"/>
  <c r="J40"/>
  <c r="I40"/>
  <c r="I39"/>
  <c r="I38"/>
  <c r="I37"/>
  <c r="I36"/>
  <c r="I35"/>
  <c r="I33"/>
  <c r="I32"/>
  <c r="I31"/>
  <c r="I30"/>
  <c r="I29"/>
  <c r="I28"/>
  <c r="I26"/>
  <c r="I25"/>
  <c r="I24"/>
  <c r="I23"/>
  <c r="I21"/>
  <c r="I20"/>
  <c r="I19"/>
  <c r="I18"/>
  <c r="I16"/>
  <c r="I15"/>
  <c r="I14"/>
  <c r="I13"/>
  <c r="I12"/>
  <c r="I11"/>
  <c r="I10"/>
  <c r="H78"/>
  <c r="H77"/>
  <c r="H76"/>
  <c r="H74"/>
  <c r="H73"/>
  <c r="H72"/>
  <c r="H71"/>
  <c r="H67"/>
  <c r="H66"/>
  <c r="H65"/>
  <c r="H64"/>
  <c r="H63"/>
  <c r="H62"/>
  <c r="H61"/>
  <c r="H59"/>
  <c r="H58"/>
  <c r="H57"/>
  <c r="H56"/>
  <c r="H55"/>
  <c r="H53"/>
  <c r="H52"/>
  <c r="H51"/>
  <c r="H50"/>
  <c r="H49"/>
  <c r="H48"/>
  <c r="H47"/>
  <c r="H46"/>
  <c r="H45"/>
  <c r="H44"/>
  <c r="H43"/>
  <c r="H40"/>
  <c r="H39"/>
  <c r="H38"/>
  <c r="H37"/>
  <c r="H36"/>
  <c r="H35"/>
  <c r="H33"/>
  <c r="H32"/>
  <c r="H31"/>
  <c r="H30"/>
  <c r="H29"/>
  <c r="H28"/>
  <c r="H26"/>
  <c r="H25"/>
  <c r="H24"/>
  <c r="H23"/>
  <c r="H21"/>
  <c r="H20"/>
  <c r="H19"/>
  <c r="H18"/>
  <c r="H16"/>
  <c r="H15"/>
  <c r="H14"/>
  <c r="H13"/>
  <c r="H12"/>
  <c r="H11"/>
  <c r="H10"/>
  <c r="G60"/>
  <c r="H60" s="1"/>
  <c r="G54"/>
  <c r="G70"/>
  <c r="H70" s="1"/>
  <c r="G79"/>
  <c r="G75" s="1"/>
  <c r="H75" s="1"/>
  <c r="G34"/>
  <c r="J34" s="1"/>
  <c r="E34"/>
  <c r="G27"/>
  <c r="H27" s="1"/>
  <c r="E27"/>
  <c r="G22"/>
  <c r="E22"/>
  <c r="G17"/>
  <c r="H17" s="1"/>
  <c r="E17"/>
  <c r="G9"/>
  <c r="H9" s="1"/>
  <c r="E9"/>
  <c r="G8"/>
  <c r="L16" s="1"/>
  <c r="F40"/>
  <c r="J10"/>
  <c r="J11"/>
  <c r="J12"/>
  <c r="J13"/>
  <c r="J14"/>
  <c r="J15"/>
  <c r="J16"/>
  <c r="J18"/>
  <c r="J19"/>
  <c r="J20"/>
  <c r="J21"/>
  <c r="J23"/>
  <c r="J24"/>
  <c r="J25"/>
  <c r="J26"/>
  <c r="J28"/>
  <c r="J29"/>
  <c r="J30"/>
  <c r="J31"/>
  <c r="J32"/>
  <c r="J33"/>
  <c r="J35"/>
  <c r="J36"/>
  <c r="J37"/>
  <c r="J38"/>
  <c r="J39"/>
  <c r="I44"/>
  <c r="J44"/>
  <c r="I45"/>
  <c r="J45"/>
  <c r="I46"/>
  <c r="J46"/>
  <c r="I47"/>
  <c r="J47"/>
  <c r="I48"/>
  <c r="J48"/>
  <c r="I49"/>
  <c r="J49"/>
  <c r="I50"/>
  <c r="J50"/>
  <c r="I51"/>
  <c r="J51"/>
  <c r="I52"/>
  <c r="I53"/>
  <c r="J53"/>
  <c r="I55"/>
  <c r="J55"/>
  <c r="I56"/>
  <c r="J56"/>
  <c r="I57"/>
  <c r="J57"/>
  <c r="I58"/>
  <c r="J58"/>
  <c r="I59"/>
  <c r="J59"/>
  <c r="I61"/>
  <c r="J61"/>
  <c r="I62"/>
  <c r="J62"/>
  <c r="I63"/>
  <c r="J63"/>
  <c r="I64"/>
  <c r="J64"/>
  <c r="I65"/>
  <c r="J65"/>
  <c r="I66"/>
  <c r="J66"/>
  <c r="I67"/>
  <c r="J67"/>
  <c r="I71"/>
  <c r="J71"/>
  <c r="I72"/>
  <c r="J72"/>
  <c r="I73"/>
  <c r="J73"/>
  <c r="I76"/>
  <c r="J76"/>
  <c r="I77"/>
  <c r="J77"/>
  <c r="I78"/>
  <c r="J78"/>
  <c r="F78"/>
  <c r="F77"/>
  <c r="F76"/>
  <c r="F73"/>
  <c r="F72"/>
  <c r="F71"/>
  <c r="E70"/>
  <c r="F70" s="1"/>
  <c r="F67"/>
  <c r="F66"/>
  <c r="F65"/>
  <c r="F64"/>
  <c r="F63"/>
  <c r="F62"/>
  <c r="F61"/>
  <c r="E60"/>
  <c r="F59"/>
  <c r="F58"/>
  <c r="F57"/>
  <c r="F56"/>
  <c r="F55"/>
  <c r="E54"/>
  <c r="J54" s="1"/>
  <c r="F53"/>
  <c r="F52"/>
  <c r="F51"/>
  <c r="F50"/>
  <c r="F49"/>
  <c r="F48"/>
  <c r="F47"/>
  <c r="F46"/>
  <c r="F45"/>
  <c r="F44"/>
  <c r="J43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J60" l="1"/>
  <c r="J9"/>
  <c r="G41"/>
  <c r="G42" s="1"/>
  <c r="H42" s="1"/>
  <c r="C8"/>
  <c r="E70" i="32"/>
  <c r="M70"/>
  <c r="H70"/>
  <c r="L70"/>
  <c r="I70"/>
  <c r="I22" i="36"/>
  <c r="I34"/>
  <c r="E8"/>
  <c r="H8"/>
  <c r="H22"/>
  <c r="H34"/>
  <c r="H54"/>
  <c r="I9"/>
  <c r="I17"/>
  <c r="I27"/>
  <c r="C41"/>
  <c r="D41" s="1"/>
  <c r="D8"/>
  <c r="H79"/>
  <c r="H41"/>
  <c r="C42"/>
  <c r="D42" s="1"/>
  <c r="G68"/>
  <c r="I8"/>
  <c r="F8"/>
  <c r="J8"/>
  <c r="J27"/>
  <c r="J22"/>
  <c r="J17"/>
  <c r="I70"/>
  <c r="I60"/>
  <c r="I54"/>
  <c r="J70"/>
  <c r="F60"/>
  <c r="E41"/>
  <c r="F43"/>
  <c r="F54"/>
  <c r="I41" l="1"/>
  <c r="C68"/>
  <c r="D68" s="1"/>
  <c r="G69"/>
  <c r="H69" s="1"/>
  <c r="H68"/>
  <c r="F41"/>
  <c r="J41"/>
  <c r="E68"/>
  <c r="E69" s="1"/>
  <c r="E42"/>
  <c r="C69" l="1"/>
  <c r="D69" s="1"/>
  <c r="C74"/>
  <c r="D74" s="1"/>
  <c r="C79"/>
  <c r="D79" s="1"/>
  <c r="E74"/>
  <c r="I74" s="1"/>
  <c r="F68"/>
  <c r="F69"/>
  <c r="J69"/>
  <c r="I69"/>
  <c r="F42"/>
  <c r="J42"/>
  <c r="I42"/>
  <c r="J74"/>
  <c r="J68"/>
  <c r="I68"/>
  <c r="F74"/>
  <c r="E79" l="1"/>
  <c r="J79" s="1"/>
  <c r="I79"/>
  <c r="F79"/>
  <c r="E75" l="1"/>
  <c r="F75" s="1"/>
  <c r="J75"/>
  <c r="I75" l="1"/>
  <c r="J73" i="33"/>
  <c r="F73"/>
  <c r="G73" s="1"/>
  <c r="D73"/>
  <c r="J35"/>
  <c r="F35"/>
  <c r="G35" s="1"/>
  <c r="D35"/>
  <c r="J72"/>
  <c r="F72"/>
  <c r="G72" s="1"/>
  <c r="D72"/>
  <c r="J71"/>
  <c r="F71"/>
  <c r="G71" s="1"/>
  <c r="D71"/>
  <c r="J68"/>
  <c r="F68"/>
  <c r="G68" s="1"/>
  <c r="D68"/>
  <c r="J67"/>
  <c r="F67"/>
  <c r="G67" s="1"/>
  <c r="D67"/>
  <c r="J66"/>
  <c r="F66"/>
  <c r="G66" s="1"/>
  <c r="D66"/>
  <c r="J62"/>
  <c r="F62"/>
  <c r="G62" s="1"/>
  <c r="D62"/>
  <c r="F61"/>
  <c r="G61" s="1"/>
  <c r="D61"/>
  <c r="O61" s="1"/>
  <c r="J60"/>
  <c r="F60"/>
  <c r="G60" s="1"/>
  <c r="D60"/>
  <c r="O60" s="1"/>
  <c r="J59"/>
  <c r="F59"/>
  <c r="G59" s="1"/>
  <c r="D59"/>
  <c r="O59" s="1"/>
  <c r="J58"/>
  <c r="F58"/>
  <c r="G58" s="1"/>
  <c r="D58"/>
  <c r="O58" s="1"/>
  <c r="J57"/>
  <c r="F57"/>
  <c r="G57" s="1"/>
  <c r="D57"/>
  <c r="G56"/>
  <c r="J54"/>
  <c r="F54"/>
  <c r="G54" s="1"/>
  <c r="D54"/>
  <c r="J53"/>
  <c r="F53"/>
  <c r="G53" s="1"/>
  <c r="D53"/>
  <c r="J52"/>
  <c r="F52"/>
  <c r="G52" s="1"/>
  <c r="D52"/>
  <c r="J51"/>
  <c r="F51"/>
  <c r="G51" s="1"/>
  <c r="D51"/>
  <c r="J50"/>
  <c r="F50"/>
  <c r="G50" s="1"/>
  <c r="D50"/>
  <c r="J48"/>
  <c r="F48"/>
  <c r="G48" s="1"/>
  <c r="D48"/>
  <c r="J47"/>
  <c r="F47"/>
  <c r="G47" s="1"/>
  <c r="D47"/>
  <c r="J46"/>
  <c r="F46"/>
  <c r="G46" s="1"/>
  <c r="D46"/>
  <c r="J45"/>
  <c r="F45"/>
  <c r="G45" s="1"/>
  <c r="D45"/>
  <c r="J44"/>
  <c r="F44"/>
  <c r="G44" s="1"/>
  <c r="D44"/>
  <c r="J43"/>
  <c r="F43"/>
  <c r="G43" s="1"/>
  <c r="D43"/>
  <c r="J42"/>
  <c r="F42"/>
  <c r="G42" s="1"/>
  <c r="D42"/>
  <c r="J41"/>
  <c r="F41"/>
  <c r="G41" s="1"/>
  <c r="D41"/>
  <c r="J40"/>
  <c r="F40"/>
  <c r="G40" s="1"/>
  <c r="D40"/>
  <c r="J39"/>
  <c r="F39"/>
  <c r="G39" s="1"/>
  <c r="D39"/>
  <c r="F34"/>
  <c r="G34" s="1"/>
  <c r="D34"/>
  <c r="F30"/>
  <c r="G30" s="1"/>
  <c r="D30"/>
  <c r="F29"/>
  <c r="G29" s="1"/>
  <c r="D29"/>
  <c r="F28"/>
  <c r="G28" s="1"/>
  <c r="D28"/>
  <c r="F27"/>
  <c r="G27" s="1"/>
  <c r="D27"/>
  <c r="F25"/>
  <c r="G25" s="1"/>
  <c r="D25"/>
  <c r="J24"/>
  <c r="F24"/>
  <c r="G24" s="1"/>
  <c r="D24"/>
  <c r="F23"/>
  <c r="G23" s="1"/>
  <c r="D23"/>
  <c r="F22"/>
  <c r="G22" s="1"/>
  <c r="D22"/>
  <c r="F21"/>
  <c r="G21" s="1"/>
  <c r="D21"/>
  <c r="F20"/>
  <c r="G20" s="1"/>
  <c r="D20"/>
  <c r="F19"/>
  <c r="G19" s="1"/>
  <c r="D19"/>
  <c r="D18"/>
  <c r="E20" i="30"/>
  <c r="E21"/>
  <c r="E22"/>
  <c r="E19"/>
  <c r="E14"/>
  <c r="E15"/>
  <c r="E13"/>
  <c r="E9"/>
  <c r="D58" i="29"/>
  <c r="D57"/>
  <c r="D53"/>
  <c r="D37"/>
  <c r="E19" i="33" l="1"/>
  <c r="H19"/>
  <c r="I19"/>
  <c r="E20"/>
  <c r="H20"/>
  <c r="I20"/>
  <c r="E21"/>
  <c r="H21"/>
  <c r="I21"/>
  <c r="E22"/>
  <c r="H22"/>
  <c r="I22"/>
  <c r="E23"/>
  <c r="H23"/>
  <c r="I23"/>
  <c r="E24"/>
  <c r="L24"/>
  <c r="H24"/>
  <c r="M24"/>
  <c r="I24"/>
  <c r="E40"/>
  <c r="L40"/>
  <c r="H40"/>
  <c r="M40"/>
  <c r="I40"/>
  <c r="E42"/>
  <c r="L42"/>
  <c r="H42"/>
  <c r="M42"/>
  <c r="I42"/>
  <c r="E44"/>
  <c r="L44"/>
  <c r="H44"/>
  <c r="M44"/>
  <c r="I44"/>
  <c r="E46"/>
  <c r="L46"/>
  <c r="H46"/>
  <c r="M46"/>
  <c r="I46"/>
  <c r="E48"/>
  <c r="L48"/>
  <c r="H48"/>
  <c r="M48"/>
  <c r="I48"/>
  <c r="E51"/>
  <c r="L51"/>
  <c r="H51"/>
  <c r="M51"/>
  <c r="I51"/>
  <c r="E53"/>
  <c r="L53"/>
  <c r="H53"/>
  <c r="M53"/>
  <c r="I53"/>
  <c r="E56"/>
  <c r="L56"/>
  <c r="H56"/>
  <c r="M56"/>
  <c r="I56"/>
  <c r="E58"/>
  <c r="L58"/>
  <c r="H58"/>
  <c r="M58"/>
  <c r="I58"/>
  <c r="E60"/>
  <c r="L60"/>
  <c r="H60"/>
  <c r="M60"/>
  <c r="I60"/>
  <c r="E66"/>
  <c r="L66"/>
  <c r="H66"/>
  <c r="M66"/>
  <c r="I66"/>
  <c r="E68"/>
  <c r="L68"/>
  <c r="H68"/>
  <c r="M68"/>
  <c r="I68"/>
  <c r="E72"/>
  <c r="L72"/>
  <c r="H72"/>
  <c r="M72"/>
  <c r="I72"/>
  <c r="E73"/>
  <c r="L73"/>
  <c r="H73"/>
  <c r="M73"/>
  <c r="I73"/>
  <c r="E18"/>
  <c r="H18"/>
  <c r="I18"/>
  <c r="E25"/>
  <c r="H25"/>
  <c r="I25"/>
  <c r="E27"/>
  <c r="H27"/>
  <c r="I27"/>
  <c r="E28"/>
  <c r="H28"/>
  <c r="I28"/>
  <c r="E29"/>
  <c r="H29"/>
  <c r="I29"/>
  <c r="E30"/>
  <c r="H30"/>
  <c r="I30"/>
  <c r="E34"/>
  <c r="H34"/>
  <c r="I34"/>
  <c r="E39"/>
  <c r="L39"/>
  <c r="H39"/>
  <c r="M39"/>
  <c r="I39"/>
  <c r="E41"/>
  <c r="L41"/>
  <c r="H41"/>
  <c r="M41"/>
  <c r="I41"/>
  <c r="E43"/>
  <c r="L43"/>
  <c r="H43"/>
  <c r="M43"/>
  <c r="I43"/>
  <c r="E45"/>
  <c r="L45"/>
  <c r="H45"/>
  <c r="M45"/>
  <c r="I45"/>
  <c r="E47"/>
  <c r="L47"/>
  <c r="H47"/>
  <c r="M47"/>
  <c r="I47"/>
  <c r="E50"/>
  <c r="L50"/>
  <c r="H50"/>
  <c r="M50"/>
  <c r="I50"/>
  <c r="E52"/>
  <c r="L52"/>
  <c r="H52"/>
  <c r="M52"/>
  <c r="I52"/>
  <c r="E54"/>
  <c r="L54"/>
  <c r="H54"/>
  <c r="M54"/>
  <c r="I54"/>
  <c r="E57"/>
  <c r="L57"/>
  <c r="H57"/>
  <c r="M57"/>
  <c r="I57"/>
  <c r="E59"/>
  <c r="L59"/>
  <c r="H59"/>
  <c r="M59"/>
  <c r="I59"/>
  <c r="E61"/>
  <c r="H61"/>
  <c r="I61"/>
  <c r="E62"/>
  <c r="L62"/>
  <c r="H62"/>
  <c r="M62"/>
  <c r="I62"/>
  <c r="E67"/>
  <c r="L67"/>
  <c r="H67"/>
  <c r="M67"/>
  <c r="I67"/>
  <c r="E71"/>
  <c r="L71"/>
  <c r="H71"/>
  <c r="M71"/>
  <c r="I71"/>
  <c r="E35"/>
  <c r="L35"/>
  <c r="H35"/>
  <c r="M35"/>
  <c r="I35"/>
  <c r="J61"/>
  <c r="L61" s="1"/>
  <c r="F55"/>
  <c r="G55" s="1"/>
  <c r="F38"/>
  <c r="G38" s="1"/>
  <c r="J38"/>
  <c r="J55"/>
  <c r="D17"/>
  <c r="D65"/>
  <c r="J65"/>
  <c r="F17"/>
  <c r="F26"/>
  <c r="G26" s="1"/>
  <c r="D38"/>
  <c r="P38" s="1"/>
  <c r="F65"/>
  <c r="G65" s="1"/>
  <c r="D26"/>
  <c r="D55"/>
  <c r="O55" s="1"/>
  <c r="C75"/>
  <c r="C37"/>
  <c r="C36"/>
  <c r="C34"/>
  <c r="C33"/>
  <c r="C32"/>
  <c r="C31"/>
  <c r="C30"/>
  <c r="C29"/>
  <c r="C28"/>
  <c r="C27"/>
  <c r="C26"/>
  <c r="C25"/>
  <c r="C23"/>
  <c r="C22"/>
  <c r="C21"/>
  <c r="C20"/>
  <c r="C19"/>
  <c r="C18"/>
  <c r="C17"/>
  <c r="C16"/>
  <c r="M15"/>
  <c r="L15"/>
  <c r="K15"/>
  <c r="J15"/>
  <c r="I15"/>
  <c r="H15"/>
  <c r="G15"/>
  <c r="F15"/>
  <c r="E15"/>
  <c r="D15"/>
  <c r="C15"/>
  <c r="C11"/>
  <c r="G17" l="1"/>
  <c r="M61"/>
  <c r="H26"/>
  <c r="I26"/>
  <c r="E38"/>
  <c r="L38"/>
  <c r="H38"/>
  <c r="M38"/>
  <c r="I38"/>
  <c r="E65"/>
  <c r="L65"/>
  <c r="H65"/>
  <c r="M65"/>
  <c r="I65"/>
  <c r="L55"/>
  <c r="H55"/>
  <c r="M55"/>
  <c r="I55"/>
  <c r="E17"/>
  <c r="H17"/>
  <c r="I17"/>
  <c r="E26"/>
  <c r="E55"/>
  <c r="E8" i="30"/>
  <c r="K11" i="32" l="1"/>
  <c r="C76" l="1"/>
  <c r="C41"/>
  <c r="C40"/>
  <c r="C38"/>
  <c r="C37"/>
  <c r="C36"/>
  <c r="C35"/>
  <c r="C34"/>
  <c r="C33"/>
  <c r="C29"/>
  <c r="C28"/>
  <c r="C27"/>
  <c r="C23"/>
  <c r="C22"/>
  <c r="C21"/>
  <c r="C19"/>
  <c r="C18"/>
  <c r="C17"/>
  <c r="C16"/>
  <c r="L15"/>
  <c r="K15"/>
  <c r="J15"/>
  <c r="H15"/>
  <c r="G15"/>
  <c r="F15"/>
  <c r="E15"/>
  <c r="D15"/>
  <c r="C15"/>
  <c r="F49" i="33" l="1"/>
  <c r="G49" s="1"/>
  <c r="J49"/>
  <c r="D49"/>
  <c r="O49" s="1"/>
  <c r="L49" l="1"/>
  <c r="H49"/>
  <c r="M49"/>
  <c r="I49"/>
  <c r="E49"/>
  <c r="D36"/>
  <c r="J36"/>
  <c r="F36"/>
  <c r="F85" s="1"/>
  <c r="F86" s="1"/>
  <c r="S19" l="1"/>
  <c r="J85"/>
  <c r="J86" s="1"/>
  <c r="N36"/>
  <c r="D85"/>
  <c r="D86" s="1"/>
  <c r="S17"/>
  <c r="P12"/>
  <c r="G36"/>
  <c r="S18"/>
  <c r="L36"/>
  <c r="H36"/>
  <c r="M36"/>
  <c r="I36"/>
  <c r="E36"/>
  <c r="D37"/>
  <c r="F37"/>
  <c r="G37" s="1"/>
  <c r="J37"/>
  <c r="E37" l="1"/>
  <c r="L37"/>
  <c r="H37"/>
  <c r="M37"/>
  <c r="I37"/>
  <c r="J18"/>
  <c r="L18" l="1"/>
  <c r="M18"/>
  <c r="J22"/>
  <c r="D7" i="29"/>
  <c r="K85" i="10" l="1"/>
  <c r="K81"/>
  <c r="K79"/>
  <c r="K75"/>
  <c r="K73"/>
  <c r="K71"/>
  <c r="K69"/>
  <c r="K66"/>
  <c r="K64"/>
  <c r="K61"/>
  <c r="K59"/>
  <c r="K57"/>
  <c r="K55"/>
  <c r="K53"/>
  <c r="K48"/>
  <c r="K46"/>
  <c r="K44"/>
  <c r="K42"/>
  <c r="K40"/>
  <c r="K38"/>
  <c r="K36"/>
  <c r="K34"/>
  <c r="K32"/>
  <c r="K30"/>
  <c r="K28"/>
  <c r="K26"/>
  <c r="K24"/>
  <c r="K22"/>
  <c r="K20"/>
  <c r="K18"/>
  <c r="K16"/>
  <c r="K86"/>
  <c r="K84"/>
  <c r="K80"/>
  <c r="K74"/>
  <c r="K72"/>
  <c r="K70"/>
  <c r="K67"/>
  <c r="K65"/>
  <c r="K63"/>
  <c r="K60"/>
  <c r="K58"/>
  <c r="K56"/>
  <c r="K54"/>
  <c r="K52"/>
  <c r="K47"/>
  <c r="K45"/>
  <c r="K43"/>
  <c r="K41"/>
  <c r="K39"/>
  <c r="K37"/>
  <c r="K35"/>
  <c r="K33"/>
  <c r="K31"/>
  <c r="K29"/>
  <c r="K27"/>
  <c r="K25"/>
  <c r="K23"/>
  <c r="K21"/>
  <c r="K19"/>
  <c r="K17"/>
  <c r="K62"/>
  <c r="K49"/>
  <c r="K78"/>
  <c r="K68"/>
  <c r="K51"/>
  <c r="K50"/>
  <c r="K76"/>
  <c r="K82"/>
  <c r="K77"/>
  <c r="K87"/>
  <c r="K83"/>
  <c r="L22" i="33"/>
  <c r="M22"/>
  <c r="J11"/>
  <c r="J11" i="32"/>
  <c r="K22" i="33"/>
  <c r="J21"/>
  <c r="D21" i="29"/>
  <c r="D23"/>
  <c r="D20"/>
  <c r="K72" i="32" l="1"/>
  <c r="K68"/>
  <c r="K66"/>
  <c r="K62"/>
  <c r="K60"/>
  <c r="K58"/>
  <c r="K56"/>
  <c r="K54"/>
  <c r="K52"/>
  <c r="K50"/>
  <c r="K48"/>
  <c r="K46"/>
  <c r="K44"/>
  <c r="K42"/>
  <c r="K40"/>
  <c r="K38"/>
  <c r="K36"/>
  <c r="K34"/>
  <c r="K32"/>
  <c r="K30"/>
  <c r="K28"/>
  <c r="K26"/>
  <c r="K24"/>
  <c r="K22"/>
  <c r="K20"/>
  <c r="K18"/>
  <c r="K75"/>
  <c r="K73"/>
  <c r="K71"/>
  <c r="K67"/>
  <c r="K65"/>
  <c r="K61"/>
  <c r="K59"/>
  <c r="K57"/>
  <c r="K55"/>
  <c r="K53"/>
  <c r="K51"/>
  <c r="K49"/>
  <c r="K47"/>
  <c r="K45"/>
  <c r="K43"/>
  <c r="K41"/>
  <c r="K39"/>
  <c r="K37"/>
  <c r="K35"/>
  <c r="K33"/>
  <c r="K31"/>
  <c r="K29"/>
  <c r="K27"/>
  <c r="K25"/>
  <c r="K23"/>
  <c r="K19"/>
  <c r="K17"/>
  <c r="K21"/>
  <c r="K16"/>
  <c r="K63"/>
  <c r="K69"/>
  <c r="K64"/>
  <c r="K74"/>
  <c r="K70"/>
  <c r="K21" i="33"/>
  <c r="L21"/>
  <c r="M21"/>
  <c r="K24"/>
  <c r="K46"/>
  <c r="K51"/>
  <c r="K56"/>
  <c r="K60"/>
  <c r="K39"/>
  <c r="K43"/>
  <c r="K47"/>
  <c r="K52"/>
  <c r="K57"/>
  <c r="K62"/>
  <c r="K71"/>
  <c r="K40"/>
  <c r="K68"/>
  <c r="K73"/>
  <c r="K42"/>
  <c r="K48"/>
  <c r="K53"/>
  <c r="K58"/>
  <c r="K66"/>
  <c r="K41"/>
  <c r="K45"/>
  <c r="K50"/>
  <c r="K54"/>
  <c r="K59"/>
  <c r="K67"/>
  <c r="K35"/>
  <c r="K44"/>
  <c r="K72"/>
  <c r="K65"/>
  <c r="K61"/>
  <c r="K55"/>
  <c r="K38"/>
  <c r="K49"/>
  <c r="K36"/>
  <c r="K37"/>
  <c r="K18"/>
  <c r="J25"/>
  <c r="J23"/>
  <c r="J29"/>
  <c r="J20"/>
  <c r="J28"/>
  <c r="J30"/>
  <c r="J19"/>
  <c r="J27"/>
  <c r="J34"/>
  <c r="D11" i="29"/>
  <c r="L19" i="33" l="1"/>
  <c r="M19"/>
  <c r="K28"/>
  <c r="L28"/>
  <c r="M28"/>
  <c r="K29"/>
  <c r="L29"/>
  <c r="M29"/>
  <c r="K25"/>
  <c r="L25"/>
  <c r="M25"/>
  <c r="K34"/>
  <c r="L34"/>
  <c r="M34"/>
  <c r="L27"/>
  <c r="M27"/>
  <c r="K30"/>
  <c r="L30"/>
  <c r="M30"/>
  <c r="K20"/>
  <c r="L20"/>
  <c r="M20"/>
  <c r="K23"/>
  <c r="L23"/>
  <c r="M23"/>
  <c r="K19"/>
  <c r="J17"/>
  <c r="K27"/>
  <c r="J26"/>
  <c r="D10" i="29"/>
  <c r="K17" i="33" l="1"/>
  <c r="L17"/>
  <c r="M17"/>
  <c r="K26"/>
  <c r="L26"/>
  <c r="M26"/>
  <c r="D8" i="29"/>
  <c r="D16"/>
  <c r="D45"/>
  <c r="D18"/>
  <c r="D12"/>
  <c r="D17"/>
  <c r="D9"/>
  <c r="D15"/>
  <c r="D13"/>
  <c r="D32" l="1"/>
  <c r="D22"/>
  <c r="D35" l="1"/>
  <c r="D30"/>
  <c r="D26"/>
  <c r="D34"/>
  <c r="D29"/>
  <c r="D33"/>
  <c r="D28"/>
  <c r="D27"/>
  <c r="D25"/>
  <c r="D52"/>
  <c r="D36"/>
  <c r="E12" i="30" l="1"/>
  <c r="G12" s="1"/>
  <c r="F4" i="29" l="1"/>
  <c r="G8" i="10"/>
  <c r="G9"/>
  <c r="E11" i="30" l="1"/>
  <c r="J9" i="10"/>
  <c r="C50" l="1"/>
  <c r="C49" l="1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F31" i="33" l="1"/>
  <c r="J31"/>
  <c r="F32"/>
  <c r="G32" s="1"/>
  <c r="J32"/>
  <c r="K32" s="1"/>
  <c r="F33"/>
  <c r="G33" s="1"/>
  <c r="J33"/>
  <c r="K33" s="1"/>
  <c r="D31"/>
  <c r="D32"/>
  <c r="D44" i="29"/>
  <c r="D24"/>
  <c r="D31"/>
  <c r="D19"/>
  <c r="C16" i="10"/>
  <c r="C15"/>
  <c r="C14"/>
  <c r="C11"/>
  <c r="C11" i="32" s="1"/>
  <c r="G31" i="33" l="1"/>
  <c r="F16"/>
  <c r="K31"/>
  <c r="J16"/>
  <c r="J80" s="1"/>
  <c r="J81" s="1"/>
  <c r="E31"/>
  <c r="L31"/>
  <c r="H31"/>
  <c r="M31"/>
  <c r="I31"/>
  <c r="E32"/>
  <c r="L32"/>
  <c r="H32"/>
  <c r="M32"/>
  <c r="I32"/>
  <c r="D14" i="29"/>
  <c r="D6" s="1"/>
  <c r="D5" s="1"/>
  <c r="E6" i="30"/>
  <c r="R18" i="33" l="1"/>
  <c r="F80"/>
  <c r="F81" s="1"/>
  <c r="K16"/>
  <c r="R19"/>
  <c r="F63"/>
  <c r="F90" s="1"/>
  <c r="F91" s="1"/>
  <c r="G16"/>
  <c r="J63"/>
  <c r="J90" s="1"/>
  <c r="J91" s="1"/>
  <c r="E5" i="30"/>
  <c r="J69" i="33" l="1"/>
  <c r="J74" s="1"/>
  <c r="T19"/>
  <c r="G63"/>
  <c r="T18"/>
  <c r="F64"/>
  <c r="G64" s="1"/>
  <c r="F69"/>
  <c r="G69" s="1"/>
  <c r="J64"/>
  <c r="K64" s="1"/>
  <c r="K63"/>
  <c r="K69"/>
  <c r="F74" l="1"/>
  <c r="G74" s="1"/>
  <c r="K74"/>
  <c r="J70"/>
  <c r="K70" s="1"/>
  <c r="F70" l="1"/>
  <c r="G70" s="1"/>
  <c r="E4" i="30"/>
  <c r="G4" s="1"/>
  <c r="E7"/>
  <c r="G7" s="1"/>
  <c r="D56" i="29"/>
  <c r="D55" s="1"/>
  <c r="D4" s="1"/>
  <c r="G4" l="1"/>
  <c r="E10" i="30"/>
  <c r="G10" s="1"/>
  <c r="E17" l="1"/>
  <c r="G17" l="1"/>
  <c r="E23"/>
  <c r="G23" s="1"/>
  <c r="E18" l="1"/>
  <c r="G18" s="1"/>
  <c r="J8" i="10" l="1"/>
  <c r="C75" i="36" l="1"/>
  <c r="D75" s="1"/>
  <c r="D33" i="33"/>
  <c r="D16" s="1"/>
  <c r="P11" l="1"/>
  <c r="D80"/>
  <c r="D81" s="1"/>
  <c r="E33"/>
  <c r="L33"/>
  <c r="H33"/>
  <c r="M33"/>
  <c r="I33"/>
  <c r="R17"/>
  <c r="E16" l="1"/>
  <c r="L16"/>
  <c r="H16"/>
  <c r="M16"/>
  <c r="I16"/>
  <c r="D63"/>
  <c r="D90" l="1"/>
  <c r="D91" s="1"/>
  <c r="O63"/>
  <c r="P63" s="1"/>
  <c r="T17"/>
  <c r="E63"/>
  <c r="L63"/>
  <c r="H63"/>
  <c r="M63"/>
  <c r="I63"/>
  <c r="D69"/>
  <c r="D64"/>
  <c r="E64" l="1"/>
  <c r="L64"/>
  <c r="H64"/>
  <c r="M64"/>
  <c r="I64"/>
  <c r="E69"/>
  <c r="L69"/>
  <c r="H69"/>
  <c r="M69"/>
  <c r="I69"/>
  <c r="D74"/>
  <c r="E74" l="1"/>
  <c r="L74"/>
  <c r="H74"/>
  <c r="M74"/>
  <c r="I74"/>
  <c r="D70"/>
  <c r="E70" l="1"/>
  <c r="L70"/>
  <c r="H70"/>
  <c r="M70"/>
  <c r="I70"/>
</calcChain>
</file>

<file path=xl/sharedStrings.xml><?xml version="1.0" encoding="utf-8"?>
<sst xmlns="http://schemas.openxmlformats.org/spreadsheetml/2006/main" count="1281" uniqueCount="458">
  <si>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</si>
  <si>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</si>
  <si>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</si>
  <si>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</si>
  <si>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</si>
  <si>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</si>
  <si>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</si>
  <si>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</si>
  <si>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</si>
  <si>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</si>
  <si>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</si>
  <si>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</si>
  <si>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</si>
  <si>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</si>
  <si>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</si>
  <si>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</si>
  <si>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</si>
  <si>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</si>
  <si>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</si>
  <si>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</si>
  <si>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</si>
  <si>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</si>
  <si>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</si>
  <si>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</si>
  <si>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</si>
  <si>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</si>
  <si>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</si>
  <si>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</si>
  <si>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</si>
  <si>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</si>
  <si>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</si>
  <si>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</si>
  <si>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</si>
  <si>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</si>
  <si>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</si>
  <si>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</si>
  <si>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</si>
  <si>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</si>
  <si>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</si>
  <si>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</si>
  <si>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</si>
  <si>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</si>
  <si>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</si>
  <si>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</si>
  <si>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</si>
  <si>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</si>
  <si>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</si>
  <si>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</si>
  <si>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</si>
  <si>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</si>
  <si>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</si>
  <si>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</si>
  <si>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</si>
  <si>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</si>
  <si>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</si>
  <si>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</si>
  <si>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</si>
  <si>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</si>
  <si>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</si>
  <si>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</si>
  <si>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</si>
  <si>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</si>
  <si>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</si>
  <si>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</si>
  <si>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</si>
  <si>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</si>
  <si>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</si>
  <si>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</si>
  <si>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</si>
  <si>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</si>
  <si>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</si>
  <si>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</si>
  <si>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</si>
  <si>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</si>
  <si>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</si>
  <si>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</si>
  <si>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</si>
  <si>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</si>
  <si>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</si>
  <si>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</si>
  <si>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</si>
  <si>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</si>
  <si>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</si>
  <si>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</si>
  <si>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</si>
  <si>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</si>
  <si>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</si>
  <si>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</si>
  <si>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</si>
  <si>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</si>
  <si>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</si>
  <si>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</si>
  <si>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</si>
  <si>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</si>
  <si>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</si>
  <si>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</si>
  <si>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</si>
  <si>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</si>
  <si>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</si>
  <si>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</si>
  <si>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</si>
  <si>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</si>
  <si>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</si>
  <si>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</si>
  <si>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</si>
  <si>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</si>
  <si>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</si>
  <si>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</si>
  <si>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</si>
  <si>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</si>
  <si>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</si>
  <si>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</si>
  <si>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</si>
  <si>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</si>
  <si>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</si>
  <si>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</si>
  <si>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</si>
  <si>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</si>
  <si>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</si>
  <si>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</si>
  <si>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</si>
  <si>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</si>
  <si>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</si>
  <si>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</si>
  <si>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</si>
  <si>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</si>
  <si>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</si>
  <si>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</si>
  <si>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</si>
  <si>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</si>
  <si>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</si>
  <si>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</si>
  <si>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</si>
  <si>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</si>
  <si>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</si>
  <si>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</si>
  <si>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</si>
  <si>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</si>
  <si>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</si>
  <si>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</si>
  <si>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</si>
  <si>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</si>
  <si>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</si>
  <si>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</si>
  <si>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</si>
  <si>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</si>
  <si>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</si>
  <si>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</si>
  <si>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</si>
  <si>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</si>
  <si>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</si>
  <si>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</si>
  <si>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</si>
  <si>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</si>
  <si>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</si>
  <si>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</si>
  <si>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</si>
  <si>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</si>
  <si>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</si>
  <si>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</si>
  <si>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</si>
  <si>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</si>
  <si>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</si>
  <si>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</si>
  <si>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</si>
  <si>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</si>
  <si>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</si>
  <si>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</si>
  <si>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</si>
  <si>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</si>
  <si>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</si>
  <si>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</si>
  <si>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</si>
  <si>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</si>
  <si>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</si>
  <si>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</si>
  <si>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</si>
  <si>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</si>
  <si>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</si>
  <si>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</si>
  <si>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</si>
  <si>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</si>
  <si>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</si>
  <si>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</si>
  <si>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</si>
  <si>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</si>
  <si>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</si>
  <si>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</si>
  <si>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</si>
  <si>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</si>
  <si>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</si>
  <si>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</si>
  <si>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</si>
  <si>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</si>
  <si>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</si>
  <si>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</si>
  <si>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</si>
  <si>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</si>
  <si>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</si>
  <si>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</si>
  <si>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</si>
  <si>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</si>
  <si>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</si>
  <si>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</si>
  <si>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</si>
  <si>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</si>
  <si>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</si>
  <si>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</si>
  <si>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</si>
  <si>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</si>
  <si>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</si>
  <si>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</si>
  <si>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</si>
  <si>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</si>
  <si>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</si>
  <si>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</si>
  <si>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</si>
  <si>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</si>
  <si>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</si>
  <si>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</si>
  <si>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</si>
  <si>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</si>
  <si>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</si>
  <si>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</si>
  <si>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</si>
  <si>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</si>
  <si>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</si>
  <si>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</si>
  <si>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</si>
  <si>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</si>
  <si>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</si>
  <si>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</si>
  <si>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</si>
  <si>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</si>
  <si>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</si>
  <si>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</si>
  <si>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</si>
  <si>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</si>
  <si>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</si>
  <si>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</si>
  <si>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</si>
  <si>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</si>
  <si>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</si>
  <si>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</si>
  <si>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</si>
  <si>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</si>
  <si>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</si>
  <si>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</si>
  <si>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</si>
  <si>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</si>
  <si>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</si>
  <si>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</si>
  <si>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</si>
  <si>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</si>
  <si>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</si>
  <si>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</si>
  <si>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</si>
  <si>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</si>
  <si>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</si>
  <si>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</si>
  <si>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</si>
  <si>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</si>
  <si>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</si>
  <si>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</si>
  <si>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</si>
  <si>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</si>
  <si>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</si>
  <si>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</si>
  <si>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</si>
  <si>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</si>
  <si>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</si>
  <si>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</si>
  <si>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</si>
  <si>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</si>
  <si>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</si>
  <si>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</si>
  <si>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</si>
  <si>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</si>
  <si>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</si>
  <si>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</si>
  <si>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</si>
  <si>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</si>
  <si>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</si>
  <si>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</si>
  <si>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</si>
  <si>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</si>
  <si>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</si>
  <si>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</si>
  <si>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</si>
  <si>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</si>
  <si>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</si>
  <si>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</si>
  <si>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</si>
  <si>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</si>
  <si>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</si>
  <si>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</si>
  <si>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</si>
  <si>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</si>
  <si>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</si>
  <si>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</si>
  <si>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</si>
  <si>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</si>
  <si>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</si>
  <si>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</si>
  <si>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</si>
  <si>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</si>
  <si>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</si>
  <si>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</si>
  <si>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</si>
  <si>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</si>
  <si>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</si>
  <si>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</si>
  <si>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</si>
  <si>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</si>
  <si>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</si>
  <si>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</si>
  <si>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</si>
  <si>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</si>
  <si>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</si>
  <si>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</si>
  <si>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</si>
  <si>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</si>
  <si>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</si>
  <si>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</si>
  <si>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</si>
  <si>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</si>
  <si>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</si>
  <si>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</si>
  <si>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</si>
  <si>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</si>
  <si>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</si>
  <si>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</si>
  <si>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</si>
  <si>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</si>
  <si>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</si>
  <si>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</si>
  <si>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</si>
  <si>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</si>
  <si>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</si>
  <si>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</si>
  <si>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</si>
  <si>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</si>
  <si>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</si>
  <si>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</si>
  <si>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</si>
  <si>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</si>
  <si>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</si>
  <si>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</si>
  <si>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</si>
  <si>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</si>
  <si>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</si>
  <si>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</si>
  <si>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</si>
  <si>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</si>
  <si>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</si>
  <si>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</si>
  <si>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</si>
  <si>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</si>
  <si>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</si>
  <si>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</si>
  <si>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</si>
  <si>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</si>
  <si>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</si>
  <si>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</si>
  <si>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</si>
  <si>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</si>
  <si>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</si>
  <si>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</si>
  <si>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</si>
  <si>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</si>
  <si>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</si>
  <si>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</si>
  <si>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</si>
  <si>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</si>
  <si>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</si>
  <si>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</si>
  <si>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</si>
  <si>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</si>
  <si>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</si>
  <si>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</si>
  <si>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</si>
  <si>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</si>
  <si>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</si>
  <si>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</si>
  <si>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</si>
  <si>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</si>
  <si>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</si>
  <si>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</si>
  <si>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</si>
  <si>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</si>
  <si>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</si>
  <si>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</si>
  <si>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</si>
  <si>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Plan 2014</t>
  </si>
  <si>
    <t>Ekonomska klasifikacija</t>
  </si>
  <si>
    <t>O   P   I   S</t>
  </si>
  <si>
    <t>Iznos u €</t>
  </si>
  <si>
    <t>Ako je 0 sve je OK!</t>
  </si>
  <si>
    <t>PRIMICI</t>
  </si>
  <si>
    <t>Tekući prihodi</t>
  </si>
  <si>
    <t>Naknada za korišćenje prirodnih dobara</t>
  </si>
  <si>
    <t>Primici od prodaje  imovine</t>
  </si>
  <si>
    <t>Primici od prodaje imovine</t>
  </si>
  <si>
    <t>Primici od prodaje nefinansijske imovine</t>
  </si>
  <si>
    <t>Primici od prodaje nepokretnosti</t>
  </si>
  <si>
    <t>Primici od prodaje zaliha</t>
  </si>
  <si>
    <t>Primici od prodaje finansijske imovine</t>
  </si>
  <si>
    <t>Prodaja akcija</t>
  </si>
  <si>
    <t>Prodaja ostalih HOV</t>
  </si>
  <si>
    <t xml:space="preserve">Primici od otplate kredita 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</si>
  <si>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</si>
  <si>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</si>
  <si>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</si>
  <si>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</si>
  <si>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 xml:space="preserve"> Sredstva prenesena iz prethodne godine</t>
  </si>
  <si>
    <t>Sredstva prenesena iz prethodne godine</t>
  </si>
  <si>
    <t>Donacije i transferi</t>
  </si>
  <si>
    <t>Tekuće donacije</t>
  </si>
  <si>
    <t>IZVORNI PRIHODI</t>
  </si>
  <si>
    <t>Porezi i doprinosi</t>
  </si>
  <si>
    <t xml:space="preserve"> IZDACI</t>
  </si>
  <si>
    <t xml:space="preserve"> Kapitalni budžet CG</t>
  </si>
  <si>
    <t xml:space="preserve"> SUFICIT / DEFICIT</t>
  </si>
  <si>
    <t>PRIMARNI SUFICIT</t>
  </si>
  <si>
    <t>OTPLATA DUGA</t>
  </si>
  <si>
    <t>NEDOSTAJUĆA SREDSTVA</t>
  </si>
  <si>
    <t>FINANSIRANJE</t>
  </si>
  <si>
    <t>Procjena 2014</t>
  </si>
  <si>
    <t xml:space="preserve"> </t>
  </si>
  <si>
    <t>Rashodi za materijal</t>
  </si>
  <si>
    <t>Rashodi za usluge</t>
  </si>
  <si>
    <t>Rashodi za tekuće održavanje</t>
  </si>
  <si>
    <t>Ostala prava iz zdravstvenog osiguranja</t>
  </si>
  <si>
    <t xml:space="preserve">Transferi institucijama, pojedincima, nevladinom i javnom sektoru </t>
  </si>
  <si>
    <t xml:space="preserve">Ostali transferi </t>
  </si>
  <si>
    <t>Registracione takse</t>
  </si>
  <si>
    <t xml:space="preserve">Naknade za izgradnju i održavanje lokalnih puteva i drugih javnih objekata od opštinskog značaja </t>
  </si>
  <si>
    <t>Transferi iz centralnog budžeta</t>
  </si>
  <si>
    <t>PLAN 2015</t>
  </si>
  <si>
    <t>Mjesečni plan prihoda 2014</t>
  </si>
  <si>
    <t>Mjesečna procjena prihoda 2014</t>
  </si>
  <si>
    <t>Ostvarenje prihoda 2013</t>
  </si>
  <si>
    <t>Razlike</t>
  </si>
  <si>
    <t>%</t>
  </si>
  <si>
    <t>Deficit - osnovni scenario</t>
  </si>
  <si>
    <t>Deficit - scenario sa auto putem</t>
  </si>
  <si>
    <t>2014 - procjena</t>
  </si>
  <si>
    <t>2014 - ostvarenje</t>
  </si>
  <si>
    <t>Analitika</t>
  </si>
  <si>
    <t>2013 - Ostvarenje</t>
  </si>
  <si>
    <t>2014 - plan</t>
  </si>
  <si>
    <t>2013 - ostvarenje</t>
  </si>
  <si>
    <t>Naknada za komunalno opremanje građevinskog zemljišta</t>
  </si>
  <si>
    <t>-</t>
  </si>
  <si>
    <t>Prihodi</t>
  </si>
  <si>
    <t>Rashodi</t>
  </si>
  <si>
    <t>Suficit / deficit</t>
  </si>
  <si>
    <t>PDV</t>
  </si>
</sst>
</file>

<file path=xl/styles.xml><?xml version="1.0" encoding="utf-8"?>
<styleSheet xmlns="http://schemas.openxmlformats.org/spreadsheetml/2006/main">
  <numFmts count="14">
    <numFmt numFmtId="164" formatCode="_-* #,##0.00\ &quot;€&quot;_-;\-* #,##0.00\ &quot;€&quot;_-;_-* &quot;-&quot;??\ &quot;€&quot;_-;_-@_-"/>
    <numFmt numFmtId="165" formatCode="0.00,,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,,"/>
    <numFmt numFmtId="176" formatCode="0.000000000"/>
    <numFmt numFmtId="177" formatCode="0.0000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entury Gothic"/>
      <family val="2"/>
    </font>
    <font>
      <sz val="11"/>
      <color rgb="FFFF0000"/>
      <name val="Calibri"/>
      <family val="2"/>
      <scheme val="minor"/>
    </font>
    <font>
      <sz val="8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i/>
      <sz val="10"/>
      <color indexed="1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scheme val="minor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" fillId="0" borderId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2" fontId="8" fillId="0" borderId="0" applyProtection="0"/>
    <xf numFmtId="0" fontId="8" fillId="0" borderId="0" applyNumberFormat="0" applyFont="0" applyFill="0" applyBorder="0" applyAlignment="0" applyProtection="0"/>
    <xf numFmtId="0" fontId="11" fillId="0" borderId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7" fontId="12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6" fillId="0" borderId="0"/>
    <xf numFmtId="174" fontId="7" fillId="0" borderId="0" applyFont="0" applyFill="0" applyBorder="0" applyAlignment="0" applyProtection="0"/>
    <xf numFmtId="0" fontId="1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9" fontId="35" fillId="0" borderId="0" applyFont="0" applyFill="0" applyBorder="0" applyAlignment="0" applyProtection="0"/>
    <xf numFmtId="0" fontId="6" fillId="0" borderId="0"/>
  </cellStyleXfs>
  <cellXfs count="323">
    <xf numFmtId="0" fontId="0" fillId="0" borderId="0" xfId="0"/>
    <xf numFmtId="0" fontId="6" fillId="0" borderId="0" xfId="0" applyFont="1"/>
    <xf numFmtId="0" fontId="16" fillId="0" borderId="0" xfId="0" applyFont="1" applyFill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0" fontId="16" fillId="0" borderId="0" xfId="22" applyFont="1" applyFill="1" applyBorder="1" applyAlignment="1">
      <alignment vertical="center"/>
    </xf>
    <xf numFmtId="0" fontId="16" fillId="0" borderId="0" xfId="22" applyFont="1" applyFill="1" applyAlignment="1">
      <alignment vertical="center"/>
    </xf>
    <xf numFmtId="0" fontId="16" fillId="0" borderId="0" xfId="22" applyFont="1" applyFill="1" applyBorder="1" applyAlignment="1">
      <alignment horizontal="center" vertical="center"/>
    </xf>
    <xf numFmtId="2" fontId="16" fillId="0" borderId="0" xfId="22" applyNumberFormat="1" applyFont="1" applyFill="1" applyBorder="1" applyAlignment="1">
      <alignment vertical="center"/>
    </xf>
    <xf numFmtId="2" fontId="16" fillId="0" borderId="0" xfId="22" applyNumberFormat="1" applyFont="1" applyFill="1" applyBorder="1" applyAlignment="1">
      <alignment horizontal="left" vertical="center"/>
    </xf>
    <xf numFmtId="49" fontId="16" fillId="0" borderId="0" xfId="22" applyNumberFormat="1" applyFont="1" applyFill="1" applyBorder="1" applyAlignment="1">
      <alignment vertical="center"/>
    </xf>
    <xf numFmtId="0" fontId="16" fillId="3" borderId="0" xfId="0" applyFont="1" applyFill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22" applyFont="1" applyAlignment="1">
      <alignment vertical="center"/>
    </xf>
    <xf numFmtId="1" fontId="16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16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16" fontId="16" fillId="0" borderId="0" xfId="0" applyNumberFormat="1" applyFont="1" applyFill="1" applyBorder="1" applyAlignment="1">
      <alignment horizontal="left" vertical="center"/>
    </xf>
    <xf numFmtId="17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7" fontId="16" fillId="0" borderId="0" xfId="0" applyNumberFormat="1" applyFont="1" applyFill="1" applyAlignment="1">
      <alignment vertical="center"/>
    </xf>
    <xf numFmtId="4" fontId="16" fillId="0" borderId="0" xfId="22" applyNumberFormat="1" applyFont="1" applyFill="1" applyBorder="1" applyAlignment="1">
      <alignment vertical="center"/>
    </xf>
    <xf numFmtId="165" fontId="16" fillId="0" borderId="0" xfId="22" applyNumberFormat="1" applyFont="1" applyFill="1" applyBorder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5" fontId="17" fillId="0" borderId="0" xfId="22" applyNumberFormat="1" applyFont="1" applyFill="1" applyBorder="1" applyAlignment="1">
      <alignment vertical="center"/>
    </xf>
    <xf numFmtId="49" fontId="16" fillId="0" borderId="0" xfId="22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17" fontId="6" fillId="0" borderId="0" xfId="0" applyNumberFormat="1" applyFont="1"/>
    <xf numFmtId="0" fontId="2" fillId="0" borderId="0" xfId="37"/>
    <xf numFmtId="0" fontId="21" fillId="0" borderId="5" xfId="37" applyFont="1" applyBorder="1" applyAlignment="1">
      <alignment horizontal="center" vertical="center" wrapText="1"/>
    </xf>
    <xf numFmtId="0" fontId="5" fillId="0" borderId="38" xfId="37" applyFont="1" applyBorder="1" applyAlignment="1">
      <alignment horizontal="center" vertical="center" wrapText="1"/>
    </xf>
    <xf numFmtId="0" fontId="5" fillId="0" borderId="10" xfId="37" applyFont="1" applyBorder="1" applyAlignment="1">
      <alignment horizontal="center" vertical="center" wrapText="1"/>
    </xf>
    <xf numFmtId="0" fontId="4" fillId="0" borderId="5" xfId="37" applyFont="1" applyBorder="1" applyAlignment="1">
      <alignment horizontal="left"/>
    </xf>
    <xf numFmtId="0" fontId="4" fillId="0" borderId="38" xfId="37" applyFont="1" applyBorder="1" applyAlignment="1">
      <alignment wrapText="1"/>
    </xf>
    <xf numFmtId="4" fontId="4" fillId="0" borderId="10" xfId="37" applyNumberFormat="1" applyFont="1" applyBorder="1"/>
    <xf numFmtId="4" fontId="23" fillId="3" borderId="0" xfId="37" applyNumberFormat="1" applyFont="1" applyFill="1"/>
    <xf numFmtId="0" fontId="4" fillId="0" borderId="15" xfId="37" applyFont="1" applyBorder="1" applyAlignment="1">
      <alignment horizontal="left"/>
    </xf>
    <xf numFmtId="0" fontId="4" fillId="0" borderId="31" xfId="37" applyFont="1" applyBorder="1" applyAlignment="1">
      <alignment wrapText="1"/>
    </xf>
    <xf numFmtId="4" fontId="4" fillId="0" borderId="7" xfId="37" applyNumberFormat="1" applyFont="1" applyBorder="1"/>
    <xf numFmtId="4" fontId="2" fillId="0" borderId="0" xfId="37" applyNumberFormat="1"/>
    <xf numFmtId="0" fontId="4" fillId="0" borderId="44" xfId="37" applyFont="1" applyBorder="1" applyAlignment="1">
      <alignment horizontal="center"/>
    </xf>
    <xf numFmtId="0" fontId="4" fillId="0" borderId="3" xfId="37" applyFont="1" applyBorder="1" applyAlignment="1">
      <alignment vertical="center" wrapText="1"/>
    </xf>
    <xf numFmtId="4" fontId="4" fillId="0" borderId="8" xfId="37" applyNumberFormat="1" applyFont="1" applyBorder="1"/>
    <xf numFmtId="0" fontId="5" fillId="0" borderId="44" xfId="37" applyFont="1" applyBorder="1"/>
    <xf numFmtId="0" fontId="5" fillId="0" borderId="3" xfId="37" applyFont="1" applyBorder="1" applyAlignment="1">
      <alignment vertical="center" wrapText="1"/>
    </xf>
    <xf numFmtId="4" fontId="5" fillId="0" borderId="8" xfId="37" applyNumberFormat="1" applyFont="1" applyBorder="1"/>
    <xf numFmtId="0" fontId="5" fillId="0" borderId="3" xfId="37" applyFont="1" applyBorder="1" applyAlignment="1">
      <alignment horizontal="left" wrapText="1"/>
    </xf>
    <xf numFmtId="0" fontId="5" fillId="0" borderId="3" xfId="37" applyFont="1" applyBorder="1" applyAlignment="1">
      <alignment wrapText="1"/>
    </xf>
    <xf numFmtId="0" fontId="4" fillId="0" borderId="44" xfId="37" applyFont="1" applyBorder="1" applyAlignment="1">
      <alignment horizontal="left"/>
    </xf>
    <xf numFmtId="0" fontId="4" fillId="0" borderId="3" xfId="37" applyFont="1" applyBorder="1" applyAlignment="1">
      <alignment wrapText="1"/>
    </xf>
    <xf numFmtId="0" fontId="5" fillId="0" borderId="44" xfId="37" applyFont="1" applyBorder="1" applyAlignment="1">
      <alignment horizontal="right"/>
    </xf>
    <xf numFmtId="0" fontId="5" fillId="0" borderId="44" xfId="37" applyFont="1" applyBorder="1" applyAlignment="1">
      <alignment horizontal="center"/>
    </xf>
    <xf numFmtId="0" fontId="5" fillId="0" borderId="45" xfId="37" applyFont="1" applyBorder="1" applyAlignment="1">
      <alignment horizontal="center"/>
    </xf>
    <xf numFmtId="0" fontId="5" fillId="0" borderId="39" xfId="37" applyFont="1" applyBorder="1" applyAlignment="1">
      <alignment wrapText="1"/>
    </xf>
    <xf numFmtId="4" fontId="5" fillId="0" borderId="9" xfId="37" applyNumberFormat="1" applyFont="1" applyBorder="1"/>
    <xf numFmtId="0" fontId="5" fillId="0" borderId="1" xfId="37" applyFont="1" applyBorder="1"/>
    <xf numFmtId="0" fontId="5" fillId="0" borderId="41" xfId="37" applyFont="1" applyBorder="1" applyAlignment="1">
      <alignment wrapText="1"/>
    </xf>
    <xf numFmtId="4" fontId="5" fillId="0" borderId="40" xfId="37" applyNumberFormat="1" applyFont="1" applyBorder="1"/>
    <xf numFmtId="0" fontId="24" fillId="0" borderId="10" xfId="37" applyFont="1" applyBorder="1" applyAlignment="1">
      <alignment horizontal="center"/>
    </xf>
    <xf numFmtId="4" fontId="4" fillId="0" borderId="24" xfId="37" applyNumberFormat="1" applyFont="1" applyBorder="1" applyAlignment="1">
      <alignment horizontal="center" wrapText="1"/>
    </xf>
    <xf numFmtId="0" fontId="25" fillId="0" borderId="17" xfId="37" applyFont="1" applyBorder="1" applyAlignment="1">
      <alignment wrapText="1"/>
    </xf>
    <xf numFmtId="4" fontId="4" fillId="0" borderId="19" xfId="37" applyNumberFormat="1" applyFont="1" applyBorder="1" applyAlignment="1">
      <alignment horizontal="right"/>
    </xf>
    <xf numFmtId="4" fontId="20" fillId="0" borderId="0" xfId="37" applyNumberFormat="1" applyFont="1"/>
    <xf numFmtId="4" fontId="5" fillId="0" borderId="47" xfId="37" applyNumberFormat="1" applyFont="1" applyBorder="1" applyAlignment="1">
      <alignment horizontal="right"/>
    </xf>
    <xf numFmtId="0" fontId="20" fillId="0" borderId="0" xfId="37" applyFont="1"/>
    <xf numFmtId="0" fontId="25" fillId="0" borderId="17" xfId="37" applyFont="1" applyBorder="1"/>
    <xf numFmtId="0" fontId="26" fillId="0" borderId="17" xfId="37" applyFont="1" applyBorder="1" applyAlignment="1">
      <alignment wrapText="1"/>
    </xf>
    <xf numFmtId="0" fontId="5" fillId="0" borderId="46" xfId="37" applyFont="1" applyBorder="1" applyAlignment="1">
      <alignment wrapText="1"/>
    </xf>
    <xf numFmtId="165" fontId="20" fillId="0" borderId="0" xfId="37" applyNumberFormat="1" applyFont="1"/>
    <xf numFmtId="4" fontId="22" fillId="10" borderId="0" xfId="37" applyNumberFormat="1" applyFont="1" applyFill="1"/>
    <xf numFmtId="0" fontId="19" fillId="0" borderId="43" xfId="37" applyFont="1" applyBorder="1" applyAlignment="1">
      <alignment wrapText="1"/>
    </xf>
    <xf numFmtId="4" fontId="5" fillId="0" borderId="42" xfId="37" applyNumberFormat="1" applyFont="1" applyBorder="1" applyAlignment="1">
      <alignment horizontal="right"/>
    </xf>
    <xf numFmtId="0" fontId="19" fillId="0" borderId="40" xfId="37" applyFont="1" applyBorder="1" applyAlignment="1">
      <alignment wrapText="1"/>
    </xf>
    <xf numFmtId="4" fontId="5" fillId="0" borderId="25" xfId="37" applyNumberFormat="1" applyFont="1" applyBorder="1" applyAlignment="1">
      <alignment horizontal="right"/>
    </xf>
    <xf numFmtId="0" fontId="19" fillId="0" borderId="43" xfId="37" applyFont="1" applyBorder="1"/>
    <xf numFmtId="0" fontId="5" fillId="0" borderId="43" xfId="37" applyFont="1" applyBorder="1" applyAlignment="1">
      <alignment wrapText="1"/>
    </xf>
    <xf numFmtId="0" fontId="5" fillId="0" borderId="8" xfId="37" applyFont="1" applyBorder="1" applyAlignment="1">
      <alignment wrapText="1"/>
    </xf>
    <xf numFmtId="0" fontId="5" fillId="0" borderId="40" xfId="37" applyFont="1" applyBorder="1" applyAlignment="1">
      <alignment wrapText="1"/>
    </xf>
    <xf numFmtId="4" fontId="5" fillId="0" borderId="40" xfId="37" applyNumberFormat="1" applyFont="1" applyBorder="1" applyAlignment="1">
      <alignment horizontal="right"/>
    </xf>
    <xf numFmtId="0" fontId="27" fillId="2" borderId="0" xfId="22" applyFont="1" applyFill="1"/>
    <xf numFmtId="0" fontId="27" fillId="2" borderId="0" xfId="22" applyFont="1" applyFill="1" applyBorder="1"/>
    <xf numFmtId="166" fontId="27" fillId="2" borderId="0" xfId="0" applyNumberFormat="1" applyFont="1" applyFill="1" applyBorder="1" applyAlignment="1" applyProtection="1">
      <protection hidden="1"/>
    </xf>
    <xf numFmtId="166" fontId="27" fillId="2" borderId="21" xfId="0" applyNumberFormat="1" applyFont="1" applyFill="1" applyBorder="1" applyAlignment="1" applyProtection="1">
      <protection hidden="1"/>
    </xf>
    <xf numFmtId="0" fontId="27" fillId="2" borderId="0" xfId="36" applyFont="1" applyFill="1" applyBorder="1"/>
    <xf numFmtId="0" fontId="27" fillId="2" borderId="0" xfId="22" applyFont="1" applyFill="1" applyProtection="1"/>
    <xf numFmtId="0" fontId="27" fillId="2" borderId="0" xfId="22" applyFont="1" applyFill="1" applyBorder="1" applyAlignment="1">
      <alignment vertical="center"/>
    </xf>
    <xf numFmtId="0" fontId="27" fillId="2" borderId="0" xfId="22" applyFont="1" applyFill="1" applyProtection="1">
      <protection locked="0"/>
    </xf>
    <xf numFmtId="0" fontId="29" fillId="5" borderId="33" xfId="36" applyFont="1" applyFill="1" applyBorder="1" applyAlignment="1">
      <alignment horizontal="center" vertical="center" wrapText="1"/>
    </xf>
    <xf numFmtId="0" fontId="29" fillId="5" borderId="19" xfId="36" applyFont="1" applyFill="1" applyBorder="1" applyAlignment="1">
      <alignment horizontal="center" vertical="center" wrapText="1"/>
    </xf>
    <xf numFmtId="2" fontId="29" fillId="5" borderId="6" xfId="22" applyNumberFormat="1" applyFont="1" applyFill="1" applyBorder="1" applyAlignment="1">
      <alignment vertical="center"/>
    </xf>
    <xf numFmtId="165" fontId="29" fillId="5" borderId="5" xfId="22" applyNumberFormat="1" applyFont="1" applyFill="1" applyBorder="1" applyAlignment="1">
      <alignment vertical="center"/>
    </xf>
    <xf numFmtId="4" fontId="29" fillId="5" borderId="24" xfId="22" applyNumberFormat="1" applyFont="1" applyFill="1" applyBorder="1" applyAlignment="1">
      <alignment vertical="center"/>
    </xf>
    <xf numFmtId="2" fontId="29" fillId="2" borderId="16" xfId="22" applyNumberFormat="1" applyFont="1" applyFill="1" applyBorder="1" applyAlignment="1">
      <alignment vertical="center"/>
    </xf>
    <xf numFmtId="165" fontId="29" fillId="2" borderId="30" xfId="22" applyNumberFormat="1" applyFont="1" applyFill="1" applyBorder="1" applyAlignment="1">
      <alignment vertical="center"/>
    </xf>
    <xf numFmtId="4" fontId="29" fillId="2" borderId="0" xfId="22" applyNumberFormat="1" applyFont="1" applyFill="1" applyBorder="1" applyAlignment="1">
      <alignment vertical="center"/>
    </xf>
    <xf numFmtId="4" fontId="29" fillId="2" borderId="14" xfId="22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/>
    </xf>
    <xf numFmtId="165" fontId="27" fillId="2" borderId="30" xfId="22" applyNumberFormat="1" applyFont="1" applyFill="1" applyBorder="1" applyAlignment="1">
      <alignment vertical="center"/>
    </xf>
    <xf numFmtId="4" fontId="27" fillId="2" borderId="14" xfId="22" applyNumberFormat="1" applyFont="1" applyFill="1" applyBorder="1" applyAlignment="1">
      <alignment vertical="center"/>
    </xf>
    <xf numFmtId="4" fontId="27" fillId="2" borderId="0" xfId="22" applyNumberFormat="1" applyFont="1" applyFill="1" applyBorder="1"/>
    <xf numFmtId="4" fontId="27" fillId="2" borderId="0" xfId="22" applyNumberFormat="1" applyFont="1" applyFill="1"/>
    <xf numFmtId="2" fontId="29" fillId="2" borderId="16" xfId="22" applyNumberFormat="1" applyFont="1" applyFill="1" applyBorder="1" applyAlignment="1">
      <alignment vertical="center" wrapText="1"/>
    </xf>
    <xf numFmtId="165" fontId="27" fillId="2" borderId="0" xfId="22" applyNumberFormat="1" applyFont="1" applyFill="1"/>
    <xf numFmtId="2" fontId="27" fillId="0" borderId="16" xfId="22" applyNumberFormat="1" applyFont="1" applyFill="1" applyBorder="1" applyAlignment="1">
      <alignment vertical="center"/>
    </xf>
    <xf numFmtId="4" fontId="27" fillId="0" borderId="14" xfId="22" applyNumberFormat="1" applyFont="1" applyFill="1" applyBorder="1" applyAlignment="1">
      <alignment vertical="center"/>
    </xf>
    <xf numFmtId="49" fontId="27" fillId="2" borderId="0" xfId="22" applyNumberFormat="1" applyFont="1" applyFill="1" applyBorder="1" applyAlignment="1">
      <alignment wrapText="1"/>
    </xf>
    <xf numFmtId="2" fontId="34" fillId="2" borderId="0" xfId="22" applyNumberFormat="1" applyFont="1" applyFill="1" applyBorder="1" applyAlignment="1">
      <alignment vertical="center"/>
    </xf>
    <xf numFmtId="2" fontId="27" fillId="2" borderId="0" xfId="22" applyNumberFormat="1" applyFont="1" applyFill="1" applyBorder="1" applyAlignment="1">
      <alignment wrapText="1"/>
    </xf>
    <xf numFmtId="0" fontId="27" fillId="2" borderId="0" xfId="0" applyNumberFormat="1" applyFont="1" applyFill="1" applyBorder="1" applyAlignment="1" applyProtection="1">
      <protection hidden="1"/>
    </xf>
    <xf numFmtId="166" fontId="27" fillId="11" borderId="48" xfId="0" applyNumberFormat="1" applyFont="1" applyFill="1" applyBorder="1" applyAlignment="1" applyProtection="1">
      <protection hidden="1"/>
    </xf>
    <xf numFmtId="2" fontId="27" fillId="11" borderId="0" xfId="0" applyNumberFormat="1" applyFont="1" applyFill="1" applyBorder="1" applyAlignment="1" applyProtection="1">
      <alignment horizontal="center" vertical="center"/>
      <protection hidden="1"/>
    </xf>
    <xf numFmtId="2" fontId="27" fillId="11" borderId="28" xfId="0" applyNumberFormat="1" applyFont="1" applyFill="1" applyBorder="1" applyAlignment="1" applyProtection="1">
      <alignment horizontal="center" vertical="center"/>
      <protection hidden="1"/>
    </xf>
    <xf numFmtId="0" fontId="27" fillId="11" borderId="0" xfId="0" applyNumberFormat="1" applyFont="1" applyFill="1" applyBorder="1" applyAlignment="1" applyProtection="1">
      <alignment horizontal="left" vertical="center"/>
      <protection hidden="1"/>
    </xf>
    <xf numFmtId="166" fontId="27" fillId="11" borderId="0" xfId="0" applyNumberFormat="1" applyFont="1" applyFill="1" applyBorder="1" applyAlignment="1" applyProtection="1">
      <protection hidden="1"/>
    </xf>
    <xf numFmtId="0" fontId="27" fillId="11" borderId="28" xfId="22" applyFont="1" applyFill="1" applyBorder="1"/>
    <xf numFmtId="166" fontId="27" fillId="11" borderId="50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protection hidden="1"/>
    </xf>
    <xf numFmtId="0" fontId="27" fillId="11" borderId="48" xfId="0" applyNumberFormat="1" applyFont="1" applyFill="1" applyBorder="1" applyAlignment="1" applyProtection="1">
      <alignment vertical="center"/>
      <protection hidden="1"/>
    </xf>
    <xf numFmtId="2" fontId="27" fillId="11" borderId="48" xfId="0" applyNumberFormat="1" applyFont="1" applyFill="1" applyBorder="1" applyAlignment="1" applyProtection="1">
      <alignment horizontal="center" vertical="center"/>
      <protection hidden="1"/>
    </xf>
    <xf numFmtId="2" fontId="27" fillId="11" borderId="49" xfId="0" applyNumberFormat="1" applyFont="1" applyFill="1" applyBorder="1" applyAlignment="1" applyProtection="1">
      <alignment horizontal="center" vertical="center"/>
      <protection hidden="1"/>
    </xf>
    <xf numFmtId="0" fontId="27" fillId="11" borderId="50" xfId="0" applyNumberFormat="1" applyFont="1" applyFill="1" applyBorder="1" applyAlignment="1" applyProtection="1">
      <alignment horizontal="left" vertical="center"/>
      <protection hidden="1"/>
    </xf>
    <xf numFmtId="2" fontId="27" fillId="11" borderId="50" xfId="0" applyNumberFormat="1" applyFont="1" applyFill="1" applyBorder="1" applyAlignment="1" applyProtection="1">
      <alignment horizontal="center" vertical="center"/>
      <protection hidden="1"/>
    </xf>
    <xf numFmtId="166" fontId="27" fillId="11" borderId="4" xfId="0" applyNumberFormat="1" applyFont="1" applyFill="1" applyBorder="1" applyAlignment="1" applyProtection="1">
      <protection hidden="1"/>
    </xf>
    <xf numFmtId="0" fontId="29" fillId="11" borderId="48" xfId="0" applyNumberFormat="1" applyFont="1" applyFill="1" applyBorder="1" applyAlignment="1" applyProtection="1">
      <alignment horizontal="center"/>
      <protection hidden="1"/>
    </xf>
    <xf numFmtId="0" fontId="29" fillId="11" borderId="49" xfId="22" applyNumberFormat="1" applyFont="1" applyFill="1" applyBorder="1" applyAlignment="1">
      <alignment horizontal="center"/>
    </xf>
    <xf numFmtId="2" fontId="27" fillId="11" borderId="48" xfId="0" applyNumberFormat="1" applyFont="1" applyFill="1" applyBorder="1" applyAlignment="1" applyProtection="1">
      <protection hidden="1"/>
    </xf>
    <xf numFmtId="2" fontId="27" fillId="11" borderId="50" xfId="0" applyNumberFormat="1" applyFont="1" applyFill="1" applyBorder="1" applyAlignment="1" applyProtection="1">
      <protection hidden="1"/>
    </xf>
    <xf numFmtId="2" fontId="27" fillId="11" borderId="49" xfId="0" applyNumberFormat="1" applyFont="1" applyFill="1" applyBorder="1" applyAlignment="1" applyProtection="1">
      <protection hidden="1"/>
    </xf>
    <xf numFmtId="2" fontId="27" fillId="11" borderId="32" xfId="0" applyNumberFormat="1" applyFont="1" applyFill="1" applyBorder="1" applyAlignment="1" applyProtection="1">
      <protection hidden="1"/>
    </xf>
    <xf numFmtId="0" fontId="29" fillId="5" borderId="36" xfId="36" applyFont="1" applyFill="1" applyBorder="1" applyAlignment="1">
      <alignment horizontal="center" vertical="center" wrapText="1"/>
    </xf>
    <xf numFmtId="10" fontId="27" fillId="2" borderId="2" xfId="38" applyNumberFormat="1" applyFont="1" applyFill="1" applyBorder="1" applyAlignment="1" applyProtection="1">
      <alignment vertical="center"/>
      <protection hidden="1"/>
    </xf>
    <xf numFmtId="2" fontId="27" fillId="11" borderId="32" xfId="22" applyNumberFormat="1" applyFont="1" applyFill="1" applyBorder="1" applyAlignment="1">
      <alignment horizontal="center" vertical="center"/>
    </xf>
    <xf numFmtId="0" fontId="27" fillId="2" borderId="0" xfId="22" applyNumberFormat="1" applyFont="1" applyFill="1" applyBorder="1"/>
    <xf numFmtId="49" fontId="27" fillId="2" borderId="0" xfId="22" applyNumberFormat="1" applyFont="1" applyFill="1" applyAlignment="1"/>
    <xf numFmtId="49" fontId="27" fillId="2" borderId="0" xfId="22" applyNumberFormat="1" applyFont="1" applyFill="1" applyAlignment="1">
      <alignment wrapText="1"/>
    </xf>
    <xf numFmtId="0" fontId="27" fillId="2" borderId="0" xfId="22" applyNumberFormat="1" applyFont="1" applyFill="1"/>
    <xf numFmtId="164" fontId="27" fillId="2" borderId="0" xfId="22" applyNumberFormat="1" applyFont="1" applyFill="1" applyBorder="1" applyAlignment="1">
      <alignment vertical="center"/>
    </xf>
    <xf numFmtId="0" fontId="27" fillId="2" borderId="0" xfId="22" applyFont="1" applyFill="1" applyBorder="1" applyAlignment="1"/>
    <xf numFmtId="0" fontId="27" fillId="2" borderId="0" xfId="22" applyFont="1" applyFill="1" applyBorder="1" applyAlignment="1">
      <alignment wrapText="1"/>
    </xf>
    <xf numFmtId="0" fontId="27" fillId="2" borderId="0" xfId="22" applyFont="1" applyFill="1" applyBorder="1" applyAlignment="1">
      <alignment horizontal="center" wrapText="1"/>
    </xf>
    <xf numFmtId="0" fontId="27" fillId="2" borderId="0" xfId="22" applyFont="1" applyFill="1" applyBorder="1" applyAlignment="1">
      <alignment horizontal="right"/>
    </xf>
    <xf numFmtId="0" fontId="32" fillId="2" borderId="0" xfId="22" applyFont="1" applyFill="1" applyBorder="1" applyAlignment="1"/>
    <xf numFmtId="0" fontId="27" fillId="2" borderId="0" xfId="22" applyFont="1" applyFill="1" applyAlignment="1">
      <alignment wrapText="1"/>
    </xf>
    <xf numFmtId="0" fontId="32" fillId="2" borderId="0" xfId="22" applyFont="1" applyFill="1" applyBorder="1" applyAlignment="1">
      <alignment horizontal="center" wrapText="1"/>
    </xf>
    <xf numFmtId="0" fontId="32" fillId="2" borderId="0" xfId="22" applyFont="1" applyFill="1" applyBorder="1" applyAlignment="1">
      <alignment horizontal="center"/>
    </xf>
    <xf numFmtId="2" fontId="27" fillId="2" borderId="0" xfId="22" applyNumberFormat="1" applyFont="1" applyFill="1" applyBorder="1" applyAlignment="1">
      <alignment horizontal="right"/>
    </xf>
    <xf numFmtId="0" fontId="33" fillId="2" borderId="0" xfId="22" applyFont="1" applyFill="1" applyBorder="1"/>
    <xf numFmtId="165" fontId="27" fillId="2" borderId="30" xfId="0" applyNumberFormat="1" applyFont="1" applyFill="1" applyBorder="1"/>
    <xf numFmtId="165" fontId="29" fillId="2" borderId="11" xfId="0" applyNumberFormat="1" applyFont="1" applyFill="1" applyBorder="1"/>
    <xf numFmtId="165" fontId="29" fillId="8" borderId="5" xfId="0" applyNumberFormat="1" applyFont="1" applyFill="1" applyBorder="1"/>
    <xf numFmtId="4" fontId="29" fillId="8" borderId="13" xfId="0" applyNumberFormat="1" applyFont="1" applyFill="1" applyBorder="1"/>
    <xf numFmtId="165" fontId="29" fillId="2" borderId="29" xfId="0" applyNumberFormat="1" applyFont="1" applyFill="1" applyBorder="1"/>
    <xf numFmtId="4" fontId="29" fillId="2" borderId="34" xfId="0" applyNumberFormat="1" applyFont="1" applyFill="1" applyBorder="1"/>
    <xf numFmtId="4" fontId="27" fillId="2" borderId="12" xfId="0" applyNumberFormat="1" applyFont="1" applyFill="1" applyBorder="1"/>
    <xf numFmtId="165" fontId="29" fillId="2" borderId="30" xfId="0" applyNumberFormat="1" applyFont="1" applyFill="1" applyBorder="1"/>
    <xf numFmtId="4" fontId="29" fillId="2" borderId="12" xfId="0" applyNumberFormat="1" applyFont="1" applyFill="1" applyBorder="1"/>
    <xf numFmtId="165" fontId="29" fillId="2" borderId="5" xfId="0" applyNumberFormat="1" applyFont="1" applyFill="1" applyBorder="1"/>
    <xf numFmtId="4" fontId="29" fillId="2" borderId="13" xfId="0" applyNumberFormat="1" applyFont="1" applyFill="1" applyBorder="1"/>
    <xf numFmtId="4" fontId="29" fillId="2" borderId="36" xfId="0" applyNumberFormat="1" applyFont="1" applyFill="1" applyBorder="1"/>
    <xf numFmtId="165" fontId="29" fillId="2" borderId="15" xfId="0" applyNumberFormat="1" applyFont="1" applyFill="1" applyBorder="1"/>
    <xf numFmtId="4" fontId="27" fillId="2" borderId="34" xfId="0" applyNumberFormat="1" applyFont="1" applyFill="1" applyBorder="1"/>
    <xf numFmtId="0" fontId="27" fillId="2" borderId="35" xfId="22" applyFont="1" applyFill="1" applyBorder="1"/>
    <xf numFmtId="2" fontId="29" fillId="2" borderId="6" xfId="22" applyNumberFormat="1" applyFont="1" applyFill="1" applyBorder="1" applyAlignment="1">
      <alignment vertical="center"/>
    </xf>
    <xf numFmtId="165" fontId="29" fillId="2" borderId="5" xfId="22" applyNumberFormat="1" applyFont="1" applyFill="1" applyBorder="1" applyAlignment="1">
      <alignment vertical="center"/>
    </xf>
    <xf numFmtId="4" fontId="29" fillId="2" borderId="24" xfId="22" applyNumberFormat="1" applyFont="1" applyFill="1" applyBorder="1" applyAlignment="1">
      <alignment vertical="center"/>
    </xf>
    <xf numFmtId="0" fontId="28" fillId="12" borderId="6" xfId="22" applyFont="1" applyFill="1" applyBorder="1" applyAlignment="1">
      <alignment vertical="center"/>
    </xf>
    <xf numFmtId="0" fontId="29" fillId="8" borderId="33" xfId="22" applyFont="1" applyFill="1" applyBorder="1" applyAlignment="1">
      <alignment horizontal="center" vertical="center" wrapText="1"/>
    </xf>
    <xf numFmtId="165" fontId="29" fillId="8" borderId="5" xfId="22" applyNumberFormat="1" applyFont="1" applyFill="1" applyBorder="1" applyAlignment="1">
      <alignment vertical="center"/>
    </xf>
    <xf numFmtId="2" fontId="29" fillId="8" borderId="6" xfId="22" applyNumberFormat="1" applyFont="1" applyFill="1" applyBorder="1" applyAlignment="1">
      <alignment vertical="center"/>
    </xf>
    <xf numFmtId="165" fontId="29" fillId="2" borderId="30" xfId="36" applyNumberFormat="1" applyFont="1" applyFill="1" applyBorder="1" applyAlignment="1">
      <alignment vertical="center"/>
    </xf>
    <xf numFmtId="165" fontId="27" fillId="0" borderId="30" xfId="36" applyNumberFormat="1" applyFont="1" applyFill="1" applyBorder="1" applyAlignment="1">
      <alignment vertical="center"/>
    </xf>
    <xf numFmtId="165" fontId="27" fillId="2" borderId="30" xfId="36" applyNumberFormat="1" applyFont="1" applyFill="1" applyBorder="1" applyAlignment="1">
      <alignment vertical="center"/>
    </xf>
    <xf numFmtId="2" fontId="27" fillId="2" borderId="16" xfId="22" applyNumberFormat="1" applyFont="1" applyFill="1" applyBorder="1" applyAlignment="1">
      <alignment vertical="center" wrapText="1"/>
    </xf>
    <xf numFmtId="0" fontId="27" fillId="2" borderId="0" xfId="22" applyFont="1" applyFill="1" applyAlignment="1">
      <alignment vertical="center"/>
    </xf>
    <xf numFmtId="4" fontId="29" fillId="2" borderId="53" xfId="0" applyNumberFormat="1" applyFont="1" applyFill="1" applyBorder="1"/>
    <xf numFmtId="0" fontId="29" fillId="8" borderId="36" xfId="22" applyFont="1" applyFill="1" applyBorder="1" applyAlignment="1">
      <alignment horizontal="center" vertical="center" wrapText="1"/>
    </xf>
    <xf numFmtId="4" fontId="29" fillId="2" borderId="12" xfId="22" applyNumberFormat="1" applyFont="1" applyFill="1" applyBorder="1" applyAlignment="1">
      <alignment vertical="center"/>
    </xf>
    <xf numFmtId="4" fontId="27" fillId="2" borderId="12" xfId="22" applyNumberFormat="1" applyFont="1" applyFill="1" applyBorder="1" applyAlignment="1">
      <alignment vertical="center"/>
    </xf>
    <xf numFmtId="4" fontId="29" fillId="8" borderId="13" xfId="22" applyNumberFormat="1" applyFont="1" applyFill="1" applyBorder="1" applyAlignment="1">
      <alignment vertical="center"/>
    </xf>
    <xf numFmtId="4" fontId="29" fillId="2" borderId="13" xfId="22" applyNumberFormat="1" applyFont="1" applyFill="1" applyBorder="1" applyAlignment="1">
      <alignment vertical="center"/>
    </xf>
    <xf numFmtId="165" fontId="27" fillId="2" borderId="30" xfId="0" applyNumberFormat="1" applyFont="1" applyFill="1" applyBorder="1" applyAlignment="1">
      <alignment vertical="center"/>
    </xf>
    <xf numFmtId="4" fontId="27" fillId="2" borderId="12" xfId="0" applyNumberFormat="1" applyFont="1" applyFill="1" applyBorder="1" applyAlignment="1">
      <alignment vertical="center"/>
    </xf>
    <xf numFmtId="4" fontId="29" fillId="2" borderId="14" xfId="36" applyNumberFormat="1" applyFont="1" applyFill="1" applyBorder="1" applyAlignment="1">
      <alignment vertical="center"/>
    </xf>
    <xf numFmtId="0" fontId="31" fillId="2" borderId="0" xfId="22" applyFont="1" applyFill="1" applyBorder="1"/>
    <xf numFmtId="165" fontId="29" fillId="5" borderId="5" xfId="36" applyNumberFormat="1" applyFont="1" applyFill="1" applyBorder="1" applyAlignment="1">
      <alignment vertical="center"/>
    </xf>
    <xf numFmtId="165" fontId="29" fillId="2" borderId="5" xfId="36" applyNumberFormat="1" applyFont="1" applyFill="1" applyBorder="1" applyAlignment="1">
      <alignment vertical="center"/>
    </xf>
    <xf numFmtId="0" fontId="31" fillId="2" borderId="22" xfId="36" applyFont="1" applyFill="1" applyBorder="1" applyAlignment="1"/>
    <xf numFmtId="165" fontId="29" fillId="5" borderId="11" xfId="36" applyNumberFormat="1" applyFont="1" applyFill="1" applyBorder="1" applyAlignment="1">
      <alignment vertical="center"/>
    </xf>
    <xf numFmtId="165" fontId="29" fillId="0" borderId="30" xfId="36" applyNumberFormat="1" applyFont="1" applyFill="1" applyBorder="1" applyAlignment="1">
      <alignment vertical="center"/>
    </xf>
    <xf numFmtId="0" fontId="27" fillId="2" borderId="0" xfId="22" applyFont="1" applyFill="1" applyBorder="1" applyAlignment="1">
      <alignment horizontal="center"/>
    </xf>
    <xf numFmtId="0" fontId="28" fillId="7" borderId="6" xfId="22" applyFont="1" applyFill="1" applyBorder="1" applyAlignment="1">
      <alignment vertical="center"/>
    </xf>
    <xf numFmtId="0" fontId="29" fillId="6" borderId="33" xfId="22" applyFont="1" applyFill="1" applyBorder="1" applyAlignment="1">
      <alignment horizontal="center" vertical="center" wrapText="1"/>
    </xf>
    <xf numFmtId="0" fontId="29" fillId="6" borderId="19" xfId="22" applyFont="1" applyFill="1" applyBorder="1" applyAlignment="1">
      <alignment horizontal="center" vertical="center" wrapText="1"/>
    </xf>
    <xf numFmtId="0" fontId="29" fillId="6" borderId="22" xfId="22" applyFont="1" applyFill="1" applyBorder="1" applyAlignment="1">
      <alignment horizontal="center" vertical="center" wrapText="1"/>
    </xf>
    <xf numFmtId="0" fontId="29" fillId="6" borderId="37" xfId="22" applyFont="1" applyFill="1" applyBorder="1" applyAlignment="1">
      <alignment horizontal="center" vertical="center" wrapText="1"/>
    </xf>
    <xf numFmtId="0" fontId="29" fillId="6" borderId="18" xfId="22" applyFont="1" applyFill="1" applyBorder="1" applyAlignment="1">
      <alignment horizontal="center" vertical="center" wrapText="1"/>
    </xf>
    <xf numFmtId="165" fontId="29" fillId="6" borderId="5" xfId="22" applyNumberFormat="1" applyFont="1" applyFill="1" applyBorder="1" applyAlignment="1">
      <alignment vertical="center"/>
    </xf>
    <xf numFmtId="4" fontId="29" fillId="6" borderId="24" xfId="22" applyNumberFormat="1" applyFont="1" applyFill="1" applyBorder="1" applyAlignment="1">
      <alignment vertical="center"/>
    </xf>
    <xf numFmtId="0" fontId="28" fillId="2" borderId="0" xfId="22" applyFont="1" applyFill="1" applyBorder="1"/>
    <xf numFmtId="0" fontId="28" fillId="2" borderId="0" xfId="22" applyFont="1" applyFill="1" applyBorder="1" applyAlignment="1">
      <alignment vertical="center"/>
    </xf>
    <xf numFmtId="165" fontId="29" fillId="6" borderId="11" xfId="36" applyNumberFormat="1" applyFont="1" applyFill="1" applyBorder="1" applyAlignment="1">
      <alignment vertical="center"/>
    </xf>
    <xf numFmtId="165" fontId="29" fillId="6" borderId="5" xfId="36" applyNumberFormat="1" applyFont="1" applyFill="1" applyBorder="1" applyAlignment="1">
      <alignment vertical="center"/>
    </xf>
    <xf numFmtId="2" fontId="29" fillId="6" borderId="6" xfId="22" applyNumberFormat="1" applyFont="1" applyFill="1" applyBorder="1" applyAlignment="1">
      <alignment vertical="center"/>
    </xf>
    <xf numFmtId="4" fontId="29" fillId="2" borderId="12" xfId="36" applyNumberFormat="1" applyFont="1" applyFill="1" applyBorder="1" applyAlignment="1">
      <alignment vertical="center"/>
    </xf>
    <xf numFmtId="0" fontId="1" fillId="0" borderId="0" xfId="37" applyFont="1"/>
    <xf numFmtId="0" fontId="28" fillId="9" borderId="6" xfId="22" applyFont="1" applyFill="1" applyBorder="1" applyAlignment="1">
      <alignment vertical="center"/>
    </xf>
    <xf numFmtId="0" fontId="37" fillId="0" borderId="0" xfId="0" applyFont="1"/>
    <xf numFmtId="175" fontId="0" fillId="0" borderId="0" xfId="0" applyNumberFormat="1"/>
    <xf numFmtId="0" fontId="27" fillId="2" borderId="35" xfId="22" applyFont="1" applyFill="1" applyBorder="1" applyAlignment="1"/>
    <xf numFmtId="0" fontId="29" fillId="5" borderId="0" xfId="36" applyFont="1" applyFill="1" applyBorder="1" applyAlignment="1">
      <alignment horizontal="center" vertical="center" wrapText="1"/>
    </xf>
    <xf numFmtId="165" fontId="27" fillId="10" borderId="30" xfId="36" applyNumberFormat="1" applyFont="1" applyFill="1" applyBorder="1" applyAlignment="1">
      <alignment vertical="center"/>
    </xf>
    <xf numFmtId="4" fontId="27" fillId="10" borderId="14" xfId="22" applyNumberFormat="1" applyFont="1" applyFill="1" applyBorder="1" applyAlignment="1">
      <alignment vertical="center"/>
    </xf>
    <xf numFmtId="165" fontId="29" fillId="10" borderId="5" xfId="22" applyNumberFormat="1" applyFont="1" applyFill="1" applyBorder="1" applyAlignment="1">
      <alignment vertical="center"/>
    </xf>
    <xf numFmtId="4" fontId="29" fillId="10" borderId="24" xfId="22" applyNumberFormat="1" applyFont="1" applyFill="1" applyBorder="1" applyAlignment="1">
      <alignment vertical="center"/>
    </xf>
    <xf numFmtId="0" fontId="27" fillId="2" borderId="0" xfId="39" applyFont="1" applyFill="1"/>
    <xf numFmtId="2" fontId="34" fillId="2" borderId="0" xfId="39" applyNumberFormat="1" applyFont="1" applyFill="1" applyBorder="1" applyAlignment="1">
      <alignment vertical="center"/>
    </xf>
    <xf numFmtId="0" fontId="27" fillId="2" borderId="0" xfId="39" applyFont="1" applyFill="1" applyBorder="1"/>
    <xf numFmtId="49" fontId="27" fillId="2" borderId="0" xfId="39" applyNumberFormat="1" applyFont="1" applyFill="1" applyBorder="1" applyAlignment="1">
      <alignment wrapText="1"/>
    </xf>
    <xf numFmtId="49" fontId="27" fillId="2" borderId="0" xfId="39" applyNumberFormat="1" applyFont="1" applyFill="1" applyAlignment="1">
      <alignment horizontal="right" wrapText="1"/>
    </xf>
    <xf numFmtId="165" fontId="27" fillId="2" borderId="21" xfId="39" applyNumberFormat="1" applyFont="1" applyFill="1" applyBorder="1"/>
    <xf numFmtId="0" fontId="27" fillId="2" borderId="21" xfId="39" applyFont="1" applyFill="1" applyBorder="1"/>
    <xf numFmtId="165" fontId="27" fillId="2" borderId="0" xfId="39" applyNumberFormat="1" applyFont="1" applyFill="1" applyBorder="1" applyAlignment="1">
      <alignment vertical="center"/>
    </xf>
    <xf numFmtId="2" fontId="29" fillId="2" borderId="10" xfId="22" applyNumberFormat="1" applyFont="1" applyFill="1" applyBorder="1" applyAlignment="1">
      <alignment vertical="center"/>
    </xf>
    <xf numFmtId="0" fontId="27" fillId="2" borderId="10" xfId="22" applyFont="1" applyFill="1" applyBorder="1"/>
    <xf numFmtId="165" fontId="27" fillId="2" borderId="0" xfId="39" applyNumberFormat="1" applyFont="1" applyFill="1" applyBorder="1"/>
    <xf numFmtId="165" fontId="27" fillId="2" borderId="21" xfId="36" applyNumberFormat="1" applyFont="1" applyFill="1" applyBorder="1" applyAlignment="1">
      <alignment horizontal="center" vertical="center" wrapText="1"/>
    </xf>
    <xf numFmtId="165" fontId="27" fillId="2" borderId="22" xfId="36" applyNumberFormat="1" applyFont="1" applyFill="1" applyBorder="1" applyAlignment="1">
      <alignment horizontal="center" vertical="center" wrapText="1"/>
    </xf>
    <xf numFmtId="4" fontId="27" fillId="2" borderId="0" xfId="39" applyNumberFormat="1" applyFont="1" applyFill="1" applyBorder="1"/>
    <xf numFmtId="0" fontId="27" fillId="2" borderId="16" xfId="22" applyFont="1" applyFill="1" applyBorder="1"/>
    <xf numFmtId="0" fontId="29" fillId="5" borderId="22" xfId="36" applyFont="1" applyFill="1" applyBorder="1" applyAlignment="1">
      <alignment horizontal="center" vertical="center" wrapText="1"/>
    </xf>
    <xf numFmtId="0" fontId="29" fillId="5" borderId="37" xfId="36" applyFont="1" applyFill="1" applyBorder="1" applyAlignment="1">
      <alignment horizontal="center" vertical="center" wrapText="1"/>
    </xf>
    <xf numFmtId="4" fontId="29" fillId="5" borderId="36" xfId="22" applyNumberFormat="1" applyFont="1" applyFill="1" applyBorder="1" applyAlignment="1">
      <alignment vertical="center"/>
    </xf>
    <xf numFmtId="4" fontId="29" fillId="5" borderId="13" xfId="22" applyNumberFormat="1" applyFont="1" applyFill="1" applyBorder="1" applyAlignment="1">
      <alignment vertical="center"/>
    </xf>
    <xf numFmtId="4" fontId="27" fillId="0" borderId="12" xfId="22" applyNumberFormat="1" applyFont="1" applyFill="1" applyBorder="1" applyAlignment="1">
      <alignment vertical="center"/>
    </xf>
    <xf numFmtId="0" fontId="29" fillId="5" borderId="11" xfId="36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 applyProtection="1">
      <alignment vertical="center"/>
      <protection hidden="1"/>
    </xf>
    <xf numFmtId="166" fontId="27" fillId="2" borderId="0" xfId="0" applyNumberFormat="1" applyFont="1" applyFill="1" applyBorder="1" applyAlignment="1" applyProtection="1">
      <alignment vertical="center"/>
      <protection hidden="1"/>
    </xf>
    <xf numFmtId="4" fontId="29" fillId="14" borderId="12" xfId="22" applyNumberFormat="1" applyFont="1" applyFill="1" applyBorder="1" applyAlignment="1">
      <alignment vertical="center"/>
    </xf>
    <xf numFmtId="4" fontId="27" fillId="14" borderId="12" xfId="22" applyNumberFormat="1" applyFont="1" applyFill="1" applyBorder="1" applyAlignment="1">
      <alignment vertical="center"/>
    </xf>
    <xf numFmtId="4" fontId="29" fillId="14" borderId="12" xfId="36" applyNumberFormat="1" applyFont="1" applyFill="1" applyBorder="1" applyAlignment="1">
      <alignment vertical="center"/>
    </xf>
    <xf numFmtId="4" fontId="29" fillId="14" borderId="13" xfId="22" applyNumberFormat="1" applyFont="1" applyFill="1" applyBorder="1" applyAlignment="1">
      <alignment vertical="center"/>
    </xf>
    <xf numFmtId="165" fontId="29" fillId="14" borderId="29" xfId="0" applyNumberFormat="1" applyFont="1" applyFill="1" applyBorder="1"/>
    <xf numFmtId="4" fontId="29" fillId="14" borderId="34" xfId="0" applyNumberFormat="1" applyFont="1" applyFill="1" applyBorder="1"/>
    <xf numFmtId="165" fontId="27" fillId="14" borderId="30" xfId="0" applyNumberFormat="1" applyFont="1" applyFill="1" applyBorder="1"/>
    <xf numFmtId="4" fontId="27" fillId="14" borderId="12" xfId="0" applyNumberFormat="1" applyFont="1" applyFill="1" applyBorder="1"/>
    <xf numFmtId="165" fontId="29" fillId="14" borderId="30" xfId="22" applyNumberFormat="1" applyFont="1" applyFill="1" applyBorder="1" applyAlignment="1">
      <alignment vertical="center"/>
    </xf>
    <xf numFmtId="165" fontId="27" fillId="14" borderId="30" xfId="0" applyNumberFormat="1" applyFont="1" applyFill="1" applyBorder="1" applyAlignment="1">
      <alignment vertical="center"/>
    </xf>
    <xf numFmtId="4" fontId="27" fillId="14" borderId="12" xfId="0" applyNumberFormat="1" applyFont="1" applyFill="1" applyBorder="1" applyAlignment="1">
      <alignment vertical="center"/>
    </xf>
    <xf numFmtId="165" fontId="27" fillId="14" borderId="30" xfId="22" applyNumberFormat="1" applyFont="1" applyFill="1" applyBorder="1" applyAlignment="1">
      <alignment vertical="center"/>
    </xf>
    <xf numFmtId="165" fontId="29" fillId="14" borderId="30" xfId="0" applyNumberFormat="1" applyFont="1" applyFill="1" applyBorder="1"/>
    <xf numFmtId="4" fontId="29" fillId="14" borderId="12" xfId="0" applyNumberFormat="1" applyFont="1" applyFill="1" applyBorder="1"/>
    <xf numFmtId="165" fontId="29" fillId="14" borderId="11" xfId="0" applyNumberFormat="1" applyFont="1" applyFill="1" applyBorder="1"/>
    <xf numFmtId="4" fontId="29" fillId="14" borderId="36" xfId="0" applyNumberFormat="1" applyFont="1" applyFill="1" applyBorder="1"/>
    <xf numFmtId="165" fontId="29" fillId="14" borderId="15" xfId="0" applyNumberFormat="1" applyFont="1" applyFill="1" applyBorder="1"/>
    <xf numFmtId="4" fontId="29" fillId="14" borderId="53" xfId="0" applyNumberFormat="1" applyFont="1" applyFill="1" applyBorder="1"/>
    <xf numFmtId="165" fontId="29" fillId="14" borderId="5" xfId="0" applyNumberFormat="1" applyFont="1" applyFill="1" applyBorder="1"/>
    <xf numFmtId="4" fontId="29" fillId="14" borderId="13" xfId="0" applyNumberFormat="1" applyFont="1" applyFill="1" applyBorder="1"/>
    <xf numFmtId="165" fontId="27" fillId="14" borderId="29" xfId="0" applyNumberFormat="1" applyFont="1" applyFill="1" applyBorder="1"/>
    <xf numFmtId="4" fontId="27" fillId="14" borderId="34" xfId="0" applyNumberFormat="1" applyFont="1" applyFill="1" applyBorder="1"/>
    <xf numFmtId="165" fontId="29" fillId="14" borderId="5" xfId="22" applyNumberFormat="1" applyFont="1" applyFill="1" applyBorder="1" applyAlignment="1">
      <alignment vertical="center"/>
    </xf>
    <xf numFmtId="165" fontId="29" fillId="14" borderId="30" xfId="36" applyNumberFormat="1" applyFont="1" applyFill="1" applyBorder="1" applyAlignment="1">
      <alignment vertical="center"/>
    </xf>
    <xf numFmtId="4" fontId="29" fillId="14" borderId="14" xfId="22" applyNumberFormat="1" applyFont="1" applyFill="1" applyBorder="1" applyAlignment="1">
      <alignment vertical="center"/>
    </xf>
    <xf numFmtId="165" fontId="27" fillId="14" borderId="30" xfId="36" applyNumberFormat="1" applyFont="1" applyFill="1" applyBorder="1" applyAlignment="1">
      <alignment vertical="center"/>
    </xf>
    <xf numFmtId="4" fontId="27" fillId="14" borderId="14" xfId="22" applyNumberFormat="1" applyFont="1" applyFill="1" applyBorder="1" applyAlignment="1">
      <alignment vertical="center"/>
    </xf>
    <xf numFmtId="4" fontId="29" fillId="14" borderId="0" xfId="22" applyNumberFormat="1" applyFont="1" applyFill="1" applyBorder="1" applyAlignment="1">
      <alignment vertical="center"/>
    </xf>
    <xf numFmtId="165" fontId="29" fillId="14" borderId="5" xfId="36" applyNumberFormat="1" applyFont="1" applyFill="1" applyBorder="1" applyAlignment="1">
      <alignment vertical="center"/>
    </xf>
    <xf numFmtId="4" fontId="29" fillId="14" borderId="24" xfId="22" applyNumberFormat="1" applyFont="1" applyFill="1" applyBorder="1" applyAlignment="1">
      <alignment vertical="center"/>
    </xf>
    <xf numFmtId="165" fontId="27" fillId="2" borderId="30" xfId="36" applyNumberFormat="1" applyFont="1" applyFill="1" applyBorder="1"/>
    <xf numFmtId="165" fontId="27" fillId="2" borderId="29" xfId="36" applyNumberFormat="1" applyFont="1" applyFill="1" applyBorder="1"/>
    <xf numFmtId="165" fontId="29" fillId="8" borderId="5" xfId="36" applyNumberFormat="1" applyFont="1" applyFill="1" applyBorder="1" applyAlignment="1">
      <alignment vertical="center"/>
    </xf>
    <xf numFmtId="4" fontId="27" fillId="14" borderId="12" xfId="0" applyNumberFormat="1" applyFont="1" applyFill="1" applyBorder="1" applyAlignment="1">
      <alignment horizontal="center"/>
    </xf>
    <xf numFmtId="165" fontId="29" fillId="10" borderId="30" xfId="36" applyNumberFormat="1" applyFont="1" applyFill="1" applyBorder="1" applyAlignment="1">
      <alignment vertical="center"/>
    </xf>
    <xf numFmtId="165" fontId="27" fillId="2" borderId="0" xfId="22" applyNumberFormat="1" applyFont="1" applyFill="1" applyBorder="1"/>
    <xf numFmtId="165" fontId="27" fillId="2" borderId="0" xfId="22" applyNumberFormat="1" applyFont="1" applyFill="1" applyBorder="1" applyAlignment="1"/>
    <xf numFmtId="165" fontId="27" fillId="2" borderId="0" xfId="22" applyNumberFormat="1" applyFont="1" applyFill="1" applyBorder="1" applyAlignment="1">
      <alignment wrapText="1"/>
    </xf>
    <xf numFmtId="0" fontId="29" fillId="5" borderId="26" xfId="36" applyFont="1" applyFill="1" applyBorder="1" applyAlignment="1">
      <alignment horizontal="center" vertical="center"/>
    </xf>
    <xf numFmtId="0" fontId="29" fillId="5" borderId="27" xfId="36" applyFont="1" applyFill="1" applyBorder="1" applyAlignment="1">
      <alignment horizontal="center" vertical="center"/>
    </xf>
    <xf numFmtId="166" fontId="27" fillId="5" borderId="6" xfId="0" applyNumberFormat="1" applyFont="1" applyFill="1" applyBorder="1" applyAlignment="1" applyProtection="1">
      <alignment horizontal="center" vertical="center"/>
      <protection hidden="1"/>
    </xf>
    <xf numFmtId="166" fontId="27" fillId="5" borderId="23" xfId="0" applyNumberFormat="1" applyFont="1" applyFill="1" applyBorder="1" applyAlignment="1" applyProtection="1">
      <alignment horizontal="center" vertical="center"/>
      <protection hidden="1"/>
    </xf>
    <xf numFmtId="166" fontId="27" fillId="5" borderId="24" xfId="0" applyNumberFormat="1" applyFont="1" applyFill="1" applyBorder="1" applyAlignment="1" applyProtection="1">
      <alignment horizontal="center" vertical="center"/>
      <protection hidden="1"/>
    </xf>
    <xf numFmtId="0" fontId="36" fillId="13" borderId="20" xfId="22" applyFont="1" applyFill="1" applyBorder="1" applyAlignment="1">
      <alignment horizontal="center" vertical="center"/>
    </xf>
    <xf numFmtId="0" fontId="36" fillId="13" borderId="18" xfId="22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 applyProtection="1">
      <alignment horizontal="center" vertical="center"/>
      <protection hidden="1"/>
    </xf>
    <xf numFmtId="166" fontId="27" fillId="0" borderId="0" xfId="0" applyNumberFormat="1" applyFont="1" applyFill="1" applyBorder="1" applyAlignment="1" applyProtection="1">
      <alignment horizontal="center" vertical="center"/>
      <protection hidden="1"/>
    </xf>
    <xf numFmtId="166" fontId="27" fillId="5" borderId="10" xfId="0" applyNumberFormat="1" applyFont="1" applyFill="1" applyBorder="1" applyAlignment="1" applyProtection="1">
      <alignment horizontal="center" vertical="center"/>
      <protection hidden="1"/>
    </xf>
    <xf numFmtId="0" fontId="29" fillId="5" borderId="51" xfId="36" applyFont="1" applyFill="1" applyBorder="1" applyAlignment="1">
      <alignment horizontal="center" vertical="center"/>
    </xf>
    <xf numFmtId="0" fontId="29" fillId="5" borderId="52" xfId="36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 applyProtection="1">
      <alignment horizontal="center" vertical="center"/>
      <protection hidden="1"/>
    </xf>
    <xf numFmtId="0" fontId="29" fillId="8" borderId="51" xfId="22" applyFont="1" applyFill="1" applyBorder="1" applyAlignment="1">
      <alignment horizontal="center" vertical="center"/>
    </xf>
    <xf numFmtId="0" fontId="29" fillId="8" borderId="52" xfId="22" applyFont="1" applyFill="1" applyBorder="1" applyAlignment="1">
      <alignment horizontal="center" vertical="center"/>
    </xf>
    <xf numFmtId="166" fontId="27" fillId="0" borderId="16" xfId="0" applyNumberFormat="1" applyFont="1" applyFill="1" applyBorder="1" applyAlignment="1">
      <alignment horizontal="center" vertical="center"/>
    </xf>
    <xf numFmtId="166" fontId="27" fillId="0" borderId="14" xfId="0" applyNumberFormat="1" applyFont="1" applyFill="1" applyBorder="1" applyAlignment="1">
      <alignment horizontal="center" vertical="center"/>
    </xf>
    <xf numFmtId="166" fontId="27" fillId="8" borderId="6" xfId="0" applyNumberFormat="1" applyFont="1" applyFill="1" applyBorder="1" applyAlignment="1">
      <alignment horizontal="center" vertical="center"/>
    </xf>
    <xf numFmtId="166" fontId="27" fillId="8" borderId="24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/>
    </xf>
    <xf numFmtId="166" fontId="27" fillId="8" borderId="6" xfId="0" applyNumberFormat="1" applyFont="1" applyFill="1" applyBorder="1" applyAlignment="1" applyProtection="1">
      <alignment horizontal="center" vertical="center"/>
      <protection hidden="1"/>
    </xf>
    <xf numFmtId="166" fontId="27" fillId="8" borderId="23" xfId="0" applyNumberFormat="1" applyFont="1" applyFill="1" applyBorder="1" applyAlignment="1" applyProtection="1">
      <alignment horizontal="center" vertical="center"/>
      <protection hidden="1"/>
    </xf>
    <xf numFmtId="166" fontId="27" fillId="8" borderId="24" xfId="0" applyNumberFormat="1" applyFont="1" applyFill="1" applyBorder="1" applyAlignment="1" applyProtection="1">
      <alignment horizontal="center" vertical="center"/>
      <protection hidden="1"/>
    </xf>
    <xf numFmtId="0" fontId="36" fillId="12" borderId="20" xfId="22" applyFont="1" applyFill="1" applyBorder="1" applyAlignment="1">
      <alignment horizontal="center" vertical="center"/>
    </xf>
    <xf numFmtId="0" fontId="36" fillId="12" borderId="18" xfId="22" applyFont="1" applyFill="1" applyBorder="1" applyAlignment="1">
      <alignment horizontal="center" vertical="center"/>
    </xf>
    <xf numFmtId="166" fontId="27" fillId="6" borderId="6" xfId="0" applyNumberFormat="1" applyFont="1" applyFill="1" applyBorder="1" applyAlignment="1">
      <alignment horizontal="center" vertical="center"/>
    </xf>
    <xf numFmtId="166" fontId="27" fillId="6" borderId="24" xfId="0" applyNumberFormat="1" applyFont="1" applyFill="1" applyBorder="1" applyAlignment="1">
      <alignment horizontal="center" vertical="center"/>
    </xf>
    <xf numFmtId="166" fontId="27" fillId="6" borderId="6" xfId="0" applyNumberFormat="1" applyFont="1" applyFill="1" applyBorder="1" applyAlignment="1" applyProtection="1">
      <alignment horizontal="center" vertical="center"/>
      <protection hidden="1"/>
    </xf>
    <xf numFmtId="166" fontId="27" fillId="6" borderId="23" xfId="0" applyNumberFormat="1" applyFont="1" applyFill="1" applyBorder="1" applyAlignment="1" applyProtection="1">
      <alignment horizontal="center" vertical="center"/>
      <protection hidden="1"/>
    </xf>
    <xf numFmtId="166" fontId="27" fillId="6" borderId="24" xfId="0" applyNumberFormat="1" applyFont="1" applyFill="1" applyBorder="1" applyAlignment="1" applyProtection="1">
      <alignment horizontal="center" vertical="center"/>
      <protection hidden="1"/>
    </xf>
    <xf numFmtId="0" fontId="36" fillId="7" borderId="20" xfId="22" applyFont="1" applyFill="1" applyBorder="1" applyAlignment="1">
      <alignment horizontal="center" vertical="center"/>
    </xf>
    <xf numFmtId="0" fontId="36" fillId="7" borderId="18" xfId="22" applyFont="1" applyFill="1" applyBorder="1" applyAlignment="1">
      <alignment horizontal="center" vertical="center"/>
    </xf>
    <xf numFmtId="0" fontId="29" fillId="6" borderId="26" xfId="22" applyFont="1" applyFill="1" applyBorder="1" applyAlignment="1">
      <alignment horizontal="center" vertical="center"/>
    </xf>
    <xf numFmtId="0" fontId="29" fillId="6" borderId="27" xfId="22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45"/>
    </xf>
    <xf numFmtId="0" fontId="16" fillId="0" borderId="0" xfId="0" applyFont="1" applyFill="1" applyAlignment="1">
      <alignment horizontal="center" vertical="center" textRotation="45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" fontId="16" fillId="0" borderId="0" xfId="0" applyNumberFormat="1" applyFont="1" applyFill="1" applyAlignment="1">
      <alignment horizontal="center" vertical="center"/>
    </xf>
    <xf numFmtId="165" fontId="29" fillId="15" borderId="10" xfId="0" applyNumberFormat="1" applyFont="1" applyFill="1" applyBorder="1" applyAlignment="1">
      <alignment horizontal="right"/>
    </xf>
    <xf numFmtId="2" fontId="27" fillId="2" borderId="0" xfId="22" applyNumberFormat="1" applyFont="1" applyFill="1" applyBorder="1"/>
    <xf numFmtId="2" fontId="27" fillId="2" borderId="0" xfId="22" applyNumberFormat="1" applyFont="1" applyFill="1"/>
    <xf numFmtId="176" fontId="27" fillId="2" borderId="0" xfId="22" applyNumberFormat="1" applyFont="1" applyFill="1"/>
    <xf numFmtId="177" fontId="27" fillId="2" borderId="0" xfId="22" applyNumberFormat="1" applyFont="1" applyFill="1"/>
  </cellXfs>
  <cellStyles count="40">
    <cellStyle name="1 indent" xfId="1"/>
    <cellStyle name="2 indents" xfId="2"/>
    <cellStyle name="3 indents" xfId="3"/>
    <cellStyle name="4 indents" xfId="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1" xfId="34"/>
    <cellStyle name="Normal 12" xfId="35"/>
    <cellStyle name="Normal 2" xfId="22"/>
    <cellStyle name="Normal 2 2" xfId="36"/>
    <cellStyle name="Normal 2 2 2" xfId="39"/>
    <cellStyle name="Normal 3" xfId="26"/>
    <cellStyle name="Normal 4" xfId="27"/>
    <cellStyle name="Normal 4 2" xfId="37"/>
    <cellStyle name="Normal 5" xfId="28"/>
    <cellStyle name="Normal 6" xfId="29"/>
    <cellStyle name="Normal 7" xfId="30"/>
    <cellStyle name="Normal 8" xfId="31"/>
    <cellStyle name="Normal 9" xfId="32"/>
    <cellStyle name="Obično_KnjigaZIKS i Min pomorstva i saobracaja" xfId="23"/>
    <cellStyle name="Percent" xfId="38" builtinId="5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7E0000"/>
      <color rgb="FFCCECFF"/>
      <color rgb="FFCCFFFF"/>
      <color rgb="FFFFFFCC"/>
      <color rgb="FF910000"/>
      <color rgb="FF820000"/>
      <color rgb="FF5A0000"/>
      <color rgb="FF640000"/>
      <color rgb="FF6E0000"/>
      <color rgb="FF7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ME" sz="1100"/>
              <a:t>Izvorni prihodi budžeta - I kvartal 2014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11081714785651793"/>
          <c:y val="0.17171296296296298"/>
          <c:w val="0.85862729658792669"/>
          <c:h val="0.74403579760863237"/>
        </c:manualLayout>
      </c:layout>
      <c:barChart>
        <c:barDir val="col"/>
        <c:grouping val="clustered"/>
        <c:ser>
          <c:idx val="0"/>
          <c:order val="0"/>
          <c:tx>
            <c:strRef>
              <c:f>'Cental Budget'!$O$20</c:f>
              <c:strCache>
                <c:ptCount val="1"/>
                <c:pt idx="0">
                  <c:v>2014 - ostvarenje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'Cental Budget'!$P$19:$R$19</c:f>
              <c:strCache>
                <c:ptCount val="3"/>
                <c:pt idx="0">
                  <c:v>PDV</c:v>
                </c:pt>
                <c:pt idx="1">
                  <c:v>Akcize</c:v>
                </c:pt>
                <c:pt idx="2">
                  <c:v>Doprinosi</c:v>
                </c:pt>
              </c:strCache>
            </c:strRef>
          </c:cat>
          <c:val>
            <c:numRef>
              <c:f>'Cental Budget'!$P$20:$R$20</c:f>
              <c:numCache>
                <c:formatCode>0.00,,</c:formatCode>
                <c:ptCount val="3"/>
                <c:pt idx="0">
                  <c:v>98253466.519999996</c:v>
                </c:pt>
                <c:pt idx="1">
                  <c:v>27640146.18</c:v>
                </c:pt>
                <c:pt idx="2">
                  <c:v>75014333.820000008</c:v>
                </c:pt>
              </c:numCache>
            </c:numRef>
          </c:val>
        </c:ser>
        <c:ser>
          <c:idx val="1"/>
          <c:order val="1"/>
          <c:tx>
            <c:strRef>
              <c:f>'Cental Budget'!$O$21</c:f>
              <c:strCache>
                <c:ptCount val="1"/>
                <c:pt idx="0">
                  <c:v>2014 - plan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rgbClr val="7E0000"/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'Cental Budget'!$P$19:$R$19</c:f>
              <c:strCache>
                <c:ptCount val="3"/>
                <c:pt idx="0">
                  <c:v>PDV</c:v>
                </c:pt>
                <c:pt idx="1">
                  <c:v>Akcize</c:v>
                </c:pt>
                <c:pt idx="2">
                  <c:v>Doprinosi</c:v>
                </c:pt>
              </c:strCache>
            </c:strRef>
          </c:cat>
          <c:val>
            <c:numRef>
              <c:f>'Cental Budget'!$P$21:$R$21</c:f>
              <c:numCache>
                <c:formatCode>0.00,,</c:formatCode>
                <c:ptCount val="3"/>
                <c:pt idx="0">
                  <c:v>87295366.753121018</c:v>
                </c:pt>
                <c:pt idx="1">
                  <c:v>30787023.238103144</c:v>
                </c:pt>
                <c:pt idx="2">
                  <c:v>68593570.410744473</c:v>
                </c:pt>
              </c:numCache>
            </c:numRef>
          </c:val>
        </c:ser>
        <c:ser>
          <c:idx val="2"/>
          <c:order val="2"/>
          <c:tx>
            <c:strRef>
              <c:f>'Cental Budget'!$O$22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E0000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'Cental Budget'!$P$19:$R$19</c:f>
              <c:strCache>
                <c:ptCount val="3"/>
                <c:pt idx="0">
                  <c:v>PDV</c:v>
                </c:pt>
                <c:pt idx="1">
                  <c:v>Akcize</c:v>
                </c:pt>
                <c:pt idx="2">
                  <c:v>Doprinosi</c:v>
                </c:pt>
              </c:strCache>
            </c:strRef>
          </c:cat>
          <c:val>
            <c:numRef>
              <c:f>'Cental Budget'!$P$22:$R$22</c:f>
              <c:numCache>
                <c:formatCode>0.00,,</c:formatCode>
                <c:ptCount val="3"/>
                <c:pt idx="0">
                  <c:v>79101769.140000001</c:v>
                </c:pt>
                <c:pt idx="1">
                  <c:v>28599206.859999999</c:v>
                </c:pt>
                <c:pt idx="2">
                  <c:v>68623195.439999998</c:v>
                </c:pt>
              </c:numCache>
            </c:numRef>
          </c:val>
        </c:ser>
        <c:dLbls/>
        <c:gapWidth val="219"/>
        <c:overlap val="-27"/>
        <c:axId val="114768896"/>
        <c:axId val="114782976"/>
      </c:barChart>
      <c:catAx>
        <c:axId val="11476889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82976"/>
        <c:crosses val="autoZero"/>
        <c:auto val="1"/>
        <c:lblAlgn val="ctr"/>
        <c:lblOffset val="100"/>
      </c:catAx>
      <c:valAx>
        <c:axId val="11478297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,,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7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304724409448826"/>
          <c:y val="0.19965223097112861"/>
          <c:w val="0.50834995625546819"/>
          <c:h val="7.8125546806649182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ME"/>
              <a:t>Pregled javne potrošnje - I kvartal 2014.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'Public Expenditure'!$Q$17</c:f>
              <c:strCache>
                <c:ptCount val="1"/>
                <c:pt idx="0">
                  <c:v>2014 - ostvarenje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cat>
            <c:strRef>
              <c:f>'Public Expenditure'!$R$16:$T$16</c:f>
              <c:strCache>
                <c:ptCount val="3"/>
                <c:pt idx="0">
                  <c:v>Prihodi</c:v>
                </c:pt>
                <c:pt idx="1">
                  <c:v>Rashodi</c:v>
                </c:pt>
                <c:pt idx="2">
                  <c:v>Suficit / deficit</c:v>
                </c:pt>
              </c:strCache>
            </c:strRef>
          </c:cat>
          <c:val>
            <c:numRef>
              <c:f>'Public Expenditure'!$R$17:$T$17</c:f>
              <c:numCache>
                <c:formatCode>0.00,,</c:formatCode>
                <c:ptCount val="3"/>
                <c:pt idx="0">
                  <c:v>296558860</c:v>
                </c:pt>
                <c:pt idx="1">
                  <c:v>321540760.00000006</c:v>
                </c:pt>
                <c:pt idx="2">
                  <c:v>-24981900.00000006</c:v>
                </c:pt>
              </c:numCache>
            </c:numRef>
          </c:val>
        </c:ser>
        <c:ser>
          <c:idx val="1"/>
          <c:order val="1"/>
          <c:tx>
            <c:strRef>
              <c:f>'Public Expenditure'!$Q$18</c:f>
              <c:strCache>
                <c:ptCount val="1"/>
                <c:pt idx="0">
                  <c:v>2014 - plan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rgbClr val="7E0000"/>
              </a:solidFill>
            </a:ln>
            <a:effectLst/>
          </c:spPr>
          <c:cat>
            <c:strRef>
              <c:f>'Public Expenditure'!$R$16:$T$16</c:f>
              <c:strCache>
                <c:ptCount val="3"/>
                <c:pt idx="0">
                  <c:v>Prihodi</c:v>
                </c:pt>
                <c:pt idx="1">
                  <c:v>Rashodi</c:v>
                </c:pt>
                <c:pt idx="2">
                  <c:v>Suficit / deficit</c:v>
                </c:pt>
              </c:strCache>
            </c:strRef>
          </c:cat>
          <c:val>
            <c:numRef>
              <c:f>'Public Expenditure'!$R$18:$T$18</c:f>
              <c:numCache>
                <c:formatCode>0.00,,</c:formatCode>
                <c:ptCount val="3"/>
                <c:pt idx="0">
                  <c:v>273630222.07480538</c:v>
                </c:pt>
                <c:pt idx="1">
                  <c:v>354654118.92040002</c:v>
                </c:pt>
                <c:pt idx="2">
                  <c:v>-81023896.845594645</c:v>
                </c:pt>
              </c:numCache>
            </c:numRef>
          </c:val>
        </c:ser>
        <c:ser>
          <c:idx val="2"/>
          <c:order val="2"/>
          <c:tx>
            <c:strRef>
              <c:f>'Public Expenditure'!$Q$19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7E0000"/>
            </a:solidFill>
            <a:ln>
              <a:solidFill>
                <a:srgbClr val="7E0000"/>
              </a:solidFill>
            </a:ln>
            <a:effectLst/>
          </c:spPr>
          <c:cat>
            <c:strRef>
              <c:f>'Public Expenditure'!$R$16:$T$16</c:f>
              <c:strCache>
                <c:ptCount val="3"/>
                <c:pt idx="0">
                  <c:v>Prihodi</c:v>
                </c:pt>
                <c:pt idx="1">
                  <c:v>Rashodi</c:v>
                </c:pt>
                <c:pt idx="2">
                  <c:v>Suficit / deficit</c:v>
                </c:pt>
              </c:strCache>
            </c:strRef>
          </c:cat>
          <c:val>
            <c:numRef>
              <c:f>'Public Expenditure'!$R$19:$T$19</c:f>
              <c:numCache>
                <c:formatCode>0.00,,</c:formatCode>
                <c:ptCount val="3"/>
                <c:pt idx="0">
                  <c:v>258026719.84000003</c:v>
                </c:pt>
                <c:pt idx="1">
                  <c:v>298480014.44949794</c:v>
                </c:pt>
                <c:pt idx="2">
                  <c:v>-40453294.609497905</c:v>
                </c:pt>
              </c:numCache>
            </c:numRef>
          </c:val>
        </c:ser>
        <c:dLbls/>
        <c:gapWidth val="219"/>
        <c:overlap val="-27"/>
        <c:axId val="116650752"/>
        <c:axId val="116652288"/>
      </c:barChart>
      <c:catAx>
        <c:axId val="1166507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652288"/>
        <c:crosses val="autoZero"/>
        <c:auto val="1"/>
        <c:lblAlgn val="ctr"/>
        <c:lblOffset val="100"/>
      </c:catAx>
      <c:valAx>
        <c:axId val="116652288"/>
        <c:scaling>
          <c:orientation val="minMax"/>
          <c:max val="350000000"/>
          <c:min val="-10000000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,,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650752"/>
        <c:crosses val="autoZero"/>
        <c:crossBetween val="between"/>
        <c:majorUnit val="100000000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4.9630087378318408E-2"/>
          <c:y val="9.3067220764071576E-2"/>
          <c:w val="0.91423489152463533"/>
          <c:h val="0.80647637795275351"/>
        </c:manualLayout>
      </c:layout>
      <c:lineChart>
        <c:grouping val="standard"/>
        <c:ser>
          <c:idx val="0"/>
          <c:order val="0"/>
          <c:tx>
            <c:strRef>
              <c:f>Sheet1!$C$5</c:f>
              <c:strCache>
                <c:ptCount val="1"/>
                <c:pt idx="0">
                  <c:v>Mjesečni plan prihoda 2014</c:v>
                </c:pt>
              </c:strCache>
            </c:strRef>
          </c:tx>
          <c:spPr>
            <a:ln>
              <a:solidFill>
                <a:srgbClr val="910000"/>
              </a:solidFill>
              <a:prstDash val="sysDash"/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Sheet1!$D$5:$O$5</c:f>
              <c:numCache>
                <c:formatCode>#,##0.0,,</c:formatCode>
                <c:ptCount val="12"/>
                <c:pt idx="0">
                  <c:v>62425293.156965584</c:v>
                </c:pt>
                <c:pt idx="1">
                  <c:v>79762187.59852089</c:v>
                </c:pt>
                <c:pt idx="2">
                  <c:v>89318688.151918903</c:v>
                </c:pt>
                <c:pt idx="3">
                  <c:v>106294081.27535464</c:v>
                </c:pt>
                <c:pt idx="4">
                  <c:v>97189661.825924918</c:v>
                </c:pt>
                <c:pt idx="5">
                  <c:v>105191801.34506513</c:v>
                </c:pt>
                <c:pt idx="6">
                  <c:v>123272889.17858437</c:v>
                </c:pt>
                <c:pt idx="7">
                  <c:v>125579133.65326507</c:v>
                </c:pt>
                <c:pt idx="8">
                  <c:v>121047897.33843082</c:v>
                </c:pt>
                <c:pt idx="9">
                  <c:v>114789505.85515907</c:v>
                </c:pt>
                <c:pt idx="10">
                  <c:v>97406301.479715049</c:v>
                </c:pt>
                <c:pt idx="11">
                  <c:v>145778958.57826602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Mjesečna procjena prihoda 2014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spPr>
              <a:ln>
                <a:solidFill>
                  <a:schemeClr val="tx1"/>
                </a:solidFill>
                <a:prstDash val="solid"/>
              </a:ln>
            </c:spPr>
          </c:dPt>
          <c:dPt>
            <c:idx val="2"/>
            <c:spPr>
              <a:ln>
                <a:solidFill>
                  <a:schemeClr val="tx1"/>
                </a:solidFill>
                <a:prstDash val="solid"/>
              </a:ln>
            </c:spPr>
          </c:dPt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Sheet1!$D$6:$O$6</c:f>
              <c:numCache>
                <c:formatCode>#,##0.0,,</c:formatCode>
                <c:ptCount val="12"/>
                <c:pt idx="0">
                  <c:v>70632268.589999989</c:v>
                </c:pt>
                <c:pt idx="1">
                  <c:v>81381758.450000018</c:v>
                </c:pt>
                <c:pt idx="2">
                  <c:v>100495765.61000001</c:v>
                </c:pt>
                <c:pt idx="3">
                  <c:v>107356417.33534782</c:v>
                </c:pt>
                <c:pt idx="4">
                  <c:v>98816734.644163221</c:v>
                </c:pt>
                <c:pt idx="5">
                  <c:v>107147051.5707173</c:v>
                </c:pt>
                <c:pt idx="6">
                  <c:v>125666748.8575906</c:v>
                </c:pt>
                <c:pt idx="7">
                  <c:v>127890096.38694921</c:v>
                </c:pt>
                <c:pt idx="8">
                  <c:v>123465322.33433203</c:v>
                </c:pt>
                <c:pt idx="9">
                  <c:v>117130344.73943919</c:v>
                </c:pt>
                <c:pt idx="10">
                  <c:v>99294843.070796907</c:v>
                </c:pt>
                <c:pt idx="11">
                  <c:v>149056317.49743444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Ostvarenje prihoda 2013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Sheet1!$D$7:$O$7</c:f>
              <c:numCache>
                <c:formatCode>#,##0.0,,</c:formatCode>
                <c:ptCount val="12"/>
                <c:pt idx="0">
                  <c:v>54757461.979999989</c:v>
                </c:pt>
                <c:pt idx="1">
                  <c:v>75673443.909999996</c:v>
                </c:pt>
                <c:pt idx="2">
                  <c:v>88296245.580000013</c:v>
                </c:pt>
                <c:pt idx="3">
                  <c:v>103948239.19999999</c:v>
                </c:pt>
                <c:pt idx="4">
                  <c:v>93997829.679999992</c:v>
                </c:pt>
                <c:pt idx="5">
                  <c:v>99561632.659999996</c:v>
                </c:pt>
                <c:pt idx="6">
                  <c:v>122021331.04999998</c:v>
                </c:pt>
                <c:pt idx="7">
                  <c:v>125053427.64999999</c:v>
                </c:pt>
                <c:pt idx="8">
                  <c:v>116342017.78000002</c:v>
                </c:pt>
                <c:pt idx="9">
                  <c:v>117283627.60000001</c:v>
                </c:pt>
                <c:pt idx="10">
                  <c:v>95781753.159999996</c:v>
                </c:pt>
                <c:pt idx="11">
                  <c:v>142429369.22999999</c:v>
                </c:pt>
              </c:numCache>
            </c:numRef>
          </c:val>
          <c:smooth val="1"/>
        </c:ser>
        <c:dLbls/>
        <c:marker val="1"/>
        <c:axId val="117578368"/>
        <c:axId val="117596544"/>
      </c:lineChart>
      <c:catAx>
        <c:axId val="11757836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7596544"/>
        <c:crosses val="autoZero"/>
        <c:auto val="1"/>
        <c:lblAlgn val="ctr"/>
        <c:lblOffset val="100"/>
      </c:catAx>
      <c:valAx>
        <c:axId val="117596544"/>
        <c:scaling>
          <c:orientation val="minMax"/>
          <c:max val="130000000"/>
          <c:min val="50000000"/>
        </c:scaling>
        <c:axPos val="l"/>
        <c:numFmt formatCode="#,##0.0,," sourceLinked="1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7578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19831223628914"/>
          <c:y val="0.63831291921843114"/>
          <c:w val="0.24343466560350838"/>
          <c:h val="0.21760170603674542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/>
            </a:pPr>
            <a:r>
              <a:rPr lang="vi-VN" sz="1000"/>
              <a:t>Poređenje scenarija - sa i bez autoputa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8.2878743296101454E-2"/>
          <c:y val="5.6030183727034118E-2"/>
          <c:w val="0.88495509810152662"/>
          <c:h val="0.89719889180519163"/>
        </c:manualLayout>
      </c:layout>
      <c:lineChart>
        <c:grouping val="standard"/>
        <c:ser>
          <c:idx val="0"/>
          <c:order val="0"/>
          <c:tx>
            <c:strRef>
              <c:f>Sheet3!$C$5</c:f>
              <c:strCache>
                <c:ptCount val="1"/>
                <c:pt idx="0">
                  <c:v>Deficit - osnovni scenario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Sheet3!$D$5:$G$5</c:f>
              <c:numCache>
                <c:formatCode>#,##0.0,,</c:formatCode>
                <c:ptCount val="4"/>
                <c:pt idx="0">
                  <c:v>-26424601.993229389</c:v>
                </c:pt>
                <c:pt idx="1">
                  <c:v>-24569497.372829676</c:v>
                </c:pt>
                <c:pt idx="2">
                  <c:v>33498994.005818129</c:v>
                </c:pt>
                <c:pt idx="3">
                  <c:v>103834080.12588143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Deficit - scenario sa auto putem</c:v>
                </c:pt>
              </c:strCache>
            </c:strRef>
          </c:tx>
          <c:spPr>
            <a:ln>
              <a:solidFill>
                <a:srgbClr val="910000"/>
              </a:solidFill>
              <a:prstDash val="sysDot"/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Sheet3!$D$6:$G$6</c:f>
              <c:numCache>
                <c:formatCode>#,##0.0,,</c:formatCode>
                <c:ptCount val="4"/>
                <c:pt idx="0">
                  <c:v>-51424601.993229389</c:v>
                </c:pt>
                <c:pt idx="1">
                  <c:v>-149569497.37282968</c:v>
                </c:pt>
                <c:pt idx="2">
                  <c:v>-191501005.99418187</c:v>
                </c:pt>
                <c:pt idx="3">
                  <c:v>-221165919.87411857</c:v>
                </c:pt>
              </c:numCache>
            </c:numRef>
          </c:val>
          <c:smooth val="1"/>
        </c:ser>
        <c:dLbls/>
        <c:marker val="1"/>
        <c:axId val="118121984"/>
        <c:axId val="118123520"/>
      </c:lineChart>
      <c:catAx>
        <c:axId val="118121984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18123520"/>
        <c:crosses val="autoZero"/>
        <c:auto val="1"/>
        <c:lblAlgn val="ctr"/>
        <c:lblOffset val="100"/>
      </c:catAx>
      <c:valAx>
        <c:axId val="118123520"/>
        <c:scaling>
          <c:orientation val="minMax"/>
        </c:scaling>
        <c:axPos val="l"/>
        <c:numFmt formatCode="#,##0.0,," sourceLinked="1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18121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91661075997865"/>
          <c:y val="0.55478783902012263"/>
          <c:w val="0.28062788115611131"/>
          <c:h val="0.14506780402449751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425823</xdr:colOff>
      <xdr:row>23</xdr:row>
      <xdr:rowOff>57150</xdr:rowOff>
    </xdr:from>
    <xdr:to>
      <xdr:col>22</xdr:col>
      <xdr:colOff>156882</xdr:colOff>
      <xdr:row>37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299358</xdr:colOff>
      <xdr:row>20</xdr:row>
      <xdr:rowOff>159202</xdr:rowOff>
    </xdr:from>
    <xdr:to>
      <xdr:col>30</xdr:col>
      <xdr:colOff>449036</xdr:colOff>
      <xdr:row>41</xdr:row>
      <xdr:rowOff>163286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15</xdr:row>
      <xdr:rowOff>85725</xdr:rowOff>
    </xdr:from>
    <xdr:to>
      <xdr:col>15</xdr:col>
      <xdr:colOff>200025</xdr:colOff>
      <xdr:row>32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0.02785</cdr:x>
      <cdr:y>0.42708</cdr:y>
    </cdr:from>
    <cdr:to>
      <cdr:x>0.1962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9550" y="1171575"/>
          <a:ext cx="126682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r-Latn-ME" sz="800" i="1"/>
            <a:t>Ostvarenje</a:t>
          </a:r>
          <a:r>
            <a:rPr lang="sr-Latn-ME" sz="800" i="1" baseline="0"/>
            <a:t> prihoda </a:t>
          </a:r>
        </a:p>
        <a:p xmlns:a="http://schemas.openxmlformats.org/drawingml/2006/main">
          <a:pPr algn="r"/>
          <a:r>
            <a:rPr lang="sr-Latn-ME" sz="800" i="1" baseline="0"/>
            <a:t>u prvom kvartalu 2014.</a:t>
          </a:r>
          <a:endParaRPr lang="en-US" sz="800" i="1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142875</xdr:rowOff>
    </xdr:from>
    <xdr:to>
      <xdr:col>10</xdr:col>
      <xdr:colOff>438150</xdr:colOff>
      <xdr:row>26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os.popovic/Dropbox/MINISTARSTVO%20FINANSIJA/SEP/05_Zavrsni%202013/Smjernice%202014-04-04%20sa%20projekcijama%20dug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ntal Budget"/>
      <sheetName val="Cental Budget - hwy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>
            <v>2</v>
          </cell>
        </row>
        <row r="151">
          <cell r="B151" t="str">
            <v>Izvor: Ministarstvo finansija Crne Gore</v>
          </cell>
          <cell r="C151" t="str">
            <v>Source: Ministry of Finance of Montenegro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CC92"/>
  <sheetViews>
    <sheetView tabSelected="1" zoomScale="85" zoomScaleNormal="85" workbookViewId="0">
      <selection activeCell="D87" sqref="D87"/>
    </sheetView>
  </sheetViews>
  <sheetFormatPr defaultColWidth="9.140625" defaultRowHeight="12.75"/>
  <cols>
    <col min="1" max="2" width="9.140625" style="80" customWidth="1"/>
    <col min="3" max="3" width="57.28515625" style="80" customWidth="1"/>
    <col min="4" max="13" width="7.85546875" style="80" customWidth="1"/>
    <col min="14" max="73" width="9.140625" style="80" customWidth="1"/>
    <col min="74" max="74" width="9.140625" style="80"/>
    <col min="75" max="75" width="15.42578125" style="80" customWidth="1"/>
    <col min="76" max="76" width="12.7109375" style="80" customWidth="1"/>
    <col min="77" max="77" width="11.85546875" style="80" customWidth="1"/>
    <col min="78" max="16384" width="9.140625" style="80"/>
  </cols>
  <sheetData>
    <row r="1" spans="2:73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</row>
    <row r="2" spans="2:73" ht="15" hidden="1" customHeight="1">
      <c r="C2" s="81"/>
      <c r="D2" s="117"/>
      <c r="E2" s="117"/>
      <c r="F2" s="117"/>
      <c r="G2" s="124">
        <v>2014</v>
      </c>
      <c r="H2" s="124"/>
      <c r="I2" s="124"/>
      <c r="J2" s="125">
        <v>2017</v>
      </c>
      <c r="L2" s="124"/>
      <c r="M2" s="124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</row>
    <row r="3" spans="2:73" ht="15" hidden="1" customHeight="1">
      <c r="C3" s="81"/>
      <c r="D3" s="118"/>
      <c r="E3" s="118"/>
      <c r="F3" s="118"/>
      <c r="G3" s="119">
        <v>5.4037200000000007</v>
      </c>
      <c r="H3" s="119"/>
      <c r="I3" s="119"/>
      <c r="J3" s="120">
        <v>6.0799999999999965</v>
      </c>
      <c r="L3" s="119"/>
      <c r="M3" s="119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</row>
    <row r="4" spans="2:73" ht="15" hidden="1" customHeight="1">
      <c r="C4" s="81"/>
      <c r="D4" s="113"/>
      <c r="E4" s="113"/>
      <c r="F4" s="113"/>
      <c r="G4" s="111">
        <v>3.54</v>
      </c>
      <c r="H4" s="111"/>
      <c r="I4" s="111"/>
      <c r="J4" s="112">
        <v>4</v>
      </c>
      <c r="L4" s="111"/>
      <c r="M4" s="11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</row>
    <row r="5" spans="2:73" ht="15" hidden="1" customHeight="1">
      <c r="C5" s="81"/>
      <c r="D5" s="121"/>
      <c r="E5" s="121"/>
      <c r="F5" s="121"/>
      <c r="G5" s="122">
        <v>1.8</v>
      </c>
      <c r="H5" s="122"/>
      <c r="I5" s="122"/>
      <c r="J5" s="132">
        <v>2</v>
      </c>
      <c r="L5" s="122"/>
      <c r="M5" s="12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</row>
    <row r="6" spans="2:73" ht="15" hidden="1" customHeight="1">
      <c r="C6" s="81"/>
      <c r="D6" s="123"/>
      <c r="E6" s="123"/>
      <c r="F6" s="123"/>
      <c r="G6" s="131">
        <v>2.3E-2</v>
      </c>
      <c r="H6" s="131"/>
      <c r="I6" s="131"/>
      <c r="J6" s="131">
        <v>5.1999999999999998E-2</v>
      </c>
      <c r="L6" s="131"/>
      <c r="M6" s="13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</row>
    <row r="7" spans="2:73" ht="15" hidden="1" customHeight="1">
      <c r="C7" s="81"/>
      <c r="D7" s="114"/>
      <c r="E7" s="114"/>
      <c r="F7" s="114"/>
      <c r="G7" s="114"/>
      <c r="H7" s="114"/>
      <c r="I7" s="114"/>
      <c r="J7" s="115"/>
      <c r="L7" s="114"/>
      <c r="M7" s="114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</row>
    <row r="8" spans="2:73" ht="15" hidden="1" customHeight="1">
      <c r="C8" s="81"/>
      <c r="D8" s="110"/>
      <c r="E8" s="110"/>
      <c r="F8" s="110"/>
      <c r="G8" s="126">
        <f>+J16/F16*100-100</f>
        <v>-5.9254811134741772</v>
      </c>
      <c r="H8" s="126"/>
      <c r="I8" s="126"/>
      <c r="J8" s="128" t="e">
        <f>+#REF!/#REF!*100-100</f>
        <v>#REF!</v>
      </c>
      <c r="L8" s="126"/>
      <c r="M8" s="126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</row>
    <row r="9" spans="2:73" ht="15" hidden="1" customHeight="1">
      <c r="C9" s="81"/>
      <c r="D9" s="116"/>
      <c r="E9" s="116"/>
      <c r="F9" s="116"/>
      <c r="G9" s="127" t="e">
        <f>+J16/#REF!*100-100</f>
        <v>#REF!</v>
      </c>
      <c r="H9" s="127"/>
      <c r="I9" s="127"/>
      <c r="J9" s="129" t="e">
        <f>+#REF!/#REF!*100-100</f>
        <v>#REF!</v>
      </c>
      <c r="L9" s="127"/>
      <c r="M9" s="127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</row>
    <row r="10" spans="2:73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</row>
    <row r="11" spans="2:73" ht="18.75" customHeight="1" thickTop="1" thickBot="1">
      <c r="C11" s="206" t="str">
        <f>IF(MasterSheet!$A$1=1,MasterSheet!B67,MasterSheet!B66)</f>
        <v>BDP (u mil. €)</v>
      </c>
      <c r="D11" s="278">
        <v>3516156889.9792166</v>
      </c>
      <c r="E11" s="279"/>
      <c r="F11" s="279"/>
      <c r="G11" s="280"/>
      <c r="H11" s="283"/>
      <c r="I11" s="288"/>
      <c r="J11" s="285">
        <v>3335900000</v>
      </c>
      <c r="K11" s="285">
        <v>0</v>
      </c>
      <c r="L11" s="283"/>
      <c r="M11" s="284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</row>
    <row r="12" spans="2:73" ht="19.5" customHeight="1" thickTop="1">
      <c r="C12" s="81"/>
      <c r="D12" s="226"/>
      <c r="E12" s="226"/>
      <c r="F12" s="83"/>
      <c r="G12" s="83"/>
      <c r="H12" s="82"/>
      <c r="I12" s="82"/>
      <c r="J12" s="82"/>
      <c r="K12" s="82"/>
      <c r="L12" s="82"/>
      <c r="M12" s="82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</row>
    <row r="13" spans="2:73" ht="17.25" customHeight="1" thickBot="1">
      <c r="B13" s="85"/>
      <c r="C13" s="86"/>
      <c r="D13" s="227"/>
      <c r="E13" s="227"/>
      <c r="F13" s="187"/>
      <c r="G13" s="187"/>
      <c r="H13" s="187"/>
      <c r="I13" s="187"/>
      <c r="J13" s="187"/>
      <c r="K13" s="187"/>
      <c r="L13" s="187"/>
      <c r="M13" s="187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</row>
    <row r="14" spans="2:73" ht="15.75" customHeight="1" thickTop="1">
      <c r="B14" s="87"/>
      <c r="C14" s="281" t="str">
        <f>IF(MasterSheet!$A$1=1,MasterSheet!B71,MasterSheet!B70)</f>
        <v>Budžet Crne Gore</v>
      </c>
      <c r="D14" s="276" t="s">
        <v>447</v>
      </c>
      <c r="E14" s="277"/>
      <c r="F14" s="276" t="s">
        <v>393</v>
      </c>
      <c r="G14" s="277"/>
      <c r="H14" s="276" t="s">
        <v>448</v>
      </c>
      <c r="I14" s="277"/>
      <c r="J14" s="276" t="s">
        <v>449</v>
      </c>
      <c r="K14" s="277"/>
      <c r="L14" s="286" t="s">
        <v>448</v>
      </c>
      <c r="M14" s="287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</row>
    <row r="15" spans="2:73" ht="15" customHeight="1" thickBot="1">
      <c r="C15" s="282" t="str">
        <f>IF(MasterSheet!$A$1=1,MasterSheet!B71,MasterSheet!B70)</f>
        <v>Budžet Crne Gore</v>
      </c>
      <c r="D15" s="88" t="str">
        <f>+F15</f>
        <v>mil. €</v>
      </c>
      <c r="E15" s="231" t="str">
        <f>+G15</f>
        <v>% BDP</v>
      </c>
      <c r="F15" s="88" t="s">
        <v>263</v>
      </c>
      <c r="G15" s="89" t="s">
        <v>150</v>
      </c>
      <c r="H15" s="230" t="s">
        <v>263</v>
      </c>
      <c r="I15" s="230" t="s">
        <v>443</v>
      </c>
      <c r="J15" s="88" t="s">
        <v>263</v>
      </c>
      <c r="K15" s="89" t="s">
        <v>150</v>
      </c>
      <c r="L15" s="235" t="s">
        <v>263</v>
      </c>
      <c r="M15" s="130" t="s">
        <v>443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</row>
    <row r="16" spans="2:73" ht="15" customHeight="1" thickTop="1" thickBot="1">
      <c r="B16" s="80">
        <v>7</v>
      </c>
      <c r="C16" s="90" t="str">
        <f>IF(MasterSheet!$A$1=1,MasterSheet!C72,MasterSheet!B72)</f>
        <v>Izvorni prihodi</v>
      </c>
      <c r="D16" s="318">
        <f>+D17+D25+D30+D35+D42+D47+D48</f>
        <v>253558619.14000002</v>
      </c>
      <c r="E16" s="232">
        <f>+D16/$D$11*100</f>
        <v>7.2112430438648252</v>
      </c>
      <c r="F16" s="318">
        <f>+F17+F25+F30+F35+F42+F47+F48</f>
        <v>233506168.90740538</v>
      </c>
      <c r="G16" s="232">
        <f>+F16/$D$11*100</f>
        <v>6.6409485189037056</v>
      </c>
      <c r="H16" s="188">
        <f>+D16-F16</f>
        <v>20052450.232594639</v>
      </c>
      <c r="I16" s="233">
        <f>+D16/F16*100-100</f>
        <v>8.5875462418923263</v>
      </c>
      <c r="J16" s="318">
        <f>+J17+J25+J30+J35+J42+J47+J48</f>
        <v>219669804.96999997</v>
      </c>
      <c r="K16" s="232">
        <f>+J16/$J$11*100</f>
        <v>6.5850236808657332</v>
      </c>
      <c r="L16" s="188">
        <f>+D16-J16</f>
        <v>33888814.170000046</v>
      </c>
      <c r="M16" s="232">
        <f>+D16/J16*100-100</f>
        <v>15.427160858374762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</row>
    <row r="17" spans="2:78" ht="15" customHeight="1" thickTop="1">
      <c r="B17" s="80">
        <v>711</v>
      </c>
      <c r="C17" s="93" t="str">
        <f>IF(MasterSheet!$A$1=1,MasterSheet!C73,MasterSheet!B73)</f>
        <v>Porezi</v>
      </c>
      <c r="D17" s="170">
        <v>164263222.46000001</v>
      </c>
      <c r="E17" s="177">
        <f t="shared" ref="E17:G80" si="0">+D17/$D$11*100</f>
        <v>4.6716693139642853</v>
      </c>
      <c r="F17" s="170">
        <v>150029455.18085787</v>
      </c>
      <c r="G17" s="177">
        <f t="shared" si="0"/>
        <v>4.2668589563915811</v>
      </c>
      <c r="H17" s="261">
        <f t="shared" ref="H17:H80" si="1">+D17-F17</f>
        <v>14233767.279142141</v>
      </c>
      <c r="I17" s="238">
        <f t="shared" ref="I17:I80" si="2">+D17/F17*100-100</f>
        <v>9.4873151821977899</v>
      </c>
      <c r="J17" s="170">
        <v>135661712.16</v>
      </c>
      <c r="K17" s="177">
        <f t="shared" ref="K17:K80" si="3">+J17/$J$11*100</f>
        <v>4.0667199904073863</v>
      </c>
      <c r="L17" s="261">
        <f t="shared" ref="L17:L80" si="4">+D17-J17</f>
        <v>28601510.300000012</v>
      </c>
      <c r="M17" s="238">
        <f t="shared" ref="M17:M80" si="5">+D17/J17*100-100</f>
        <v>21.082964267963305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</row>
    <row r="18" spans="2:78" ht="15" customHeight="1">
      <c r="B18" s="80">
        <v>7111</v>
      </c>
      <c r="C18" s="97" t="str">
        <f>IF(MasterSheet!$A$1=1,MasterSheet!C74,MasterSheet!B74)</f>
        <v>Porez na dohodak fizičkih lica</v>
      </c>
      <c r="D18" s="171">
        <v>18480753.43</v>
      </c>
      <c r="E18" s="178">
        <f t="shared" si="0"/>
        <v>0.5255952452710162</v>
      </c>
      <c r="F18" s="171">
        <v>18817517.070446387</v>
      </c>
      <c r="G18" s="178">
        <f t="shared" si="0"/>
        <v>0.5351728509064797</v>
      </c>
      <c r="H18" s="263">
        <f t="shared" si="1"/>
        <v>-336763.64044638723</v>
      </c>
      <c r="I18" s="239">
        <f t="shared" si="2"/>
        <v>-1.789628457280827</v>
      </c>
      <c r="J18" s="172">
        <v>15752735.609999999</v>
      </c>
      <c r="K18" s="178">
        <f t="shared" si="3"/>
        <v>0.47221846008573393</v>
      </c>
      <c r="L18" s="263">
        <f t="shared" si="4"/>
        <v>2728017.8200000003</v>
      </c>
      <c r="M18" s="239">
        <f t="shared" si="5"/>
        <v>17.317740153451354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</row>
    <row r="19" spans="2:78" ht="15" customHeight="1">
      <c r="B19" s="80">
        <v>7112</v>
      </c>
      <c r="C19" s="97" t="str">
        <f>IF(MasterSheet!$A$1=1,MasterSheet!C75,MasterSheet!B75)</f>
        <v>Porez na dobit pravnih lica</v>
      </c>
      <c r="D19" s="172">
        <v>14603148.550000001</v>
      </c>
      <c r="E19" s="178">
        <f t="shared" si="0"/>
        <v>0.41531561323722155</v>
      </c>
      <c r="F19" s="172">
        <v>7254668.0881606936</v>
      </c>
      <c r="G19" s="178">
        <f t="shared" si="0"/>
        <v>0.2063237880208347</v>
      </c>
      <c r="H19" s="263">
        <f t="shared" si="1"/>
        <v>7348480.4618393071</v>
      </c>
      <c r="I19" s="239">
        <f t="shared" si="2"/>
        <v>101.29313116104802</v>
      </c>
      <c r="J19" s="172">
        <v>6640752.5899999999</v>
      </c>
      <c r="K19" s="178">
        <f t="shared" si="3"/>
        <v>0.19906929434335563</v>
      </c>
      <c r="L19" s="263">
        <f t="shared" si="4"/>
        <v>7962395.9600000009</v>
      </c>
      <c r="M19" s="239">
        <f t="shared" si="5"/>
        <v>119.90201188928799</v>
      </c>
      <c r="N19" s="139"/>
      <c r="O19" s="81"/>
      <c r="P19" s="81" t="s">
        <v>457</v>
      </c>
      <c r="Q19" s="81" t="s">
        <v>12</v>
      </c>
      <c r="R19" s="81" t="s">
        <v>19</v>
      </c>
      <c r="S19" s="139"/>
      <c r="T19" s="139"/>
      <c r="U19" s="139"/>
      <c r="V19" s="139"/>
      <c r="W19" s="139"/>
      <c r="X19" s="139"/>
      <c r="Y19" s="140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W19" s="81"/>
    </row>
    <row r="20" spans="2:78" ht="15" customHeight="1">
      <c r="B20" s="80">
        <v>7113</v>
      </c>
      <c r="C20" s="97" t="str">
        <f>IF(MasterSheet!$A$1=1,MasterSheet!C76,MasterSheet!B76)</f>
        <v>Porez na promet nepokretnosti</v>
      </c>
      <c r="D20" s="172">
        <v>357419.75</v>
      </c>
      <c r="E20" s="178">
        <f t="shared" si="0"/>
        <v>1.0165068317020196E-2</v>
      </c>
      <c r="F20" s="172">
        <v>399102.84175984538</v>
      </c>
      <c r="G20" s="178">
        <f t="shared" si="0"/>
        <v>1.1350541350906684E-2</v>
      </c>
      <c r="H20" s="263">
        <f t="shared" si="1"/>
        <v>-41683.091759845382</v>
      </c>
      <c r="I20" s="239">
        <f t="shared" si="2"/>
        <v>-10.444198186122563</v>
      </c>
      <c r="J20" s="172">
        <v>372237.01</v>
      </c>
      <c r="K20" s="178">
        <f t="shared" si="3"/>
        <v>1.1158518240954466E-2</v>
      </c>
      <c r="L20" s="263">
        <f t="shared" si="4"/>
        <v>-14817.260000000009</v>
      </c>
      <c r="M20" s="239">
        <f t="shared" si="5"/>
        <v>-3.9805982752762787</v>
      </c>
      <c r="N20" s="139"/>
      <c r="O20" s="81" t="s">
        <v>447</v>
      </c>
      <c r="P20" s="273">
        <f>+D21</f>
        <v>98253466.519999996</v>
      </c>
      <c r="Q20" s="273">
        <f>+D22</f>
        <v>27640146.18</v>
      </c>
      <c r="R20" s="273">
        <f>+D25</f>
        <v>75014333.820000008</v>
      </c>
      <c r="S20" s="139"/>
      <c r="T20" s="139"/>
      <c r="U20" s="139"/>
      <c r="V20" s="139"/>
      <c r="W20" s="139"/>
      <c r="X20" s="139"/>
      <c r="Y20" s="140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</row>
    <row r="21" spans="2:78" ht="15" customHeight="1">
      <c r="B21" s="80">
        <v>7114</v>
      </c>
      <c r="C21" s="97" t="str">
        <f>IF(MasterSheet!$A$1=1,MasterSheet!C77,MasterSheet!B77)</f>
        <v>Porez na dodatu vrijednost</v>
      </c>
      <c r="D21" s="171">
        <v>98253466.519999996</v>
      </c>
      <c r="E21" s="178">
        <f t="shared" si="0"/>
        <v>2.7943425050234536</v>
      </c>
      <c r="F21" s="171">
        <v>87295366.753121018</v>
      </c>
      <c r="G21" s="178">
        <f t="shared" si="0"/>
        <v>2.4826925954841852</v>
      </c>
      <c r="H21" s="263">
        <f t="shared" si="1"/>
        <v>10958099.766878977</v>
      </c>
      <c r="I21" s="239">
        <f t="shared" si="2"/>
        <v>12.552899626241839</v>
      </c>
      <c r="J21" s="172">
        <v>79101769.140000001</v>
      </c>
      <c r="K21" s="178">
        <f t="shared" si="3"/>
        <v>2.3712272292334902</v>
      </c>
      <c r="L21" s="263">
        <f t="shared" si="4"/>
        <v>19151697.379999995</v>
      </c>
      <c r="M21" s="239">
        <f t="shared" si="5"/>
        <v>24.211465291128874</v>
      </c>
      <c r="O21" s="81" t="s">
        <v>450</v>
      </c>
      <c r="P21" s="273">
        <f>+F21</f>
        <v>87295366.753121018</v>
      </c>
      <c r="Q21" s="273">
        <f>+F22</f>
        <v>30787023.238103144</v>
      </c>
      <c r="R21" s="273">
        <f>+F25</f>
        <v>68593570.410744473</v>
      </c>
    </row>
    <row r="22" spans="2:78" ht="15" customHeight="1">
      <c r="B22" s="80">
        <v>7115</v>
      </c>
      <c r="C22" s="97" t="str">
        <f>IF(MasterSheet!$A$1=1,MasterSheet!C78,MasterSheet!B78)</f>
        <v>Akcize</v>
      </c>
      <c r="D22" s="172">
        <v>27640146.18</v>
      </c>
      <c r="E22" s="178">
        <f t="shared" si="0"/>
        <v>0.78608967247088268</v>
      </c>
      <c r="F22" s="172">
        <v>30787023.238103144</v>
      </c>
      <c r="G22" s="178">
        <f t="shared" si="0"/>
        <v>0.8755873017453758</v>
      </c>
      <c r="H22" s="263">
        <f t="shared" si="1"/>
        <v>-3146877.0581031442</v>
      </c>
      <c r="I22" s="239">
        <f t="shared" si="2"/>
        <v>-10.22143983770556</v>
      </c>
      <c r="J22" s="172">
        <v>28599206.859999999</v>
      </c>
      <c r="K22" s="178">
        <f t="shared" si="3"/>
        <v>0.85731607242423324</v>
      </c>
      <c r="L22" s="263">
        <f t="shared" si="4"/>
        <v>-959060.6799999997</v>
      </c>
      <c r="M22" s="239">
        <f t="shared" si="5"/>
        <v>-3.3534520194732522</v>
      </c>
      <c r="O22" s="138">
        <v>2013</v>
      </c>
      <c r="P22" s="274">
        <f>+J21</f>
        <v>79101769.140000001</v>
      </c>
      <c r="Q22" s="275">
        <f>+J22</f>
        <v>28599206.859999999</v>
      </c>
      <c r="R22" s="275">
        <f>+J25</f>
        <v>68623195.439999998</v>
      </c>
    </row>
    <row r="23" spans="2:78" ht="15" customHeight="1">
      <c r="B23" s="80">
        <v>7116</v>
      </c>
      <c r="C23" s="97" t="str">
        <f>IF(MasterSheet!$A$1=1,MasterSheet!C79,MasterSheet!B79)</f>
        <v>Porez na međunarodnu trgovinu i transakcije</v>
      </c>
      <c r="D23" s="172">
        <v>3897133.5</v>
      </c>
      <c r="E23" s="178">
        <f t="shared" si="0"/>
        <v>0.11083502875274248</v>
      </c>
      <c r="F23" s="172">
        <v>4559610.4571016524</v>
      </c>
      <c r="G23" s="178">
        <f t="shared" si="0"/>
        <v>0.12967596724981756</v>
      </c>
      <c r="H23" s="263">
        <f t="shared" si="1"/>
        <v>-662476.9571016524</v>
      </c>
      <c r="I23" s="239">
        <f t="shared" si="2"/>
        <v>-14.529244621540769</v>
      </c>
      <c r="J23" s="172">
        <v>4277994.3899999997</v>
      </c>
      <c r="K23" s="178">
        <f t="shared" si="3"/>
        <v>0.12824108606373091</v>
      </c>
      <c r="L23" s="263">
        <f t="shared" si="4"/>
        <v>-380860.88999999966</v>
      </c>
      <c r="M23" s="239">
        <f t="shared" si="5"/>
        <v>-8.9027907771519921</v>
      </c>
      <c r="BX23" s="141"/>
      <c r="BY23" s="141"/>
      <c r="BZ23" s="81"/>
    </row>
    <row r="24" spans="2:78" ht="15" customHeight="1">
      <c r="B24" s="80">
        <v>7118</v>
      </c>
      <c r="C24" s="97" t="str">
        <f>IF(MasterSheet!$A$1=1,MasterSheet!C80,MasterSheet!B80)</f>
        <v>Ostali republički prihodi</v>
      </c>
      <c r="D24" s="172">
        <v>1031154.53</v>
      </c>
      <c r="E24" s="178">
        <f t="shared" si="0"/>
        <v>2.9326180891948057E-2</v>
      </c>
      <c r="F24" s="172">
        <v>916166.73216512497</v>
      </c>
      <c r="G24" s="178">
        <f t="shared" si="0"/>
        <v>2.6055911633981164E-2</v>
      </c>
      <c r="H24" s="263">
        <f t="shared" si="1"/>
        <v>114987.79783487506</v>
      </c>
      <c r="I24" s="239">
        <f t="shared" si="2"/>
        <v>12.550968486176188</v>
      </c>
      <c r="J24" s="172">
        <v>917016.56</v>
      </c>
      <c r="K24" s="178">
        <f t="shared" si="3"/>
        <v>2.748933001588777E-2</v>
      </c>
      <c r="L24" s="263">
        <f t="shared" si="4"/>
        <v>114137.96999999997</v>
      </c>
      <c r="M24" s="239">
        <f t="shared" si="5"/>
        <v>12.446663994813775</v>
      </c>
      <c r="BX24" s="141"/>
      <c r="BY24" s="141"/>
      <c r="BZ24" s="81"/>
    </row>
    <row r="25" spans="2:78" ht="15" customHeight="1">
      <c r="B25" s="80">
        <v>712</v>
      </c>
      <c r="C25" s="93" t="str">
        <f>IF(MasterSheet!$A$1=1,MasterSheet!C81,MasterSheet!B81)</f>
        <v>Doprinosi</v>
      </c>
      <c r="D25" s="170">
        <v>75014333.820000008</v>
      </c>
      <c r="E25" s="177">
        <f t="shared" si="0"/>
        <v>2.1334182793090162</v>
      </c>
      <c r="F25" s="170">
        <v>68593570.410744473</v>
      </c>
      <c r="G25" s="177">
        <f t="shared" si="0"/>
        <v>1.9508108584753714</v>
      </c>
      <c r="H25" s="261">
        <f t="shared" si="1"/>
        <v>6420763.4092555344</v>
      </c>
      <c r="I25" s="238">
        <f t="shared" si="2"/>
        <v>9.3605907533423647</v>
      </c>
      <c r="J25" s="170">
        <v>68623195.439999998</v>
      </c>
      <c r="K25" s="177">
        <f t="shared" si="3"/>
        <v>2.0571118870469736</v>
      </c>
      <c r="L25" s="261">
        <f t="shared" si="4"/>
        <v>6391138.3800000101</v>
      </c>
      <c r="M25" s="238">
        <f t="shared" si="5"/>
        <v>9.313379155577266</v>
      </c>
      <c r="BX25" s="141"/>
      <c r="BY25" s="141"/>
      <c r="BZ25" s="81"/>
    </row>
    <row r="26" spans="2:78" ht="15" customHeight="1">
      <c r="B26" s="80">
        <v>7121</v>
      </c>
      <c r="C26" s="97" t="str">
        <f>IF(MasterSheet!$A$1=1,MasterSheet!C82,MasterSheet!B82)</f>
        <v>Doprinosi za penzijsko i invalidsko osiguranje</v>
      </c>
      <c r="D26" s="172">
        <v>46630224.140000001</v>
      </c>
      <c r="E26" s="178">
        <f t="shared" si="0"/>
        <v>1.326170179518799</v>
      </c>
      <c r="F26" s="172">
        <v>39073248.055810295</v>
      </c>
      <c r="G26" s="178">
        <f t="shared" si="0"/>
        <v>1.1112487092702297</v>
      </c>
      <c r="H26" s="263">
        <f t="shared" si="1"/>
        <v>7556976.0841897056</v>
      </c>
      <c r="I26" s="239">
        <f t="shared" si="2"/>
        <v>19.340537222284908</v>
      </c>
      <c r="J26" s="172">
        <v>40248853.579999998</v>
      </c>
      <c r="K26" s="178">
        <f t="shared" si="3"/>
        <v>1.2065365742378369</v>
      </c>
      <c r="L26" s="263">
        <f t="shared" si="4"/>
        <v>6381370.5600000024</v>
      </c>
      <c r="M26" s="239">
        <f t="shared" si="5"/>
        <v>15.854788378794865</v>
      </c>
      <c r="BX26" s="141"/>
      <c r="BY26" s="141"/>
      <c r="BZ26" s="81"/>
    </row>
    <row r="27" spans="2:78" ht="15" customHeight="1">
      <c r="B27" s="80">
        <v>7122</v>
      </c>
      <c r="C27" s="97" t="str">
        <f>IF(MasterSheet!$A$1=1,MasterSheet!C83,MasterSheet!B83)</f>
        <v>Doprinosi za zdravstveno osiguranje</v>
      </c>
      <c r="D27" s="172">
        <v>24791584.289999999</v>
      </c>
      <c r="E27" s="178">
        <f t="shared" si="0"/>
        <v>0.70507616883234525</v>
      </c>
      <c r="F27" s="172">
        <v>25243584.64207723</v>
      </c>
      <c r="G27" s="178">
        <f t="shared" si="0"/>
        <v>0.71793112286939054</v>
      </c>
      <c r="H27" s="263">
        <f t="shared" si="1"/>
        <v>-452000.35207723081</v>
      </c>
      <c r="I27" s="239">
        <f t="shared" si="2"/>
        <v>-1.7905553370729024</v>
      </c>
      <c r="J27" s="172">
        <v>24522070.140000001</v>
      </c>
      <c r="K27" s="178">
        <f t="shared" si="3"/>
        <v>0.73509608021823203</v>
      </c>
      <c r="L27" s="263">
        <f t="shared" si="4"/>
        <v>269514.14999999851</v>
      </c>
      <c r="M27" s="239">
        <f t="shared" si="5"/>
        <v>1.0990676907019008</v>
      </c>
      <c r="BX27" s="141"/>
      <c r="BY27" s="141"/>
      <c r="BZ27" s="81"/>
    </row>
    <row r="28" spans="2:78" ht="15" customHeight="1">
      <c r="B28" s="80">
        <v>7123</v>
      </c>
      <c r="C28" s="97" t="str">
        <f>IF(MasterSheet!$A$1=1,MasterSheet!C84,MasterSheet!B84)</f>
        <v>Doprinosi za osiguranje od nezaposlenosti</v>
      </c>
      <c r="D28" s="172">
        <v>1985917.72</v>
      </c>
      <c r="E28" s="178">
        <f t="shared" si="0"/>
        <v>5.6479781253780705E-2</v>
      </c>
      <c r="F28" s="172">
        <v>2125329.1061334657</v>
      </c>
      <c r="G28" s="178">
        <f t="shared" si="0"/>
        <v>6.0444660822459147E-2</v>
      </c>
      <c r="H28" s="263">
        <f t="shared" si="1"/>
        <v>-139411.38613346568</v>
      </c>
      <c r="I28" s="239">
        <f t="shared" si="2"/>
        <v>-6.5595199224035383</v>
      </c>
      <c r="J28" s="172">
        <v>1970339.94</v>
      </c>
      <c r="K28" s="178">
        <f t="shared" si="3"/>
        <v>5.9064718366857519E-2</v>
      </c>
      <c r="L28" s="263">
        <f t="shared" si="4"/>
        <v>15577.780000000028</v>
      </c>
      <c r="M28" s="239">
        <f t="shared" si="5"/>
        <v>0.79061382676941605</v>
      </c>
      <c r="BX28" s="141"/>
      <c r="BY28" s="141"/>
      <c r="BZ28" s="81"/>
    </row>
    <row r="29" spans="2:78" ht="15" customHeight="1">
      <c r="B29" s="80">
        <v>7124</v>
      </c>
      <c r="C29" s="97" t="str">
        <f>IF(MasterSheet!$A$1=1,MasterSheet!C85,MasterSheet!B85)</f>
        <v>Ostali doprinosi</v>
      </c>
      <c r="D29" s="171">
        <v>1606607.67</v>
      </c>
      <c r="E29" s="178">
        <f t="shared" si="0"/>
        <v>4.5692149704090607E-2</v>
      </c>
      <c r="F29" s="171">
        <v>2151408.6067234799</v>
      </c>
      <c r="G29" s="178">
        <f t="shared" si="0"/>
        <v>6.1186365513291888E-2</v>
      </c>
      <c r="H29" s="263">
        <f t="shared" si="1"/>
        <v>-544800.93672348</v>
      </c>
      <c r="I29" s="239">
        <f t="shared" si="2"/>
        <v>-25.322987693778572</v>
      </c>
      <c r="J29" s="172">
        <v>1881931.78</v>
      </c>
      <c r="K29" s="178">
        <f t="shared" si="3"/>
        <v>5.6414514224047488E-2</v>
      </c>
      <c r="L29" s="263">
        <f t="shared" si="4"/>
        <v>-275324.1100000001</v>
      </c>
      <c r="M29" s="239">
        <f t="shared" si="5"/>
        <v>-14.62986665754697</v>
      </c>
      <c r="BX29" s="81"/>
      <c r="BY29" s="81"/>
      <c r="BZ29" s="81"/>
    </row>
    <row r="30" spans="2:78" ht="15" customHeight="1">
      <c r="B30" s="80">
        <v>713</v>
      </c>
      <c r="C30" s="93" t="str">
        <f>IF(MasterSheet!$A$1=1,MasterSheet!C86,MasterSheet!B86)</f>
        <v>Takse</v>
      </c>
      <c r="D30" s="170">
        <v>4510726.7799999993</v>
      </c>
      <c r="E30" s="177">
        <f t="shared" si="0"/>
        <v>0.12828570854887711</v>
      </c>
      <c r="F30" s="170">
        <v>3813497.0616141628</v>
      </c>
      <c r="G30" s="177">
        <f t="shared" si="0"/>
        <v>0.10845639659829581</v>
      </c>
      <c r="H30" s="261">
        <f t="shared" si="1"/>
        <v>697229.71838583658</v>
      </c>
      <c r="I30" s="238">
        <f t="shared" si="2"/>
        <v>18.283211108355118</v>
      </c>
      <c r="J30" s="170">
        <v>5041717.8500000006</v>
      </c>
      <c r="K30" s="177">
        <f t="shared" si="3"/>
        <v>0.15113516142570221</v>
      </c>
      <c r="L30" s="261">
        <f t="shared" si="4"/>
        <v>-530991.07000000123</v>
      </c>
      <c r="M30" s="238">
        <f t="shared" si="5"/>
        <v>-10.531947359965827</v>
      </c>
      <c r="BX30" s="81"/>
      <c r="BY30" s="81"/>
      <c r="BZ30" s="81"/>
    </row>
    <row r="31" spans="2:78" ht="15" customHeight="1">
      <c r="B31" s="80">
        <v>7131</v>
      </c>
      <c r="C31" s="97" t="str">
        <f>IF(MasterSheet!$A$1=1,MasterSheet!C87,MasterSheet!B87)</f>
        <v>Administrativne takse</v>
      </c>
      <c r="D31" s="172">
        <v>1495922.8</v>
      </c>
      <c r="E31" s="178">
        <f t="shared" si="0"/>
        <v>4.2544256323239382E-2</v>
      </c>
      <c r="F31" s="172">
        <v>1422747.8069868712</v>
      </c>
      <c r="G31" s="178">
        <f t="shared" si="0"/>
        <v>4.0463149157012754E-2</v>
      </c>
      <c r="H31" s="263">
        <f t="shared" si="1"/>
        <v>73174.993013128871</v>
      </c>
      <c r="I31" s="239">
        <f t="shared" si="2"/>
        <v>5.1432160115643057</v>
      </c>
      <c r="J31" s="172">
        <v>1376778.6500000001</v>
      </c>
      <c r="K31" s="178">
        <f t="shared" si="3"/>
        <v>4.1271580383105015E-2</v>
      </c>
      <c r="L31" s="263">
        <f t="shared" si="4"/>
        <v>119144.14999999991</v>
      </c>
      <c r="M31" s="239">
        <f t="shared" si="5"/>
        <v>8.6538348048903657</v>
      </c>
      <c r="BX31" s="81"/>
      <c r="BY31" s="81"/>
      <c r="BZ31" s="81"/>
    </row>
    <row r="32" spans="2:78" ht="15" customHeight="1">
      <c r="B32" s="80">
        <v>7132</v>
      </c>
      <c r="C32" s="97" t="str">
        <f>IF(MasterSheet!$A$1=1,MasterSheet!C88,MasterSheet!B88)</f>
        <v>Sudske takse</v>
      </c>
      <c r="D32" s="172">
        <v>1877435.67</v>
      </c>
      <c r="E32" s="178">
        <f t="shared" si="0"/>
        <v>5.3394536385749758E-2</v>
      </c>
      <c r="F32" s="172">
        <v>683348.89548007061</v>
      </c>
      <c r="G32" s="178">
        <f t="shared" si="0"/>
        <v>1.9434539380980519E-2</v>
      </c>
      <c r="H32" s="263">
        <f t="shared" si="1"/>
        <v>1194086.7745199292</v>
      </c>
      <c r="I32" s="239">
        <f t="shared" si="2"/>
        <v>174.7404265109775</v>
      </c>
      <c r="J32" s="172">
        <v>847249.95</v>
      </c>
      <c r="K32" s="178">
        <f t="shared" si="3"/>
        <v>2.5397942084594862E-2</v>
      </c>
      <c r="L32" s="263">
        <f t="shared" si="4"/>
        <v>1030185.72</v>
      </c>
      <c r="M32" s="239">
        <f t="shared" si="5"/>
        <v>121.59171210337635</v>
      </c>
      <c r="BX32" s="141"/>
      <c r="BY32" s="141"/>
      <c r="BZ32" s="141"/>
    </row>
    <row r="33" spans="2:81" ht="15" customHeight="1">
      <c r="B33" s="80">
        <v>7133</v>
      </c>
      <c r="C33" s="97" t="str">
        <f>IF(MasterSheet!$A$1=1,MasterSheet!C89,MasterSheet!B89)</f>
        <v>Boravišne takse</v>
      </c>
      <c r="D33" s="172">
        <v>28648.67</v>
      </c>
      <c r="E33" s="178">
        <f t="shared" si="0"/>
        <v>8.147722327648848E-4</v>
      </c>
      <c r="F33" s="172">
        <v>31003.329956254136</v>
      </c>
      <c r="G33" s="178">
        <f t="shared" si="0"/>
        <v>8.8173909544853643E-4</v>
      </c>
      <c r="H33" s="263">
        <f t="shared" si="1"/>
        <v>-2354.6599562541378</v>
      </c>
      <c r="I33" s="239">
        <f t="shared" si="2"/>
        <v>-7.5948614538392292</v>
      </c>
      <c r="J33" s="172">
        <v>31223.93</v>
      </c>
      <c r="K33" s="178">
        <f t="shared" si="3"/>
        <v>9.3599718216972932E-4</v>
      </c>
      <c r="L33" s="263">
        <f t="shared" si="4"/>
        <v>-2575.260000000002</v>
      </c>
      <c r="M33" s="239">
        <f t="shared" si="5"/>
        <v>-8.2477125717358604</v>
      </c>
      <c r="BX33" s="141"/>
      <c r="BY33" s="141"/>
      <c r="BZ33" s="141"/>
    </row>
    <row r="34" spans="2:81" ht="15" customHeight="1">
      <c r="B34" s="80">
        <v>7136</v>
      </c>
      <c r="C34" s="97" t="str">
        <f>IF(MasterSheet!$A$1=1,MasterSheet!C90,MasterSheet!B90)</f>
        <v>Ostale takse</v>
      </c>
      <c r="D34" s="171">
        <v>1108719.6399999999</v>
      </c>
      <c r="E34" s="178">
        <f t="shared" si="0"/>
        <v>3.1532143607123093E-2</v>
      </c>
      <c r="F34" s="171">
        <v>1676397.0291909671</v>
      </c>
      <c r="G34" s="178">
        <f t="shared" si="0"/>
        <v>4.7676968964854009E-2</v>
      </c>
      <c r="H34" s="263">
        <f t="shared" si="1"/>
        <v>-567677.38919096719</v>
      </c>
      <c r="I34" s="239">
        <f t="shared" si="2"/>
        <v>-33.86294411801299</v>
      </c>
      <c r="J34" s="171">
        <v>2786465.3200000003</v>
      </c>
      <c r="K34" s="178">
        <f t="shared" si="3"/>
        <v>8.3529641775832622E-2</v>
      </c>
      <c r="L34" s="263">
        <f t="shared" si="4"/>
        <v>-1677745.6800000004</v>
      </c>
      <c r="M34" s="239">
        <f t="shared" si="5"/>
        <v>-60.210535116223888</v>
      </c>
      <c r="BX34" s="141"/>
      <c r="BY34" s="141"/>
      <c r="BZ34" s="141"/>
    </row>
    <row r="35" spans="2:81" ht="15" customHeight="1">
      <c r="B35" s="80">
        <v>714</v>
      </c>
      <c r="C35" s="93" t="str">
        <f>IF(MasterSheet!$A$1=1,MasterSheet!C91,MasterSheet!B91)</f>
        <v>Naknade</v>
      </c>
      <c r="D35" s="170">
        <v>2893511.8800000004</v>
      </c>
      <c r="E35" s="177">
        <f t="shared" si="0"/>
        <v>8.2291887721116536E-2</v>
      </c>
      <c r="F35" s="170">
        <v>3408698.5289129768</v>
      </c>
      <c r="G35" s="177">
        <f t="shared" si="0"/>
        <v>9.6943868990246485E-2</v>
      </c>
      <c r="H35" s="261">
        <f t="shared" si="1"/>
        <v>-515186.6489129765</v>
      </c>
      <c r="I35" s="238">
        <f t="shared" si="2"/>
        <v>-15.113881281759106</v>
      </c>
      <c r="J35" s="170">
        <v>3455009.41</v>
      </c>
      <c r="K35" s="177">
        <f t="shared" si="3"/>
        <v>0.10357053298959802</v>
      </c>
      <c r="L35" s="261">
        <f t="shared" si="4"/>
        <v>-561497.5299999998</v>
      </c>
      <c r="M35" s="238">
        <f t="shared" si="5"/>
        <v>-16.251693218977366</v>
      </c>
      <c r="BX35" s="141"/>
      <c r="BY35" s="141"/>
      <c r="BZ35" s="141"/>
    </row>
    <row r="36" spans="2:81" ht="15" customHeight="1">
      <c r="B36" s="80">
        <v>7141</v>
      </c>
      <c r="C36" s="97" t="str">
        <f>IF(MasterSheet!$A$1=1,MasterSheet!C92,MasterSheet!B92)</f>
        <v>Naknade za korišćenje dobara od opšteg interesa</v>
      </c>
      <c r="D36" s="172">
        <v>38337.01</v>
      </c>
      <c r="E36" s="178">
        <f t="shared" si="0"/>
        <v>1.0903099946779282E-3</v>
      </c>
      <c r="F36" s="172">
        <v>44241.906777913726</v>
      </c>
      <c r="G36" s="178">
        <f t="shared" si="0"/>
        <v>1.25824609544585E-3</v>
      </c>
      <c r="H36" s="263">
        <f t="shared" si="1"/>
        <v>-5904.8967779137238</v>
      </c>
      <c r="I36" s="239">
        <f t="shared" si="2"/>
        <v>-13.34684060421543</v>
      </c>
      <c r="J36" s="172">
        <v>40987.99</v>
      </c>
      <c r="K36" s="178">
        <f t="shared" si="3"/>
        <v>1.2286936059234389E-3</v>
      </c>
      <c r="L36" s="263">
        <f t="shared" si="4"/>
        <v>-2650.9799999999959</v>
      </c>
      <c r="M36" s="239">
        <f t="shared" si="5"/>
        <v>-6.467699440738599</v>
      </c>
      <c r="BX36" s="141"/>
      <c r="BY36" s="141"/>
      <c r="BZ36" s="141"/>
    </row>
    <row r="37" spans="2:81" ht="15" customHeight="1">
      <c r="B37" s="80">
        <v>7142</v>
      </c>
      <c r="C37" s="97" t="str">
        <f>IF(MasterSheet!$A$1=1,MasterSheet!C93,MasterSheet!B93)</f>
        <v>Naknade za korišćenje prirodnih dobara</v>
      </c>
      <c r="D37" s="172">
        <v>392617.39999999997</v>
      </c>
      <c r="E37" s="178">
        <f t="shared" si="0"/>
        <v>1.1166094468620843E-2</v>
      </c>
      <c r="F37" s="172">
        <v>314317.19197688013</v>
      </c>
      <c r="G37" s="178">
        <f t="shared" si="0"/>
        <v>8.9392254615446934E-3</v>
      </c>
      <c r="H37" s="263">
        <f t="shared" si="1"/>
        <v>78300.208023119834</v>
      </c>
      <c r="I37" s="239">
        <f t="shared" si="2"/>
        <v>24.911207538682547</v>
      </c>
      <c r="J37" s="172">
        <v>313879.51</v>
      </c>
      <c r="K37" s="178">
        <f t="shared" si="3"/>
        <v>9.4091402619982615E-3</v>
      </c>
      <c r="L37" s="263">
        <f t="shared" si="4"/>
        <v>78737.889999999956</v>
      </c>
      <c r="M37" s="239">
        <f t="shared" si="5"/>
        <v>25.085387064609591</v>
      </c>
      <c r="BX37" s="141"/>
      <c r="BY37" s="141"/>
      <c r="BZ37" s="141"/>
    </row>
    <row r="38" spans="2:81" ht="15" customHeight="1">
      <c r="B38" s="80">
        <v>7143</v>
      </c>
      <c r="C38" s="97" t="str">
        <f>IF(MasterSheet!$A$1=1,MasterSheet!C94,MasterSheet!B94)</f>
        <v>Ekološke naknade</v>
      </c>
      <c r="D38" s="172">
        <v>14638.279999999999</v>
      </c>
      <c r="E38" s="178">
        <f t="shared" si="0"/>
        <v>4.1631475665144521E-4</v>
      </c>
      <c r="F38" s="172">
        <v>85663.394865201903</v>
      </c>
      <c r="G38" s="178">
        <f t="shared" si="0"/>
        <v>2.4362790838297391E-3</v>
      </c>
      <c r="H38" s="263">
        <f t="shared" si="1"/>
        <v>-71025.114865201904</v>
      </c>
      <c r="I38" s="239">
        <f t="shared" si="2"/>
        <v>-82.911860984456098</v>
      </c>
      <c r="J38" s="172">
        <v>62546.05</v>
      </c>
      <c r="K38" s="178">
        <f t="shared" si="3"/>
        <v>1.8749377978956206E-3</v>
      </c>
      <c r="L38" s="263">
        <f t="shared" si="4"/>
        <v>-47907.770000000004</v>
      </c>
      <c r="M38" s="239">
        <f t="shared" si="5"/>
        <v>-76.595996070095552</v>
      </c>
      <c r="BX38" s="141"/>
      <c r="BY38" s="141"/>
      <c r="BZ38" s="141"/>
      <c r="CA38" s="81"/>
      <c r="CB38" s="81"/>
    </row>
    <row r="39" spans="2:81" ht="15" customHeight="1">
      <c r="B39" s="80">
        <v>7144</v>
      </c>
      <c r="C39" s="97" t="str">
        <f>IF(MasterSheet!$A$1=1,MasterSheet!C95,MasterSheet!B95)</f>
        <v>Naknade za priređivanje igara na sreću</v>
      </c>
      <c r="D39" s="172">
        <v>1086317.9200000002</v>
      </c>
      <c r="E39" s="178">
        <f t="shared" si="0"/>
        <v>3.0895035517212691E-2</v>
      </c>
      <c r="F39" s="172">
        <v>782492.99199495174</v>
      </c>
      <c r="G39" s="178">
        <f t="shared" si="0"/>
        <v>2.225421152921242E-2</v>
      </c>
      <c r="H39" s="263">
        <f t="shared" si="1"/>
        <v>303824.92800504842</v>
      </c>
      <c r="I39" s="239">
        <f t="shared" si="2"/>
        <v>38.827814576390296</v>
      </c>
      <c r="J39" s="172">
        <v>796347.87</v>
      </c>
      <c r="K39" s="178">
        <f t="shared" si="3"/>
        <v>2.3872054617944182E-2</v>
      </c>
      <c r="L39" s="263">
        <f t="shared" si="4"/>
        <v>289970.05000000016</v>
      </c>
      <c r="M39" s="239">
        <f t="shared" si="5"/>
        <v>36.412485161792461</v>
      </c>
      <c r="BX39" s="141"/>
      <c r="BY39" s="141"/>
      <c r="BZ39" s="141"/>
      <c r="CA39" s="81"/>
      <c r="CB39" s="81"/>
    </row>
    <row r="40" spans="2:81" ht="15" customHeight="1">
      <c r="B40" s="80">
        <v>7148</v>
      </c>
      <c r="C40" s="97" t="str">
        <f>IF(MasterSheet!$A$1=1,MasterSheet!C96,MasterSheet!B96)</f>
        <v>Naknada za puteve</v>
      </c>
      <c r="D40" s="172">
        <v>439936.61</v>
      </c>
      <c r="E40" s="178">
        <f t="shared" si="0"/>
        <v>1.2511859503590024E-2</v>
      </c>
      <c r="F40" s="172">
        <v>563944.15510495636</v>
      </c>
      <c r="G40" s="178">
        <f t="shared" si="0"/>
        <v>1.603865165152769E-2</v>
      </c>
      <c r="H40" s="263">
        <f t="shared" si="1"/>
        <v>-124007.54510495637</v>
      </c>
      <c r="I40" s="239">
        <f t="shared" si="2"/>
        <v>-21.989330677942249</v>
      </c>
      <c r="J40" s="172">
        <v>614909.94999999995</v>
      </c>
      <c r="K40" s="178">
        <f t="shared" si="3"/>
        <v>1.8433105009142959E-2</v>
      </c>
      <c r="L40" s="263">
        <f t="shared" si="4"/>
        <v>-174973.33999999997</v>
      </c>
      <c r="M40" s="239">
        <f t="shared" si="5"/>
        <v>-28.455116070247357</v>
      </c>
      <c r="BX40" s="141"/>
      <c r="BY40" s="141"/>
      <c r="BZ40" s="141"/>
      <c r="CA40" s="81"/>
      <c r="CB40" s="81"/>
    </row>
    <row r="41" spans="2:81" ht="15" customHeight="1">
      <c r="B41" s="80">
        <v>7149</v>
      </c>
      <c r="C41" s="97" t="str">
        <f>IF(MasterSheet!$A$1=1,MasterSheet!C97,MasterSheet!B97)</f>
        <v>Ostale naknade</v>
      </c>
      <c r="D41" s="172">
        <v>921664.65999999992</v>
      </c>
      <c r="E41" s="178">
        <f t="shared" si="0"/>
        <v>2.6212273480363608E-2</v>
      </c>
      <c r="F41" s="172">
        <v>1618038.8881930728</v>
      </c>
      <c r="G41" s="178">
        <f t="shared" si="0"/>
        <v>4.6017255168686079E-2</v>
      </c>
      <c r="H41" s="263">
        <f t="shared" si="1"/>
        <v>-696374.22819307283</v>
      </c>
      <c r="I41" s="239">
        <f t="shared" si="2"/>
        <v>-43.038163870754744</v>
      </c>
      <c r="J41" s="172">
        <v>1626338.04</v>
      </c>
      <c r="K41" s="178">
        <f t="shared" si="3"/>
        <v>4.8752601696693543E-2</v>
      </c>
      <c r="L41" s="263">
        <f t="shared" si="4"/>
        <v>-704673.38000000012</v>
      </c>
      <c r="M41" s="239">
        <f t="shared" si="5"/>
        <v>-43.328838326870844</v>
      </c>
      <c r="BX41" s="81"/>
      <c r="BY41" s="81"/>
      <c r="BZ41" s="81"/>
      <c r="CA41" s="81"/>
      <c r="CB41" s="81"/>
    </row>
    <row r="42" spans="2:81" ht="15" customHeight="1">
      <c r="B42" s="80">
        <v>715</v>
      </c>
      <c r="C42" s="93" t="str">
        <f>IF(MasterSheet!$A$1=1,MasterSheet!C98,MasterSheet!B98)</f>
        <v>Ostali prihodi</v>
      </c>
      <c r="D42" s="170">
        <v>5282813.7300000004</v>
      </c>
      <c r="E42" s="177">
        <f t="shared" si="0"/>
        <v>0.15024397076978058</v>
      </c>
      <c r="F42" s="170">
        <v>4969961.7063128026</v>
      </c>
      <c r="G42" s="177">
        <f t="shared" si="0"/>
        <v>0.14134641490192945</v>
      </c>
      <c r="H42" s="261">
        <f t="shared" si="1"/>
        <v>312852.02368719783</v>
      </c>
      <c r="I42" s="238">
        <f t="shared" si="2"/>
        <v>6.2948578313956745</v>
      </c>
      <c r="J42" s="170">
        <v>5203710.7300000004</v>
      </c>
      <c r="K42" s="177">
        <f t="shared" si="3"/>
        <v>0.15599120866932464</v>
      </c>
      <c r="L42" s="261">
        <f t="shared" si="4"/>
        <v>79103</v>
      </c>
      <c r="M42" s="238">
        <f t="shared" si="5"/>
        <v>1.5201267730729597</v>
      </c>
      <c r="BX42" s="81"/>
      <c r="BY42" s="81"/>
      <c r="BZ42" s="81"/>
      <c r="CA42" s="81"/>
      <c r="CB42" s="81"/>
    </row>
    <row r="43" spans="2:81" ht="15" customHeight="1">
      <c r="B43" s="80">
        <v>7151</v>
      </c>
      <c r="C43" s="97" t="str">
        <f>IF(MasterSheet!$A$1=1,MasterSheet!C99,MasterSheet!B99)</f>
        <v>Prihodi od kapitala</v>
      </c>
      <c r="D43" s="172">
        <v>826063.5</v>
      </c>
      <c r="E43" s="178">
        <f t="shared" si="0"/>
        <v>2.3493362948457136E-2</v>
      </c>
      <c r="F43" s="172">
        <v>66470.061675518213</v>
      </c>
      <c r="G43" s="178">
        <f t="shared" si="0"/>
        <v>1.8904179692593611E-3</v>
      </c>
      <c r="H43" s="263">
        <f t="shared" si="1"/>
        <v>759593.43832448183</v>
      </c>
      <c r="I43" s="239">
        <f t="shared" si="2"/>
        <v>1142.7602429986159</v>
      </c>
      <c r="J43" s="172">
        <v>72491.31</v>
      </c>
      <c r="K43" s="178">
        <f t="shared" si="3"/>
        <v>2.1730660391498548E-3</v>
      </c>
      <c r="L43" s="263">
        <f t="shared" si="4"/>
        <v>753572.19</v>
      </c>
      <c r="M43" s="239">
        <f t="shared" si="5"/>
        <v>1039.5345179994679</v>
      </c>
      <c r="BX43" s="138"/>
      <c r="BY43" s="138"/>
      <c r="BZ43" s="138"/>
      <c r="CA43" s="138"/>
      <c r="CB43" s="138"/>
      <c r="CC43" s="143"/>
    </row>
    <row r="44" spans="2:81" ht="15" customHeight="1">
      <c r="B44" s="80">
        <v>7152</v>
      </c>
      <c r="C44" s="97" t="str">
        <f>IF(MasterSheet!$A$1=1,MasterSheet!C100,MasterSheet!B100)</f>
        <v>Novčane kazne i oduzete imovinske koristi</v>
      </c>
      <c r="D44" s="172">
        <v>2464460.71</v>
      </c>
      <c r="E44" s="178">
        <f t="shared" si="0"/>
        <v>7.0089611673003788E-2</v>
      </c>
      <c r="F44" s="172">
        <v>2002681.3130950192</v>
      </c>
      <c r="G44" s="178">
        <f t="shared" si="0"/>
        <v>5.6956540215896245E-2</v>
      </c>
      <c r="H44" s="263">
        <f t="shared" si="1"/>
        <v>461779.39690498076</v>
      </c>
      <c r="I44" s="239">
        <f t="shared" si="2"/>
        <v>23.058056910279419</v>
      </c>
      <c r="J44" s="172">
        <v>2086119.05</v>
      </c>
      <c r="K44" s="178">
        <f t="shared" si="3"/>
        <v>6.2535419227195063E-2</v>
      </c>
      <c r="L44" s="263">
        <f t="shared" si="4"/>
        <v>378341.65999999992</v>
      </c>
      <c r="M44" s="239">
        <f t="shared" si="5"/>
        <v>18.136149037131901</v>
      </c>
      <c r="BX44" s="138"/>
      <c r="BY44" s="138"/>
      <c r="BZ44" s="140"/>
      <c r="CA44" s="140"/>
      <c r="CB44" s="190"/>
      <c r="CC44" s="143"/>
    </row>
    <row r="45" spans="2:81" ht="15" customHeight="1">
      <c r="B45" s="80">
        <v>7153</v>
      </c>
      <c r="C45" s="97" t="str">
        <f>IF(MasterSheet!$A$1=1,MasterSheet!C101,MasterSheet!B101)</f>
        <v>Prihodi koje organi ostvaruju vršenjem svoje djelatnosti</v>
      </c>
      <c r="D45" s="172">
        <v>441116.37</v>
      </c>
      <c r="E45" s="178">
        <f t="shared" si="0"/>
        <v>1.2545412045098117E-2</v>
      </c>
      <c r="F45" s="172">
        <v>418119.83797133062</v>
      </c>
      <c r="G45" s="178">
        <f t="shared" si="0"/>
        <v>1.1891387416839698E-2</v>
      </c>
      <c r="H45" s="263">
        <f t="shared" si="1"/>
        <v>22996.532028669375</v>
      </c>
      <c r="I45" s="239">
        <f t="shared" si="2"/>
        <v>5.4999858749218618</v>
      </c>
      <c r="J45" s="172">
        <v>410437.11</v>
      </c>
      <c r="K45" s="178">
        <f t="shared" si="3"/>
        <v>1.2303639497586859E-2</v>
      </c>
      <c r="L45" s="263">
        <f t="shared" si="4"/>
        <v>30679.260000000009</v>
      </c>
      <c r="M45" s="239">
        <f t="shared" si="5"/>
        <v>7.474777317284989</v>
      </c>
      <c r="BX45" s="81"/>
      <c r="BY45" s="81"/>
      <c r="BZ45" s="146"/>
      <c r="CA45" s="146"/>
      <c r="CB45" s="146"/>
      <c r="CC45" s="143"/>
    </row>
    <row r="46" spans="2:81" ht="15" customHeight="1">
      <c r="B46" s="80">
        <v>7155</v>
      </c>
      <c r="C46" s="97" t="str">
        <f>IF(MasterSheet!$A$1=1,MasterSheet!C102,MasterSheet!B102)</f>
        <v>Ostali prihodi</v>
      </c>
      <c r="D46" s="172">
        <v>1551173.15</v>
      </c>
      <c r="E46" s="178">
        <f t="shared" si="0"/>
        <v>4.4115584103221535E-2</v>
      </c>
      <c r="F46" s="172">
        <v>2482690.4935709345</v>
      </c>
      <c r="G46" s="178">
        <f t="shared" si="0"/>
        <v>7.0608069299934156E-2</v>
      </c>
      <c r="H46" s="263">
        <f t="shared" si="1"/>
        <v>-931517.34357093461</v>
      </c>
      <c r="I46" s="239">
        <f t="shared" si="2"/>
        <v>-37.520478125773259</v>
      </c>
      <c r="J46" s="172">
        <v>2634663.2599999998</v>
      </c>
      <c r="K46" s="178">
        <f t="shared" si="3"/>
        <v>7.8979083905392836E-2</v>
      </c>
      <c r="L46" s="263">
        <f t="shared" si="4"/>
        <v>-1083490.1099999999</v>
      </c>
      <c r="M46" s="239">
        <f t="shared" si="5"/>
        <v>-41.124424758555293</v>
      </c>
      <c r="BW46" s="101"/>
      <c r="BX46" s="101"/>
      <c r="BY46" s="100"/>
      <c r="BZ46" s="146"/>
      <c r="CA46" s="146"/>
      <c r="CB46" s="146"/>
      <c r="CC46" s="143"/>
    </row>
    <row r="47" spans="2:81">
      <c r="B47" s="80">
        <v>73</v>
      </c>
      <c r="C47" s="102" t="str">
        <f>IF(MasterSheet!$A$1=1,MasterSheet!C103,MasterSheet!B103)</f>
        <v>Primici od otplate kredita i sredstva prenijeta iz prethodne godine</v>
      </c>
      <c r="D47" s="170">
        <v>546163.78</v>
      </c>
      <c r="E47" s="177">
        <f t="shared" si="0"/>
        <v>1.5532975265026592E-2</v>
      </c>
      <c r="F47" s="170">
        <v>690986.01896309899</v>
      </c>
      <c r="G47" s="177">
        <f t="shared" si="0"/>
        <v>1.9651740254604602E-2</v>
      </c>
      <c r="H47" s="261">
        <f t="shared" si="1"/>
        <v>-144822.23896309896</v>
      </c>
      <c r="I47" s="238">
        <f t="shared" si="2"/>
        <v>-20.95877991575297</v>
      </c>
      <c r="J47" s="170">
        <v>741805.88</v>
      </c>
      <c r="K47" s="177">
        <f t="shared" si="3"/>
        <v>2.2237053868521237E-2</v>
      </c>
      <c r="L47" s="261">
        <f t="shared" si="4"/>
        <v>-195642.09999999998</v>
      </c>
      <c r="M47" s="238">
        <f t="shared" si="5"/>
        <v>-26.373759668769409</v>
      </c>
      <c r="BW47" s="101"/>
      <c r="BX47" s="101"/>
      <c r="BY47" s="100"/>
      <c r="BZ47" s="146"/>
      <c r="CA47" s="146"/>
      <c r="CB47" s="146"/>
      <c r="CC47" s="143"/>
    </row>
    <row r="48" spans="2:81" ht="13.5" customHeight="1" thickBot="1">
      <c r="B48" s="80">
        <v>74</v>
      </c>
      <c r="C48" s="93" t="s">
        <v>123</v>
      </c>
      <c r="D48" s="170">
        <v>1047846.69</v>
      </c>
      <c r="E48" s="177">
        <f t="shared" si="0"/>
        <v>2.9800908286723056E-2</v>
      </c>
      <c r="F48" s="170">
        <v>2000000</v>
      </c>
      <c r="G48" s="177">
        <f t="shared" si="0"/>
        <v>5.6880283291677061E-2</v>
      </c>
      <c r="H48" s="261">
        <f t="shared" si="1"/>
        <v>-952153.31</v>
      </c>
      <c r="I48" s="238">
        <f t="shared" si="2"/>
        <v>-47.60766550000001</v>
      </c>
      <c r="J48" s="170">
        <v>942653.5</v>
      </c>
      <c r="K48" s="177">
        <f t="shared" si="3"/>
        <v>2.8257846458227164E-2</v>
      </c>
      <c r="L48" s="261">
        <f t="shared" si="4"/>
        <v>105193.18999999994</v>
      </c>
      <c r="M48" s="238">
        <f t="shared" si="5"/>
        <v>11.159263716731544</v>
      </c>
      <c r="BX48" s="184"/>
      <c r="BY48" s="184"/>
      <c r="BZ48" s="146"/>
      <c r="CA48" s="146"/>
      <c r="CB48" s="146"/>
      <c r="CC48" s="143"/>
    </row>
    <row r="49" spans="1:81" ht="15" customHeight="1" thickTop="1" thickBot="1">
      <c r="B49" s="103"/>
      <c r="C49" s="90" t="str">
        <f>IF(MasterSheet!$A$1=1,MasterSheet!C104,MasterSheet!B104)</f>
        <v>Izdaci</v>
      </c>
      <c r="D49" s="91">
        <f>+D51+D62+D68+SUM(D71:D74)</f>
        <v>299100374.67000008</v>
      </c>
      <c r="E49" s="233">
        <f t="shared" si="0"/>
        <v>8.5064570219381768</v>
      </c>
      <c r="F49" s="91">
        <f>+F51+F62+F68+SUM(F71:F74)</f>
        <v>334401267.45499998</v>
      </c>
      <c r="G49" s="233">
        <f t="shared" si="0"/>
        <v>9.5104194129681332</v>
      </c>
      <c r="H49" s="91">
        <f t="shared" si="1"/>
        <v>-35300892.784999907</v>
      </c>
      <c r="I49" s="233">
        <f t="shared" si="2"/>
        <v>-10.556447065425772</v>
      </c>
      <c r="J49" s="91">
        <f>+J51+J62+J68+SUM(J71:J74)</f>
        <v>278879179.67949796</v>
      </c>
      <c r="K49" s="233">
        <f t="shared" si="3"/>
        <v>8.3599382379417229</v>
      </c>
      <c r="L49" s="91">
        <f t="shared" si="4"/>
        <v>20221194.990502119</v>
      </c>
      <c r="M49" s="233">
        <f t="shared" si="5"/>
        <v>7.2508801172397739</v>
      </c>
      <c r="BX49" s="81"/>
      <c r="BY49" s="81"/>
      <c r="BZ49" s="146"/>
      <c r="CA49" s="146"/>
      <c r="CB49" s="146"/>
      <c r="CC49" s="143"/>
    </row>
    <row r="50" spans="1:81" ht="13.5" customHeight="1" thickTop="1" thickBot="1">
      <c r="C50" s="90" t="str">
        <f>IF(MasterSheet!$A$1=1,MasterSheet!C105,MasterSheet!B105)</f>
        <v>Tekuća budžetska potrošnja</v>
      </c>
      <c r="D50" s="91">
        <f>+D49-D71</f>
        <v>290532169.88000005</v>
      </c>
      <c r="E50" s="233">
        <f t="shared" si="0"/>
        <v>8.2627760640600236</v>
      </c>
      <c r="F50" s="91">
        <f>+F49-F71</f>
        <v>308946142.45499998</v>
      </c>
      <c r="G50" s="233">
        <f t="shared" si="0"/>
        <v>8.7864720523556077</v>
      </c>
      <c r="H50" s="91">
        <f t="shared" si="1"/>
        <v>-18413972.574999928</v>
      </c>
      <c r="I50" s="233">
        <f t="shared" si="2"/>
        <v>-5.9602532754336153</v>
      </c>
      <c r="J50" s="91">
        <f>+J49-J71</f>
        <v>272310795.59949797</v>
      </c>
      <c r="K50" s="233">
        <f t="shared" si="3"/>
        <v>8.1630383284720143</v>
      </c>
      <c r="L50" s="91">
        <f t="shared" si="4"/>
        <v>18221374.280502081</v>
      </c>
      <c r="M50" s="233">
        <f t="shared" si="5"/>
        <v>6.6913888743879397</v>
      </c>
      <c r="BX50" s="184"/>
      <c r="BY50" s="184"/>
      <c r="BZ50" s="146"/>
      <c r="CA50" s="146"/>
      <c r="CB50" s="146"/>
      <c r="CC50" s="143"/>
    </row>
    <row r="51" spans="1:81" ht="13.5" customHeight="1" thickTop="1">
      <c r="A51" s="80">
        <v>41</v>
      </c>
      <c r="C51" s="93" t="s">
        <v>63</v>
      </c>
      <c r="D51" s="94">
        <f>+SUM(D52:D61)</f>
        <v>132805989.78000002</v>
      </c>
      <c r="E51" s="177">
        <f t="shared" si="0"/>
        <v>3.7770211607589843</v>
      </c>
      <c r="F51" s="94">
        <f>+SUM(F52:F61)</f>
        <v>156381618.36500004</v>
      </c>
      <c r="G51" s="177">
        <f t="shared" si="0"/>
        <v>4.4475153771060647</v>
      </c>
      <c r="H51" s="246">
        <f t="shared" si="1"/>
        <v>-23575628.585000023</v>
      </c>
      <c r="I51" s="238">
        <f t="shared" si="2"/>
        <v>-15.075703162230809</v>
      </c>
      <c r="J51" s="94">
        <f>+SUM(J52:J61)</f>
        <v>129181801.16949797</v>
      </c>
      <c r="K51" s="177">
        <f t="shared" si="3"/>
        <v>3.8724722314667095</v>
      </c>
      <c r="L51" s="246">
        <f t="shared" si="4"/>
        <v>3624188.6105020493</v>
      </c>
      <c r="M51" s="238">
        <f t="shared" si="5"/>
        <v>2.805494719605889</v>
      </c>
      <c r="BX51" s="184"/>
      <c r="BY51" s="184"/>
      <c r="BZ51" s="146"/>
      <c r="CA51" s="146"/>
      <c r="CB51" s="146"/>
      <c r="CC51" s="143"/>
    </row>
    <row r="52" spans="1:81" ht="13.5" customHeight="1">
      <c r="B52" s="80">
        <v>411</v>
      </c>
      <c r="C52" s="93" t="s">
        <v>64</v>
      </c>
      <c r="D52" s="170">
        <v>92672893.720000029</v>
      </c>
      <c r="E52" s="177">
        <f t="shared" si="0"/>
        <v>2.6356302241265408</v>
      </c>
      <c r="F52" s="170">
        <v>96622173.430000037</v>
      </c>
      <c r="G52" s="177">
        <f t="shared" si="0"/>
        <v>2.7479482984779771</v>
      </c>
      <c r="H52" s="261">
        <f t="shared" si="1"/>
        <v>-3949279.7100000083</v>
      </c>
      <c r="I52" s="238">
        <f t="shared" si="2"/>
        <v>-4.0873430702334019</v>
      </c>
      <c r="J52" s="170">
        <v>92856928.319497958</v>
      </c>
      <c r="K52" s="177">
        <f t="shared" si="3"/>
        <v>2.783564504916153</v>
      </c>
      <c r="L52" s="261">
        <f t="shared" si="4"/>
        <v>-184034.59949792922</v>
      </c>
      <c r="M52" s="238">
        <f t="shared" si="5"/>
        <v>-0.19819156505448632</v>
      </c>
      <c r="BX52" s="184"/>
      <c r="BY52" s="184"/>
      <c r="BZ52" s="146"/>
      <c r="CA52" s="146"/>
      <c r="CB52" s="146"/>
      <c r="CC52" s="143"/>
    </row>
    <row r="53" spans="1:81" ht="13.5" customHeight="1">
      <c r="B53" s="80">
        <v>412</v>
      </c>
      <c r="C53" s="93" t="s">
        <v>75</v>
      </c>
      <c r="D53" s="170">
        <v>2210999.2299999995</v>
      </c>
      <c r="E53" s="177">
        <f t="shared" si="0"/>
        <v>6.2881131280039901E-2</v>
      </c>
      <c r="F53" s="170">
        <v>2869540.99</v>
      </c>
      <c r="G53" s="177">
        <f t="shared" si="0"/>
        <v>8.1610152214139725E-2</v>
      </c>
      <c r="H53" s="261">
        <f t="shared" si="1"/>
        <v>-658541.76000000071</v>
      </c>
      <c r="I53" s="238">
        <f t="shared" si="2"/>
        <v>-22.949376304256958</v>
      </c>
      <c r="J53" s="170">
        <v>3274464.34</v>
      </c>
      <c r="K53" s="177">
        <f t="shared" si="3"/>
        <v>9.8158348271830675E-2</v>
      </c>
      <c r="L53" s="261">
        <f t="shared" si="4"/>
        <v>-1063465.1100000003</v>
      </c>
      <c r="M53" s="238">
        <f t="shared" si="5"/>
        <v>-32.477529133818578</v>
      </c>
      <c r="BX53" s="184"/>
      <c r="BY53" s="184"/>
      <c r="BZ53" s="146"/>
      <c r="CA53" s="146"/>
      <c r="CB53" s="146"/>
      <c r="CC53" s="143"/>
    </row>
    <row r="54" spans="1:81" ht="13.5" customHeight="1">
      <c r="B54" s="80">
        <v>413</v>
      </c>
      <c r="C54" s="93" t="s">
        <v>429</v>
      </c>
      <c r="D54" s="170">
        <v>5771645.1599999992</v>
      </c>
      <c r="E54" s="177">
        <f t="shared" si="0"/>
        <v>0.16414640587991836</v>
      </c>
      <c r="F54" s="170">
        <v>7323825.7075000005</v>
      </c>
      <c r="G54" s="177">
        <f t="shared" si="0"/>
        <v>0.20829064051073359</v>
      </c>
      <c r="H54" s="261">
        <f t="shared" si="1"/>
        <v>-1552180.5475000013</v>
      </c>
      <c r="I54" s="238">
        <f t="shared" si="2"/>
        <v>-21.193575727921584</v>
      </c>
      <c r="J54" s="170">
        <v>6545151.1400000006</v>
      </c>
      <c r="K54" s="177">
        <f t="shared" si="3"/>
        <v>0.19620345753769597</v>
      </c>
      <c r="L54" s="261">
        <f t="shared" si="4"/>
        <v>-773505.98000000138</v>
      </c>
      <c r="M54" s="238">
        <f t="shared" si="5"/>
        <v>-11.81800027921129</v>
      </c>
      <c r="BX54" s="184"/>
      <c r="BY54" s="184"/>
      <c r="BZ54" s="146"/>
      <c r="CA54" s="146"/>
      <c r="CB54" s="146"/>
      <c r="CC54" s="143"/>
    </row>
    <row r="55" spans="1:81" ht="13.5" customHeight="1">
      <c r="B55" s="80">
        <v>414</v>
      </c>
      <c r="C55" s="93" t="s">
        <v>430</v>
      </c>
      <c r="D55" s="170">
        <v>8182605.2499999991</v>
      </c>
      <c r="E55" s="177">
        <f t="shared" si="0"/>
        <v>0.23271445234198199</v>
      </c>
      <c r="F55" s="170">
        <v>10173211.449999999</v>
      </c>
      <c r="G55" s="177">
        <f t="shared" si="0"/>
        <v>0.28932757463106634</v>
      </c>
      <c r="H55" s="261">
        <f t="shared" si="1"/>
        <v>-1990606.2000000002</v>
      </c>
      <c r="I55" s="238">
        <f t="shared" si="2"/>
        <v>-19.567136786486444</v>
      </c>
      <c r="J55" s="170">
        <v>7437463.7199999997</v>
      </c>
      <c r="K55" s="177">
        <f t="shared" si="3"/>
        <v>0.22295223837645015</v>
      </c>
      <c r="L55" s="261">
        <f t="shared" si="4"/>
        <v>745141.52999999933</v>
      </c>
      <c r="M55" s="238">
        <f t="shared" si="5"/>
        <v>10.018758518394492</v>
      </c>
      <c r="BX55" s="184"/>
      <c r="BY55" s="184"/>
      <c r="BZ55" s="146"/>
      <c r="CA55" s="146"/>
      <c r="CB55" s="146"/>
      <c r="CC55" s="143"/>
    </row>
    <row r="56" spans="1:81" ht="13.5" customHeight="1">
      <c r="B56" s="80">
        <v>415</v>
      </c>
      <c r="C56" s="93" t="s">
        <v>431</v>
      </c>
      <c r="D56" s="170">
        <v>2013981.9999999998</v>
      </c>
      <c r="E56" s="177">
        <f t="shared" si="0"/>
        <v>5.7277933352169165E-2</v>
      </c>
      <c r="F56" s="170">
        <v>5413850.7999999998</v>
      </c>
      <c r="G56" s="177">
        <f t="shared" si="0"/>
        <v>0.15397068360143623</v>
      </c>
      <c r="H56" s="261">
        <f t="shared" si="1"/>
        <v>-3399868.8</v>
      </c>
      <c r="I56" s="238">
        <f t="shared" si="2"/>
        <v>-62.79945505701783</v>
      </c>
      <c r="J56" s="170">
        <v>2974255.28</v>
      </c>
      <c r="K56" s="177">
        <f t="shared" si="3"/>
        <v>8.9159005965406629E-2</v>
      </c>
      <c r="L56" s="261">
        <f t="shared" si="4"/>
        <v>-960273.28</v>
      </c>
      <c r="M56" s="238">
        <f t="shared" si="5"/>
        <v>-32.28617551617829</v>
      </c>
      <c r="BX56" s="184"/>
      <c r="BY56" s="184"/>
      <c r="BZ56" s="146"/>
      <c r="CA56" s="146"/>
      <c r="CB56" s="146"/>
      <c r="CC56" s="143"/>
    </row>
    <row r="57" spans="1:81" ht="13.5" customHeight="1">
      <c r="B57" s="80">
        <v>416</v>
      </c>
      <c r="C57" s="93" t="s">
        <v>80</v>
      </c>
      <c r="D57" s="170">
        <v>8046523.7400000002</v>
      </c>
      <c r="E57" s="177">
        <f t="shared" si="0"/>
        <v>0.22884427492220241</v>
      </c>
      <c r="F57" s="170">
        <v>18329030.780000001</v>
      </c>
      <c r="G57" s="177">
        <f t="shared" si="0"/>
        <v>0.52128023161413428</v>
      </c>
      <c r="H57" s="261">
        <f t="shared" si="1"/>
        <v>-10282507.040000001</v>
      </c>
      <c r="I57" s="238">
        <f t="shared" si="2"/>
        <v>-56.09956774812072</v>
      </c>
      <c r="J57" s="170">
        <v>4474453.92</v>
      </c>
      <c r="K57" s="177">
        <f t="shared" si="3"/>
        <v>0.13413033724032497</v>
      </c>
      <c r="L57" s="261">
        <f t="shared" si="4"/>
        <v>3572069.8200000003</v>
      </c>
      <c r="M57" s="238">
        <f t="shared" si="5"/>
        <v>79.832531161702093</v>
      </c>
      <c r="BX57" s="184"/>
      <c r="BY57" s="184"/>
      <c r="BZ57" s="146"/>
      <c r="CA57" s="146"/>
      <c r="CB57" s="146"/>
      <c r="CC57" s="143"/>
    </row>
    <row r="58" spans="1:81" ht="13.5" customHeight="1">
      <c r="B58" s="80">
        <v>417</v>
      </c>
      <c r="C58" s="93" t="s">
        <v>82</v>
      </c>
      <c r="D58" s="170">
        <v>2103993.16</v>
      </c>
      <c r="E58" s="177">
        <f t="shared" si="0"/>
        <v>5.9837863492275413E-2</v>
      </c>
      <c r="F58" s="170">
        <v>2043200.5349999999</v>
      </c>
      <c r="G58" s="177">
        <f t="shared" si="0"/>
        <v>5.8108912626253062E-2</v>
      </c>
      <c r="H58" s="261">
        <f t="shared" si="1"/>
        <v>60792.625000000233</v>
      </c>
      <c r="I58" s="238">
        <f t="shared" si="2"/>
        <v>2.9753626214668287</v>
      </c>
      <c r="J58" s="170">
        <v>1817364.4900000002</v>
      </c>
      <c r="K58" s="177">
        <f t="shared" si="3"/>
        <v>5.4478985880871737E-2</v>
      </c>
      <c r="L58" s="261">
        <f t="shared" si="4"/>
        <v>286628.66999999993</v>
      </c>
      <c r="M58" s="238">
        <f t="shared" si="5"/>
        <v>15.77166669521533</v>
      </c>
      <c r="BX58" s="184"/>
      <c r="BY58" s="184"/>
      <c r="BZ58" s="146"/>
      <c r="CA58" s="146"/>
      <c r="CB58" s="146"/>
      <c r="CC58" s="143"/>
    </row>
    <row r="59" spans="1:81" ht="13.5" customHeight="1">
      <c r="B59" s="80">
        <v>418</v>
      </c>
      <c r="C59" s="93" t="s">
        <v>84</v>
      </c>
      <c r="D59" s="170">
        <v>6092924.5499999998</v>
      </c>
      <c r="E59" s="177">
        <f t="shared" si="0"/>
        <v>0.17328363723940698</v>
      </c>
      <c r="F59" s="170">
        <v>4718650</v>
      </c>
      <c r="G59" s="177">
        <f t="shared" si="0"/>
        <v>0.13419907437713596</v>
      </c>
      <c r="H59" s="261">
        <f t="shared" si="1"/>
        <v>1374274.5499999998</v>
      </c>
      <c r="I59" s="238">
        <f t="shared" si="2"/>
        <v>29.124316276901226</v>
      </c>
      <c r="J59" s="170">
        <v>4316666.1099999994</v>
      </c>
      <c r="K59" s="177">
        <f t="shared" si="3"/>
        <v>0.12940034503432354</v>
      </c>
      <c r="L59" s="261">
        <f t="shared" si="4"/>
        <v>1776258.4400000004</v>
      </c>
      <c r="M59" s="238">
        <f t="shared" si="5"/>
        <v>41.148849476338114</v>
      </c>
      <c r="BX59" s="184"/>
      <c r="BY59" s="184"/>
      <c r="BZ59" s="146"/>
      <c r="CA59" s="146"/>
      <c r="CB59" s="146"/>
      <c r="CC59" s="143"/>
    </row>
    <row r="60" spans="1:81" ht="13.5" customHeight="1">
      <c r="B60" s="80">
        <v>419</v>
      </c>
      <c r="C60" s="93" t="s">
        <v>86</v>
      </c>
      <c r="D60" s="170">
        <v>4906952.55</v>
      </c>
      <c r="E60" s="177">
        <f t="shared" si="0"/>
        <v>0.13955442557140857</v>
      </c>
      <c r="F60" s="170">
        <v>6262393.8425000003</v>
      </c>
      <c r="G60" s="177">
        <f t="shared" si="0"/>
        <v>0.17810336792272705</v>
      </c>
      <c r="H60" s="261">
        <f t="shared" si="1"/>
        <v>-1355441.2925000004</v>
      </c>
      <c r="I60" s="238">
        <f t="shared" si="2"/>
        <v>-21.64414002998727</v>
      </c>
      <c r="J60" s="170">
        <v>4693386.7899999991</v>
      </c>
      <c r="K60" s="177">
        <f t="shared" si="3"/>
        <v>0.14069326988219069</v>
      </c>
      <c r="L60" s="261">
        <f t="shared" si="4"/>
        <v>213565.76000000071</v>
      </c>
      <c r="M60" s="238">
        <f t="shared" si="5"/>
        <v>4.5503549900263209</v>
      </c>
      <c r="BX60" s="184"/>
      <c r="BY60" s="184"/>
      <c r="BZ60" s="146"/>
      <c r="CA60" s="146"/>
      <c r="CB60" s="146"/>
      <c r="CC60" s="143"/>
    </row>
    <row r="61" spans="1:81" ht="13.5" customHeight="1">
      <c r="B61" s="80">
        <v>441</v>
      </c>
      <c r="C61" s="93" t="s">
        <v>130</v>
      </c>
      <c r="D61" s="170">
        <v>803470.42</v>
      </c>
      <c r="E61" s="204">
        <f t="shared" si="0"/>
        <v>2.2850812553041375E-2</v>
      </c>
      <c r="F61" s="170">
        <v>2625740.83</v>
      </c>
      <c r="G61" s="204">
        <f t="shared" si="0"/>
        <v>7.4676441130461624E-2</v>
      </c>
      <c r="H61" s="261">
        <f t="shared" si="1"/>
        <v>-1822270.4100000001</v>
      </c>
      <c r="I61" s="240">
        <f t="shared" si="2"/>
        <v>-69.400238941327657</v>
      </c>
      <c r="J61" s="170">
        <v>791667.06</v>
      </c>
      <c r="K61" s="204">
        <f t="shared" si="3"/>
        <v>2.3731738361461675E-2</v>
      </c>
      <c r="L61" s="261">
        <f t="shared" si="4"/>
        <v>11803.359999999986</v>
      </c>
      <c r="M61" s="240">
        <f t="shared" si="5"/>
        <v>1.490949996075372</v>
      </c>
      <c r="BX61" s="184"/>
      <c r="BY61" s="184"/>
      <c r="BZ61" s="146"/>
      <c r="CA61" s="146"/>
      <c r="CB61" s="146"/>
      <c r="CC61" s="143"/>
    </row>
    <row r="62" spans="1:81" ht="13.5" customHeight="1">
      <c r="A62" s="80">
        <v>42</v>
      </c>
      <c r="B62" s="80" t="s">
        <v>428</v>
      </c>
      <c r="C62" s="93" t="s">
        <v>87</v>
      </c>
      <c r="D62" s="94">
        <f>+SUM(D63:D67)</f>
        <v>122890971.78000003</v>
      </c>
      <c r="E62" s="177">
        <f t="shared" si="0"/>
        <v>3.4950366444179459</v>
      </c>
      <c r="F62" s="94">
        <f>+SUM(F63:F67)</f>
        <v>124555849.74249999</v>
      </c>
      <c r="G62" s="177">
        <f t="shared" si="0"/>
        <v>3.5423860094944803</v>
      </c>
      <c r="H62" s="246">
        <f t="shared" si="1"/>
        <v>-1664877.9624999613</v>
      </c>
      <c r="I62" s="238">
        <f t="shared" si="2"/>
        <v>-1.3366517638006172</v>
      </c>
      <c r="J62" s="94">
        <f>+SUM(J63:J67)</f>
        <v>120951403.70999998</v>
      </c>
      <c r="K62" s="177">
        <f t="shared" si="3"/>
        <v>3.6257502835816413</v>
      </c>
      <c r="L62" s="246">
        <f t="shared" si="4"/>
        <v>1939568.0700000525</v>
      </c>
      <c r="M62" s="238">
        <f t="shared" si="5"/>
        <v>1.6035928567232531</v>
      </c>
      <c r="BX62" s="184"/>
      <c r="BY62" s="184"/>
      <c r="BZ62" s="146"/>
      <c r="CA62" s="146"/>
      <c r="CB62" s="146"/>
      <c r="CC62" s="143"/>
    </row>
    <row r="63" spans="1:81" ht="13.5" customHeight="1">
      <c r="B63" s="80">
        <v>421</v>
      </c>
      <c r="C63" s="97" t="s">
        <v>89</v>
      </c>
      <c r="D63" s="172">
        <v>15391718.199999999</v>
      </c>
      <c r="E63" s="178">
        <f t="shared" si="0"/>
        <v>0.43774264578083077</v>
      </c>
      <c r="F63" s="172">
        <v>14661250</v>
      </c>
      <c r="G63" s="178">
        <f t="shared" si="0"/>
        <v>0.41696802670505018</v>
      </c>
      <c r="H63" s="263">
        <f t="shared" si="1"/>
        <v>730468.19999999925</v>
      </c>
      <c r="I63" s="239">
        <f t="shared" si="2"/>
        <v>4.9823050558444919</v>
      </c>
      <c r="J63" s="172">
        <v>17063335.420000002</v>
      </c>
      <c r="K63" s="178">
        <f t="shared" si="3"/>
        <v>0.51150620282382575</v>
      </c>
      <c r="L63" s="263">
        <f t="shared" si="4"/>
        <v>-1671617.2200000025</v>
      </c>
      <c r="M63" s="239">
        <f t="shared" si="5"/>
        <v>-9.796544338222958</v>
      </c>
      <c r="BX63" s="184"/>
      <c r="BY63" s="184"/>
      <c r="BZ63" s="146"/>
      <c r="CA63" s="146"/>
      <c r="CB63" s="146"/>
      <c r="CC63" s="143"/>
    </row>
    <row r="64" spans="1:81" ht="13.5" customHeight="1">
      <c r="B64" s="80">
        <v>422</v>
      </c>
      <c r="C64" s="97" t="s">
        <v>91</v>
      </c>
      <c r="D64" s="172">
        <v>6349338.0499999998</v>
      </c>
      <c r="E64" s="178">
        <f t="shared" si="0"/>
        <v>0.18057607349931221</v>
      </c>
      <c r="F64" s="172">
        <v>5189531</v>
      </c>
      <c r="G64" s="178">
        <f t="shared" si="0"/>
        <v>0.14759099671547005</v>
      </c>
      <c r="H64" s="263">
        <f t="shared" si="1"/>
        <v>1159807.0499999998</v>
      </c>
      <c r="I64" s="239">
        <f t="shared" si="2"/>
        <v>22.348976236966294</v>
      </c>
      <c r="J64" s="172">
        <v>3486893.2199999997</v>
      </c>
      <c r="K64" s="178">
        <f t="shared" si="3"/>
        <v>0.10452631134026799</v>
      </c>
      <c r="L64" s="263">
        <f t="shared" si="4"/>
        <v>2862444.83</v>
      </c>
      <c r="M64" s="239">
        <f t="shared" si="5"/>
        <v>82.091553982258176</v>
      </c>
      <c r="BX64" s="184"/>
      <c r="BY64" s="184"/>
      <c r="BZ64" s="146"/>
      <c r="CA64" s="146"/>
      <c r="CB64" s="146"/>
      <c r="CC64" s="143"/>
    </row>
    <row r="65" spans="1:81" ht="13.5" customHeight="1">
      <c r="B65" s="80">
        <v>423</v>
      </c>
      <c r="C65" s="97" t="s">
        <v>93</v>
      </c>
      <c r="D65" s="172">
        <v>96392658.900000036</v>
      </c>
      <c r="E65" s="178">
        <f t="shared" si="0"/>
        <v>2.7414208727349987</v>
      </c>
      <c r="F65" s="172">
        <v>99330068.742499992</v>
      </c>
      <c r="G65" s="178">
        <f t="shared" si="0"/>
        <v>2.8249612247275779</v>
      </c>
      <c r="H65" s="263">
        <f t="shared" si="1"/>
        <v>-2937409.8424999565</v>
      </c>
      <c r="I65" s="239">
        <f t="shared" si="2"/>
        <v>-2.9572211916160143</v>
      </c>
      <c r="J65" s="172">
        <v>95926777.629999965</v>
      </c>
      <c r="K65" s="178">
        <f t="shared" si="3"/>
        <v>2.8755891252735384</v>
      </c>
      <c r="L65" s="263">
        <f t="shared" si="4"/>
        <v>465881.27000007033</v>
      </c>
      <c r="M65" s="239">
        <f t="shared" si="5"/>
        <v>0.48566342111169547</v>
      </c>
      <c r="BX65" s="184"/>
      <c r="BY65" s="184"/>
      <c r="BZ65" s="146"/>
      <c r="CA65" s="146"/>
      <c r="CB65" s="146"/>
      <c r="CC65" s="143"/>
    </row>
    <row r="66" spans="1:81" ht="13.5" customHeight="1">
      <c r="B66" s="80">
        <v>424</v>
      </c>
      <c r="C66" s="97" t="s">
        <v>95</v>
      </c>
      <c r="D66" s="172">
        <v>3198763.06</v>
      </c>
      <c r="E66" s="178">
        <f t="shared" si="0"/>
        <v>9.0973274517875888E-2</v>
      </c>
      <c r="F66" s="172">
        <v>3625000</v>
      </c>
      <c r="G66" s="178">
        <f t="shared" si="0"/>
        <v>0.10309551346616468</v>
      </c>
      <c r="H66" s="263">
        <f t="shared" si="1"/>
        <v>-426236.93999999994</v>
      </c>
      <c r="I66" s="239">
        <f t="shared" si="2"/>
        <v>-11.758260413793096</v>
      </c>
      <c r="J66" s="172">
        <v>2844986.5100000002</v>
      </c>
      <c r="K66" s="178">
        <f t="shared" si="3"/>
        <v>8.5283926676459135E-2</v>
      </c>
      <c r="L66" s="263">
        <f t="shared" si="4"/>
        <v>353776.54999999981</v>
      </c>
      <c r="M66" s="239">
        <f t="shared" si="5"/>
        <v>12.435087082363694</v>
      </c>
      <c r="BX66" s="184"/>
      <c r="BY66" s="184"/>
      <c r="BZ66" s="146"/>
      <c r="CA66" s="146"/>
      <c r="CB66" s="146"/>
      <c r="CC66" s="143"/>
    </row>
    <row r="67" spans="1:81" ht="13.5" customHeight="1">
      <c r="B67" s="80">
        <v>425</v>
      </c>
      <c r="C67" s="97" t="s">
        <v>432</v>
      </c>
      <c r="D67" s="172">
        <v>1558493.5699999998</v>
      </c>
      <c r="E67" s="178">
        <f t="shared" si="0"/>
        <v>4.4323777884928563E-2</v>
      </c>
      <c r="F67" s="172">
        <v>1750000</v>
      </c>
      <c r="G67" s="178">
        <f t="shared" si="0"/>
        <v>4.977024788021743E-2</v>
      </c>
      <c r="H67" s="263">
        <f t="shared" si="1"/>
        <v>-191506.43000000017</v>
      </c>
      <c r="I67" s="239">
        <f t="shared" si="2"/>
        <v>-10.943224571428573</v>
      </c>
      <c r="J67" s="172">
        <v>1629410.9300000002</v>
      </c>
      <c r="K67" s="178">
        <f t="shared" si="3"/>
        <v>4.8844717467549988E-2</v>
      </c>
      <c r="L67" s="263">
        <f t="shared" si="4"/>
        <v>-70917.360000000335</v>
      </c>
      <c r="M67" s="239">
        <f t="shared" si="5"/>
        <v>-4.3523311826563145</v>
      </c>
      <c r="BX67" s="184"/>
      <c r="BY67" s="184"/>
      <c r="BZ67" s="146"/>
      <c r="CA67" s="146"/>
      <c r="CB67" s="146"/>
      <c r="CC67" s="143"/>
    </row>
    <row r="68" spans="1:81" ht="13.5" customHeight="1">
      <c r="A68" s="80">
        <v>43</v>
      </c>
      <c r="C68" s="93" t="s">
        <v>433</v>
      </c>
      <c r="D68" s="94">
        <f>+SUM(D69:D70)</f>
        <v>20341128.82</v>
      </c>
      <c r="E68" s="177">
        <f t="shared" si="0"/>
        <v>0.57850458487704837</v>
      </c>
      <c r="F68" s="94">
        <f>+SUM(F69:F70)</f>
        <v>25260011.904999997</v>
      </c>
      <c r="G68" s="177">
        <f t="shared" si="0"/>
        <v>0.7183983165537674</v>
      </c>
      <c r="H68" s="246">
        <f t="shared" si="1"/>
        <v>-4918883.0849999972</v>
      </c>
      <c r="I68" s="238">
        <f t="shared" si="2"/>
        <v>-19.473003827153178</v>
      </c>
      <c r="J68" s="94">
        <f>+SUM(J69:J70)</f>
        <v>20897216.739999998</v>
      </c>
      <c r="K68" s="177">
        <f t="shared" si="3"/>
        <v>0.62643414790611218</v>
      </c>
      <c r="L68" s="246">
        <f t="shared" si="4"/>
        <v>-556087.91999999806</v>
      </c>
      <c r="M68" s="238">
        <f t="shared" si="5"/>
        <v>-2.6610621257307088</v>
      </c>
      <c r="BX68" s="184"/>
      <c r="BY68" s="184"/>
      <c r="BZ68" s="146"/>
      <c r="CA68" s="146"/>
      <c r="CB68" s="146"/>
      <c r="CC68" s="143"/>
    </row>
    <row r="69" spans="1:81" ht="13.5" customHeight="1">
      <c r="A69" s="80" t="s">
        <v>428</v>
      </c>
      <c r="B69" s="80">
        <v>431</v>
      </c>
      <c r="C69" s="97" t="s">
        <v>433</v>
      </c>
      <c r="D69" s="172">
        <v>20341128.82</v>
      </c>
      <c r="E69" s="178">
        <f t="shared" si="0"/>
        <v>0.57850458487704837</v>
      </c>
      <c r="F69" s="172">
        <v>24693062.044999998</v>
      </c>
      <c r="G69" s="178">
        <f t="shared" si="0"/>
        <v>0.70227418222927918</v>
      </c>
      <c r="H69" s="263">
        <f t="shared" si="1"/>
        <v>-4351933.2249999978</v>
      </c>
      <c r="I69" s="239">
        <f t="shared" si="2"/>
        <v>-17.624113271449076</v>
      </c>
      <c r="J69" s="172">
        <v>20894716.739999998</v>
      </c>
      <c r="K69" s="178">
        <f t="shared" si="3"/>
        <v>0.6263592056116789</v>
      </c>
      <c r="L69" s="263">
        <f t="shared" si="4"/>
        <v>-553587.91999999806</v>
      </c>
      <c r="M69" s="239">
        <f t="shared" si="5"/>
        <v>-2.6494157680550501</v>
      </c>
      <c r="BX69" s="184"/>
      <c r="BY69" s="184"/>
      <c r="BZ69" s="146"/>
      <c r="CA69" s="146"/>
      <c r="CB69" s="146"/>
      <c r="CC69" s="143"/>
    </row>
    <row r="70" spans="1:81" ht="13.5" customHeight="1" thickBot="1">
      <c r="A70" s="80" t="s">
        <v>428</v>
      </c>
      <c r="B70" s="80">
        <v>432</v>
      </c>
      <c r="C70" s="97" t="s">
        <v>434</v>
      </c>
      <c r="D70" s="172">
        <v>0</v>
      </c>
      <c r="E70" s="178">
        <f t="shared" si="0"/>
        <v>0</v>
      </c>
      <c r="F70" s="172">
        <v>566949.86</v>
      </c>
      <c r="G70" s="178">
        <f t="shared" si="0"/>
        <v>1.6124134324488323E-2</v>
      </c>
      <c r="H70" s="263">
        <f t="shared" si="1"/>
        <v>-566949.86</v>
      </c>
      <c r="I70" s="239">
        <f t="shared" si="2"/>
        <v>-100</v>
      </c>
      <c r="J70" s="172">
        <v>2500</v>
      </c>
      <c r="K70" s="178">
        <f t="shared" si="3"/>
        <v>7.4942294433286375E-5</v>
      </c>
      <c r="L70" s="263">
        <f t="shared" si="4"/>
        <v>-2500</v>
      </c>
      <c r="M70" s="239">
        <f t="shared" si="5"/>
        <v>-100</v>
      </c>
      <c r="BX70" s="184"/>
      <c r="BY70" s="184"/>
      <c r="BZ70" s="146"/>
      <c r="CA70" s="146"/>
      <c r="CB70" s="146"/>
      <c r="CC70" s="143"/>
    </row>
    <row r="71" spans="1:81" ht="13.5" customHeight="1" thickTop="1" thickBot="1">
      <c r="B71" s="80">
        <v>44</v>
      </c>
      <c r="C71" s="90" t="s">
        <v>131</v>
      </c>
      <c r="D71" s="185">
        <v>8568204.7899999991</v>
      </c>
      <c r="E71" s="233">
        <f t="shared" si="0"/>
        <v>0.24368095787815214</v>
      </c>
      <c r="F71" s="185">
        <v>25455125</v>
      </c>
      <c r="G71" s="233">
        <f t="shared" si="0"/>
        <v>0.72394736061252551</v>
      </c>
      <c r="H71" s="185">
        <f t="shared" si="1"/>
        <v>-16886920.210000001</v>
      </c>
      <c r="I71" s="233">
        <f t="shared" si="2"/>
        <v>-66.339961834797521</v>
      </c>
      <c r="J71" s="185">
        <v>6568384.0799999991</v>
      </c>
      <c r="K71" s="233">
        <f t="shared" si="3"/>
        <v>0.19689990946970831</v>
      </c>
      <c r="L71" s="185">
        <f t="shared" si="4"/>
        <v>1999820.71</v>
      </c>
      <c r="M71" s="233">
        <f t="shared" si="5"/>
        <v>30.446159750146649</v>
      </c>
      <c r="BX71" s="184"/>
      <c r="BY71" s="184"/>
      <c r="BZ71" s="146"/>
      <c r="CA71" s="146"/>
      <c r="CB71" s="146"/>
      <c r="CC71" s="143"/>
    </row>
    <row r="72" spans="1:81" ht="13.5" customHeight="1" thickTop="1">
      <c r="B72" s="80">
        <v>451</v>
      </c>
      <c r="C72" s="93" t="s">
        <v>111</v>
      </c>
      <c r="D72" s="170">
        <v>539845.79</v>
      </c>
      <c r="E72" s="177">
        <f t="shared" si="0"/>
        <v>1.5353290734509601E-2</v>
      </c>
      <c r="F72" s="170">
        <v>535000</v>
      </c>
      <c r="G72" s="177">
        <f t="shared" si="0"/>
        <v>1.5215475780523612E-2</v>
      </c>
      <c r="H72" s="261">
        <f t="shared" si="1"/>
        <v>4845.7900000000373</v>
      </c>
      <c r="I72" s="238">
        <f t="shared" si="2"/>
        <v>0.90575514018691194</v>
      </c>
      <c r="J72" s="170">
        <v>676161.77</v>
      </c>
      <c r="K72" s="177">
        <f t="shared" si="3"/>
        <v>2.0269245780748825E-2</v>
      </c>
      <c r="L72" s="170">
        <f t="shared" si="4"/>
        <v>-136315.97999999998</v>
      </c>
      <c r="M72" s="238">
        <f t="shared" si="5"/>
        <v>-20.16026135284163</v>
      </c>
      <c r="BX72" s="184"/>
      <c r="BY72" s="184"/>
      <c r="BZ72" s="146"/>
      <c r="CA72" s="146"/>
      <c r="CB72" s="146"/>
      <c r="CC72" s="143"/>
    </row>
    <row r="73" spans="1:81" ht="13.5" customHeight="1" thickBot="1">
      <c r="B73" s="80">
        <v>47</v>
      </c>
      <c r="C73" s="93" t="s">
        <v>118</v>
      </c>
      <c r="D73" s="170">
        <v>4271466.6400000006</v>
      </c>
      <c r="E73" s="177">
        <f t="shared" si="0"/>
        <v>0.12148111627707399</v>
      </c>
      <c r="F73" s="170">
        <v>2213662.4424999999</v>
      </c>
      <c r="G73" s="177">
        <f t="shared" si="0"/>
        <v>6.2956873420772885E-2</v>
      </c>
      <c r="H73" s="261">
        <f t="shared" si="1"/>
        <v>2057804.1975000007</v>
      </c>
      <c r="I73" s="238">
        <f t="shared" si="2"/>
        <v>92.959258737570622</v>
      </c>
      <c r="J73" s="170">
        <v>604212.21</v>
      </c>
      <c r="K73" s="177">
        <f t="shared" si="3"/>
        <v>1.8112419736802662E-2</v>
      </c>
      <c r="L73" s="170">
        <f t="shared" si="4"/>
        <v>3667254.4300000006</v>
      </c>
      <c r="M73" s="238">
        <f t="shared" si="5"/>
        <v>606.94808368735232</v>
      </c>
      <c r="BX73" s="184"/>
      <c r="BY73" s="184"/>
      <c r="BZ73" s="146"/>
      <c r="CA73" s="146"/>
      <c r="CB73" s="146"/>
      <c r="CC73" s="143"/>
    </row>
    <row r="74" spans="1:81" ht="13.5" customHeight="1" thickTop="1" thickBot="1">
      <c r="B74" s="80">
        <v>462</v>
      </c>
      <c r="C74" s="163" t="s">
        <v>113</v>
      </c>
      <c r="D74" s="186">
        <v>9682767.0700000003</v>
      </c>
      <c r="E74" s="180">
        <f t="shared" si="0"/>
        <v>0.27537926699446091</v>
      </c>
      <c r="F74" s="186">
        <v>0</v>
      </c>
      <c r="G74" s="180">
        <f t="shared" si="0"/>
        <v>0</v>
      </c>
      <c r="H74" s="266">
        <f t="shared" si="1"/>
        <v>9682767.0700000003</v>
      </c>
      <c r="I74" s="241" t="e">
        <f t="shared" si="2"/>
        <v>#DIV/0!</v>
      </c>
      <c r="J74" s="186">
        <v>0</v>
      </c>
      <c r="K74" s="180">
        <f t="shared" si="3"/>
        <v>0</v>
      </c>
      <c r="L74" s="186">
        <f t="shared" si="4"/>
        <v>9682767.0700000003</v>
      </c>
      <c r="M74" s="241" t="e">
        <f t="shared" si="5"/>
        <v>#DIV/0!</v>
      </c>
      <c r="BX74" s="184"/>
      <c r="BY74" s="184"/>
      <c r="BZ74" s="146"/>
      <c r="CA74" s="146"/>
      <c r="CB74" s="146"/>
      <c r="CC74" s="143"/>
    </row>
    <row r="75" spans="1:81" ht="13.5" hidden="1" customHeight="1" thickTop="1" thickBot="1">
      <c r="B75" s="80">
        <v>990</v>
      </c>
      <c r="C75" s="229" t="s">
        <v>152</v>
      </c>
      <c r="D75" s="170"/>
      <c r="E75" s="177">
        <f t="shared" si="0"/>
        <v>0</v>
      </c>
      <c r="F75" s="170"/>
      <c r="G75" s="177">
        <f t="shared" si="0"/>
        <v>0</v>
      </c>
      <c r="H75" s="261">
        <f t="shared" si="1"/>
        <v>0</v>
      </c>
      <c r="I75" s="238" t="e">
        <f t="shared" si="2"/>
        <v>#DIV/0!</v>
      </c>
      <c r="J75" s="272"/>
      <c r="K75" s="177">
        <f t="shared" si="3"/>
        <v>0</v>
      </c>
      <c r="L75" s="170">
        <f t="shared" si="4"/>
        <v>0</v>
      </c>
      <c r="M75" s="238" t="e">
        <f t="shared" si="5"/>
        <v>#DIV/0!</v>
      </c>
      <c r="BX75" s="184"/>
      <c r="BY75" s="184"/>
      <c r="BZ75" s="146"/>
      <c r="CA75" s="146"/>
      <c r="CB75" s="146"/>
      <c r="CC75" s="143"/>
    </row>
    <row r="76" spans="1:81" ht="13.5" customHeight="1" thickTop="1" thickBot="1">
      <c r="C76" s="90" t="s">
        <v>132</v>
      </c>
      <c r="D76" s="91">
        <f>+D16-D49</f>
        <v>-45541755.530000061</v>
      </c>
      <c r="E76" s="233">
        <f t="shared" si="0"/>
        <v>-1.2952139780733518</v>
      </c>
      <c r="F76" s="91">
        <f>+F16-F49</f>
        <v>-100895098.54759461</v>
      </c>
      <c r="G76" s="233">
        <f t="shared" si="0"/>
        <v>-2.8694708940644276</v>
      </c>
      <c r="H76" s="91">
        <f t="shared" si="1"/>
        <v>55353343.017594546</v>
      </c>
      <c r="I76" s="233">
        <f t="shared" si="2"/>
        <v>-54.862271621136344</v>
      </c>
      <c r="J76" s="91">
        <f>+J16-J49</f>
        <v>-59209374.709497988</v>
      </c>
      <c r="K76" s="233">
        <f t="shared" si="3"/>
        <v>-1.7749145570759912</v>
      </c>
      <c r="L76" s="91">
        <f t="shared" si="4"/>
        <v>13667619.179497927</v>
      </c>
      <c r="M76" s="233">
        <f t="shared" si="5"/>
        <v>-23.083539129666661</v>
      </c>
      <c r="BX76" s="184"/>
      <c r="BY76" s="184"/>
      <c r="BZ76" s="146"/>
      <c r="CA76" s="146"/>
      <c r="CB76" s="146"/>
      <c r="CC76" s="143"/>
    </row>
    <row r="77" spans="1:81" ht="13.5" customHeight="1" thickTop="1" thickBot="1">
      <c r="C77" s="90" t="s">
        <v>133</v>
      </c>
      <c r="D77" s="91">
        <f>+D76+D57</f>
        <v>-37495231.790000059</v>
      </c>
      <c r="E77" s="233">
        <f t="shared" si="0"/>
        <v>-1.0663697031511494</v>
      </c>
      <c r="F77" s="91">
        <f>+F76+F57</f>
        <v>-82566067.767594606</v>
      </c>
      <c r="G77" s="233">
        <f t="shared" si="0"/>
        <v>-2.3481906624502935</v>
      </c>
      <c r="H77" s="91">
        <f t="shared" si="1"/>
        <v>45070835.977594547</v>
      </c>
      <c r="I77" s="233">
        <f t="shared" si="2"/>
        <v>-54.587601415703944</v>
      </c>
      <c r="J77" s="91">
        <f>+J76+J57</f>
        <v>-54734920.789497986</v>
      </c>
      <c r="K77" s="233">
        <f t="shared" si="3"/>
        <v>-1.6407842198356659</v>
      </c>
      <c r="L77" s="91">
        <f t="shared" si="4"/>
        <v>17239688.999497928</v>
      </c>
      <c r="M77" s="233">
        <f t="shared" si="5"/>
        <v>-31.496691236293358</v>
      </c>
      <c r="BX77" s="184"/>
      <c r="BY77" s="184"/>
      <c r="BZ77" s="146"/>
      <c r="CA77" s="146"/>
      <c r="CB77" s="146"/>
      <c r="CC77" s="143"/>
    </row>
    <row r="78" spans="1:81" ht="13.5" customHeight="1" thickTop="1" thickBot="1">
      <c r="C78" s="90" t="s">
        <v>0</v>
      </c>
      <c r="D78" s="91">
        <f>+SUM(D79:D81)</f>
        <v>21282169.149999999</v>
      </c>
      <c r="E78" s="233">
        <f t="shared" si="0"/>
        <v>0.60526790515669493</v>
      </c>
      <c r="F78" s="91">
        <f>+SUM(F79:F81)</f>
        <v>42856726.372499995</v>
      </c>
      <c r="G78" s="233">
        <f t="shared" si="0"/>
        <v>1.2188513685108435</v>
      </c>
      <c r="H78" s="91">
        <f t="shared" si="1"/>
        <v>-21574557.222499996</v>
      </c>
      <c r="I78" s="233">
        <f t="shared" si="2"/>
        <v>-50.341122732938857</v>
      </c>
      <c r="J78" s="91">
        <f>+SUM(J79:J81)</f>
        <v>30653374.089999996</v>
      </c>
      <c r="K78" s="233">
        <f t="shared" si="3"/>
        <v>0.91889367457058058</v>
      </c>
      <c r="L78" s="91">
        <f t="shared" si="4"/>
        <v>-9371204.9399999976</v>
      </c>
      <c r="M78" s="233">
        <f t="shared" si="5"/>
        <v>-30.571528316868552</v>
      </c>
      <c r="BX78" s="184"/>
      <c r="BY78" s="184"/>
      <c r="BZ78" s="146"/>
      <c r="CA78" s="146"/>
      <c r="CB78" s="146"/>
      <c r="CC78" s="143"/>
    </row>
    <row r="79" spans="1:81" ht="13.5" customHeight="1" thickTop="1">
      <c r="B79" s="80">
        <v>4611</v>
      </c>
      <c r="C79" s="97" t="s">
        <v>135</v>
      </c>
      <c r="D79" s="172">
        <v>7334651.1399999997</v>
      </c>
      <c r="E79" s="178">
        <f t="shared" si="0"/>
        <v>0.20859851734441104</v>
      </c>
      <c r="F79" s="172">
        <v>7502086.317499999</v>
      </c>
      <c r="G79" s="178">
        <f t="shared" si="0"/>
        <v>0.21336039750900712</v>
      </c>
      <c r="H79" s="263">
        <f t="shared" si="1"/>
        <v>-167435.17749999929</v>
      </c>
      <c r="I79" s="239">
        <f t="shared" si="2"/>
        <v>-2.231848187475876</v>
      </c>
      <c r="J79" s="172">
        <v>13040547.42</v>
      </c>
      <c r="K79" s="178">
        <f t="shared" si="3"/>
        <v>0.39091541772834915</v>
      </c>
      <c r="L79" s="263">
        <f t="shared" si="4"/>
        <v>-5705896.2800000003</v>
      </c>
      <c r="M79" s="239">
        <f t="shared" si="5"/>
        <v>-43.755036473767916</v>
      </c>
      <c r="BX79" s="184"/>
      <c r="BY79" s="184"/>
      <c r="BZ79" s="146"/>
      <c r="CA79" s="146"/>
      <c r="CB79" s="146"/>
      <c r="CC79" s="143"/>
    </row>
    <row r="80" spans="1:81" ht="13.5" customHeight="1">
      <c r="B80" s="80">
        <v>4612</v>
      </c>
      <c r="C80" s="97" t="s">
        <v>137</v>
      </c>
      <c r="D80" s="172">
        <v>6981562.6299999999</v>
      </c>
      <c r="E80" s="178">
        <f t="shared" si="0"/>
        <v>0.19855663010649297</v>
      </c>
      <c r="F80" s="172">
        <v>27020100.0625</v>
      </c>
      <c r="G80" s="178">
        <f t="shared" si="0"/>
        <v>0.7684554730622305</v>
      </c>
      <c r="H80" s="263">
        <f t="shared" si="1"/>
        <v>-20038537.432500001</v>
      </c>
      <c r="I80" s="239">
        <f t="shared" si="2"/>
        <v>-74.161595945792214</v>
      </c>
      <c r="J80" s="172">
        <v>6612456.5999999996</v>
      </c>
      <c r="K80" s="178">
        <f t="shared" si="3"/>
        <v>0.19822106777781109</v>
      </c>
      <c r="L80" s="263">
        <f t="shared" si="4"/>
        <v>369106.03000000026</v>
      </c>
      <c r="M80" s="239">
        <f t="shared" si="5"/>
        <v>5.5819803792738583</v>
      </c>
      <c r="BX80" s="184"/>
      <c r="BY80" s="184"/>
      <c r="BZ80" s="146"/>
      <c r="CA80" s="146"/>
      <c r="CB80" s="146"/>
      <c r="CC80" s="143"/>
    </row>
    <row r="81" spans="2:81" ht="13.5" customHeight="1" thickBot="1">
      <c r="B81" s="80">
        <v>4630</v>
      </c>
      <c r="C81" s="97" t="s">
        <v>116</v>
      </c>
      <c r="D81" s="172">
        <v>6965955.3800000008</v>
      </c>
      <c r="E81" s="178">
        <f t="shared" ref="E81:G87" si="6">+D81/$D$11*100</f>
        <v>0.19811275770579098</v>
      </c>
      <c r="F81" s="172">
        <v>8334539.9924999988</v>
      </c>
      <c r="G81" s="178">
        <f t="shared" si="6"/>
        <v>0.23703549793960599</v>
      </c>
      <c r="H81" s="263">
        <f t="shared" ref="H81:H87" si="7">+D81-F81</f>
        <v>-1368584.612499998</v>
      </c>
      <c r="I81" s="239">
        <f t="shared" ref="I81:I87" si="8">+D81/F81*100-100</f>
        <v>-16.420637656445905</v>
      </c>
      <c r="J81" s="172">
        <v>11000370.069999998</v>
      </c>
      <c r="K81" s="178">
        <f t="shared" ref="K81:K87" si="9">+J81/$J$11*100</f>
        <v>0.32975718906442031</v>
      </c>
      <c r="L81" s="263">
        <f t="shared" ref="L81:L87" si="10">+D81-J81</f>
        <v>-4034414.6899999976</v>
      </c>
      <c r="M81" s="239">
        <f t="shared" ref="M81:M87" si="11">+D81/J81*100-100</f>
        <v>-36.675263325936434</v>
      </c>
      <c r="BX81" s="184"/>
      <c r="BY81" s="184"/>
      <c r="BZ81" s="146"/>
      <c r="CA81" s="146"/>
      <c r="CB81" s="146"/>
      <c r="CC81" s="143"/>
    </row>
    <row r="82" spans="2:81" ht="13.5" customHeight="1" thickTop="1" thickBot="1">
      <c r="C82" s="90" t="s">
        <v>141</v>
      </c>
      <c r="D82" s="91">
        <f>+D76+D78</f>
        <v>-24259586.380000062</v>
      </c>
      <c r="E82" s="233">
        <f t="shared" si="6"/>
        <v>-0.68994607291665699</v>
      </c>
      <c r="F82" s="91">
        <f>+F76+F78</f>
        <v>-58038372.175094612</v>
      </c>
      <c r="G82" s="233">
        <f t="shared" si="6"/>
        <v>-1.6506195255535845</v>
      </c>
      <c r="H82" s="91">
        <f t="shared" si="7"/>
        <v>33778785.79509455</v>
      </c>
      <c r="I82" s="233">
        <f t="shared" si="8"/>
        <v>-58.200780844073499</v>
      </c>
      <c r="J82" s="91">
        <f>+J76+J78</f>
        <v>-28556000.619497992</v>
      </c>
      <c r="K82" s="233">
        <f t="shared" si="9"/>
        <v>-0.85602088250541064</v>
      </c>
      <c r="L82" s="91">
        <f t="shared" si="10"/>
        <v>4296414.2394979298</v>
      </c>
      <c r="M82" s="233">
        <f t="shared" si="11"/>
        <v>-15.045574122044059</v>
      </c>
      <c r="BX82" s="184"/>
      <c r="BY82" s="184"/>
      <c r="BZ82" s="146"/>
      <c r="CA82" s="146"/>
      <c r="CB82" s="146"/>
      <c r="CC82" s="143"/>
    </row>
    <row r="83" spans="2:81" ht="13.5" customHeight="1" thickTop="1" thickBot="1">
      <c r="C83" s="90" t="s">
        <v>121</v>
      </c>
      <c r="D83" s="91">
        <f>+SUM(D84:D87)</f>
        <v>24259586.380000062</v>
      </c>
      <c r="E83" s="233">
        <f t="shared" si="6"/>
        <v>0.68994607291665699</v>
      </c>
      <c r="F83" s="91">
        <f>+SUM(F84:F87)</f>
        <v>58038372.175094612</v>
      </c>
      <c r="G83" s="233">
        <f t="shared" si="6"/>
        <v>1.6506195255535845</v>
      </c>
      <c r="H83" s="91">
        <f t="shared" si="7"/>
        <v>-33778785.79509455</v>
      </c>
      <c r="I83" s="233">
        <f t="shared" si="8"/>
        <v>-58.200780844073499</v>
      </c>
      <c r="J83" s="91">
        <f>+SUM(J84:J87)</f>
        <v>28556000.619497992</v>
      </c>
      <c r="K83" s="233">
        <f t="shared" si="9"/>
        <v>0.85602088250541064</v>
      </c>
      <c r="L83" s="91">
        <f t="shared" si="10"/>
        <v>-4296414.2394979298</v>
      </c>
      <c r="M83" s="233">
        <f t="shared" si="11"/>
        <v>-15.045574122044059</v>
      </c>
      <c r="BX83" s="184"/>
      <c r="BY83" s="184"/>
      <c r="BZ83" s="146"/>
      <c r="CA83" s="146"/>
      <c r="CB83" s="146"/>
      <c r="CC83" s="143"/>
    </row>
    <row r="84" spans="2:81" ht="13.5" customHeight="1" thickTop="1">
      <c r="B84" s="80">
        <v>7511</v>
      </c>
      <c r="C84" s="97" t="s">
        <v>144</v>
      </c>
      <c r="D84" s="172">
        <v>77951610.030000001</v>
      </c>
      <c r="E84" s="178">
        <f t="shared" si="6"/>
        <v>2.2169548307743674</v>
      </c>
      <c r="F84" s="172">
        <v>0</v>
      </c>
      <c r="G84" s="178">
        <f t="shared" si="6"/>
        <v>0</v>
      </c>
      <c r="H84" s="263">
        <f t="shared" si="7"/>
        <v>77951610.030000001</v>
      </c>
      <c r="I84" s="239" t="e">
        <f t="shared" si="8"/>
        <v>#DIV/0!</v>
      </c>
      <c r="J84" s="172">
        <v>26971500</v>
      </c>
      <c r="K84" s="178">
        <f t="shared" si="9"/>
        <v>0.80852243772295329</v>
      </c>
      <c r="L84" s="263">
        <f t="shared" si="10"/>
        <v>50980110.030000001</v>
      </c>
      <c r="M84" s="239">
        <f t="shared" si="11"/>
        <v>189.01473788999499</v>
      </c>
      <c r="BX84" s="184"/>
      <c r="BY84" s="184"/>
      <c r="BZ84" s="146"/>
      <c r="CA84" s="146"/>
      <c r="CB84" s="146"/>
      <c r="CC84" s="143"/>
    </row>
    <row r="85" spans="2:81" ht="13.5" customHeight="1">
      <c r="B85" s="80">
        <v>7512</v>
      </c>
      <c r="C85" s="97" t="s">
        <v>122</v>
      </c>
      <c r="D85" s="172">
        <v>713103.67999999993</v>
      </c>
      <c r="E85" s="178">
        <f t="shared" si="6"/>
        <v>2.0280769667368709E-2</v>
      </c>
      <c r="F85" s="172">
        <v>56993893.965707362</v>
      </c>
      <c r="G85" s="178">
        <f t="shared" si="6"/>
        <v>1.6209144173326191</v>
      </c>
      <c r="H85" s="263">
        <f t="shared" si="7"/>
        <v>-56280790.285707362</v>
      </c>
      <c r="I85" s="239">
        <f t="shared" si="8"/>
        <v>-98.748806880208846</v>
      </c>
      <c r="J85" s="172">
        <v>37713438.420000002</v>
      </c>
      <c r="K85" s="178">
        <f t="shared" si="9"/>
        <v>1.1305326424653019</v>
      </c>
      <c r="L85" s="263">
        <f t="shared" si="10"/>
        <v>-37000334.740000002</v>
      </c>
      <c r="M85" s="239">
        <f t="shared" si="11"/>
        <v>-98.109152307836695</v>
      </c>
      <c r="BX85" s="184"/>
      <c r="BY85" s="184"/>
      <c r="BZ85" s="146"/>
      <c r="CA85" s="146"/>
      <c r="CB85" s="146"/>
      <c r="CC85" s="143"/>
    </row>
    <row r="86" spans="2:81" ht="13.5" customHeight="1" thickBot="1">
      <c r="B86" s="80">
        <v>72</v>
      </c>
      <c r="C86" s="104" t="s">
        <v>329</v>
      </c>
      <c r="D86" s="172">
        <v>594437.18999999994</v>
      </c>
      <c r="E86" s="234">
        <f t="shared" si="6"/>
        <v>1.690587788315423E-2</v>
      </c>
      <c r="F86" s="172">
        <v>1250000</v>
      </c>
      <c r="G86" s="234">
        <f t="shared" si="6"/>
        <v>3.5550177057298162E-2</v>
      </c>
      <c r="H86" s="263">
        <f t="shared" si="7"/>
        <v>-655562.81000000006</v>
      </c>
      <c r="I86" s="239">
        <f t="shared" si="8"/>
        <v>-52.445024800000006</v>
      </c>
      <c r="J86" s="172">
        <v>57827.469999999994</v>
      </c>
      <c r="K86" s="234">
        <f t="shared" si="9"/>
        <v>1.7334893132288135E-3</v>
      </c>
      <c r="L86" s="263">
        <f t="shared" si="10"/>
        <v>536609.72</v>
      </c>
      <c r="M86" s="239">
        <f t="shared" si="11"/>
        <v>927.94950220025203</v>
      </c>
      <c r="BX86" s="184"/>
      <c r="BY86" s="184"/>
      <c r="BZ86" s="146"/>
      <c r="CA86" s="146"/>
      <c r="CB86" s="146"/>
      <c r="CC86" s="143"/>
    </row>
    <row r="87" spans="2:81" ht="13.5" customHeight="1" thickTop="1" thickBot="1">
      <c r="C87" s="163" t="s">
        <v>125</v>
      </c>
      <c r="D87" s="164">
        <f t="shared" ref="D87:F87" si="12">-D82-SUM(D84:D86)</f>
        <v>-54999564.519999944</v>
      </c>
      <c r="E87" s="180">
        <f t="shared" si="6"/>
        <v>-1.5641954054082334</v>
      </c>
      <c r="F87" s="164">
        <f t="shared" si="12"/>
        <v>-205521.79061274976</v>
      </c>
      <c r="G87" s="180">
        <f t="shared" si="6"/>
        <v>-5.84506883633297E-3</v>
      </c>
      <c r="H87" s="260">
        <f t="shared" si="7"/>
        <v>-54794042.729387194</v>
      </c>
      <c r="I87" s="241">
        <f t="shared" si="8"/>
        <v>26660.940704157132</v>
      </c>
      <c r="J87" s="164">
        <f t="shared" ref="J87" si="13">-J82-SUM(J84:J86)</f>
        <v>-36186765.270502008</v>
      </c>
      <c r="K87" s="180">
        <f t="shared" si="9"/>
        <v>-1.0847676869960732</v>
      </c>
      <c r="L87" s="260">
        <f t="shared" si="10"/>
        <v>-18812799.249497935</v>
      </c>
      <c r="M87" s="241">
        <f t="shared" si="11"/>
        <v>51.988065550676254</v>
      </c>
      <c r="BX87" s="184"/>
      <c r="BY87" s="184"/>
      <c r="BZ87" s="146"/>
      <c r="CA87" s="146"/>
      <c r="CB87" s="146"/>
      <c r="CC87" s="143"/>
    </row>
    <row r="88" spans="2:81" s="215" customFormat="1" ht="13.5" thickTop="1">
      <c r="C88" s="216" t="str">
        <f>IF([1]MasterSheet!$A$1=1,[1]MasterSheet!C151,[1]MasterSheet!B151)</f>
        <v>Izvor: Ministarstvo finansija Crne Gore</v>
      </c>
      <c r="D88" s="221"/>
      <c r="E88" s="221"/>
      <c r="F88" s="220"/>
      <c r="G88" s="221"/>
      <c r="H88" s="221"/>
      <c r="I88" s="221"/>
      <c r="J88" s="220"/>
      <c r="K88" s="221"/>
      <c r="L88" s="221"/>
      <c r="M88" s="221"/>
    </row>
    <row r="89" spans="2:81" s="215" customFormat="1">
      <c r="C89" s="218"/>
      <c r="D89" s="217"/>
      <c r="E89" s="217"/>
      <c r="F89" s="222"/>
      <c r="G89" s="217"/>
      <c r="H89" s="217"/>
      <c r="I89" s="217"/>
      <c r="J89" s="222"/>
      <c r="K89" s="228"/>
      <c r="L89" s="217"/>
      <c r="M89" s="217"/>
    </row>
    <row r="90" spans="2:81" s="215" customFormat="1">
      <c r="D90" s="217"/>
      <c r="E90" s="217"/>
      <c r="F90" s="225"/>
      <c r="G90" s="217"/>
      <c r="H90" s="217"/>
      <c r="I90" s="217"/>
      <c r="J90" s="225"/>
      <c r="K90" s="217"/>
      <c r="L90" s="217"/>
      <c r="M90" s="217"/>
    </row>
    <row r="91" spans="2:81" s="215" customFormat="1">
      <c r="F91" s="217"/>
      <c r="G91" s="217"/>
      <c r="H91" s="217"/>
      <c r="I91" s="217"/>
      <c r="J91" s="217"/>
      <c r="K91" s="217"/>
      <c r="L91" s="217"/>
      <c r="M91" s="217"/>
    </row>
    <row r="92" spans="2:81" s="215" customFormat="1">
      <c r="C92" s="219"/>
    </row>
  </sheetData>
  <sheetProtection formatCells="0" formatColumns="0" formatRows="0" sort="0" autoFilter="0"/>
  <mergeCells count="10">
    <mergeCell ref="D14:E14"/>
    <mergeCell ref="H14:I14"/>
    <mergeCell ref="D11:G11"/>
    <mergeCell ref="C14:C15"/>
    <mergeCell ref="L11:M11"/>
    <mergeCell ref="J14:K14"/>
    <mergeCell ref="F14:G14"/>
    <mergeCell ref="J11:K11"/>
    <mergeCell ref="L14:M14"/>
    <mergeCell ref="H11:I11"/>
  </mergeCells>
  <printOptions horizontalCentered="1" verticalCentered="1"/>
  <pageMargins left="0" right="0" top="0.19685039370078741" bottom="0.19685039370078741" header="0" footer="0"/>
  <pageSetup paperSize="9" scale="1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CF92"/>
  <sheetViews>
    <sheetView topLeftCell="C1" zoomScale="70" zoomScaleNormal="70" workbookViewId="0">
      <selection activeCell="P76" sqref="P76"/>
    </sheetView>
  </sheetViews>
  <sheetFormatPr defaultColWidth="9.140625" defaultRowHeight="12.75"/>
  <cols>
    <col min="1" max="2" width="9.140625" style="80" customWidth="1"/>
    <col min="3" max="3" width="55.85546875" style="80" bestFit="1" customWidth="1"/>
    <col min="4" max="4" width="11.42578125" style="80" customWidth="1"/>
    <col min="5" max="5" width="6.85546875" style="80" customWidth="1"/>
    <col min="6" max="6" width="15.28515625" style="80" customWidth="1"/>
    <col min="7" max="7" width="6.85546875" style="80" customWidth="1"/>
    <col min="8" max="8" width="7.5703125" style="80" customWidth="1"/>
    <col min="9" max="9" width="6.85546875" style="80" customWidth="1"/>
    <col min="10" max="10" width="17.5703125" style="80" customWidth="1"/>
    <col min="11" max="11" width="6.85546875" style="80" customWidth="1"/>
    <col min="12" max="12" width="7.5703125" style="80" customWidth="1"/>
    <col min="13" max="14" width="6.85546875" style="80" customWidth="1"/>
    <col min="15" max="76" width="9.140625" style="80" customWidth="1"/>
    <col min="77" max="77" width="9.140625" style="80"/>
    <col min="78" max="78" width="15.42578125" style="80" customWidth="1"/>
    <col min="79" max="79" width="12.7109375" style="80" customWidth="1"/>
    <col min="80" max="80" width="11.85546875" style="80" customWidth="1"/>
    <col min="81" max="16384" width="9.140625" style="80"/>
  </cols>
  <sheetData>
    <row r="1" spans="2:76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</row>
    <row r="2" spans="2:76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</row>
    <row r="3" spans="2:76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</row>
    <row r="4" spans="2:76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</row>
    <row r="5" spans="2:76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</row>
    <row r="6" spans="2:76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</row>
    <row r="7" spans="2:76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</row>
    <row r="8" spans="2:76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</row>
    <row r="9" spans="2:76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</row>
    <row r="10" spans="2:76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</row>
    <row r="11" spans="2:76" ht="18.75" customHeight="1" thickTop="1" thickBot="1">
      <c r="C11" s="166" t="str">
        <f>+'Cental Budget'!C11</f>
        <v>BDP (u mil. €)</v>
      </c>
      <c r="D11" s="296">
        <f>+'Cental Budget'!D11:G11</f>
        <v>3516156889.9792166</v>
      </c>
      <c r="E11" s="297"/>
      <c r="F11" s="297"/>
      <c r="G11" s="298"/>
      <c r="H11" s="291"/>
      <c r="I11" s="292"/>
      <c r="J11" s="293">
        <f>+'Cental Budget'!J11:K11</f>
        <v>3335900000</v>
      </c>
      <c r="K11" s="294" t="e">
        <f>+'Cental Budget'!#REF!</f>
        <v>#REF!</v>
      </c>
      <c r="L11" s="291"/>
      <c r="M11" s="295"/>
      <c r="N11" s="236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</row>
    <row r="12" spans="2:76" ht="19.5" customHeight="1" thickTop="1"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</row>
    <row r="13" spans="2:76" ht="17.25" customHeight="1" thickBot="1">
      <c r="B13" s="85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4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</row>
    <row r="14" spans="2:76" ht="15.75" customHeight="1" thickTop="1">
      <c r="B14" s="87"/>
      <c r="C14" s="299" t="s">
        <v>259</v>
      </c>
      <c r="D14" s="289" t="s">
        <v>447</v>
      </c>
      <c r="E14" s="290"/>
      <c r="F14" s="289" t="s">
        <v>450</v>
      </c>
      <c r="G14" s="290"/>
      <c r="H14" s="289" t="s">
        <v>448</v>
      </c>
      <c r="I14" s="290"/>
      <c r="J14" s="289" t="s">
        <v>451</v>
      </c>
      <c r="K14" s="290"/>
      <c r="L14" s="289" t="s">
        <v>448</v>
      </c>
      <c r="M14" s="290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</row>
    <row r="15" spans="2:76" ht="15" customHeight="1" thickBot="1">
      <c r="C15" s="300" t="str">
        <f>IF(MasterSheet!$A$1=1,MasterSheet!B71,MasterSheet!B70)</f>
        <v>Budžet Crne Gore</v>
      </c>
      <c r="D15" s="167" t="str">
        <f>IF(MasterSheet!$A$1=1,MasterSheet!C71,MasterSheet!C70)</f>
        <v>mil. €</v>
      </c>
      <c r="E15" s="176" t="str">
        <f>IF(MasterSheet!$A$1=1,MasterSheet!D71,MasterSheet!D70)</f>
        <v>% BDP</v>
      </c>
      <c r="F15" s="167" t="str">
        <f>IF(MasterSheet!$A$1=1,MasterSheet!E71,MasterSheet!E70)</f>
        <v>mil. €</v>
      </c>
      <c r="G15" s="176" t="str">
        <f>IF(MasterSheet!$A$1=1,MasterSheet!F71,MasterSheet!F70)</f>
        <v>% BDP</v>
      </c>
      <c r="H15" s="167" t="str">
        <f>IF(MasterSheet!$A$1=1,MasterSheet!G71,MasterSheet!G70)</f>
        <v>mil. €</v>
      </c>
      <c r="I15" s="176" t="s">
        <v>443</v>
      </c>
      <c r="J15" s="167" t="str">
        <f>IF(MasterSheet!$A$1=1,MasterSheet!I71,MasterSheet!I70)</f>
        <v>mil. €</v>
      </c>
      <c r="K15" s="176" t="str">
        <f>IF(MasterSheet!$A$1=1,MasterSheet!J71,MasterSheet!J70)</f>
        <v>% BDP</v>
      </c>
      <c r="L15" s="167" t="str">
        <f>IF(MasterSheet!$A$1=1,MasterSheet!K71,MasterSheet!K70)</f>
        <v>mil. €</v>
      </c>
      <c r="M15" s="176" t="s">
        <v>443</v>
      </c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</row>
    <row r="16" spans="2:76" ht="15" customHeight="1" thickTop="1" thickBot="1">
      <c r="B16" s="80">
        <v>7</v>
      </c>
      <c r="C16" s="169" t="str">
        <f>IF(MasterSheet!$A$1=1,MasterSheet!C72,MasterSheet!B72)</f>
        <v>Izvorni prihodi</v>
      </c>
      <c r="D16" s="150">
        <f>+D17+D21+D27+D33+D38+D39</f>
        <v>43000240.859999999</v>
      </c>
      <c r="E16" s="151">
        <f>+D16/$D$11*100</f>
        <v>1.2229329408635736</v>
      </c>
      <c r="F16" s="150">
        <f>+F17+F21+F27+F33+F38+F39</f>
        <v>40124053.167399995</v>
      </c>
      <c r="G16" s="151">
        <f>+F16/$D$11*100</f>
        <v>1.1411337554860119</v>
      </c>
      <c r="H16" s="150">
        <f>+D16-F16</f>
        <v>2876187.6926000044</v>
      </c>
      <c r="I16" s="151">
        <f>+D16/F16*100-100</f>
        <v>7.1682381652730101</v>
      </c>
      <c r="J16" s="150">
        <f>+J17+J21+J27+J33+J38+J39</f>
        <v>38356914.869999997</v>
      </c>
      <c r="K16" s="151">
        <f>+J16/$J$11*100</f>
        <v>1.149822083096016</v>
      </c>
      <c r="L16" s="150">
        <f>+D16-J16</f>
        <v>4643325.9900000021</v>
      </c>
      <c r="M16" s="151">
        <f>+D16/J16*100-100</f>
        <v>12.105577327418686</v>
      </c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</row>
    <row r="17" spans="2:83" ht="15" customHeight="1" thickTop="1">
      <c r="B17" s="80">
        <v>711</v>
      </c>
      <c r="C17" s="93" t="str">
        <f>IF(MasterSheet!$A$1=1,MasterSheet!C73,MasterSheet!B73)</f>
        <v>Porezi</v>
      </c>
      <c r="D17" s="152">
        <f>+SUM(D18:D20)</f>
        <v>15844834.630000001</v>
      </c>
      <c r="E17" s="153">
        <f t="shared" ref="E17:G75" si="0">+D17/$D$11*100</f>
        <v>0.45062934123208753</v>
      </c>
      <c r="F17" s="152">
        <f>+SUM(F18:F20)</f>
        <v>16555421.7018</v>
      </c>
      <c r="G17" s="153">
        <f t="shared" si="0"/>
        <v>0.47083853820578114</v>
      </c>
      <c r="H17" s="242">
        <f t="shared" ref="H17:H75" si="1">+D17-F17</f>
        <v>-710587.0717999991</v>
      </c>
      <c r="I17" s="243">
        <f t="shared" ref="I17:I75" si="2">+D17/F17*100-100</f>
        <v>-4.2921713780491615</v>
      </c>
      <c r="J17" s="152">
        <f>+SUM(J18:J20)</f>
        <v>16230805.59</v>
      </c>
      <c r="K17" s="153">
        <f t="shared" ref="K17:K75" si="3">+J17/$J$11*100</f>
        <v>0.48654952456608408</v>
      </c>
      <c r="L17" s="242">
        <f t="shared" ref="L17:L75" si="4">+D17-J17</f>
        <v>-385970.95999999903</v>
      </c>
      <c r="M17" s="243">
        <f t="shared" ref="M17:M75" si="5">+D17/J17*100-100</f>
        <v>-2.3780148056101353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</row>
    <row r="18" spans="2:83" ht="15" customHeight="1">
      <c r="B18" s="80">
        <v>7111</v>
      </c>
      <c r="C18" s="97" t="str">
        <f>IF(MasterSheet!$A$1=1,MasterSheet!C74,MasterSheet!B74)</f>
        <v>Porez na dohodak fizičkih lica</v>
      </c>
      <c r="D18" s="148">
        <v>5706149.7999999998</v>
      </c>
      <c r="E18" s="154">
        <f t="shared" si="0"/>
        <v>0.16228370856437319</v>
      </c>
      <c r="F18" s="148">
        <v>5240133.1793999998</v>
      </c>
      <c r="G18" s="154">
        <f t="shared" si="0"/>
        <v>0.14903012986519421</v>
      </c>
      <c r="H18" s="244">
        <f t="shared" si="1"/>
        <v>466016.62060000002</v>
      </c>
      <c r="I18" s="245">
        <f t="shared" si="2"/>
        <v>8.8932209286588915</v>
      </c>
      <c r="J18" s="148">
        <v>5137385.47</v>
      </c>
      <c r="K18" s="154">
        <f t="shared" si="3"/>
        <v>0.1540029818040109</v>
      </c>
      <c r="L18" s="244">
        <f t="shared" si="4"/>
        <v>568764.33000000007</v>
      </c>
      <c r="M18" s="245">
        <f t="shared" si="5"/>
        <v>11.071085347232085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</row>
    <row r="19" spans="2:83" ht="15" customHeight="1">
      <c r="B19" s="80">
        <v>7113</v>
      </c>
      <c r="C19" s="97" t="str">
        <f>IF(MasterSheet!$A$1=1,MasterSheet!C76,MasterSheet!B76)</f>
        <v>Porez na promet nepokretnosti</v>
      </c>
      <c r="D19" s="148">
        <v>2863375.5199999996</v>
      </c>
      <c r="E19" s="154">
        <f t="shared" si="0"/>
        <v>8.1434805374026545E-2</v>
      </c>
      <c r="F19" s="148">
        <v>3343047.6948000002</v>
      </c>
      <c r="G19" s="154">
        <f t="shared" si="0"/>
        <v>9.5076749968905985E-2</v>
      </c>
      <c r="H19" s="244">
        <f t="shared" si="1"/>
        <v>-479672.17480000062</v>
      </c>
      <c r="I19" s="245">
        <f t="shared" si="2"/>
        <v>-14.348349727289715</v>
      </c>
      <c r="J19" s="148">
        <v>3277497.74</v>
      </c>
      <c r="K19" s="154">
        <f t="shared" si="3"/>
        <v>9.8249280254204277E-2</v>
      </c>
      <c r="L19" s="244">
        <f t="shared" si="4"/>
        <v>-414122.22000000067</v>
      </c>
      <c r="M19" s="245">
        <f t="shared" si="5"/>
        <v>-12.635316721835494</v>
      </c>
      <c r="O19" s="138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40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</row>
    <row r="20" spans="2:83" ht="15" customHeight="1">
      <c r="B20" s="80">
        <v>7117</v>
      </c>
      <c r="C20" s="97" t="s">
        <v>11</v>
      </c>
      <c r="D20" s="148">
        <v>7275309.3100000005</v>
      </c>
      <c r="E20" s="154">
        <f t="shared" si="0"/>
        <v>0.20691082729368782</v>
      </c>
      <c r="F20" s="148">
        <v>7972240.8276000004</v>
      </c>
      <c r="G20" s="154">
        <f t="shared" si="0"/>
        <v>0.22673165837168099</v>
      </c>
      <c r="H20" s="244">
        <f t="shared" si="1"/>
        <v>-696931.5175999999</v>
      </c>
      <c r="I20" s="245">
        <f t="shared" si="2"/>
        <v>-8.7419777283598137</v>
      </c>
      <c r="J20" s="148">
        <v>7815922.3799999999</v>
      </c>
      <c r="K20" s="154">
        <f t="shared" si="3"/>
        <v>0.23429726250786895</v>
      </c>
      <c r="L20" s="244">
        <f t="shared" si="4"/>
        <v>-540613.06999999937</v>
      </c>
      <c r="M20" s="245">
        <f t="shared" si="5"/>
        <v>-6.9168172829269992</v>
      </c>
      <c r="O20" s="138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40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</row>
    <row r="21" spans="2:83" ht="15" customHeight="1">
      <c r="B21" s="80">
        <v>713</v>
      </c>
      <c r="C21" s="93" t="str">
        <f>IF(MasterSheet!$A$1=1,MasterSheet!C86,MasterSheet!B86)</f>
        <v>Takse</v>
      </c>
      <c r="D21" s="94">
        <f>+SUM(D22:D26)</f>
        <v>959212.94</v>
      </c>
      <c r="E21" s="177">
        <f t="shared" si="0"/>
        <v>2.7280151882121208E-2</v>
      </c>
      <c r="F21" s="94">
        <f>+SUM(F22:F26)</f>
        <v>1255638.8598</v>
      </c>
      <c r="G21" s="177">
        <f t="shared" si="0"/>
        <v>3.5710547028731186E-2</v>
      </c>
      <c r="H21" s="246">
        <f t="shared" si="1"/>
        <v>-296425.91980000003</v>
      </c>
      <c r="I21" s="238">
        <f t="shared" si="2"/>
        <v>-23.607577727183042</v>
      </c>
      <c r="J21" s="94">
        <f>+SUM(J22:J26)</f>
        <v>1231018.49</v>
      </c>
      <c r="K21" s="177">
        <f t="shared" si="3"/>
        <v>3.6902140052159839E-2</v>
      </c>
      <c r="L21" s="246">
        <f t="shared" si="4"/>
        <v>-271805.55000000005</v>
      </c>
      <c r="M21" s="238">
        <f t="shared" si="5"/>
        <v>-22.079729281726713</v>
      </c>
      <c r="O21" s="81"/>
      <c r="CA21" s="81"/>
      <c r="CB21" s="81"/>
      <c r="CC21" s="81"/>
    </row>
    <row r="22" spans="2:83" ht="15" hidden="1" customHeight="1">
      <c r="B22" s="80">
        <v>7131</v>
      </c>
      <c r="C22" s="97" t="str">
        <f>IF(MasterSheet!$A$1=1,MasterSheet!C87,MasterSheet!B87)</f>
        <v>Administrativne takse</v>
      </c>
      <c r="D22" s="148">
        <v>270763.15999999997</v>
      </c>
      <c r="E22" s="154">
        <f t="shared" si="0"/>
        <v>7.7005426228748406E-3</v>
      </c>
      <c r="F22" s="148">
        <v>327422.35619999998</v>
      </c>
      <c r="G22" s="154">
        <f t="shared" si="0"/>
        <v>9.3119381883421965E-3</v>
      </c>
      <c r="H22" s="244">
        <f t="shared" si="1"/>
        <v>-56659.196200000006</v>
      </c>
      <c r="I22" s="245">
        <f t="shared" si="2"/>
        <v>-17.304620508378108</v>
      </c>
      <c r="J22" s="148">
        <v>321002.31</v>
      </c>
      <c r="K22" s="154">
        <f t="shared" si="3"/>
        <v>9.6226598519140259E-3</v>
      </c>
      <c r="L22" s="244">
        <f t="shared" si="4"/>
        <v>-50239.150000000023</v>
      </c>
      <c r="M22" s="245">
        <f t="shared" si="5"/>
        <v>-15.650712918545679</v>
      </c>
      <c r="O22" s="81"/>
      <c r="CA22" s="81"/>
      <c r="CB22" s="81"/>
      <c r="CC22" s="81"/>
    </row>
    <row r="23" spans="2:83" ht="15" hidden="1" customHeight="1">
      <c r="B23" s="80">
        <v>7133</v>
      </c>
      <c r="C23" s="97" t="str">
        <f>IF(MasterSheet!$A$1=1,MasterSheet!C89,MasterSheet!B89)</f>
        <v>Boravišne takse</v>
      </c>
      <c r="D23" s="148"/>
      <c r="E23" s="154">
        <f t="shared" si="0"/>
        <v>0</v>
      </c>
      <c r="F23" s="148">
        <v>0</v>
      </c>
      <c r="G23" s="154">
        <f t="shared" si="0"/>
        <v>0</v>
      </c>
      <c r="H23" s="244">
        <f t="shared" si="1"/>
        <v>0</v>
      </c>
      <c r="I23" s="245" t="e">
        <f t="shared" si="2"/>
        <v>#DIV/0!</v>
      </c>
      <c r="J23" s="148"/>
      <c r="K23" s="154">
        <f t="shared" si="3"/>
        <v>0</v>
      </c>
      <c r="L23" s="244">
        <f t="shared" si="4"/>
        <v>0</v>
      </c>
      <c r="M23" s="245" t="e">
        <f t="shared" si="5"/>
        <v>#DIV/0!</v>
      </c>
      <c r="O23" s="81"/>
      <c r="CA23" s="141"/>
      <c r="CB23" s="141"/>
      <c r="CC23" s="141"/>
    </row>
    <row r="24" spans="2:83" ht="15" hidden="1" customHeight="1">
      <c r="B24" s="80">
        <v>7134</v>
      </c>
      <c r="C24" s="97" t="s">
        <v>435</v>
      </c>
      <c r="D24" s="148"/>
      <c r="E24" s="154">
        <f t="shared" si="0"/>
        <v>0</v>
      </c>
      <c r="F24" s="148">
        <v>0</v>
      </c>
      <c r="G24" s="154">
        <f t="shared" si="0"/>
        <v>0</v>
      </c>
      <c r="H24" s="244">
        <f t="shared" si="1"/>
        <v>0</v>
      </c>
      <c r="I24" s="245" t="e">
        <f t="shared" si="2"/>
        <v>#DIV/0!</v>
      </c>
      <c r="J24" s="148"/>
      <c r="K24" s="154">
        <f t="shared" si="3"/>
        <v>0</v>
      </c>
      <c r="L24" s="244">
        <f t="shared" si="4"/>
        <v>0</v>
      </c>
      <c r="M24" s="245" t="e">
        <f t="shared" si="5"/>
        <v>#DIV/0!</v>
      </c>
      <c r="O24" s="81"/>
      <c r="CA24" s="141"/>
      <c r="CB24" s="141"/>
      <c r="CC24" s="141"/>
    </row>
    <row r="25" spans="2:83" ht="15" hidden="1" customHeight="1">
      <c r="B25" s="80">
        <v>7135</v>
      </c>
      <c r="C25" s="97" t="s">
        <v>36</v>
      </c>
      <c r="D25" s="148">
        <v>673442.82</v>
      </c>
      <c r="E25" s="154">
        <f t="shared" si="0"/>
        <v>1.9152809191172938E-2</v>
      </c>
      <c r="F25" s="148">
        <v>908510.77679999999</v>
      </c>
      <c r="G25" s="154">
        <f t="shared" si="0"/>
        <v>2.583817517896279E-2</v>
      </c>
      <c r="H25" s="244">
        <f t="shared" si="1"/>
        <v>-235067.95680000004</v>
      </c>
      <c r="I25" s="245">
        <f t="shared" si="2"/>
        <v>-25.873986616643947</v>
      </c>
      <c r="J25" s="148">
        <v>890696.84</v>
      </c>
      <c r="K25" s="154">
        <f t="shared" si="3"/>
        <v>2.6700345933631103E-2</v>
      </c>
      <c r="L25" s="244">
        <f t="shared" si="4"/>
        <v>-217254.02000000002</v>
      </c>
      <c r="M25" s="245">
        <f t="shared" si="5"/>
        <v>-24.391466348976834</v>
      </c>
      <c r="O25" s="81"/>
      <c r="CA25" s="141"/>
      <c r="CB25" s="141"/>
      <c r="CC25" s="141"/>
    </row>
    <row r="26" spans="2:83" ht="15" hidden="1" customHeight="1">
      <c r="B26" s="80">
        <v>7136</v>
      </c>
      <c r="C26" s="97" t="s">
        <v>37</v>
      </c>
      <c r="D26" s="148">
        <v>15006.96</v>
      </c>
      <c r="E26" s="154">
        <f t="shared" si="0"/>
        <v>4.2680006807343298E-4</v>
      </c>
      <c r="F26" s="148">
        <v>19705.7268</v>
      </c>
      <c r="G26" s="154">
        <f t="shared" si="0"/>
        <v>5.6043366142619641E-4</v>
      </c>
      <c r="H26" s="244">
        <f t="shared" si="1"/>
        <v>-4698.7668000000012</v>
      </c>
      <c r="I26" s="245">
        <f t="shared" si="2"/>
        <v>-23.844676462275942</v>
      </c>
      <c r="J26" s="148">
        <v>19319.34</v>
      </c>
      <c r="K26" s="154">
        <f t="shared" si="3"/>
        <v>5.7913426661470669E-4</v>
      </c>
      <c r="L26" s="244">
        <f t="shared" si="4"/>
        <v>-4312.380000000001</v>
      </c>
      <c r="M26" s="245">
        <f t="shared" si="5"/>
        <v>-22.321569991521457</v>
      </c>
      <c r="O26" s="81"/>
      <c r="CA26" s="141"/>
      <c r="CB26" s="141"/>
      <c r="CC26" s="141"/>
    </row>
    <row r="27" spans="2:83" ht="15" customHeight="1">
      <c r="B27" s="80">
        <v>714</v>
      </c>
      <c r="C27" s="93" t="str">
        <f>IF(MasterSheet!$A$1=1,MasterSheet!C91,MasterSheet!B91)</f>
        <v>Naknade</v>
      </c>
      <c r="D27" s="94">
        <f>+SUM(D28:D32)</f>
        <v>9154540.1500000004</v>
      </c>
      <c r="E27" s="177">
        <f t="shared" si="0"/>
        <v>0.26035641856851593</v>
      </c>
      <c r="F27" s="94">
        <f>+SUM(F28:F32)</f>
        <v>9503264.7615999989</v>
      </c>
      <c r="G27" s="177">
        <f t="shared" si="0"/>
        <v>0.27027419591780988</v>
      </c>
      <c r="H27" s="246">
        <f t="shared" si="1"/>
        <v>-348724.61159999855</v>
      </c>
      <c r="I27" s="238">
        <f t="shared" si="2"/>
        <v>-3.669524319780038</v>
      </c>
      <c r="J27" s="94">
        <f>+SUM(J28:J32)</f>
        <v>8336534.080000001</v>
      </c>
      <c r="K27" s="177">
        <f t="shared" si="3"/>
        <v>0.24990359663059447</v>
      </c>
      <c r="L27" s="246">
        <f t="shared" si="4"/>
        <v>818006.06999999937</v>
      </c>
      <c r="M27" s="238">
        <f t="shared" si="5"/>
        <v>9.812304036067701</v>
      </c>
      <c r="O27" s="81"/>
      <c r="CA27" s="141"/>
      <c r="CB27" s="141"/>
      <c r="CC27" s="141"/>
    </row>
    <row r="28" spans="2:83" ht="15" hidden="1" customHeight="1">
      <c r="B28" s="80">
        <v>7141</v>
      </c>
      <c r="C28" s="97" t="str">
        <f>IF(MasterSheet!$A$1=1,MasterSheet!C92,MasterSheet!B92)</f>
        <v>Naknade za korišćenje dobara od opšteg interesa</v>
      </c>
      <c r="D28" s="181">
        <v>101256.17</v>
      </c>
      <c r="E28" s="182">
        <f t="shared" si="0"/>
        <v>2.8797398173151059E-3</v>
      </c>
      <c r="F28" s="181">
        <v>100275.7614</v>
      </c>
      <c r="G28" s="182">
        <f t="shared" si="0"/>
        <v>2.8518568578603078E-3</v>
      </c>
      <c r="H28" s="247">
        <f t="shared" si="1"/>
        <v>980.4085999999952</v>
      </c>
      <c r="I28" s="248">
        <f t="shared" si="2"/>
        <v>0.9777124464696243</v>
      </c>
      <c r="J28" s="181">
        <v>98309.57</v>
      </c>
      <c r="K28" s="182">
        <f t="shared" si="3"/>
        <v>2.9470178962199109E-3</v>
      </c>
      <c r="L28" s="247">
        <f t="shared" si="4"/>
        <v>2946.5999999999913</v>
      </c>
      <c r="M28" s="248">
        <f t="shared" si="5"/>
        <v>2.9972666953990199</v>
      </c>
      <c r="O28" s="81"/>
      <c r="CA28" s="141"/>
      <c r="CB28" s="141"/>
      <c r="CC28" s="141"/>
    </row>
    <row r="29" spans="2:83" ht="15" hidden="1" customHeight="1">
      <c r="B29" s="80">
        <v>7142</v>
      </c>
      <c r="C29" s="97" t="str">
        <f>IF(MasterSheet!$A$1=1,MasterSheet!C93,MasterSheet!B93)</f>
        <v>Naknade za korišćenje prirodnih dobara</v>
      </c>
      <c r="D29" s="98">
        <v>955685.29</v>
      </c>
      <c r="E29" s="178">
        <f t="shared" si="0"/>
        <v>2.7179825016444274E-2</v>
      </c>
      <c r="F29" s="98">
        <v>871355.92020000005</v>
      </c>
      <c r="G29" s="178">
        <f t="shared" si="0"/>
        <v>2.4781485794427977E-2</v>
      </c>
      <c r="H29" s="249">
        <f t="shared" si="1"/>
        <v>84329.369799999986</v>
      </c>
      <c r="I29" s="239">
        <f t="shared" si="2"/>
        <v>9.6779476497553532</v>
      </c>
      <c r="J29" s="98">
        <v>854270.51</v>
      </c>
      <c r="K29" s="178">
        <f t="shared" si="3"/>
        <v>2.5608396834437483E-2</v>
      </c>
      <c r="L29" s="249">
        <f t="shared" si="4"/>
        <v>101414.78000000003</v>
      </c>
      <c r="M29" s="239">
        <f t="shared" si="5"/>
        <v>11.871506602750472</v>
      </c>
      <c r="O29" s="81"/>
      <c r="CA29" s="141"/>
      <c r="CB29" s="141"/>
      <c r="CC29" s="141"/>
    </row>
    <row r="30" spans="2:83" ht="15" hidden="1" customHeight="1">
      <c r="B30" s="80">
        <v>7146</v>
      </c>
      <c r="C30" s="97" t="s">
        <v>452</v>
      </c>
      <c r="D30" s="181">
        <v>7126683.5099999998</v>
      </c>
      <c r="E30" s="178">
        <f t="shared" si="0"/>
        <v>0.20268388848946167</v>
      </c>
      <c r="F30" s="181">
        <v>6766106.2264</v>
      </c>
      <c r="G30" s="178">
        <f t="shared" si="0"/>
        <v>0.19242901946960603</v>
      </c>
      <c r="H30" s="247">
        <f t="shared" si="1"/>
        <v>360577.28359999973</v>
      </c>
      <c r="I30" s="239">
        <f t="shared" si="2"/>
        <v>5.3291697105360072</v>
      </c>
      <c r="J30" s="181">
        <v>5653045.3200000003</v>
      </c>
      <c r="K30" s="178">
        <f t="shared" si="3"/>
        <v>0.16946087472646063</v>
      </c>
      <c r="L30" s="247">
        <f t="shared" si="4"/>
        <v>1473638.1899999995</v>
      </c>
      <c r="M30" s="239">
        <f t="shared" si="5"/>
        <v>26.068041322548581</v>
      </c>
      <c r="O30" s="81"/>
      <c r="CA30" s="141"/>
      <c r="CB30" s="141"/>
      <c r="CC30" s="141"/>
    </row>
    <row r="31" spans="2:83" ht="25.5" hidden="1">
      <c r="B31" s="174">
        <v>7147</v>
      </c>
      <c r="C31" s="173" t="s">
        <v>436</v>
      </c>
      <c r="D31" s="181">
        <v>249374.96</v>
      </c>
      <c r="E31" s="178">
        <f t="shared" si="0"/>
        <v>7.0922591853253168E-3</v>
      </c>
      <c r="F31" s="181">
        <v>906277.97639999993</v>
      </c>
      <c r="G31" s="178">
        <f t="shared" si="0"/>
        <v>2.5774674019319904E-2</v>
      </c>
      <c r="H31" s="247">
        <f t="shared" si="1"/>
        <v>-656903.01639999996</v>
      </c>
      <c r="I31" s="239">
        <f t="shared" si="2"/>
        <v>-72.483612479408364</v>
      </c>
      <c r="J31" s="181">
        <v>888507.82</v>
      </c>
      <c r="K31" s="178">
        <f t="shared" si="3"/>
        <v>2.663472586108696E-2</v>
      </c>
      <c r="L31" s="249">
        <f t="shared" si="4"/>
        <v>-639132.86</v>
      </c>
      <c r="M31" s="239">
        <f t="shared" si="5"/>
        <v>-71.93328472899654</v>
      </c>
      <c r="O31" s="81"/>
      <c r="CA31" s="141"/>
      <c r="CB31" s="141"/>
      <c r="CC31" s="141"/>
    </row>
    <row r="32" spans="2:83" ht="15" hidden="1" customHeight="1">
      <c r="B32" s="80">
        <v>7149</v>
      </c>
      <c r="C32" s="97" t="str">
        <f>IF(MasterSheet!$A$1=1,MasterSheet!C97,MasterSheet!B97)</f>
        <v>Ostale naknade</v>
      </c>
      <c r="D32" s="148">
        <v>721540.22</v>
      </c>
      <c r="E32" s="154">
        <f t="shared" si="0"/>
        <v>2.0520706059969494E-2</v>
      </c>
      <c r="F32" s="148">
        <v>859248.87719999999</v>
      </c>
      <c r="G32" s="154">
        <f t="shared" si="0"/>
        <v>2.4437159776595711E-2</v>
      </c>
      <c r="H32" s="244">
        <f t="shared" si="1"/>
        <v>-137708.65720000002</v>
      </c>
      <c r="I32" s="245">
        <f t="shared" si="2"/>
        <v>-16.026632196337076</v>
      </c>
      <c r="J32" s="148">
        <v>842400.86</v>
      </c>
      <c r="K32" s="154">
        <f t="shared" si="3"/>
        <v>2.5252581312389458E-2</v>
      </c>
      <c r="L32" s="244">
        <f t="shared" si="4"/>
        <v>-120860.64000000001</v>
      </c>
      <c r="M32" s="245">
        <f t="shared" si="5"/>
        <v>-14.347164840263815</v>
      </c>
      <c r="O32" s="81"/>
      <c r="CA32" s="81"/>
      <c r="CB32" s="81"/>
      <c r="CC32" s="81"/>
      <c r="CD32" s="81"/>
      <c r="CE32" s="81"/>
    </row>
    <row r="33" spans="1:84" ht="15" customHeight="1">
      <c r="B33" s="80">
        <v>715</v>
      </c>
      <c r="C33" s="93" t="str">
        <f>IF(MasterSheet!$A$1=1,MasterSheet!C98,MasterSheet!B98)</f>
        <v>Ostali prihodi</v>
      </c>
      <c r="D33" s="155">
        <f>+SUM(D34:D37)</f>
        <v>2031571.4100000001</v>
      </c>
      <c r="E33" s="156">
        <f t="shared" si="0"/>
        <v>5.7778178664035909E-2</v>
      </c>
      <c r="F33" s="155">
        <f>+SUM(F34:F37)</f>
        <v>2538261.6972000003</v>
      </c>
      <c r="G33" s="156">
        <f t="shared" si="0"/>
        <v>7.2188522202574518E-2</v>
      </c>
      <c r="H33" s="250">
        <f t="shared" si="1"/>
        <v>-506690.28720000014</v>
      </c>
      <c r="I33" s="251">
        <f t="shared" si="2"/>
        <v>-19.962097988514699</v>
      </c>
      <c r="J33" s="155">
        <f>+SUM(J34:J37)</f>
        <v>2488491.8600000003</v>
      </c>
      <c r="K33" s="156">
        <f t="shared" si="3"/>
        <v>7.4597315866782588E-2</v>
      </c>
      <c r="L33" s="250">
        <f t="shared" si="4"/>
        <v>-456920.45000000019</v>
      </c>
      <c r="M33" s="251">
        <f t="shared" si="5"/>
        <v>-18.361339948284979</v>
      </c>
      <c r="O33" s="81"/>
      <c r="CA33" s="81"/>
      <c r="CB33" s="81"/>
      <c r="CC33" s="81"/>
      <c r="CD33" s="81"/>
      <c r="CE33" s="81"/>
    </row>
    <row r="34" spans="1:84" ht="15" hidden="1" customHeight="1">
      <c r="B34" s="80">
        <v>7151</v>
      </c>
      <c r="C34" s="97" t="str">
        <f>IF(MasterSheet!$A$1=1,MasterSheet!C99,MasterSheet!B99)</f>
        <v>Prihodi od kapitala</v>
      </c>
      <c r="D34" s="148">
        <v>351570.86</v>
      </c>
      <c r="E34" s="154">
        <f t="shared" si="0"/>
        <v>9.9987250569492665E-3</v>
      </c>
      <c r="F34" s="148">
        <v>64218.0576</v>
      </c>
      <c r="G34" s="154">
        <f t="shared" si="0"/>
        <v>1.8263706543646175E-3</v>
      </c>
      <c r="H34" s="244">
        <f t="shared" si="1"/>
        <v>287352.80239999999</v>
      </c>
      <c r="I34" s="245">
        <f t="shared" si="2"/>
        <v>447.46417618212104</v>
      </c>
      <c r="J34" s="148">
        <v>62958.879999999997</v>
      </c>
      <c r="K34" s="154">
        <f t="shared" si="3"/>
        <v>1.8873131688599777E-3</v>
      </c>
      <c r="L34" s="244">
        <f t="shared" si="4"/>
        <v>288611.98</v>
      </c>
      <c r="M34" s="245">
        <f t="shared" si="5"/>
        <v>458.41345970576356</v>
      </c>
      <c r="O34" s="81"/>
      <c r="CA34" s="142"/>
      <c r="CB34" s="142"/>
      <c r="CC34" s="142"/>
      <c r="CD34" s="142"/>
      <c r="CE34" s="142"/>
      <c r="CF34" s="143"/>
    </row>
    <row r="35" spans="1:84" ht="15" hidden="1" customHeight="1">
      <c r="B35" s="80">
        <v>7152</v>
      </c>
      <c r="C35" s="97" t="str">
        <f>IF(MasterSheet!$A$1=1,MasterSheet!C100,MasterSheet!B100)</f>
        <v>Novčane kazne i oduzete imovinske koristi</v>
      </c>
      <c r="D35" s="148">
        <v>90796.26</v>
      </c>
      <c r="E35" s="154">
        <f t="shared" si="0"/>
        <v>2.5822584953123827E-3</v>
      </c>
      <c r="F35" s="148">
        <v>79596.801600000006</v>
      </c>
      <c r="G35" s="154">
        <f t="shared" si="0"/>
        <v>2.2637443120597069E-3</v>
      </c>
      <c r="H35" s="244">
        <f t="shared" si="1"/>
        <v>11199.458399999989</v>
      </c>
      <c r="I35" s="245">
        <f t="shared" si="2"/>
        <v>14.070236711621817</v>
      </c>
      <c r="J35" s="148">
        <v>78036.08</v>
      </c>
      <c r="K35" s="154">
        <f t="shared" si="3"/>
        <v>2.3392811535117961E-3</v>
      </c>
      <c r="L35" s="244">
        <f t="shared" si="4"/>
        <v>12760.179999999993</v>
      </c>
      <c r="M35" s="245">
        <f t="shared" si="5"/>
        <v>16.351641445854256</v>
      </c>
      <c r="O35" s="81"/>
      <c r="CA35" s="142"/>
      <c r="CB35" s="142"/>
      <c r="CC35" s="144"/>
      <c r="CD35" s="144"/>
      <c r="CE35" s="145"/>
      <c r="CF35" s="143"/>
    </row>
    <row r="36" spans="1:84" ht="15" hidden="1" customHeight="1">
      <c r="B36" s="80">
        <v>7153</v>
      </c>
      <c r="C36" s="97" t="str">
        <f>IF(MasterSheet!$A$1=1,MasterSheet!C101,MasterSheet!B101)</f>
        <v>Prihodi koje organi ostvaruju vršenjem svoje djelatnosti</v>
      </c>
      <c r="D36" s="148">
        <v>410935.77</v>
      </c>
      <c r="E36" s="154">
        <f t="shared" si="0"/>
        <v>1.1687071506141723E-2</v>
      </c>
      <c r="F36" s="148">
        <v>958344.723</v>
      </c>
      <c r="G36" s="154">
        <f t="shared" si="0"/>
        <v>2.725545966766189E-2</v>
      </c>
      <c r="H36" s="244">
        <f t="shared" si="1"/>
        <v>-547408.95299999998</v>
      </c>
      <c r="I36" s="245">
        <f t="shared" si="2"/>
        <v>-57.120255359302483</v>
      </c>
      <c r="J36" s="148">
        <v>939553.65</v>
      </c>
      <c r="K36" s="154">
        <f t="shared" si="3"/>
        <v>2.816492250966756E-2</v>
      </c>
      <c r="L36" s="244">
        <f t="shared" si="4"/>
        <v>-528617.88</v>
      </c>
      <c r="M36" s="245">
        <f t="shared" si="5"/>
        <v>-56.262660466488526</v>
      </c>
      <c r="O36" s="81"/>
      <c r="CA36" s="81"/>
      <c r="CB36" s="81"/>
      <c r="CC36" s="146"/>
      <c r="CD36" s="146"/>
      <c r="CE36" s="146"/>
      <c r="CF36" s="143"/>
    </row>
    <row r="37" spans="1:84" ht="15" hidden="1" customHeight="1">
      <c r="B37" s="80">
        <v>7154</v>
      </c>
      <c r="C37" s="97" t="str">
        <f>IF(MasterSheet!$A$1=1,MasterSheet!C102,MasterSheet!B102)</f>
        <v>Ostali prihodi</v>
      </c>
      <c r="D37" s="148">
        <v>1178268.52</v>
      </c>
      <c r="E37" s="154">
        <f t="shared" si="0"/>
        <v>3.3510123605632526E-2</v>
      </c>
      <c r="F37" s="148">
        <v>1436102.115</v>
      </c>
      <c r="G37" s="154">
        <f t="shared" si="0"/>
        <v>4.0842947568488289E-2</v>
      </c>
      <c r="H37" s="244">
        <f t="shared" si="1"/>
        <v>-257833.59499999997</v>
      </c>
      <c r="I37" s="245">
        <f t="shared" si="2"/>
        <v>-17.953709022982665</v>
      </c>
      <c r="J37" s="148">
        <v>1407943.25</v>
      </c>
      <c r="K37" s="154">
        <f t="shared" si="3"/>
        <v>4.2205799034743245E-2</v>
      </c>
      <c r="L37" s="244">
        <f t="shared" si="4"/>
        <v>-229674.72999999998</v>
      </c>
      <c r="M37" s="245">
        <f t="shared" si="5"/>
        <v>-16.312783203442322</v>
      </c>
      <c r="O37" s="81"/>
      <c r="BZ37" s="101"/>
      <c r="CA37" s="101"/>
      <c r="CB37" s="100"/>
      <c r="CC37" s="146"/>
      <c r="CD37" s="146"/>
      <c r="CE37" s="146"/>
      <c r="CF37" s="143"/>
    </row>
    <row r="38" spans="1:84">
      <c r="B38" s="80">
        <v>73</v>
      </c>
      <c r="C38" s="102" t="str">
        <f>IF(MasterSheet!$A$1=1,MasterSheet!C103,MasterSheet!B103)</f>
        <v>Primici od otplate kredita i sredstva prenijeta iz prethodne godine</v>
      </c>
      <c r="D38" s="155">
        <v>14109216.459999999</v>
      </c>
      <c r="E38" s="156">
        <f t="shared" si="0"/>
        <v>0.40126811463419643</v>
      </c>
      <c r="F38" s="155">
        <v>10149238.057800001</v>
      </c>
      <c r="G38" s="156">
        <f t="shared" si="0"/>
        <v>0.28864576796116714</v>
      </c>
      <c r="H38" s="250">
        <f t="shared" si="1"/>
        <v>3959978.4021999985</v>
      </c>
      <c r="I38" s="251">
        <f t="shared" si="2"/>
        <v>39.017494511882433</v>
      </c>
      <c r="J38" s="155">
        <v>9950233.3900000006</v>
      </c>
      <c r="K38" s="156">
        <f t="shared" si="3"/>
        <v>0.29827732815731889</v>
      </c>
      <c r="L38" s="250">
        <f t="shared" si="4"/>
        <v>4158983.0699999984</v>
      </c>
      <c r="M38" s="251">
        <f t="shared" si="5"/>
        <v>41.797844402120091</v>
      </c>
      <c r="O38" s="81"/>
      <c r="BZ38" s="101"/>
      <c r="CA38" s="101"/>
      <c r="CB38" s="100"/>
      <c r="CC38" s="146"/>
      <c r="CD38" s="146"/>
      <c r="CE38" s="146"/>
      <c r="CF38" s="143"/>
    </row>
    <row r="39" spans="1:84" ht="13.5" customHeight="1" thickBot="1">
      <c r="B39" s="80">
        <v>74</v>
      </c>
      <c r="C39" s="93" t="s">
        <v>123</v>
      </c>
      <c r="D39" s="155">
        <v>900865.27</v>
      </c>
      <c r="E39" s="156">
        <f t="shared" si="0"/>
        <v>2.5620735882616572E-2</v>
      </c>
      <c r="F39" s="155">
        <v>122228.0892</v>
      </c>
      <c r="G39" s="156">
        <f t="shared" si="0"/>
        <v>3.4761841699481864E-3</v>
      </c>
      <c r="H39" s="250">
        <f t="shared" si="1"/>
        <v>778637.18079999997</v>
      </c>
      <c r="I39" s="251">
        <f t="shared" si="2"/>
        <v>637.03620493152573</v>
      </c>
      <c r="J39" s="155">
        <v>119831.46</v>
      </c>
      <c r="K39" s="156">
        <f t="shared" si="3"/>
        <v>3.5921778230762315E-3</v>
      </c>
      <c r="L39" s="250">
        <f t="shared" si="4"/>
        <v>781033.81</v>
      </c>
      <c r="M39" s="251">
        <f t="shared" si="5"/>
        <v>651.77692903015623</v>
      </c>
      <c r="O39" s="81"/>
      <c r="CA39" s="147"/>
      <c r="CB39" s="147"/>
      <c r="CC39" s="146"/>
      <c r="CD39" s="146"/>
      <c r="CE39" s="146"/>
      <c r="CF39" s="143"/>
    </row>
    <row r="40" spans="1:84" ht="15" customHeight="1" thickTop="1" thickBot="1">
      <c r="B40" s="103"/>
      <c r="C40" s="169" t="str">
        <f>IF(MasterSheet!$A$1=1,MasterSheet!C104,MasterSheet!B104)</f>
        <v>Izdaci</v>
      </c>
      <c r="D40" s="168">
        <f>+D42++D52+D55+D58+D59+D60</f>
        <v>22766014.100000001</v>
      </c>
      <c r="E40" s="179">
        <f t="shared" si="0"/>
        <v>0.64746866571515727</v>
      </c>
      <c r="F40" s="168">
        <f>+F42++F52+F55+F58+F59+F60</f>
        <v>20499160.616599999</v>
      </c>
      <c r="G40" s="179">
        <f t="shared" si="0"/>
        <v>0.58299903155689869</v>
      </c>
      <c r="H40" s="168">
        <f t="shared" si="1"/>
        <v>2266853.4834000021</v>
      </c>
      <c r="I40" s="179">
        <f t="shared" si="2"/>
        <v>11.058274657179524</v>
      </c>
      <c r="J40" s="168">
        <f>+J42++J52+J55+J58+J59+J60</f>
        <v>19842314.329999998</v>
      </c>
      <c r="K40" s="179">
        <f t="shared" si="3"/>
        <v>0.59481142510267093</v>
      </c>
      <c r="L40" s="168">
        <f t="shared" si="4"/>
        <v>2923699.7700000033</v>
      </c>
      <c r="M40" s="179">
        <f t="shared" si="5"/>
        <v>14.734671174821585</v>
      </c>
      <c r="O40" s="81"/>
      <c r="CA40" s="81"/>
      <c r="CB40" s="81"/>
      <c r="CC40" s="146"/>
      <c r="CD40" s="146"/>
      <c r="CE40" s="146"/>
      <c r="CF40" s="143"/>
    </row>
    <row r="41" spans="1:84" ht="13.5" customHeight="1" thickTop="1" thickBot="1">
      <c r="C41" s="169" t="str">
        <f>IF(MasterSheet!$A$1=1,MasterSheet!C105,MasterSheet!B105)</f>
        <v>Tekuća budžetska potrošnja</v>
      </c>
      <c r="D41" s="168">
        <f>+D40-D58</f>
        <v>15860871.140000001</v>
      </c>
      <c r="E41" s="179">
        <f t="shared" si="0"/>
        <v>0.45108542184799244</v>
      </c>
      <c r="F41" s="168">
        <f>+F40-F58</f>
        <v>15960860.635600001</v>
      </c>
      <c r="G41" s="179">
        <f t="shared" si="0"/>
        <v>0.45392913726595241</v>
      </c>
      <c r="H41" s="168">
        <f t="shared" si="1"/>
        <v>-99989.495600000024</v>
      </c>
      <c r="I41" s="179">
        <f t="shared" si="2"/>
        <v>-0.62646681706485197</v>
      </c>
      <c r="J41" s="168">
        <f>+J40-J58</f>
        <v>16373392.779999997</v>
      </c>
      <c r="K41" s="179">
        <f t="shared" si="3"/>
        <v>0.49082384903624204</v>
      </c>
      <c r="L41" s="168">
        <f t="shared" si="4"/>
        <v>-512521.63999999687</v>
      </c>
      <c r="M41" s="179">
        <f t="shared" si="5"/>
        <v>-3.1302103778151604</v>
      </c>
      <c r="O41" s="81"/>
      <c r="CA41" s="147"/>
      <c r="CB41" s="147"/>
      <c r="CC41" s="146"/>
      <c r="CD41" s="146"/>
      <c r="CE41" s="146"/>
      <c r="CF41" s="143"/>
    </row>
    <row r="42" spans="1:84" ht="13.5" customHeight="1" thickTop="1">
      <c r="A42" s="80">
        <v>41</v>
      </c>
      <c r="C42" s="93" t="s">
        <v>63</v>
      </c>
      <c r="D42" s="94">
        <f>+SUM(D43:D51)</f>
        <v>8778683.4900000002</v>
      </c>
      <c r="E42" s="177">
        <f t="shared" si="0"/>
        <v>0.24966700191958413</v>
      </c>
      <c r="F42" s="94">
        <f>+SUM(F43:F51)</f>
        <v>9241389.2242000028</v>
      </c>
      <c r="G42" s="177">
        <f t="shared" si="0"/>
        <v>0.26282641854057393</v>
      </c>
      <c r="H42" s="246">
        <f t="shared" si="1"/>
        <v>-462705.73420000263</v>
      </c>
      <c r="I42" s="238">
        <f t="shared" si="2"/>
        <v>-5.0068850361624868</v>
      </c>
      <c r="J42" s="94">
        <f>+SUM(J43:J51)</f>
        <v>9785675.7100000009</v>
      </c>
      <c r="K42" s="177">
        <f t="shared" si="3"/>
        <v>0.29334439611499147</v>
      </c>
      <c r="L42" s="246">
        <f t="shared" si="4"/>
        <v>-1006992.2200000007</v>
      </c>
      <c r="M42" s="238">
        <f t="shared" si="5"/>
        <v>-10.290472010746825</v>
      </c>
      <c r="O42" s="81"/>
      <c r="CA42" s="147"/>
      <c r="CB42" s="147"/>
      <c r="CC42" s="146"/>
      <c r="CD42" s="146"/>
      <c r="CE42" s="146"/>
      <c r="CF42" s="143"/>
    </row>
    <row r="43" spans="1:84" ht="13.5" customHeight="1">
      <c r="B43" s="80">
        <v>411</v>
      </c>
      <c r="C43" s="93" t="s">
        <v>64</v>
      </c>
      <c r="D43" s="155">
        <v>5124972.68</v>
      </c>
      <c r="E43" s="156">
        <f t="shared" si="0"/>
        <v>0.14575494895025268</v>
      </c>
      <c r="F43" s="155">
        <v>5129607.7514000004</v>
      </c>
      <c r="G43" s="156">
        <f t="shared" si="0"/>
        <v>0.1458867710374073</v>
      </c>
      <c r="H43" s="250">
        <f t="shared" si="1"/>
        <v>-4635.0714000007138</v>
      </c>
      <c r="I43" s="251">
        <f t="shared" si="2"/>
        <v>-9.0359178023618369E-2</v>
      </c>
      <c r="J43" s="155">
        <v>5421184.0700000003</v>
      </c>
      <c r="K43" s="156">
        <f t="shared" si="3"/>
        <v>0.1625103891003927</v>
      </c>
      <c r="L43" s="250">
        <f t="shared" si="4"/>
        <v>-296211.3900000006</v>
      </c>
      <c r="M43" s="251">
        <f t="shared" si="5"/>
        <v>-5.4639611231647507</v>
      </c>
      <c r="O43" s="81"/>
      <c r="CA43" s="147"/>
      <c r="CB43" s="147"/>
      <c r="CC43" s="146"/>
      <c r="CD43" s="146"/>
      <c r="CE43" s="146"/>
      <c r="CF43" s="143"/>
    </row>
    <row r="44" spans="1:84" ht="13.5" customHeight="1">
      <c r="B44" s="80">
        <v>412</v>
      </c>
      <c r="C44" s="93" t="s">
        <v>75</v>
      </c>
      <c r="D44" s="155">
        <v>341373.23</v>
      </c>
      <c r="E44" s="156">
        <f t="shared" si="0"/>
        <v>9.7087030152974135E-3</v>
      </c>
      <c r="F44" s="155">
        <v>335802.60340000002</v>
      </c>
      <c r="G44" s="156">
        <f t="shared" si="0"/>
        <v>9.5502736057373402E-3</v>
      </c>
      <c r="H44" s="250">
        <f t="shared" si="1"/>
        <v>5570.6265999999596</v>
      </c>
      <c r="I44" s="251">
        <f t="shared" si="2"/>
        <v>1.6588991698091036</v>
      </c>
      <c r="J44" s="155">
        <v>525296.67000000004</v>
      </c>
      <c r="K44" s="156">
        <f t="shared" si="3"/>
        <v>1.5746775083185949E-2</v>
      </c>
      <c r="L44" s="250">
        <f t="shared" si="4"/>
        <v>-183923.44000000006</v>
      </c>
      <c r="M44" s="251">
        <f t="shared" si="5"/>
        <v>-35.013250702693398</v>
      </c>
      <c r="O44" s="81"/>
      <c r="CA44" s="147"/>
      <c r="CB44" s="147"/>
      <c r="CC44" s="146"/>
      <c r="CD44" s="146"/>
      <c r="CE44" s="146"/>
      <c r="CF44" s="143"/>
    </row>
    <row r="45" spans="1:84" ht="13.5" customHeight="1">
      <c r="B45" s="80">
        <v>413</v>
      </c>
      <c r="C45" s="93" t="s">
        <v>429</v>
      </c>
      <c r="D45" s="155">
        <v>937134.29</v>
      </c>
      <c r="E45" s="156">
        <f t="shared" si="0"/>
        <v>2.6652231948772323E-2</v>
      </c>
      <c r="F45" s="155">
        <v>1039843.8902</v>
      </c>
      <c r="G45" s="156">
        <f t="shared" si="0"/>
        <v>2.9573307526847767E-2</v>
      </c>
      <c r="H45" s="250">
        <f t="shared" si="1"/>
        <v>-102709.60019999999</v>
      </c>
      <c r="I45" s="251">
        <f t="shared" si="2"/>
        <v>-9.8774057498424241</v>
      </c>
      <c r="J45" s="155">
        <v>1117494.01</v>
      </c>
      <c r="K45" s="156">
        <f t="shared" si="3"/>
        <v>3.3499026049941545E-2</v>
      </c>
      <c r="L45" s="250">
        <f t="shared" si="4"/>
        <v>-180359.71999999997</v>
      </c>
      <c r="M45" s="251">
        <f t="shared" si="5"/>
        <v>-16.139658770967372</v>
      </c>
      <c r="O45" s="81"/>
      <c r="CA45" s="147"/>
      <c r="CB45" s="147"/>
      <c r="CC45" s="146"/>
      <c r="CD45" s="146"/>
      <c r="CE45" s="146"/>
      <c r="CF45" s="143"/>
    </row>
    <row r="46" spans="1:84" ht="13.5" customHeight="1">
      <c r="B46" s="80">
        <v>414</v>
      </c>
      <c r="C46" s="93" t="s">
        <v>430</v>
      </c>
      <c r="D46" s="94">
        <v>832949.59</v>
      </c>
      <c r="E46" s="177">
        <f t="shared" si="0"/>
        <v>2.3689204323443128E-2</v>
      </c>
      <c r="F46" s="94">
        <v>852190.35479999997</v>
      </c>
      <c r="G46" s="177">
        <f t="shared" si="0"/>
        <v>2.4236414399729393E-2</v>
      </c>
      <c r="H46" s="246">
        <f t="shared" si="1"/>
        <v>-19240.764800000004</v>
      </c>
      <c r="I46" s="238">
        <f t="shared" si="2"/>
        <v>-2.2578012871919384</v>
      </c>
      <c r="J46" s="94">
        <v>835480.74</v>
      </c>
      <c r="K46" s="177">
        <f t="shared" si="3"/>
        <v>2.5045137444167993E-2</v>
      </c>
      <c r="L46" s="246">
        <f t="shared" si="4"/>
        <v>-2531.1500000000233</v>
      </c>
      <c r="M46" s="238">
        <f t="shared" si="5"/>
        <v>-0.30295731293577433</v>
      </c>
      <c r="O46" s="81"/>
      <c r="CA46" s="147"/>
      <c r="CB46" s="147"/>
      <c r="CC46" s="146"/>
      <c r="CD46" s="146"/>
      <c r="CE46" s="146"/>
      <c r="CF46" s="143"/>
    </row>
    <row r="47" spans="1:84" ht="13.5" customHeight="1">
      <c r="B47" s="80">
        <v>415</v>
      </c>
      <c r="C47" s="93" t="s">
        <v>431</v>
      </c>
      <c r="D47" s="155">
        <v>369222.36</v>
      </c>
      <c r="E47" s="156">
        <f t="shared" si="0"/>
        <v>1.0500736217210784E-2</v>
      </c>
      <c r="F47" s="155">
        <v>955714.73840000003</v>
      </c>
      <c r="G47" s="156">
        <f t="shared" si="0"/>
        <v>2.7180662533111515E-2</v>
      </c>
      <c r="H47" s="250">
        <f t="shared" si="1"/>
        <v>-586492.37840000005</v>
      </c>
      <c r="I47" s="251">
        <f t="shared" si="2"/>
        <v>-61.366886460479854</v>
      </c>
      <c r="J47" s="155">
        <v>976190.92</v>
      </c>
      <c r="K47" s="156">
        <f t="shared" si="3"/>
        <v>2.9263194939896282E-2</v>
      </c>
      <c r="L47" s="250">
        <f t="shared" si="4"/>
        <v>-606968.56000000006</v>
      </c>
      <c r="M47" s="251">
        <f t="shared" si="5"/>
        <v>-62.177238854055318</v>
      </c>
      <c r="O47" s="81"/>
      <c r="CA47" s="147"/>
      <c r="CB47" s="147"/>
      <c r="CC47" s="146"/>
      <c r="CD47" s="146"/>
      <c r="CE47" s="146"/>
      <c r="CF47" s="143"/>
    </row>
    <row r="48" spans="1:84" ht="13.5" customHeight="1">
      <c r="B48" s="80">
        <v>416</v>
      </c>
      <c r="C48" s="93" t="s">
        <v>80</v>
      </c>
      <c r="D48" s="155">
        <v>842237.6</v>
      </c>
      <c r="E48" s="156">
        <f t="shared" si="0"/>
        <v>2.3953356643451093E-2</v>
      </c>
      <c r="F48" s="155">
        <v>678790.28340000007</v>
      </c>
      <c r="G48" s="156">
        <f t="shared" si="0"/>
        <v>1.9304891807714882E-2</v>
      </c>
      <c r="H48" s="250">
        <f t="shared" si="1"/>
        <v>163447.3165999999</v>
      </c>
      <c r="I48" s="251">
        <f t="shared" si="2"/>
        <v>24.079206876873201</v>
      </c>
      <c r="J48" s="155">
        <v>665480.67000000004</v>
      </c>
      <c r="K48" s="156">
        <f t="shared" si="3"/>
        <v>1.9949059324320274E-2</v>
      </c>
      <c r="L48" s="250">
        <f t="shared" si="4"/>
        <v>176756.92999999993</v>
      </c>
      <c r="M48" s="251">
        <f t="shared" si="5"/>
        <v>26.560791014410668</v>
      </c>
      <c r="O48" s="81"/>
      <c r="CA48" s="147"/>
      <c r="CB48" s="147"/>
      <c r="CC48" s="146"/>
      <c r="CD48" s="146"/>
      <c r="CE48" s="146"/>
      <c r="CF48" s="143"/>
    </row>
    <row r="49" spans="1:84" ht="13.5" customHeight="1">
      <c r="B49" s="80">
        <v>417</v>
      </c>
      <c r="C49" s="93" t="s">
        <v>82</v>
      </c>
      <c r="D49" s="155">
        <v>52908.61</v>
      </c>
      <c r="E49" s="156">
        <f t="shared" si="0"/>
        <v>1.5047283626844288E-3</v>
      </c>
      <c r="F49" s="155">
        <v>39932.0412</v>
      </c>
      <c r="G49" s="156">
        <f t="shared" si="0"/>
        <v>1.1356729079354598E-3</v>
      </c>
      <c r="H49" s="250">
        <f t="shared" si="1"/>
        <v>12976.568800000001</v>
      </c>
      <c r="I49" s="251">
        <f t="shared" si="2"/>
        <v>32.496632804235389</v>
      </c>
      <c r="J49" s="155">
        <v>39149.06</v>
      </c>
      <c r="K49" s="156">
        <f t="shared" si="3"/>
        <v>1.1735681525225576E-3</v>
      </c>
      <c r="L49" s="250">
        <f t="shared" si="4"/>
        <v>13759.550000000003</v>
      </c>
      <c r="M49" s="251">
        <f t="shared" si="5"/>
        <v>35.146565460320147</v>
      </c>
      <c r="O49" s="81"/>
      <c r="CA49" s="147"/>
      <c r="CB49" s="147"/>
      <c r="CC49" s="146"/>
      <c r="CD49" s="146"/>
      <c r="CE49" s="146"/>
      <c r="CF49" s="143"/>
    </row>
    <row r="50" spans="1:84" ht="13.5" customHeight="1">
      <c r="B50" s="80">
        <v>418</v>
      </c>
      <c r="C50" s="93" t="s">
        <v>84</v>
      </c>
      <c r="D50" s="155">
        <v>78708.22</v>
      </c>
      <c r="E50" s="156">
        <f t="shared" si="0"/>
        <v>2.2384729254918208E-3</v>
      </c>
      <c r="F50" s="155">
        <v>49628.518200000006</v>
      </c>
      <c r="G50" s="156">
        <f t="shared" si="0"/>
        <v>1.4114420872810755E-3</v>
      </c>
      <c r="H50" s="250">
        <f t="shared" si="1"/>
        <v>29079.701799999995</v>
      </c>
      <c r="I50" s="251">
        <f t="shared" si="2"/>
        <v>58.594741198619943</v>
      </c>
      <c r="J50" s="155">
        <v>48655.41</v>
      </c>
      <c r="K50" s="156">
        <f t="shared" si="3"/>
        <v>1.4585392247969066E-3</v>
      </c>
      <c r="L50" s="250">
        <f t="shared" si="4"/>
        <v>30052.809999999998</v>
      </c>
      <c r="M50" s="251">
        <f t="shared" si="5"/>
        <v>61.766636022592337</v>
      </c>
      <c r="O50" s="81"/>
      <c r="CA50" s="147"/>
      <c r="CB50" s="147"/>
      <c r="CC50" s="146"/>
      <c r="CD50" s="146"/>
      <c r="CE50" s="146"/>
      <c r="CF50" s="143"/>
    </row>
    <row r="51" spans="1:84" ht="13.5" customHeight="1">
      <c r="B51" s="80">
        <v>419</v>
      </c>
      <c r="C51" s="93" t="s">
        <v>86</v>
      </c>
      <c r="D51" s="155">
        <v>199176.91</v>
      </c>
      <c r="E51" s="156">
        <f t="shared" si="0"/>
        <v>5.6646195329804324E-3</v>
      </c>
      <c r="F51" s="155">
        <v>159879.04320000001</v>
      </c>
      <c r="G51" s="156">
        <f t="shared" si="0"/>
        <v>4.5469826348091373E-3</v>
      </c>
      <c r="H51" s="250">
        <f t="shared" si="1"/>
        <v>39297.866799999989</v>
      </c>
      <c r="I51" s="251">
        <f t="shared" si="2"/>
        <v>24.579748548307535</v>
      </c>
      <c r="J51" s="155">
        <v>156744.16</v>
      </c>
      <c r="K51" s="156">
        <f t="shared" si="3"/>
        <v>4.6987067957672589E-3</v>
      </c>
      <c r="L51" s="250">
        <f t="shared" si="4"/>
        <v>42432.75</v>
      </c>
      <c r="M51" s="251">
        <f t="shared" si="5"/>
        <v>27.071343519273697</v>
      </c>
      <c r="O51" s="81"/>
      <c r="CA51" s="147"/>
      <c r="CB51" s="147"/>
      <c r="CC51" s="146"/>
      <c r="CD51" s="146"/>
      <c r="CE51" s="146"/>
      <c r="CF51" s="143"/>
    </row>
    <row r="52" spans="1:84" ht="13.5" customHeight="1">
      <c r="A52" s="80">
        <v>42</v>
      </c>
      <c r="B52" s="80" t="s">
        <v>428</v>
      </c>
      <c r="C52" s="93" t="s">
        <v>87</v>
      </c>
      <c r="D52" s="155">
        <f>+D53</f>
        <v>38934.1</v>
      </c>
      <c r="E52" s="156">
        <f t="shared" si="0"/>
        <v>1.1072913188532418E-3</v>
      </c>
      <c r="F52" s="155">
        <v>139440.61979999999</v>
      </c>
      <c r="G52" s="156">
        <f t="shared" si="0"/>
        <v>3.9657109782955165E-3</v>
      </c>
      <c r="H52" s="250">
        <f t="shared" si="1"/>
        <v>-100506.51979999998</v>
      </c>
      <c r="I52" s="251">
        <f t="shared" si="2"/>
        <v>-72.078365647080972</v>
      </c>
      <c r="J52" s="155">
        <v>136706.49</v>
      </c>
      <c r="K52" s="156">
        <f t="shared" si="3"/>
        <v>4.098039209808447E-3</v>
      </c>
      <c r="L52" s="250">
        <f t="shared" si="4"/>
        <v>-97772.389999999985</v>
      </c>
      <c r="M52" s="251">
        <f t="shared" si="5"/>
        <v>-71.519932960022601</v>
      </c>
      <c r="O52" s="81"/>
      <c r="CA52" s="147"/>
      <c r="CB52" s="147"/>
      <c r="CC52" s="146"/>
      <c r="CD52" s="146"/>
      <c r="CE52" s="146"/>
      <c r="CF52" s="143"/>
    </row>
    <row r="53" spans="1:84" ht="13.5" customHeight="1">
      <c r="B53" s="80">
        <v>421</v>
      </c>
      <c r="C53" s="97" t="s">
        <v>89</v>
      </c>
      <c r="D53" s="148">
        <v>38934.1</v>
      </c>
      <c r="E53" s="154">
        <f t="shared" si="0"/>
        <v>1.1072913188532418E-3</v>
      </c>
      <c r="F53" s="148">
        <v>0</v>
      </c>
      <c r="G53" s="154">
        <f t="shared" si="0"/>
        <v>0</v>
      </c>
      <c r="H53" s="244">
        <f t="shared" si="1"/>
        <v>38934.1</v>
      </c>
      <c r="I53" s="245" t="e">
        <f t="shared" si="2"/>
        <v>#DIV/0!</v>
      </c>
      <c r="J53" s="148"/>
      <c r="K53" s="154">
        <f t="shared" si="3"/>
        <v>0</v>
      </c>
      <c r="L53" s="244">
        <f t="shared" si="4"/>
        <v>38934.1</v>
      </c>
      <c r="M53" s="245" t="e">
        <f t="shared" si="5"/>
        <v>#DIV/0!</v>
      </c>
      <c r="O53" s="81"/>
      <c r="CA53" s="147"/>
      <c r="CB53" s="147"/>
      <c r="CC53" s="146"/>
      <c r="CD53" s="146"/>
      <c r="CE53" s="146"/>
      <c r="CF53" s="143"/>
    </row>
    <row r="54" spans="1:84" ht="13.5" customHeight="1">
      <c r="B54" s="80">
        <v>422</v>
      </c>
      <c r="C54" s="97" t="s">
        <v>91</v>
      </c>
      <c r="D54" s="148"/>
      <c r="E54" s="154">
        <f t="shared" si="0"/>
        <v>0</v>
      </c>
      <c r="F54" s="148">
        <v>0</v>
      </c>
      <c r="G54" s="154">
        <f t="shared" si="0"/>
        <v>0</v>
      </c>
      <c r="H54" s="244">
        <f t="shared" si="1"/>
        <v>0</v>
      </c>
      <c r="I54" s="245" t="e">
        <f t="shared" si="2"/>
        <v>#DIV/0!</v>
      </c>
      <c r="J54" s="148"/>
      <c r="K54" s="154">
        <f t="shared" si="3"/>
        <v>0</v>
      </c>
      <c r="L54" s="244">
        <f t="shared" si="4"/>
        <v>0</v>
      </c>
      <c r="M54" s="245" t="e">
        <f t="shared" si="5"/>
        <v>#DIV/0!</v>
      </c>
      <c r="O54" s="81"/>
      <c r="CA54" s="147"/>
      <c r="CB54" s="147"/>
      <c r="CC54" s="146"/>
      <c r="CD54" s="146"/>
      <c r="CE54" s="146"/>
      <c r="CF54" s="143"/>
    </row>
    <row r="55" spans="1:84" ht="13.5" customHeight="1">
      <c r="A55" s="80">
        <v>43</v>
      </c>
      <c r="C55" s="93" t="s">
        <v>433</v>
      </c>
      <c r="D55" s="94">
        <f>+D56</f>
        <v>6015517.3000000007</v>
      </c>
      <c r="E55" s="177">
        <f t="shared" si="0"/>
        <v>0.17108216408499216</v>
      </c>
      <c r="F55" s="94">
        <v>5782990.6128000012</v>
      </c>
      <c r="G55" s="177">
        <f t="shared" si="0"/>
        <v>0.16446907216458659</v>
      </c>
      <c r="H55" s="246">
        <f t="shared" si="1"/>
        <v>232526.68719999958</v>
      </c>
      <c r="I55" s="238">
        <f t="shared" si="2"/>
        <v>4.0208726378584885</v>
      </c>
      <c r="J55" s="94">
        <v>5669598.6400000006</v>
      </c>
      <c r="K55" s="177">
        <f t="shared" si="3"/>
        <v>0.16995709223897601</v>
      </c>
      <c r="L55" s="246">
        <f t="shared" si="4"/>
        <v>345918.66000000015</v>
      </c>
      <c r="M55" s="238">
        <f t="shared" si="5"/>
        <v>6.1012900906156631</v>
      </c>
      <c r="O55" s="81"/>
      <c r="CA55" s="147"/>
      <c r="CB55" s="147"/>
      <c r="CC55" s="146"/>
      <c r="CD55" s="146"/>
      <c r="CE55" s="146"/>
      <c r="CF55" s="143"/>
    </row>
    <row r="56" spans="1:84" ht="13.5" customHeight="1">
      <c r="A56" s="80" t="s">
        <v>428</v>
      </c>
      <c r="B56" s="80">
        <v>431</v>
      </c>
      <c r="C56" s="97" t="s">
        <v>433</v>
      </c>
      <c r="D56" s="148">
        <v>6015517.3000000007</v>
      </c>
      <c r="E56" s="154">
        <f t="shared" si="0"/>
        <v>0.17108216408499216</v>
      </c>
      <c r="F56" s="148">
        <v>5782990.6128000012</v>
      </c>
      <c r="G56" s="154">
        <f t="shared" si="0"/>
        <v>0.16446907216458659</v>
      </c>
      <c r="H56" s="148">
        <f t="shared" si="1"/>
        <v>232526.68719999958</v>
      </c>
      <c r="I56" s="154">
        <f t="shared" si="2"/>
        <v>4.0208726378584885</v>
      </c>
      <c r="J56" s="148">
        <v>5669598.6400000006</v>
      </c>
      <c r="K56" s="154">
        <f t="shared" si="3"/>
        <v>0.16995709223897601</v>
      </c>
      <c r="L56" s="148">
        <f t="shared" si="4"/>
        <v>345918.66000000015</v>
      </c>
      <c r="M56" s="154">
        <f t="shared" si="5"/>
        <v>6.1012900906156631</v>
      </c>
      <c r="O56" s="81"/>
      <c r="CA56" s="147"/>
      <c r="CB56" s="147"/>
      <c r="CC56" s="146"/>
      <c r="CD56" s="146"/>
      <c r="CE56" s="146"/>
      <c r="CF56" s="143"/>
    </row>
    <row r="57" spans="1:84" ht="13.5" customHeight="1" thickBot="1">
      <c r="A57" s="80" t="s">
        <v>428</v>
      </c>
      <c r="B57" s="80">
        <v>432</v>
      </c>
      <c r="C57" s="97" t="s">
        <v>434</v>
      </c>
      <c r="D57" s="94"/>
      <c r="E57" s="177">
        <f t="shared" si="0"/>
        <v>0</v>
      </c>
      <c r="F57" s="94">
        <v>0</v>
      </c>
      <c r="G57" s="177">
        <f t="shared" si="0"/>
        <v>0</v>
      </c>
      <c r="H57" s="94">
        <f t="shared" si="1"/>
        <v>0</v>
      </c>
      <c r="I57" s="177" t="e">
        <f t="shared" si="2"/>
        <v>#DIV/0!</v>
      </c>
      <c r="J57" s="94"/>
      <c r="K57" s="177">
        <f t="shared" si="3"/>
        <v>0</v>
      </c>
      <c r="L57" s="94">
        <f t="shared" si="4"/>
        <v>0</v>
      </c>
      <c r="M57" s="177" t="e">
        <f t="shared" si="5"/>
        <v>#DIV/0!</v>
      </c>
      <c r="O57" s="81"/>
      <c r="CA57" s="147"/>
      <c r="CB57" s="147"/>
      <c r="CC57" s="146"/>
      <c r="CD57" s="146"/>
      <c r="CE57" s="146"/>
      <c r="CF57" s="143"/>
    </row>
    <row r="58" spans="1:84" ht="13.5" customHeight="1" thickTop="1" thickBot="1">
      <c r="B58" s="80">
        <v>44</v>
      </c>
      <c r="C58" s="169" t="s">
        <v>281</v>
      </c>
      <c r="D58" s="168">
        <v>6905142.96</v>
      </c>
      <c r="E58" s="179">
        <f t="shared" si="0"/>
        <v>0.19638324386716471</v>
      </c>
      <c r="F58" s="168">
        <v>4538299.9809999997</v>
      </c>
      <c r="G58" s="179">
        <f t="shared" si="0"/>
        <v>0.12906989429094631</v>
      </c>
      <c r="H58" s="168">
        <f t="shared" si="1"/>
        <v>2366842.9790000003</v>
      </c>
      <c r="I58" s="179">
        <f t="shared" si="2"/>
        <v>52.152634001917022</v>
      </c>
      <c r="J58" s="168">
        <v>3468921.55</v>
      </c>
      <c r="K58" s="179">
        <f t="shared" si="3"/>
        <v>0.10398757606642885</v>
      </c>
      <c r="L58" s="168">
        <f t="shared" si="4"/>
        <v>3436221.41</v>
      </c>
      <c r="M58" s="179">
        <f t="shared" si="5"/>
        <v>99.057339881324225</v>
      </c>
      <c r="O58" s="81"/>
      <c r="CA58" s="147"/>
      <c r="CB58" s="147"/>
      <c r="CC58" s="146"/>
      <c r="CD58" s="146"/>
      <c r="CE58" s="146"/>
      <c r="CF58" s="143"/>
    </row>
    <row r="59" spans="1:84" ht="13.5" customHeight="1" thickTop="1">
      <c r="B59" s="80">
        <v>451</v>
      </c>
      <c r="C59" s="93" t="s">
        <v>111</v>
      </c>
      <c r="D59" s="155">
        <v>685199.75</v>
      </c>
      <c r="E59" s="156">
        <f t="shared" si="0"/>
        <v>1.9487177945693147E-2</v>
      </c>
      <c r="F59" s="155">
        <v>369401.05800000002</v>
      </c>
      <c r="G59" s="156">
        <f t="shared" si="0"/>
        <v>1.0505818413642613E-2</v>
      </c>
      <c r="H59" s="250">
        <f t="shared" si="1"/>
        <v>315798.69199999998</v>
      </c>
      <c r="I59" s="251">
        <f t="shared" si="2"/>
        <v>85.48938481924975</v>
      </c>
      <c r="J59" s="155">
        <v>362157.9</v>
      </c>
      <c r="K59" s="156">
        <f t="shared" si="3"/>
        <v>1.0856377589256273E-2</v>
      </c>
      <c r="L59" s="250">
        <f t="shared" si="4"/>
        <v>323041.84999999998</v>
      </c>
      <c r="M59" s="251">
        <f t="shared" si="5"/>
        <v>89.199172515634729</v>
      </c>
      <c r="O59" s="81"/>
      <c r="CA59" s="147"/>
      <c r="CB59" s="147"/>
      <c r="CC59" s="146"/>
      <c r="CD59" s="146"/>
      <c r="CE59" s="146"/>
      <c r="CF59" s="143"/>
    </row>
    <row r="60" spans="1:84" ht="13.5" customHeight="1" thickBot="1">
      <c r="B60" s="80">
        <v>47</v>
      </c>
      <c r="C60" s="93" t="s">
        <v>118</v>
      </c>
      <c r="D60" s="149">
        <v>342536.5</v>
      </c>
      <c r="E60" s="159">
        <f t="shared" si="0"/>
        <v>9.7417865788697704E-3</v>
      </c>
      <c r="F60" s="149">
        <v>427639.12079999998</v>
      </c>
      <c r="G60" s="159">
        <f t="shared" si="0"/>
        <v>1.2162117168853853E-2</v>
      </c>
      <c r="H60" s="252">
        <f t="shared" si="1"/>
        <v>-85102.620799999975</v>
      </c>
      <c r="I60" s="253">
        <f t="shared" si="2"/>
        <v>-19.900569583249407</v>
      </c>
      <c r="J60" s="149">
        <v>419254.04</v>
      </c>
      <c r="K60" s="159">
        <f t="shared" si="3"/>
        <v>1.2567943883209929E-2</v>
      </c>
      <c r="L60" s="252">
        <f t="shared" si="4"/>
        <v>-76717.539999999979</v>
      </c>
      <c r="M60" s="253">
        <f t="shared" si="5"/>
        <v>-18.298580974914387</v>
      </c>
      <c r="O60" s="81"/>
      <c r="CA60" s="147"/>
      <c r="CB60" s="147"/>
      <c r="CC60" s="146"/>
      <c r="CD60" s="146"/>
      <c r="CE60" s="146"/>
      <c r="CF60" s="143"/>
    </row>
    <row r="61" spans="1:84" ht="13.5" hidden="1" customHeight="1" thickTop="1" thickBot="1">
      <c r="B61" s="80">
        <v>462</v>
      </c>
      <c r="C61" s="223" t="s">
        <v>113</v>
      </c>
      <c r="D61" s="160"/>
      <c r="E61" s="175">
        <f t="shared" si="0"/>
        <v>0</v>
      </c>
      <c r="F61" s="160"/>
      <c r="G61" s="175">
        <f t="shared" si="0"/>
        <v>0</v>
      </c>
      <c r="H61" s="254">
        <f t="shared" si="1"/>
        <v>0</v>
      </c>
      <c r="I61" s="255" t="e">
        <f t="shared" si="2"/>
        <v>#DIV/0!</v>
      </c>
      <c r="J61" s="160"/>
      <c r="K61" s="175">
        <f t="shared" si="3"/>
        <v>0</v>
      </c>
      <c r="L61" s="254">
        <f t="shared" si="4"/>
        <v>0</v>
      </c>
      <c r="M61" s="255" t="e">
        <f t="shared" si="5"/>
        <v>#DIV/0!</v>
      </c>
      <c r="O61" s="81"/>
      <c r="CA61" s="147"/>
      <c r="CB61" s="147"/>
      <c r="CC61" s="146"/>
      <c r="CD61" s="146"/>
      <c r="CE61" s="146"/>
      <c r="CF61" s="143"/>
    </row>
    <row r="62" spans="1:84" ht="13.5" hidden="1" customHeight="1" thickTop="1" thickBot="1">
      <c r="B62" s="80">
        <v>990</v>
      </c>
      <c r="C62" s="224" t="s">
        <v>152</v>
      </c>
      <c r="D62" s="157"/>
      <c r="E62" s="158">
        <f t="shared" si="0"/>
        <v>0</v>
      </c>
      <c r="F62" s="157"/>
      <c r="G62" s="158">
        <f t="shared" si="0"/>
        <v>0</v>
      </c>
      <c r="H62" s="256">
        <f t="shared" si="1"/>
        <v>0</v>
      </c>
      <c r="I62" s="257" t="e">
        <f t="shared" si="2"/>
        <v>#DIV/0!</v>
      </c>
      <c r="J62" s="157"/>
      <c r="K62" s="158">
        <f t="shared" si="3"/>
        <v>0</v>
      </c>
      <c r="L62" s="256">
        <f t="shared" si="4"/>
        <v>0</v>
      </c>
      <c r="M62" s="257" t="e">
        <f t="shared" si="5"/>
        <v>#DIV/0!</v>
      </c>
      <c r="O62" s="81"/>
      <c r="CA62" s="147"/>
      <c r="CB62" s="147"/>
      <c r="CC62" s="146"/>
      <c r="CD62" s="146"/>
      <c r="CE62" s="146"/>
      <c r="CF62" s="143"/>
    </row>
    <row r="63" spans="1:84" ht="13.5" customHeight="1" thickTop="1" thickBot="1">
      <c r="C63" s="169" t="s">
        <v>132</v>
      </c>
      <c r="D63" s="168">
        <f>+D16-D40+D75</f>
        <v>20559855.529999997</v>
      </c>
      <c r="E63" s="179">
        <f t="shared" si="0"/>
        <v>0.58472520349117652</v>
      </c>
      <c r="F63" s="168">
        <f>+F16-F40+F75</f>
        <v>19871201.701999996</v>
      </c>
      <c r="G63" s="179">
        <f t="shared" si="0"/>
        <v>0.56513979107790757</v>
      </c>
      <c r="H63" s="168">
        <f t="shared" si="1"/>
        <v>688653.82800000161</v>
      </c>
      <c r="I63" s="179">
        <f t="shared" si="2"/>
        <v>3.4655872268192383</v>
      </c>
      <c r="J63" s="168">
        <f>+J16-J40+J75</f>
        <v>18756080.099999998</v>
      </c>
      <c r="K63" s="179">
        <f t="shared" si="3"/>
        <v>0.56224947090740129</v>
      </c>
      <c r="L63" s="168">
        <f t="shared" si="4"/>
        <v>1803775.4299999997</v>
      </c>
      <c r="M63" s="179">
        <f t="shared" si="5"/>
        <v>9.6170170972985005</v>
      </c>
      <c r="O63" s="81"/>
      <c r="CA63" s="147"/>
      <c r="CB63" s="147"/>
      <c r="CC63" s="146"/>
      <c r="CD63" s="146"/>
      <c r="CE63" s="146"/>
      <c r="CF63" s="143"/>
    </row>
    <row r="64" spans="1:84" ht="13.5" customHeight="1" thickTop="1" thickBot="1">
      <c r="C64" s="169" t="s">
        <v>133</v>
      </c>
      <c r="D64" s="168">
        <f>+D63+D48</f>
        <v>21402093.129999999</v>
      </c>
      <c r="E64" s="179">
        <f t="shared" si="0"/>
        <v>0.60867856013462762</v>
      </c>
      <c r="F64" s="168">
        <f>+F63+F48</f>
        <v>20549991.985399995</v>
      </c>
      <c r="G64" s="179">
        <f t="shared" si="0"/>
        <v>0.58444468288562235</v>
      </c>
      <c r="H64" s="168">
        <f t="shared" si="1"/>
        <v>852101.14460000396</v>
      </c>
      <c r="I64" s="179">
        <f t="shared" si="2"/>
        <v>4.1464792064414837</v>
      </c>
      <c r="J64" s="168">
        <f>+J63+J48</f>
        <v>19421560.77</v>
      </c>
      <c r="K64" s="179">
        <f t="shared" si="3"/>
        <v>0.58219853023172152</v>
      </c>
      <c r="L64" s="168">
        <f t="shared" si="4"/>
        <v>1980532.3599999994</v>
      </c>
      <c r="M64" s="179">
        <f t="shared" si="5"/>
        <v>10.197596287211269</v>
      </c>
      <c r="O64" s="81"/>
      <c r="CA64" s="147"/>
      <c r="CB64" s="147"/>
      <c r="CC64" s="146"/>
      <c r="CD64" s="146"/>
      <c r="CE64" s="146"/>
      <c r="CF64" s="143"/>
    </row>
    <row r="65" spans="2:84" ht="13.5" customHeight="1" thickTop="1" thickBot="1">
      <c r="C65" s="169" t="s">
        <v>0</v>
      </c>
      <c r="D65" s="168">
        <f>+SUM(D66:D68)</f>
        <v>10525732.720000001</v>
      </c>
      <c r="E65" s="179">
        <f t="shared" si="0"/>
        <v>0.29935332948303728</v>
      </c>
      <c r="F65" s="168">
        <f>+SUM(F66:F68)</f>
        <v>12954266.158199999</v>
      </c>
      <c r="G65" s="179">
        <f t="shared" si="0"/>
        <v>0.36842116445710049</v>
      </c>
      <c r="H65" s="168">
        <f t="shared" si="1"/>
        <v>-2428533.4381999988</v>
      </c>
      <c r="I65" s="179">
        <f t="shared" si="2"/>
        <v>-18.746978088471238</v>
      </c>
      <c r="J65" s="168">
        <f>+SUM(J66:J68)</f>
        <v>15641437.410000002</v>
      </c>
      <c r="K65" s="179">
        <f t="shared" si="3"/>
        <v>0.46888208309601614</v>
      </c>
      <c r="L65" s="168">
        <f t="shared" si="4"/>
        <v>-5115704.6900000013</v>
      </c>
      <c r="M65" s="179">
        <f t="shared" si="5"/>
        <v>-32.706103383627578</v>
      </c>
      <c r="O65" s="81"/>
      <c r="CA65" s="147"/>
      <c r="CB65" s="147"/>
      <c r="CC65" s="146"/>
      <c r="CD65" s="146"/>
      <c r="CE65" s="146"/>
      <c r="CF65" s="143"/>
    </row>
    <row r="66" spans="2:84" ht="13.5" customHeight="1" thickTop="1">
      <c r="B66" s="80">
        <v>4611</v>
      </c>
      <c r="C66" s="97" t="s">
        <v>135</v>
      </c>
      <c r="D66" s="269">
        <v>1452628.22</v>
      </c>
      <c r="E66" s="161">
        <f t="shared" si="0"/>
        <v>4.1312952335542295E-2</v>
      </c>
      <c r="F66" s="269">
        <v>1689922.8318</v>
      </c>
      <c r="G66" s="161">
        <f t="shared" si="0"/>
        <v>4.8061644706928565E-2</v>
      </c>
      <c r="H66" s="258">
        <f t="shared" si="1"/>
        <v>-237294.61180000007</v>
      </c>
      <c r="I66" s="259">
        <f t="shared" si="2"/>
        <v>-14.041742459165945</v>
      </c>
      <c r="J66" s="269">
        <v>1656787.09</v>
      </c>
      <c r="K66" s="161">
        <f t="shared" si="3"/>
        <v>4.9665370364819092E-2</v>
      </c>
      <c r="L66" s="258">
        <f t="shared" si="4"/>
        <v>-204158.87000000011</v>
      </c>
      <c r="M66" s="259">
        <f t="shared" si="5"/>
        <v>-12.322577308349267</v>
      </c>
      <c r="O66" s="81"/>
      <c r="CA66" s="147"/>
      <c r="CB66" s="147"/>
      <c r="CC66" s="146"/>
      <c r="CD66" s="146"/>
      <c r="CE66" s="146"/>
      <c r="CF66" s="143"/>
    </row>
    <row r="67" spans="2:84" ht="13.5" customHeight="1">
      <c r="B67" s="80">
        <v>4612</v>
      </c>
      <c r="C67" s="97" t="s">
        <v>137</v>
      </c>
      <c r="D67" s="268">
        <v>711176.63</v>
      </c>
      <c r="E67" s="154">
        <f t="shared" si="0"/>
        <v>2.0225964092410099E-2</v>
      </c>
      <c r="F67" s="268">
        <v>772728.84600000002</v>
      </c>
      <c r="G67" s="154">
        <f t="shared" si="0"/>
        <v>2.1976517834065349E-2</v>
      </c>
      <c r="H67" s="244">
        <f t="shared" si="1"/>
        <v>-61552.216000000015</v>
      </c>
      <c r="I67" s="245">
        <f t="shared" si="2"/>
        <v>-7.9655646762279702</v>
      </c>
      <c r="J67" s="268">
        <v>757577.3</v>
      </c>
      <c r="K67" s="154">
        <f t="shared" si="3"/>
        <v>2.2709832429029648E-2</v>
      </c>
      <c r="L67" s="244">
        <f t="shared" si="4"/>
        <v>-46400.670000000042</v>
      </c>
      <c r="M67" s="245">
        <f t="shared" si="5"/>
        <v>-6.1248759697525372</v>
      </c>
      <c r="O67" s="81"/>
      <c r="CA67" s="147"/>
      <c r="CB67" s="147"/>
      <c r="CC67" s="146"/>
      <c r="CD67" s="146"/>
      <c r="CE67" s="146"/>
      <c r="CF67" s="143"/>
    </row>
    <row r="68" spans="2:84" ht="13.5" customHeight="1" thickBot="1">
      <c r="B68" s="80">
        <v>4630</v>
      </c>
      <c r="C68" s="97" t="s">
        <v>116</v>
      </c>
      <c r="D68" s="268">
        <v>8361927.8700000001</v>
      </c>
      <c r="E68" s="154">
        <f t="shared" si="0"/>
        <v>0.23781441305508488</v>
      </c>
      <c r="F68" s="268">
        <v>10491614.4804</v>
      </c>
      <c r="G68" s="154">
        <f t="shared" si="0"/>
        <v>0.29838300191610656</v>
      </c>
      <c r="H68" s="244">
        <f t="shared" si="1"/>
        <v>-2129686.6103999997</v>
      </c>
      <c r="I68" s="245">
        <f t="shared" si="2"/>
        <v>-20.298940781503092</v>
      </c>
      <c r="J68" s="268">
        <v>13227073.020000001</v>
      </c>
      <c r="K68" s="154">
        <f t="shared" si="3"/>
        <v>0.39650688030216741</v>
      </c>
      <c r="L68" s="244">
        <f t="shared" si="4"/>
        <v>-4865145.1500000013</v>
      </c>
      <c r="M68" s="245">
        <f t="shared" si="5"/>
        <v>-36.781721418212911</v>
      </c>
      <c r="O68" s="81"/>
      <c r="CA68" s="147"/>
      <c r="CB68" s="147"/>
      <c r="CC68" s="146"/>
      <c r="CD68" s="146"/>
      <c r="CE68" s="146"/>
      <c r="CF68" s="143"/>
    </row>
    <row r="69" spans="2:84" ht="13.5" customHeight="1" thickTop="1" thickBot="1">
      <c r="C69" s="169" t="s">
        <v>141</v>
      </c>
      <c r="D69" s="168">
        <f>+D63-D65</f>
        <v>10034122.809999997</v>
      </c>
      <c r="E69" s="179">
        <f t="shared" si="0"/>
        <v>0.28537187400813924</v>
      </c>
      <c r="F69" s="168">
        <f>+F63-F65</f>
        <v>6916935.5437999964</v>
      </c>
      <c r="G69" s="179">
        <f t="shared" si="0"/>
        <v>0.19671862662080705</v>
      </c>
      <c r="H69" s="168">
        <f t="shared" si="1"/>
        <v>3117187.2662000004</v>
      </c>
      <c r="I69" s="179">
        <f t="shared" si="2"/>
        <v>45.06601581670219</v>
      </c>
      <c r="J69" s="168">
        <f>+J63-J65</f>
        <v>3114642.6899999958</v>
      </c>
      <c r="K69" s="179">
        <f t="shared" si="3"/>
        <v>9.3367387811385108E-2</v>
      </c>
      <c r="L69" s="168">
        <f t="shared" si="4"/>
        <v>6919480.120000001</v>
      </c>
      <c r="M69" s="179">
        <f t="shared" si="5"/>
        <v>222.15967636403298</v>
      </c>
      <c r="O69" s="81"/>
      <c r="CA69" s="147"/>
      <c r="CB69" s="147"/>
      <c r="CC69" s="146"/>
      <c r="CD69" s="146"/>
      <c r="CE69" s="146"/>
      <c r="CF69" s="143"/>
    </row>
    <row r="70" spans="2:84" ht="13.5" customHeight="1" thickTop="1" thickBot="1">
      <c r="C70" s="169" t="s">
        <v>121</v>
      </c>
      <c r="D70" s="168">
        <f>+SUM(D71:D74)</f>
        <v>-10034122.809999997</v>
      </c>
      <c r="E70" s="179">
        <f t="shared" si="0"/>
        <v>-0.28537187400813924</v>
      </c>
      <c r="F70" s="168">
        <f>+SUM(F71:F74)</f>
        <v>-6916935.5437999964</v>
      </c>
      <c r="G70" s="179">
        <f t="shared" si="0"/>
        <v>-0.19671862662080705</v>
      </c>
      <c r="H70" s="168">
        <f t="shared" si="1"/>
        <v>-3117187.2662000004</v>
      </c>
      <c r="I70" s="179">
        <f t="shared" si="2"/>
        <v>45.06601581670219</v>
      </c>
      <c r="J70" s="168">
        <f>+SUM(J71:J74)</f>
        <v>-3114642.6899999958</v>
      </c>
      <c r="K70" s="179">
        <f t="shared" si="3"/>
        <v>-9.3367387811385108E-2</v>
      </c>
      <c r="L70" s="168">
        <f t="shared" si="4"/>
        <v>-6919480.120000001</v>
      </c>
      <c r="M70" s="179">
        <f t="shared" si="5"/>
        <v>222.15967636403298</v>
      </c>
      <c r="O70" s="81"/>
      <c r="CA70" s="147"/>
      <c r="CB70" s="147"/>
      <c r="CC70" s="146"/>
      <c r="CD70" s="146"/>
      <c r="CE70" s="146"/>
      <c r="CF70" s="143"/>
    </row>
    <row r="71" spans="2:84" ht="13.5" customHeight="1" thickTop="1">
      <c r="B71" s="80">
        <v>7511</v>
      </c>
      <c r="C71" s="97" t="s">
        <v>144</v>
      </c>
      <c r="D71" s="269">
        <v>583401.93000000005</v>
      </c>
      <c r="E71" s="161">
        <f t="shared" si="0"/>
        <v>1.6592033525655577E-2</v>
      </c>
      <c r="F71" s="269">
        <v>1131447.801</v>
      </c>
      <c r="G71" s="161">
        <f t="shared" si="0"/>
        <v>3.2178535725312526E-2</v>
      </c>
      <c r="H71" s="258">
        <f t="shared" si="1"/>
        <v>-548045.87099999993</v>
      </c>
      <c r="I71" s="259">
        <f t="shared" si="2"/>
        <v>-48.437574452451472</v>
      </c>
      <c r="J71" s="269">
        <v>1109262.55</v>
      </c>
      <c r="K71" s="161">
        <f t="shared" si="3"/>
        <v>3.3252272250367219E-2</v>
      </c>
      <c r="L71" s="258">
        <f t="shared" si="4"/>
        <v>-525860.62</v>
      </c>
      <c r="M71" s="259">
        <f t="shared" si="5"/>
        <v>-47.406325941500505</v>
      </c>
      <c r="O71" s="81"/>
      <c r="CA71" s="147"/>
      <c r="CB71" s="147"/>
      <c r="CC71" s="146"/>
      <c r="CD71" s="146"/>
      <c r="CE71" s="146"/>
      <c r="CF71" s="143"/>
    </row>
    <row r="72" spans="2:84" ht="13.5" customHeight="1">
      <c r="B72" s="80">
        <v>7512</v>
      </c>
      <c r="C72" s="97" t="s">
        <v>122</v>
      </c>
      <c r="D72" s="268">
        <v>0</v>
      </c>
      <c r="E72" s="154">
        <f t="shared" si="0"/>
        <v>0</v>
      </c>
      <c r="F72" s="268">
        <v>399283.47779999999</v>
      </c>
      <c r="G72" s="154">
        <f t="shared" si="0"/>
        <v>1.1355678665475023E-2</v>
      </c>
      <c r="H72" s="244">
        <f t="shared" si="1"/>
        <v>-399283.47779999999</v>
      </c>
      <c r="I72" s="271" t="s">
        <v>453</v>
      </c>
      <c r="J72" s="268">
        <v>391454.39</v>
      </c>
      <c r="K72" s="154">
        <f t="shared" si="3"/>
        <v>1.1734596061033005E-2</v>
      </c>
      <c r="L72" s="244">
        <f t="shared" si="4"/>
        <v>-391454.39</v>
      </c>
      <c r="M72" s="271" t="s">
        <v>453</v>
      </c>
      <c r="O72" s="81"/>
      <c r="CA72" s="147"/>
      <c r="CB72" s="147"/>
      <c r="CC72" s="146"/>
      <c r="CD72" s="146"/>
      <c r="CE72" s="146"/>
      <c r="CF72" s="143"/>
    </row>
    <row r="73" spans="2:84" ht="13.5" customHeight="1" thickBot="1">
      <c r="B73" s="80">
        <v>72</v>
      </c>
      <c r="C73" s="104" t="s">
        <v>329</v>
      </c>
      <c r="D73" s="268">
        <v>247017.56</v>
      </c>
      <c r="E73" s="154">
        <f t="shared" si="0"/>
        <v>7.0252143954094171E-3</v>
      </c>
      <c r="F73" s="268">
        <v>3646309.5558000002</v>
      </c>
      <c r="G73" s="154">
        <f t="shared" si="0"/>
        <v>0.10370156025152659</v>
      </c>
      <c r="H73" s="244">
        <f t="shared" si="1"/>
        <v>-3399291.9958000001</v>
      </c>
      <c r="I73" s="245">
        <f t="shared" si="2"/>
        <v>-93.225546097503383</v>
      </c>
      <c r="J73" s="268">
        <v>3574813.29</v>
      </c>
      <c r="K73" s="154">
        <f t="shared" si="3"/>
        <v>0.10716188404928206</v>
      </c>
      <c r="L73" s="244">
        <f t="shared" si="4"/>
        <v>-3327795.73</v>
      </c>
      <c r="M73" s="245">
        <f t="shared" si="5"/>
        <v>-93.090057019453454</v>
      </c>
      <c r="O73" s="81"/>
      <c r="CA73" s="147"/>
      <c r="CB73" s="147"/>
      <c r="CC73" s="146"/>
      <c r="CD73" s="146"/>
      <c r="CE73" s="146"/>
      <c r="CF73" s="143"/>
    </row>
    <row r="74" spans="2:84" ht="13.5" customHeight="1" thickTop="1" thickBot="1">
      <c r="C74" s="163" t="s">
        <v>125</v>
      </c>
      <c r="D74" s="164">
        <f>-D69-SUM(D71:D73)</f>
        <v>-10864542.299999997</v>
      </c>
      <c r="E74" s="180">
        <f t="shared" si="0"/>
        <v>-0.30898912192920425</v>
      </c>
      <c r="F74" s="164">
        <f>-F69-SUM(F71:F73)</f>
        <v>-12093976.378399996</v>
      </c>
      <c r="G74" s="180">
        <f t="shared" si="0"/>
        <v>-0.34395440126312116</v>
      </c>
      <c r="H74" s="260">
        <f t="shared" si="1"/>
        <v>1229434.0783999991</v>
      </c>
      <c r="I74" s="241">
        <f t="shared" si="2"/>
        <v>-10.165672893125404</v>
      </c>
      <c r="J74" s="164">
        <f>-J69-SUM(J71:J73)</f>
        <v>-8190172.9199999962</v>
      </c>
      <c r="K74" s="180">
        <f t="shared" si="3"/>
        <v>-0.24551614017206741</v>
      </c>
      <c r="L74" s="260">
        <f t="shared" si="4"/>
        <v>-2674369.3800000008</v>
      </c>
      <c r="M74" s="241">
        <f t="shared" si="5"/>
        <v>32.653393354727882</v>
      </c>
      <c r="O74" s="81"/>
      <c r="CA74" s="147"/>
      <c r="CB74" s="147"/>
      <c r="CC74" s="146"/>
      <c r="CD74" s="146"/>
      <c r="CE74" s="146"/>
      <c r="CF74" s="143"/>
    </row>
    <row r="75" spans="2:84" ht="13.5" customHeight="1" thickTop="1" thickBot="1">
      <c r="B75" s="80">
        <v>999</v>
      </c>
      <c r="C75" s="169" t="s">
        <v>437</v>
      </c>
      <c r="D75" s="270">
        <v>325628.77</v>
      </c>
      <c r="E75" s="179">
        <f t="shared" si="0"/>
        <v>9.260928342760176E-3</v>
      </c>
      <c r="F75" s="270">
        <v>246309.15119999999</v>
      </c>
      <c r="G75" s="179">
        <f t="shared" si="0"/>
        <v>7.0050671487942584E-3</v>
      </c>
      <c r="H75" s="168">
        <f t="shared" si="1"/>
        <v>79319.618800000026</v>
      </c>
      <c r="I75" s="179">
        <f t="shared" si="2"/>
        <v>32.203277228458916</v>
      </c>
      <c r="J75" s="270">
        <v>241479.56</v>
      </c>
      <c r="K75" s="179">
        <f t="shared" si="3"/>
        <v>7.238812914056177E-3</v>
      </c>
      <c r="L75" s="168">
        <f t="shared" si="4"/>
        <v>84149.210000000021</v>
      </c>
      <c r="M75" s="179">
        <f t="shared" si="5"/>
        <v>34.847342773028089</v>
      </c>
      <c r="O75" s="81"/>
      <c r="P75" s="322">
        <f>+F75-J75</f>
        <v>4829.5911999999953</v>
      </c>
      <c r="CA75" s="147"/>
      <c r="CB75" s="147"/>
      <c r="CC75" s="146"/>
      <c r="CD75" s="146"/>
      <c r="CE75" s="146"/>
      <c r="CF75" s="143"/>
    </row>
    <row r="76" spans="2:84" ht="13.5" thickTop="1">
      <c r="C76" s="107" t="str">
        <f>IF(MasterSheet!$A$1=1,MasterSheet!C151,MasterSheet!B151)</f>
        <v>Izvor: Ministarstvo finansija Crne Gore</v>
      </c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O76" s="81"/>
    </row>
    <row r="77" spans="2:84"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O77" s="81"/>
    </row>
    <row r="78" spans="2:84">
      <c r="D78" s="134"/>
      <c r="E78" s="135"/>
      <c r="F78" s="135"/>
      <c r="G78" s="135"/>
      <c r="H78" s="135"/>
      <c r="I78" s="135"/>
      <c r="J78" s="135"/>
      <c r="K78" s="135"/>
      <c r="L78" s="135"/>
      <c r="M78" s="135"/>
    </row>
    <row r="79" spans="2:84">
      <c r="D79" s="134"/>
      <c r="E79" s="135"/>
      <c r="F79" s="135"/>
      <c r="G79" s="135"/>
      <c r="H79" s="135"/>
      <c r="I79" s="135"/>
      <c r="J79" s="135"/>
      <c r="K79" s="135"/>
      <c r="L79" s="135"/>
      <c r="M79" s="135"/>
    </row>
    <row r="80" spans="2:84"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</row>
    <row r="81" spans="5:13">
      <c r="E81" s="135"/>
      <c r="F81" s="135"/>
      <c r="G81" s="135"/>
      <c r="H81" s="135"/>
      <c r="I81" s="135"/>
      <c r="J81" s="135"/>
      <c r="K81" s="135"/>
      <c r="L81" s="135"/>
      <c r="M81" s="135"/>
    </row>
    <row r="82" spans="5:13">
      <c r="E82" s="135"/>
      <c r="F82" s="135"/>
      <c r="G82" s="135"/>
      <c r="H82" s="135"/>
      <c r="I82" s="135"/>
      <c r="J82" s="135"/>
      <c r="K82" s="135"/>
      <c r="L82" s="135"/>
      <c r="M82" s="135"/>
    </row>
    <row r="83" spans="5:13">
      <c r="E83" s="135"/>
      <c r="F83" s="135"/>
      <c r="G83" s="135"/>
      <c r="H83" s="135"/>
      <c r="I83" s="135"/>
      <c r="J83" s="135"/>
      <c r="K83" s="135"/>
      <c r="L83" s="135"/>
      <c r="M83" s="135"/>
    </row>
    <row r="84" spans="5:13">
      <c r="E84" s="135"/>
      <c r="F84" s="135"/>
      <c r="G84" s="135"/>
      <c r="H84" s="135"/>
      <c r="I84" s="135"/>
      <c r="J84" s="135"/>
      <c r="K84" s="135"/>
      <c r="L84" s="135"/>
      <c r="M84" s="135"/>
    </row>
    <row r="85" spans="5:13">
      <c r="E85" s="135"/>
      <c r="F85" s="135"/>
      <c r="G85" s="135"/>
      <c r="H85" s="135"/>
      <c r="I85" s="135"/>
      <c r="J85" s="135"/>
      <c r="K85" s="135"/>
      <c r="L85" s="135"/>
      <c r="M85" s="135"/>
    </row>
    <row r="86" spans="5:13">
      <c r="E86" s="135"/>
      <c r="F86" s="135"/>
      <c r="G86" s="135"/>
      <c r="H86" s="135"/>
      <c r="I86" s="135"/>
      <c r="J86" s="135"/>
      <c r="K86" s="135"/>
      <c r="L86" s="135"/>
      <c r="M86" s="135"/>
    </row>
    <row r="87" spans="5:13">
      <c r="E87" s="135"/>
      <c r="F87" s="135"/>
      <c r="G87" s="135"/>
      <c r="H87" s="135"/>
      <c r="I87" s="135"/>
      <c r="J87" s="135"/>
      <c r="K87" s="135"/>
      <c r="L87" s="135"/>
      <c r="M87" s="135"/>
    </row>
    <row r="88" spans="5:13">
      <c r="E88" s="135"/>
      <c r="F88" s="135"/>
      <c r="G88" s="135"/>
      <c r="H88" s="135"/>
      <c r="I88" s="135"/>
      <c r="J88" s="135"/>
      <c r="K88" s="135"/>
      <c r="L88" s="135"/>
      <c r="M88" s="135"/>
    </row>
    <row r="89" spans="5:13">
      <c r="E89" s="135"/>
      <c r="F89" s="135"/>
      <c r="G89" s="135"/>
      <c r="H89" s="135"/>
      <c r="I89" s="135"/>
      <c r="J89" s="135"/>
      <c r="K89" s="135"/>
      <c r="L89" s="135"/>
      <c r="M89" s="135"/>
    </row>
    <row r="90" spans="5:13">
      <c r="E90" s="135"/>
      <c r="F90" s="135"/>
      <c r="G90" s="135"/>
      <c r="H90" s="135"/>
      <c r="I90" s="135"/>
      <c r="J90" s="135"/>
      <c r="K90" s="135"/>
      <c r="L90" s="135"/>
      <c r="M90" s="135"/>
    </row>
    <row r="91" spans="5:13">
      <c r="E91" s="135"/>
      <c r="F91" s="135"/>
      <c r="G91" s="135"/>
      <c r="H91" s="135"/>
      <c r="I91" s="135"/>
      <c r="J91" s="135"/>
      <c r="K91" s="135"/>
      <c r="L91" s="135"/>
      <c r="M91" s="135"/>
    </row>
    <row r="92" spans="5:13">
      <c r="E92" s="135"/>
      <c r="F92" s="135"/>
      <c r="G92" s="135"/>
      <c r="H92" s="135"/>
      <c r="I92" s="135"/>
      <c r="J92" s="135"/>
      <c r="K92" s="135"/>
      <c r="L92" s="135"/>
      <c r="M92" s="135"/>
    </row>
  </sheetData>
  <sheetProtection formatCells="0" formatColumns="0" formatRows="0" sort="0" autoFilter="0"/>
  <mergeCells count="10">
    <mergeCell ref="C14:C15"/>
    <mergeCell ref="D14:E14"/>
    <mergeCell ref="F14:G14"/>
    <mergeCell ref="H14:I14"/>
    <mergeCell ref="J14:K14"/>
    <mergeCell ref="L14:M14"/>
    <mergeCell ref="H11:I11"/>
    <mergeCell ref="J11:K11"/>
    <mergeCell ref="L11:M11"/>
    <mergeCell ref="D11:G11"/>
  </mergeCells>
  <printOptions horizontalCentered="1" verticalCentered="1"/>
  <pageMargins left="0" right="0" top="0.19685039370078741" bottom="0.19685039370078741" header="0" footer="0"/>
  <pageSetup paperSize="9" scale="1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CI91"/>
  <sheetViews>
    <sheetView topLeftCell="A43" zoomScale="70" zoomScaleNormal="70" workbookViewId="0">
      <selection activeCell="J91" sqref="J91"/>
    </sheetView>
  </sheetViews>
  <sheetFormatPr defaultColWidth="9.140625" defaultRowHeight="12.75"/>
  <cols>
    <col min="1" max="2" width="9.140625" style="80" customWidth="1"/>
    <col min="3" max="3" width="55.85546875" style="80" bestFit="1" customWidth="1"/>
    <col min="4" max="4" width="16.140625" style="80" customWidth="1"/>
    <col min="5" max="5" width="6.85546875" style="80" customWidth="1"/>
    <col min="6" max="6" width="15.28515625" style="80" customWidth="1"/>
    <col min="7" max="7" width="6.85546875" style="80" customWidth="1"/>
    <col min="8" max="8" width="7.5703125" style="80" customWidth="1"/>
    <col min="9" max="9" width="6.85546875" style="80" customWidth="1"/>
    <col min="10" max="10" width="14.7109375" style="80" customWidth="1"/>
    <col min="11" max="11" width="6.85546875" style="80" customWidth="1"/>
    <col min="12" max="12" width="7.5703125" style="80" customWidth="1"/>
    <col min="13" max="13" width="6.85546875" style="80" customWidth="1"/>
    <col min="14" max="14" width="15" style="80" customWidth="1"/>
    <col min="15" max="79" width="9.140625" style="80" customWidth="1"/>
    <col min="80" max="80" width="9.140625" style="80"/>
    <col min="81" max="81" width="15.42578125" style="80" customWidth="1"/>
    <col min="82" max="82" width="12.7109375" style="80" customWidth="1"/>
    <col min="83" max="83" width="11.85546875" style="80" customWidth="1"/>
    <col min="84" max="16384" width="9.140625" style="80"/>
  </cols>
  <sheetData>
    <row r="1" spans="2:79" s="136" customFormat="1" ht="15" customHeight="1">
      <c r="C1" s="133"/>
      <c r="D1" s="109">
        <v>3</v>
      </c>
      <c r="E1" s="109">
        <v>4</v>
      </c>
      <c r="F1" s="109">
        <v>5</v>
      </c>
      <c r="G1" s="109">
        <v>6</v>
      </c>
      <c r="H1" s="109">
        <v>7</v>
      </c>
      <c r="I1" s="109">
        <v>8</v>
      </c>
      <c r="J1" s="109">
        <v>9</v>
      </c>
      <c r="K1" s="109">
        <v>10</v>
      </c>
      <c r="L1" s="109">
        <v>11</v>
      </c>
      <c r="M1" s="109">
        <v>12</v>
      </c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</row>
    <row r="2" spans="2:79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</row>
    <row r="3" spans="2:79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</row>
    <row r="4" spans="2:79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</row>
    <row r="5" spans="2:79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</row>
    <row r="6" spans="2:79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</row>
    <row r="7" spans="2:79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</row>
    <row r="8" spans="2:79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</row>
    <row r="9" spans="2:79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</row>
    <row r="10" spans="2:79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</row>
    <row r="11" spans="2:79" ht="18.75" customHeight="1" thickTop="1" thickBot="1">
      <c r="C11" s="191" t="str">
        <f>IF(MasterSheet!$A$1=1,MasterSheet!B67,MasterSheet!B66)</f>
        <v>BDP (u mil. €)</v>
      </c>
      <c r="D11" s="303">
        <f>+'Cental Budget'!D11:G11</f>
        <v>3516156889.9792166</v>
      </c>
      <c r="E11" s="304"/>
      <c r="F11" s="304"/>
      <c r="G11" s="305"/>
      <c r="H11" s="291"/>
      <c r="I11" s="292"/>
      <c r="J11" s="301">
        <f>+'Cental Budget'!J11:K11</f>
        <v>3335900000</v>
      </c>
      <c r="K11" s="302"/>
      <c r="L11" s="291"/>
      <c r="M11" s="295"/>
      <c r="N11" s="237"/>
      <c r="O11" s="81"/>
      <c r="P11" s="273">
        <f>+D16-'Cental Budget'!D16-'Local Government'!D16</f>
        <v>0</v>
      </c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</row>
    <row r="12" spans="2:79" ht="19.5" customHeight="1" thickTop="1">
      <c r="C12" s="199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4"/>
      <c r="O12" s="81"/>
      <c r="P12" s="273">
        <f>+D36-'Cental Budget'!D49-'Local Government'!D40</f>
        <v>-325628.77000001818</v>
      </c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</row>
    <row r="13" spans="2:79" ht="17.25" customHeight="1" thickBot="1">
      <c r="B13" s="85"/>
      <c r="C13" s="200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4"/>
      <c r="O13" s="137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</row>
    <row r="14" spans="2:79" ht="15.75" customHeight="1" thickTop="1">
      <c r="B14" s="87"/>
      <c r="C14" s="306" t="s">
        <v>235</v>
      </c>
      <c r="D14" s="308" t="s">
        <v>447</v>
      </c>
      <c r="E14" s="309"/>
      <c r="F14" s="308" t="s">
        <v>450</v>
      </c>
      <c r="G14" s="309"/>
      <c r="H14" s="308" t="s">
        <v>448</v>
      </c>
      <c r="I14" s="309"/>
      <c r="J14" s="308" t="s">
        <v>451</v>
      </c>
      <c r="K14" s="309"/>
      <c r="L14" s="308" t="s">
        <v>448</v>
      </c>
      <c r="M14" s="309"/>
      <c r="O14" s="100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</row>
    <row r="15" spans="2:79" ht="15" customHeight="1" thickBot="1">
      <c r="C15" s="307" t="str">
        <f>IF(MasterSheet!$A$1=1,MasterSheet!B71,MasterSheet!B70)</f>
        <v>Budžet Crne Gore</v>
      </c>
      <c r="D15" s="192" t="str">
        <f>IF(MasterSheet!$A$1=1,MasterSheet!C71,MasterSheet!C70)</f>
        <v>mil. €</v>
      </c>
      <c r="E15" s="193" t="str">
        <f>IF(MasterSheet!$A$1=1,MasterSheet!D71,MasterSheet!D70)</f>
        <v>% BDP</v>
      </c>
      <c r="F15" s="194" t="str">
        <f>IF(MasterSheet!$A$1=1,MasterSheet!E71,MasterSheet!E70)</f>
        <v>mil. €</v>
      </c>
      <c r="G15" s="195" t="str">
        <f>IF(MasterSheet!$A$1=1,MasterSheet!F71,MasterSheet!F70)</f>
        <v>% BDP</v>
      </c>
      <c r="H15" s="196" t="str">
        <f>IF(MasterSheet!$A$1=1,MasterSheet!G71,MasterSheet!G70)</f>
        <v>mil. €</v>
      </c>
      <c r="I15" s="195" t="str">
        <f>IF(MasterSheet!$A$1=1,MasterSheet!H71,MasterSheet!H70)</f>
        <v>% BDP</v>
      </c>
      <c r="J15" s="192" t="str">
        <f>IF(MasterSheet!$A$1=1,MasterSheet!I71,MasterSheet!I70)</f>
        <v>mil. €</v>
      </c>
      <c r="K15" s="194" t="str">
        <f>IF(MasterSheet!$A$1=1,MasterSheet!J71,MasterSheet!J70)</f>
        <v>% BDP</v>
      </c>
      <c r="L15" s="192" t="str">
        <f>IF(MasterSheet!$A$1=1,MasterSheet!K71,MasterSheet!K70)</f>
        <v>mil. €</v>
      </c>
      <c r="M15" s="193" t="str">
        <f>IF(MasterSheet!$A$1=1,MasterSheet!L71,MasterSheet!L70)</f>
        <v>% BDP</v>
      </c>
      <c r="O15" s="100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</row>
    <row r="16" spans="2:79" ht="15" customHeight="1" thickTop="1" thickBot="1">
      <c r="C16" s="203" t="str">
        <f>IF(MasterSheet!$A$1=1,MasterSheet!C72,MasterSheet!B72)</f>
        <v>Izvorni prihodi</v>
      </c>
      <c r="D16" s="201">
        <f>D17+D26+D31+D32+D33+D34+D35</f>
        <v>296558860</v>
      </c>
      <c r="E16" s="198">
        <f t="shared" ref="E16:E74" si="0">D16/D$11*100</f>
        <v>8.4341759847283981</v>
      </c>
      <c r="F16" s="201">
        <f>F17+F26+F31+F32+F33+F34+F35</f>
        <v>273630222.07480538</v>
      </c>
      <c r="G16" s="198">
        <f>F16/D$11*100</f>
        <v>7.782082274389718</v>
      </c>
      <c r="H16" s="201">
        <f>+D16-F16</f>
        <v>22928637.925194621</v>
      </c>
      <c r="I16" s="198">
        <f>+D16/F16*100-100</f>
        <v>8.3794245209238341</v>
      </c>
      <c r="J16" s="201">
        <f>J17+J26+J31+J32+J33+J34+J35</f>
        <v>258026719.84000003</v>
      </c>
      <c r="K16" s="198">
        <f t="shared" ref="K16:K74" si="1">J16/J$11*100</f>
        <v>7.7348457639617507</v>
      </c>
      <c r="L16" s="201">
        <f>+D16-J16</f>
        <v>38532140.159999967</v>
      </c>
      <c r="M16" s="198">
        <f>+D16/J16*100-100</f>
        <v>14.933391465772772</v>
      </c>
      <c r="O16" s="100"/>
      <c r="P16" s="81"/>
      <c r="Q16" s="81"/>
      <c r="R16" s="81" t="s">
        <v>454</v>
      </c>
      <c r="S16" s="81" t="s">
        <v>455</v>
      </c>
      <c r="T16" s="81" t="s">
        <v>456</v>
      </c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</row>
    <row r="17" spans="2:84" ht="15" customHeight="1" thickTop="1">
      <c r="B17" s="80">
        <v>711</v>
      </c>
      <c r="C17" s="93" t="str">
        <f>IF(MasterSheet!$A$1=1,MasterSheet!C73,MasterSheet!B73)</f>
        <v>Porezi</v>
      </c>
      <c r="D17" s="170">
        <f t="shared" ref="D17" si="2">SUM(D18:D25)</f>
        <v>180108057.09</v>
      </c>
      <c r="E17" s="95">
        <f t="shared" si="0"/>
        <v>5.1222986551963725</v>
      </c>
      <c r="F17" s="170">
        <f t="shared" ref="F17" si="3">SUM(F18:F25)</f>
        <v>166584876.88265786</v>
      </c>
      <c r="G17" s="95">
        <f t="shared" ref="G17:G74" si="4">F17/D$11*100</f>
        <v>4.7376974945973611</v>
      </c>
      <c r="H17" s="261">
        <f t="shared" ref="H17:H74" si="5">+D17-F17</f>
        <v>13523180.207342148</v>
      </c>
      <c r="I17" s="265">
        <f t="shared" ref="I17:I74" si="6">+D17/F17*100-100</f>
        <v>8.1178918881501261</v>
      </c>
      <c r="J17" s="170">
        <f t="shared" ref="J17" si="7">SUM(J18:J25)</f>
        <v>151892517.75</v>
      </c>
      <c r="K17" s="95">
        <f t="shared" si="1"/>
        <v>4.5532695149734703</v>
      </c>
      <c r="L17" s="261">
        <f t="shared" ref="L17:L74" si="8">+D17-J17</f>
        <v>28215539.340000004</v>
      </c>
      <c r="M17" s="262">
        <f t="shared" ref="M17:M74" si="9">+D17/J17*100-100</f>
        <v>18.57599028441939</v>
      </c>
      <c r="O17" s="100"/>
      <c r="P17" s="81"/>
      <c r="Q17" s="81" t="s">
        <v>447</v>
      </c>
      <c r="R17" s="273">
        <f>+D16</f>
        <v>296558860</v>
      </c>
      <c r="S17" s="273">
        <f>+D36</f>
        <v>321540760.00000006</v>
      </c>
      <c r="T17" s="273">
        <f>+D63</f>
        <v>-24981900.00000006</v>
      </c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</row>
    <row r="18" spans="2:84" ht="15" customHeight="1">
      <c r="B18" s="80">
        <v>7111</v>
      </c>
      <c r="C18" s="97" t="str">
        <f>IF(MasterSheet!$A$1=1,MasterSheet!C74,MasterSheet!B74)</f>
        <v>Porez na dohodak fizičkih lica</v>
      </c>
      <c r="D18" s="172">
        <f>+IF(ISNUMBER(VLOOKUP($B18,'Cental Budget'!$B$16:$K$90,'Public Expenditure'!D$1,FALSE)),VLOOKUP($B18,'Cental Budget'!$B$16:$K$90,'Public Expenditure'!D$1,FALSE),0)+IF(ISNUMBER(VLOOKUP('Public Expenditure'!$B18,'Local Government'!$B$16:$O$75,'Public Expenditure'!D$1,FALSE)),VLOOKUP('Public Expenditure'!$B18,'Local Government'!$B$16:$O$75,'Public Expenditure'!D$1,FALSE),0)</f>
        <v>24186903.23</v>
      </c>
      <c r="E18" s="99">
        <f t="shared" si="0"/>
        <v>0.68787895383538944</v>
      </c>
      <c r="F18" s="172">
        <f>+IF(ISNUMBER(VLOOKUP($B18,'Cental Budget'!$B$16:$K$90,'Public Expenditure'!F$1,FALSE)),VLOOKUP($B18,'Cental Budget'!$B$16:$K$90,'Public Expenditure'!F$1,FALSE),0)+IF(ISNUMBER(VLOOKUP('Public Expenditure'!$B18,'Local Government'!$B$16:$O$75,'Public Expenditure'!F$1,FALSE)),VLOOKUP('Public Expenditure'!$B18,'Local Government'!$B$16:$O$75,'Public Expenditure'!F$1,FALSE),0)</f>
        <v>24057650.249846388</v>
      </c>
      <c r="G18" s="99">
        <f t="shared" si="4"/>
        <v>0.68420298077167396</v>
      </c>
      <c r="H18" s="263">
        <f t="shared" si="5"/>
        <v>129252.98015361279</v>
      </c>
      <c r="I18" s="264">
        <f t="shared" si="6"/>
        <v>0.53726352661742283</v>
      </c>
      <c r="J18" s="172">
        <f>+IF(ISNUMBER(VLOOKUP($B18,'Cental Budget'!$B$16:$K$90,'Public Expenditure'!J$1,FALSE)),VLOOKUP($B18,'Cental Budget'!$B$16:$K$90,'Public Expenditure'!J$1,FALSE),0)+IF(ISNUMBER(VLOOKUP('Public Expenditure'!$B18,'Local Government'!$B$16:$O$75,'Public Expenditure'!J$1,FALSE)),VLOOKUP('Public Expenditure'!$B18,'Local Government'!$B$16:$O$75,'Public Expenditure'!J$1,FALSE),0)</f>
        <v>20890121.079999998</v>
      </c>
      <c r="K18" s="99">
        <f t="shared" si="1"/>
        <v>0.62622144188974482</v>
      </c>
      <c r="L18" s="263">
        <f t="shared" si="8"/>
        <v>3296782.1500000022</v>
      </c>
      <c r="M18" s="264">
        <f t="shared" si="9"/>
        <v>15.781536820082437</v>
      </c>
      <c r="O18" s="100"/>
      <c r="P18" s="81"/>
      <c r="Q18" s="81" t="s">
        <v>450</v>
      </c>
      <c r="R18" s="273">
        <f>+F16</f>
        <v>273630222.07480538</v>
      </c>
      <c r="S18" s="273">
        <f>+F36</f>
        <v>354654118.92040002</v>
      </c>
      <c r="T18" s="273">
        <f>+F63</f>
        <v>-81023896.845594645</v>
      </c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</row>
    <row r="19" spans="2:84" ht="15" customHeight="1">
      <c r="B19" s="80">
        <v>7112</v>
      </c>
      <c r="C19" s="97" t="str">
        <f>IF(MasterSheet!$A$1=1,MasterSheet!C75,MasterSheet!B75)</f>
        <v>Porez na dobit pravnih lica</v>
      </c>
      <c r="D19" s="172">
        <f>+IF(ISNUMBER(VLOOKUP($B19,'Cental Budget'!$B$16:$K$90,'Public Expenditure'!D$1,FALSE)),VLOOKUP($B19,'Cental Budget'!$B$16:$K$90,'Public Expenditure'!D$1,FALSE),0)+IF(ISNUMBER(VLOOKUP('Public Expenditure'!$B19,'Local Government'!$B$16:$O$75,'Public Expenditure'!D$1,FALSE)),VLOOKUP('Public Expenditure'!$B19,'Local Government'!$B$16:$O$75,'Public Expenditure'!D$1,FALSE),0)</f>
        <v>14603148.550000001</v>
      </c>
      <c r="E19" s="99">
        <f t="shared" si="0"/>
        <v>0.41531561323722155</v>
      </c>
      <c r="F19" s="172">
        <f>+IF(ISNUMBER(VLOOKUP($B19,'Cental Budget'!$B$16:$K$90,'Public Expenditure'!F$1,FALSE)),VLOOKUP($B19,'Cental Budget'!$B$16:$K$90,'Public Expenditure'!F$1,FALSE),0)+IF(ISNUMBER(VLOOKUP('Public Expenditure'!$B19,'Local Government'!$B$16:$O$75,'Public Expenditure'!F$1,FALSE)),VLOOKUP('Public Expenditure'!$B19,'Local Government'!$B$16:$O$75,'Public Expenditure'!F$1,FALSE),0)</f>
        <v>7254668.0881606936</v>
      </c>
      <c r="G19" s="99">
        <f t="shared" si="4"/>
        <v>0.2063237880208347</v>
      </c>
      <c r="H19" s="263">
        <f t="shared" si="5"/>
        <v>7348480.4618393071</v>
      </c>
      <c r="I19" s="264">
        <f t="shared" si="6"/>
        <v>101.29313116104802</v>
      </c>
      <c r="J19" s="172">
        <f>+IF(ISNUMBER(VLOOKUP($B19,'Cental Budget'!$B$16:$K$90,'Public Expenditure'!J$1,FALSE)),VLOOKUP($B19,'Cental Budget'!$B$16:$K$90,'Public Expenditure'!J$1,FALSE),0)+IF(ISNUMBER(VLOOKUP('Public Expenditure'!$B19,'Local Government'!$B$16:$O$75,'Public Expenditure'!J$1,FALSE)),VLOOKUP('Public Expenditure'!$B19,'Local Government'!$B$16:$O$75,'Public Expenditure'!J$1,FALSE),0)</f>
        <v>6640752.5899999999</v>
      </c>
      <c r="K19" s="99">
        <f t="shared" si="1"/>
        <v>0.19906929434335563</v>
      </c>
      <c r="L19" s="263">
        <f t="shared" si="8"/>
        <v>7962395.9600000009</v>
      </c>
      <c r="M19" s="264">
        <f t="shared" si="9"/>
        <v>119.90201188928799</v>
      </c>
      <c r="O19" s="81"/>
      <c r="P19" s="138"/>
      <c r="Q19" s="138">
        <v>2013</v>
      </c>
      <c r="R19" s="274">
        <f>+J16</f>
        <v>258026719.84000003</v>
      </c>
      <c r="S19" s="275">
        <f>+J36</f>
        <v>298480014.44949794</v>
      </c>
      <c r="T19" s="275">
        <f>+J63</f>
        <v>-40453294.609497905</v>
      </c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40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C19" s="81"/>
    </row>
    <row r="20" spans="2:84" ht="15" customHeight="1">
      <c r="B20" s="80">
        <v>7113</v>
      </c>
      <c r="C20" s="97" t="str">
        <f>IF(MasterSheet!$A$1=1,MasterSheet!C76,MasterSheet!B76)</f>
        <v>Porez na promet nepokretnosti</v>
      </c>
      <c r="D20" s="172">
        <f>+IF(ISNUMBER(VLOOKUP($B20,'Cental Budget'!$B$16:$K$90,'Public Expenditure'!D$1,FALSE)),VLOOKUP($B20,'Cental Budget'!$B$16:$K$90,'Public Expenditure'!D$1,FALSE),0)+IF(ISNUMBER(VLOOKUP('Public Expenditure'!$B20,'Local Government'!$B$16:$O$75,'Public Expenditure'!D$1,FALSE)),VLOOKUP('Public Expenditure'!$B20,'Local Government'!$B$16:$O$75,'Public Expenditure'!D$1,FALSE),0)</f>
        <v>3220795.2699999996</v>
      </c>
      <c r="E20" s="99">
        <f t="shared" si="0"/>
        <v>9.1599873691046732E-2</v>
      </c>
      <c r="F20" s="172">
        <f>+IF(ISNUMBER(VLOOKUP($B20,'Cental Budget'!$B$16:$K$90,'Public Expenditure'!F$1,FALSE)),VLOOKUP($B20,'Cental Budget'!$B$16:$K$90,'Public Expenditure'!F$1,FALSE),0)+IF(ISNUMBER(VLOOKUP('Public Expenditure'!$B20,'Local Government'!$B$16:$O$75,'Public Expenditure'!F$1,FALSE)),VLOOKUP('Public Expenditure'!$B20,'Local Government'!$B$16:$O$75,'Public Expenditure'!F$1,FALSE),0)</f>
        <v>3742150.5365598453</v>
      </c>
      <c r="G20" s="99">
        <f t="shared" si="4"/>
        <v>0.10642729131981266</v>
      </c>
      <c r="H20" s="263">
        <f t="shared" si="5"/>
        <v>-521355.26655984577</v>
      </c>
      <c r="I20" s="264">
        <f t="shared" si="6"/>
        <v>-13.931969370722513</v>
      </c>
      <c r="J20" s="172">
        <f>+IF(ISNUMBER(VLOOKUP($B20,'Cental Budget'!$B$16:$K$90,'Public Expenditure'!J$1,FALSE)),VLOOKUP($B20,'Cental Budget'!$B$16:$K$90,'Public Expenditure'!J$1,FALSE),0)+IF(ISNUMBER(VLOOKUP('Public Expenditure'!$B20,'Local Government'!$B$16:$O$75,'Public Expenditure'!J$1,FALSE)),VLOOKUP('Public Expenditure'!$B20,'Local Government'!$B$16:$O$75,'Public Expenditure'!J$1,FALSE),0)</f>
        <v>3649734.75</v>
      </c>
      <c r="K20" s="99">
        <f t="shared" si="1"/>
        <v>0.10940779849515872</v>
      </c>
      <c r="L20" s="263">
        <f t="shared" si="8"/>
        <v>-428939.48000000045</v>
      </c>
      <c r="M20" s="264">
        <f t="shared" si="9"/>
        <v>-11.752620652774851</v>
      </c>
      <c r="P20" s="138"/>
      <c r="Q20" s="138"/>
      <c r="R20" s="138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40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</row>
    <row r="21" spans="2:84" ht="15" customHeight="1">
      <c r="B21" s="80">
        <v>7114</v>
      </c>
      <c r="C21" s="97" t="str">
        <f>IF(MasterSheet!$A$1=1,MasterSheet!C77,MasterSheet!B77)</f>
        <v>Porez na dodatu vrijednost</v>
      </c>
      <c r="D21" s="172">
        <f>+IF(ISNUMBER(VLOOKUP($B21,'Cental Budget'!$B$16:$K$90,'Public Expenditure'!D$1,FALSE)),VLOOKUP($B21,'Cental Budget'!$B$16:$K$90,'Public Expenditure'!D$1,FALSE),0)+IF(ISNUMBER(VLOOKUP('Public Expenditure'!$B21,'Local Government'!$B$16:$O$75,'Public Expenditure'!D$1,FALSE)),VLOOKUP('Public Expenditure'!$B21,'Local Government'!$B$16:$O$75,'Public Expenditure'!D$1,FALSE),0)</f>
        <v>98253466.519999996</v>
      </c>
      <c r="E21" s="99">
        <f t="shared" si="0"/>
        <v>2.7943425050234536</v>
      </c>
      <c r="F21" s="172">
        <f>+IF(ISNUMBER(VLOOKUP($B21,'Cental Budget'!$B$16:$K$90,'Public Expenditure'!F$1,FALSE)),VLOOKUP($B21,'Cental Budget'!$B$16:$K$90,'Public Expenditure'!F$1,FALSE),0)+IF(ISNUMBER(VLOOKUP('Public Expenditure'!$B21,'Local Government'!$B$16:$O$75,'Public Expenditure'!F$1,FALSE)),VLOOKUP('Public Expenditure'!$B21,'Local Government'!$B$16:$O$75,'Public Expenditure'!F$1,FALSE),0)</f>
        <v>87295366.753121018</v>
      </c>
      <c r="G21" s="99">
        <f t="shared" si="4"/>
        <v>2.4826925954841852</v>
      </c>
      <c r="H21" s="263">
        <f t="shared" si="5"/>
        <v>10958099.766878977</v>
      </c>
      <c r="I21" s="264">
        <f t="shared" si="6"/>
        <v>12.552899626241839</v>
      </c>
      <c r="J21" s="172">
        <f>+IF(ISNUMBER(VLOOKUP($B21,'Cental Budget'!$B$16:$K$90,'Public Expenditure'!J$1,FALSE)),VLOOKUP($B21,'Cental Budget'!$B$16:$K$90,'Public Expenditure'!J$1,FALSE),0)+IF(ISNUMBER(VLOOKUP('Public Expenditure'!$B21,'Local Government'!$B$16:$O$75,'Public Expenditure'!J$1,FALSE)),VLOOKUP('Public Expenditure'!$B21,'Local Government'!$B$16:$O$75,'Public Expenditure'!J$1,FALSE),0)</f>
        <v>79101769.140000001</v>
      </c>
      <c r="K21" s="99">
        <f t="shared" si="1"/>
        <v>2.3712272292334902</v>
      </c>
      <c r="L21" s="263">
        <f t="shared" si="8"/>
        <v>19151697.379999995</v>
      </c>
      <c r="M21" s="264">
        <f t="shared" si="9"/>
        <v>24.211465291128874</v>
      </c>
      <c r="P21" s="81"/>
      <c r="Q21" s="81"/>
      <c r="R21" s="81"/>
    </row>
    <row r="22" spans="2:84" ht="15" customHeight="1">
      <c r="B22" s="80">
        <v>7115</v>
      </c>
      <c r="C22" s="97" t="str">
        <f>IF(MasterSheet!$A$1=1,MasterSheet!C78,MasterSheet!B78)</f>
        <v>Akcize</v>
      </c>
      <c r="D22" s="172">
        <f>+IF(ISNUMBER(VLOOKUP($B22,'Cental Budget'!$B$16:$K$90,'Public Expenditure'!D$1,FALSE)),VLOOKUP($B22,'Cental Budget'!$B$16:$K$90,'Public Expenditure'!D$1,FALSE),0)+IF(ISNUMBER(VLOOKUP('Public Expenditure'!$B22,'Local Government'!$B$16:$O$75,'Public Expenditure'!D$1,FALSE)),VLOOKUP('Public Expenditure'!$B22,'Local Government'!$B$16:$O$75,'Public Expenditure'!D$1,FALSE),0)</f>
        <v>27640146.18</v>
      </c>
      <c r="E22" s="99">
        <f t="shared" si="0"/>
        <v>0.78608967247088268</v>
      </c>
      <c r="F22" s="172">
        <f>+IF(ISNUMBER(VLOOKUP($B22,'Cental Budget'!$B$16:$K$90,'Public Expenditure'!F$1,FALSE)),VLOOKUP($B22,'Cental Budget'!$B$16:$K$90,'Public Expenditure'!F$1,FALSE),0)+IF(ISNUMBER(VLOOKUP('Public Expenditure'!$B22,'Local Government'!$B$16:$O$75,'Public Expenditure'!F$1,FALSE)),VLOOKUP('Public Expenditure'!$B22,'Local Government'!$B$16:$O$75,'Public Expenditure'!F$1,FALSE),0)</f>
        <v>30787023.238103144</v>
      </c>
      <c r="G22" s="99">
        <f t="shared" si="4"/>
        <v>0.8755873017453758</v>
      </c>
      <c r="H22" s="263">
        <f t="shared" si="5"/>
        <v>-3146877.0581031442</v>
      </c>
      <c r="I22" s="264">
        <f t="shared" si="6"/>
        <v>-10.22143983770556</v>
      </c>
      <c r="J22" s="172">
        <f>+IF(ISNUMBER(VLOOKUP($B22,'Cental Budget'!$B$16:$K$90,'Public Expenditure'!J$1,FALSE)),VLOOKUP($B22,'Cental Budget'!$B$16:$K$90,'Public Expenditure'!J$1,FALSE),0)+IF(ISNUMBER(VLOOKUP('Public Expenditure'!$B22,'Local Government'!$B$16:$O$75,'Public Expenditure'!J$1,FALSE)),VLOOKUP('Public Expenditure'!$B22,'Local Government'!$B$16:$O$75,'Public Expenditure'!J$1,FALSE),0)</f>
        <v>28599206.859999999</v>
      </c>
      <c r="K22" s="99">
        <f t="shared" si="1"/>
        <v>0.85731607242423324</v>
      </c>
      <c r="L22" s="263">
        <f t="shared" si="8"/>
        <v>-959060.6799999997</v>
      </c>
      <c r="M22" s="264">
        <f t="shared" si="9"/>
        <v>-3.3534520194732522</v>
      </c>
      <c r="P22" s="81"/>
      <c r="Q22" s="81"/>
      <c r="R22" s="81"/>
    </row>
    <row r="23" spans="2:84" ht="15" customHeight="1">
      <c r="B23" s="80">
        <v>7116</v>
      </c>
      <c r="C23" s="97" t="str">
        <f>IF(MasterSheet!$A$1=1,MasterSheet!C79,MasterSheet!B79)</f>
        <v>Porez na međunarodnu trgovinu i transakcije</v>
      </c>
      <c r="D23" s="172">
        <f>+IF(ISNUMBER(VLOOKUP($B23,'Cental Budget'!$B$16:$K$90,'Public Expenditure'!D$1,FALSE)),VLOOKUP($B23,'Cental Budget'!$B$16:$K$90,'Public Expenditure'!D$1,FALSE),0)+IF(ISNUMBER(VLOOKUP('Public Expenditure'!$B23,'Local Government'!$B$16:$O$75,'Public Expenditure'!D$1,FALSE)),VLOOKUP('Public Expenditure'!$B23,'Local Government'!$B$16:$O$75,'Public Expenditure'!D$1,FALSE),0)</f>
        <v>3897133.5</v>
      </c>
      <c r="E23" s="99">
        <f t="shared" si="0"/>
        <v>0.11083502875274248</v>
      </c>
      <c r="F23" s="172">
        <f>+IF(ISNUMBER(VLOOKUP($B23,'Cental Budget'!$B$16:$K$90,'Public Expenditure'!F$1,FALSE)),VLOOKUP($B23,'Cental Budget'!$B$16:$K$90,'Public Expenditure'!F$1,FALSE),0)+IF(ISNUMBER(VLOOKUP('Public Expenditure'!$B23,'Local Government'!$B$16:$O$75,'Public Expenditure'!F$1,FALSE)),VLOOKUP('Public Expenditure'!$B23,'Local Government'!$B$16:$O$75,'Public Expenditure'!F$1,FALSE),0)</f>
        <v>4559610.4571016524</v>
      </c>
      <c r="G23" s="99">
        <f t="shared" si="4"/>
        <v>0.12967596724981756</v>
      </c>
      <c r="H23" s="263">
        <f t="shared" si="5"/>
        <v>-662476.9571016524</v>
      </c>
      <c r="I23" s="264">
        <f t="shared" si="6"/>
        <v>-14.529244621540769</v>
      </c>
      <c r="J23" s="172">
        <f>+IF(ISNUMBER(VLOOKUP($B23,'Cental Budget'!$B$16:$K$90,'Public Expenditure'!J$1,FALSE)),VLOOKUP($B23,'Cental Budget'!$B$16:$K$90,'Public Expenditure'!J$1,FALSE),0)+IF(ISNUMBER(VLOOKUP('Public Expenditure'!$B23,'Local Government'!$B$16:$O$75,'Public Expenditure'!J$1,FALSE)),VLOOKUP('Public Expenditure'!$B23,'Local Government'!$B$16:$O$75,'Public Expenditure'!J$1,FALSE),0)</f>
        <v>4277994.3899999997</v>
      </c>
      <c r="K23" s="99">
        <f t="shared" si="1"/>
        <v>0.12824108606373091</v>
      </c>
      <c r="L23" s="263">
        <f t="shared" si="8"/>
        <v>-380860.88999999966</v>
      </c>
      <c r="M23" s="264">
        <f t="shared" si="9"/>
        <v>-8.9027907771519921</v>
      </c>
      <c r="O23" s="81"/>
      <c r="P23" s="81"/>
      <c r="Q23" s="81"/>
      <c r="R23" s="81"/>
      <c r="CD23" s="141"/>
      <c r="CE23" s="141"/>
      <c r="CF23" s="81"/>
    </row>
    <row r="24" spans="2:84" ht="15" customHeight="1">
      <c r="B24" s="80">
        <v>7117</v>
      </c>
      <c r="C24" s="97" t="s">
        <v>11</v>
      </c>
      <c r="D24" s="172">
        <f>+IF(ISNUMBER(VLOOKUP($B24,'Cental Budget'!$B$16:$K$90,'Public Expenditure'!D$1,FALSE)),VLOOKUP($B24,'Cental Budget'!$B$16:$K$90,'Public Expenditure'!D$1,FALSE),0)+IF(ISNUMBER(VLOOKUP('Public Expenditure'!$B24,'Local Government'!$B$16:$O$75,'Public Expenditure'!D$1,FALSE)),VLOOKUP('Public Expenditure'!$B24,'Local Government'!$B$16:$O$75,'Public Expenditure'!D$1,FALSE),0)</f>
        <v>7275309.3100000005</v>
      </c>
      <c r="E24" s="99">
        <f t="shared" si="0"/>
        <v>0.20691082729368782</v>
      </c>
      <c r="F24" s="172">
        <f>+IF(ISNUMBER(VLOOKUP($B24,'Cental Budget'!$B$16:$K$90,'Public Expenditure'!F$1,FALSE)),VLOOKUP($B24,'Cental Budget'!$B$16:$K$90,'Public Expenditure'!F$1,FALSE),0)+IF(ISNUMBER(VLOOKUP('Public Expenditure'!$B24,'Local Government'!$B$16:$O$75,'Public Expenditure'!F$1,FALSE)),VLOOKUP('Public Expenditure'!$B24,'Local Government'!$B$16:$O$75,'Public Expenditure'!F$1,FALSE),0)</f>
        <v>7972240.8276000004</v>
      </c>
      <c r="G24" s="99">
        <f t="shared" si="4"/>
        <v>0.22673165837168099</v>
      </c>
      <c r="H24" s="263">
        <f t="shared" si="5"/>
        <v>-696931.5175999999</v>
      </c>
      <c r="I24" s="264">
        <f t="shared" si="6"/>
        <v>-8.7419777283598137</v>
      </c>
      <c r="J24" s="172">
        <f>+IF(ISNUMBER(VLOOKUP($B24,'Cental Budget'!$B$16:$K$90,'Public Expenditure'!J$1,FALSE)),VLOOKUP($B24,'Cental Budget'!$B$16:$K$90,'Public Expenditure'!J$1,FALSE),0)+IF(ISNUMBER(VLOOKUP('Public Expenditure'!$B24,'Local Government'!$B$16:$O$75,'Public Expenditure'!J$1,FALSE)),VLOOKUP('Public Expenditure'!$B24,'Local Government'!$B$16:$O$75,'Public Expenditure'!J$1,FALSE),0)</f>
        <v>7815922.3799999999</v>
      </c>
      <c r="K24" s="99">
        <f t="shared" si="1"/>
        <v>0.23429726250786895</v>
      </c>
      <c r="L24" s="263">
        <f t="shared" si="8"/>
        <v>-540613.06999999937</v>
      </c>
      <c r="M24" s="264">
        <f t="shared" si="9"/>
        <v>-6.9168172829269992</v>
      </c>
      <c r="O24" s="81"/>
      <c r="P24" s="81"/>
      <c r="Q24" s="81"/>
      <c r="R24" s="81"/>
      <c r="CD24" s="141"/>
      <c r="CE24" s="141"/>
      <c r="CF24" s="81"/>
    </row>
    <row r="25" spans="2:84" ht="15" customHeight="1">
      <c r="B25" s="80">
        <v>7118</v>
      </c>
      <c r="C25" s="97" t="str">
        <f>IF(MasterSheet!$A$1=1,MasterSheet!C80,MasterSheet!B80)</f>
        <v>Ostali republički prihodi</v>
      </c>
      <c r="D25" s="172">
        <f>+IF(ISNUMBER(VLOOKUP($B25,'Cental Budget'!$B$16:$K$90,'Public Expenditure'!D$1,FALSE)),VLOOKUP($B25,'Cental Budget'!$B$16:$K$90,'Public Expenditure'!D$1,FALSE),0)+IF(ISNUMBER(VLOOKUP('Public Expenditure'!$B25,'Local Government'!$B$16:$O$75,'Public Expenditure'!D$1,FALSE)),VLOOKUP('Public Expenditure'!$B25,'Local Government'!$B$16:$O$75,'Public Expenditure'!D$1,FALSE),0)</f>
        <v>1031154.53</v>
      </c>
      <c r="E25" s="99">
        <f t="shared" si="0"/>
        <v>2.9326180891948057E-2</v>
      </c>
      <c r="F25" s="172">
        <f>+IF(ISNUMBER(VLOOKUP($B25,'Cental Budget'!$B$16:$K$90,'Public Expenditure'!F$1,FALSE)),VLOOKUP($B25,'Cental Budget'!$B$16:$K$90,'Public Expenditure'!F$1,FALSE),0)+IF(ISNUMBER(VLOOKUP('Public Expenditure'!$B25,'Local Government'!$B$16:$O$75,'Public Expenditure'!F$1,FALSE)),VLOOKUP('Public Expenditure'!$B25,'Local Government'!$B$16:$O$75,'Public Expenditure'!F$1,FALSE),0)</f>
        <v>916166.73216512497</v>
      </c>
      <c r="G25" s="99">
        <f t="shared" si="4"/>
        <v>2.6055911633981164E-2</v>
      </c>
      <c r="H25" s="263">
        <f t="shared" si="5"/>
        <v>114987.79783487506</v>
      </c>
      <c r="I25" s="264">
        <f t="shared" si="6"/>
        <v>12.550968486176188</v>
      </c>
      <c r="J25" s="172">
        <f>+IF(ISNUMBER(VLOOKUP($B25,'Cental Budget'!$B$16:$K$90,'Public Expenditure'!J$1,FALSE)),VLOOKUP($B25,'Cental Budget'!$B$16:$K$90,'Public Expenditure'!J$1,FALSE),0)+IF(ISNUMBER(VLOOKUP('Public Expenditure'!$B25,'Local Government'!$B$16:$O$75,'Public Expenditure'!J$1,FALSE)),VLOOKUP('Public Expenditure'!$B25,'Local Government'!$B$16:$O$75,'Public Expenditure'!J$1,FALSE),0)</f>
        <v>917016.56</v>
      </c>
      <c r="K25" s="99">
        <f t="shared" si="1"/>
        <v>2.748933001588777E-2</v>
      </c>
      <c r="L25" s="263">
        <f t="shared" si="8"/>
        <v>114137.96999999997</v>
      </c>
      <c r="M25" s="264">
        <f t="shared" si="9"/>
        <v>12.446663994813775</v>
      </c>
      <c r="O25" s="81"/>
      <c r="P25" s="81"/>
      <c r="Q25" s="81"/>
      <c r="R25" s="81"/>
      <c r="CD25" s="141"/>
      <c r="CE25" s="141"/>
      <c r="CF25" s="81"/>
    </row>
    <row r="26" spans="2:84" ht="15" customHeight="1">
      <c r="B26" s="80">
        <v>712</v>
      </c>
      <c r="C26" s="93" t="str">
        <f>IF(MasterSheet!$A$1=1,MasterSheet!C81,MasterSheet!B81)</f>
        <v>Doprinosi</v>
      </c>
      <c r="D26" s="170">
        <f t="shared" ref="D26" si="10">SUM(D27:D30)</f>
        <v>75014333.820000008</v>
      </c>
      <c r="E26" s="96">
        <f t="shared" si="0"/>
        <v>2.1334182793090162</v>
      </c>
      <c r="F26" s="170">
        <f t="shared" ref="F26" si="11">SUM(F27:F30)</f>
        <v>68593570.410744473</v>
      </c>
      <c r="G26" s="96">
        <f t="shared" si="4"/>
        <v>1.9508108584753714</v>
      </c>
      <c r="H26" s="261">
        <f t="shared" si="5"/>
        <v>6420763.4092555344</v>
      </c>
      <c r="I26" s="262">
        <f t="shared" si="6"/>
        <v>9.3605907533423647</v>
      </c>
      <c r="J26" s="170">
        <f t="shared" ref="J26" si="12">SUM(J27:J30)</f>
        <v>68623195.439999998</v>
      </c>
      <c r="K26" s="96">
        <f t="shared" si="1"/>
        <v>2.0571118870469736</v>
      </c>
      <c r="L26" s="261">
        <f t="shared" si="8"/>
        <v>6391138.3800000101</v>
      </c>
      <c r="M26" s="262">
        <f t="shared" si="9"/>
        <v>9.313379155577266</v>
      </c>
      <c r="O26" s="81"/>
      <c r="P26" s="81"/>
      <c r="Q26" s="81"/>
      <c r="R26" s="81"/>
      <c r="CD26" s="141"/>
      <c r="CE26" s="141"/>
      <c r="CF26" s="81"/>
    </row>
    <row r="27" spans="2:84" ht="15" hidden="1" customHeight="1">
      <c r="B27" s="80">
        <v>7121</v>
      </c>
      <c r="C27" s="97" t="str">
        <f>IF(MasterSheet!$A$1=1,MasterSheet!C82,MasterSheet!B82)</f>
        <v>Doprinosi za penzijsko i invalidsko osiguranje</v>
      </c>
      <c r="D27" s="172">
        <f>+IF(ISNUMBER(VLOOKUP($B27,'Cental Budget'!$B$16:$K$90,'Public Expenditure'!D$1,FALSE)),VLOOKUP($B27,'Cental Budget'!$B$16:$K$90,'Public Expenditure'!D$1,FALSE),0)+IF(ISNUMBER(VLOOKUP('Public Expenditure'!$B27,'Local Government'!$B$16:$O$75,'Public Expenditure'!D$1,FALSE)),VLOOKUP('Public Expenditure'!$B27,'Local Government'!$B$16:$O$75,'Public Expenditure'!D$1,FALSE),0)</f>
        <v>46630224.140000001</v>
      </c>
      <c r="E27" s="99">
        <f t="shared" si="0"/>
        <v>1.326170179518799</v>
      </c>
      <c r="F27" s="172">
        <f>+IF(ISNUMBER(VLOOKUP($B27,'Cental Budget'!$B$16:$K$90,'Public Expenditure'!F$1,FALSE)),VLOOKUP($B27,'Cental Budget'!$B$16:$K$90,'Public Expenditure'!F$1,FALSE),0)+IF(ISNUMBER(VLOOKUP('Public Expenditure'!$B27,'Local Government'!$B$16:$O$75,'Public Expenditure'!F$1,FALSE)),VLOOKUP('Public Expenditure'!$B27,'Local Government'!$B$16:$O$75,'Public Expenditure'!F$1,FALSE),0)</f>
        <v>39073248.055810295</v>
      </c>
      <c r="G27" s="99">
        <f t="shared" si="4"/>
        <v>1.1112487092702297</v>
      </c>
      <c r="H27" s="263">
        <f t="shared" si="5"/>
        <v>7556976.0841897056</v>
      </c>
      <c r="I27" s="264">
        <f t="shared" si="6"/>
        <v>19.340537222284908</v>
      </c>
      <c r="J27" s="172">
        <f>+IF(ISNUMBER(VLOOKUP($B27,'Cental Budget'!$B$16:$K$90,'Public Expenditure'!J$1,FALSE)),VLOOKUP($B27,'Cental Budget'!$B$16:$K$90,'Public Expenditure'!J$1,FALSE),0)+IF(ISNUMBER(VLOOKUP('Public Expenditure'!$B27,'Local Government'!$B$16:$O$75,'Public Expenditure'!J$1,FALSE)),VLOOKUP('Public Expenditure'!$B27,'Local Government'!$B$16:$O$75,'Public Expenditure'!J$1,FALSE),0)</f>
        <v>40248853.579999998</v>
      </c>
      <c r="K27" s="99">
        <f t="shared" si="1"/>
        <v>1.2065365742378369</v>
      </c>
      <c r="L27" s="263">
        <f t="shared" si="8"/>
        <v>6381370.5600000024</v>
      </c>
      <c r="M27" s="264">
        <f t="shared" si="9"/>
        <v>15.854788378794865</v>
      </c>
      <c r="O27" s="81"/>
      <c r="P27" s="81"/>
      <c r="Q27" s="81"/>
      <c r="R27" s="81"/>
      <c r="CD27" s="141"/>
      <c r="CE27" s="141"/>
      <c r="CF27" s="81"/>
    </row>
    <row r="28" spans="2:84" ht="15" hidden="1" customHeight="1">
      <c r="B28" s="80">
        <v>7122</v>
      </c>
      <c r="C28" s="97" t="str">
        <f>IF(MasterSheet!$A$1=1,MasterSheet!C83,MasterSheet!B83)</f>
        <v>Doprinosi za zdravstveno osiguranje</v>
      </c>
      <c r="D28" s="172">
        <f>+IF(ISNUMBER(VLOOKUP($B28,'Cental Budget'!$B$16:$K$90,'Public Expenditure'!D$1,FALSE)),VLOOKUP($B28,'Cental Budget'!$B$16:$K$90,'Public Expenditure'!D$1,FALSE),0)+IF(ISNUMBER(VLOOKUP('Public Expenditure'!$B28,'Local Government'!$B$16:$O$75,'Public Expenditure'!D$1,FALSE)),VLOOKUP('Public Expenditure'!$B28,'Local Government'!$B$16:$O$75,'Public Expenditure'!D$1,FALSE),0)</f>
        <v>24791584.289999999</v>
      </c>
      <c r="E28" s="99">
        <f t="shared" si="0"/>
        <v>0.70507616883234525</v>
      </c>
      <c r="F28" s="172">
        <f>+IF(ISNUMBER(VLOOKUP($B28,'Cental Budget'!$B$16:$K$90,'Public Expenditure'!F$1,FALSE)),VLOOKUP($B28,'Cental Budget'!$B$16:$K$90,'Public Expenditure'!F$1,FALSE),0)+IF(ISNUMBER(VLOOKUP('Public Expenditure'!$B28,'Local Government'!$B$16:$O$75,'Public Expenditure'!F$1,FALSE)),VLOOKUP('Public Expenditure'!$B28,'Local Government'!$B$16:$O$75,'Public Expenditure'!F$1,FALSE),0)</f>
        <v>25243584.64207723</v>
      </c>
      <c r="G28" s="99">
        <f t="shared" si="4"/>
        <v>0.71793112286939054</v>
      </c>
      <c r="H28" s="263">
        <f t="shared" si="5"/>
        <v>-452000.35207723081</v>
      </c>
      <c r="I28" s="264">
        <f t="shared" si="6"/>
        <v>-1.7905553370729024</v>
      </c>
      <c r="J28" s="172">
        <f>+IF(ISNUMBER(VLOOKUP($B28,'Cental Budget'!$B$16:$K$90,'Public Expenditure'!J$1,FALSE)),VLOOKUP($B28,'Cental Budget'!$B$16:$K$90,'Public Expenditure'!J$1,FALSE),0)+IF(ISNUMBER(VLOOKUP('Public Expenditure'!$B28,'Local Government'!$B$16:$O$75,'Public Expenditure'!J$1,FALSE)),VLOOKUP('Public Expenditure'!$B28,'Local Government'!$B$16:$O$75,'Public Expenditure'!J$1,FALSE),0)</f>
        <v>24522070.140000001</v>
      </c>
      <c r="K28" s="99">
        <f t="shared" si="1"/>
        <v>0.73509608021823203</v>
      </c>
      <c r="L28" s="263">
        <f t="shared" si="8"/>
        <v>269514.14999999851</v>
      </c>
      <c r="M28" s="264">
        <f t="shared" si="9"/>
        <v>1.0990676907019008</v>
      </c>
      <c r="O28" s="81"/>
      <c r="P28" s="81"/>
      <c r="Q28" s="81"/>
      <c r="R28" s="81"/>
      <c r="CD28" s="141"/>
      <c r="CE28" s="141"/>
      <c r="CF28" s="81"/>
    </row>
    <row r="29" spans="2:84" ht="15" hidden="1" customHeight="1">
      <c r="B29" s="80">
        <v>7123</v>
      </c>
      <c r="C29" s="97" t="str">
        <f>IF(MasterSheet!$A$1=1,MasterSheet!C84,MasterSheet!B84)</f>
        <v>Doprinosi za osiguranje od nezaposlenosti</v>
      </c>
      <c r="D29" s="172">
        <f>+IF(ISNUMBER(VLOOKUP($B29,'Cental Budget'!$B$16:$K$90,'Public Expenditure'!D$1,FALSE)),VLOOKUP($B29,'Cental Budget'!$B$16:$K$90,'Public Expenditure'!D$1,FALSE),0)+IF(ISNUMBER(VLOOKUP('Public Expenditure'!$B29,'Local Government'!$B$16:$O$75,'Public Expenditure'!D$1,FALSE)),VLOOKUP('Public Expenditure'!$B29,'Local Government'!$B$16:$O$75,'Public Expenditure'!D$1,FALSE),0)</f>
        <v>1985917.72</v>
      </c>
      <c r="E29" s="99">
        <f t="shared" si="0"/>
        <v>5.6479781253780705E-2</v>
      </c>
      <c r="F29" s="172">
        <f>+IF(ISNUMBER(VLOOKUP($B29,'Cental Budget'!$B$16:$K$90,'Public Expenditure'!F$1,FALSE)),VLOOKUP($B29,'Cental Budget'!$B$16:$K$90,'Public Expenditure'!F$1,FALSE),0)+IF(ISNUMBER(VLOOKUP('Public Expenditure'!$B29,'Local Government'!$B$16:$O$75,'Public Expenditure'!F$1,FALSE)),VLOOKUP('Public Expenditure'!$B29,'Local Government'!$B$16:$O$75,'Public Expenditure'!F$1,FALSE),0)</f>
        <v>2125329.1061334657</v>
      </c>
      <c r="G29" s="99">
        <f t="shared" si="4"/>
        <v>6.0444660822459147E-2</v>
      </c>
      <c r="H29" s="263">
        <f t="shared" si="5"/>
        <v>-139411.38613346568</v>
      </c>
      <c r="I29" s="264">
        <f t="shared" si="6"/>
        <v>-6.5595199224035383</v>
      </c>
      <c r="J29" s="172">
        <f>+IF(ISNUMBER(VLOOKUP($B29,'Cental Budget'!$B$16:$K$90,'Public Expenditure'!J$1,FALSE)),VLOOKUP($B29,'Cental Budget'!$B$16:$K$90,'Public Expenditure'!J$1,FALSE),0)+IF(ISNUMBER(VLOOKUP('Public Expenditure'!$B29,'Local Government'!$B$16:$O$75,'Public Expenditure'!J$1,FALSE)),VLOOKUP('Public Expenditure'!$B29,'Local Government'!$B$16:$O$75,'Public Expenditure'!J$1,FALSE),0)</f>
        <v>1970339.94</v>
      </c>
      <c r="K29" s="99">
        <f t="shared" si="1"/>
        <v>5.9064718366857519E-2</v>
      </c>
      <c r="L29" s="263">
        <f t="shared" si="8"/>
        <v>15577.780000000028</v>
      </c>
      <c r="M29" s="264">
        <f t="shared" si="9"/>
        <v>0.79061382676941605</v>
      </c>
      <c r="O29" s="81"/>
      <c r="P29" s="81"/>
      <c r="Q29" s="81"/>
      <c r="R29" s="81"/>
      <c r="CD29" s="141"/>
      <c r="CE29" s="141"/>
      <c r="CF29" s="81"/>
    </row>
    <row r="30" spans="2:84" ht="15" hidden="1" customHeight="1">
      <c r="B30" s="80">
        <v>7124</v>
      </c>
      <c r="C30" s="97" t="str">
        <f>IF(MasterSheet!$A$1=1,MasterSheet!C85,MasterSheet!B85)</f>
        <v>Ostali doprinosi</v>
      </c>
      <c r="D30" s="172">
        <f>+IF(ISNUMBER(VLOOKUP($B30,'Cental Budget'!$B$16:$K$90,'Public Expenditure'!D$1,FALSE)),VLOOKUP($B30,'Cental Budget'!$B$16:$K$90,'Public Expenditure'!D$1,FALSE),0)+IF(ISNUMBER(VLOOKUP('Public Expenditure'!$B30,'Local Government'!$B$16:$O$75,'Public Expenditure'!D$1,FALSE)),VLOOKUP('Public Expenditure'!$B30,'Local Government'!$B$16:$O$75,'Public Expenditure'!D$1,FALSE),0)</f>
        <v>1606607.67</v>
      </c>
      <c r="E30" s="99">
        <f t="shared" si="0"/>
        <v>4.5692149704090607E-2</v>
      </c>
      <c r="F30" s="172">
        <f>+IF(ISNUMBER(VLOOKUP($B30,'Cental Budget'!$B$16:$K$90,'Public Expenditure'!F$1,FALSE)),VLOOKUP($B30,'Cental Budget'!$B$16:$K$90,'Public Expenditure'!F$1,FALSE),0)+IF(ISNUMBER(VLOOKUP('Public Expenditure'!$B30,'Local Government'!$B$16:$O$75,'Public Expenditure'!F$1,FALSE)),VLOOKUP('Public Expenditure'!$B30,'Local Government'!$B$16:$O$75,'Public Expenditure'!F$1,FALSE),0)</f>
        <v>2151408.6067234799</v>
      </c>
      <c r="G30" s="99">
        <f t="shared" si="4"/>
        <v>6.1186365513291888E-2</v>
      </c>
      <c r="H30" s="263">
        <f t="shared" si="5"/>
        <v>-544800.93672348</v>
      </c>
      <c r="I30" s="264">
        <f t="shared" si="6"/>
        <v>-25.322987693778572</v>
      </c>
      <c r="J30" s="172">
        <f>+IF(ISNUMBER(VLOOKUP($B30,'Cental Budget'!$B$16:$K$90,'Public Expenditure'!J$1,FALSE)),VLOOKUP($B30,'Cental Budget'!$B$16:$K$90,'Public Expenditure'!J$1,FALSE),0)+IF(ISNUMBER(VLOOKUP('Public Expenditure'!$B30,'Local Government'!$B$16:$O$75,'Public Expenditure'!J$1,FALSE)),VLOOKUP('Public Expenditure'!$B30,'Local Government'!$B$16:$O$75,'Public Expenditure'!J$1,FALSE),0)</f>
        <v>1881931.78</v>
      </c>
      <c r="K30" s="99">
        <f t="shared" si="1"/>
        <v>5.6414514224047488E-2</v>
      </c>
      <c r="L30" s="263">
        <f t="shared" si="8"/>
        <v>-275324.1100000001</v>
      </c>
      <c r="M30" s="264">
        <f t="shared" si="9"/>
        <v>-14.62986665754697</v>
      </c>
      <c r="O30" s="81"/>
      <c r="P30" s="81"/>
      <c r="Q30" s="81"/>
      <c r="R30" s="81"/>
      <c r="CD30" s="81"/>
      <c r="CE30" s="81"/>
      <c r="CF30" s="81"/>
    </row>
    <row r="31" spans="2:84" ht="15" customHeight="1">
      <c r="B31" s="80">
        <v>713</v>
      </c>
      <c r="C31" s="93" t="str">
        <f>IF(MasterSheet!$A$1=1,MasterSheet!C86,MasterSheet!B86)</f>
        <v>Takse</v>
      </c>
      <c r="D31" s="170">
        <f>+IF(ISNUMBER(VLOOKUP($B31,'Cental Budget'!$B$16:$K$90,'Public Expenditure'!D$1,FALSE)),VLOOKUP($B31,'Cental Budget'!$B$16:$K$90,'Public Expenditure'!D$1,FALSE),0)+IF(ISNUMBER(VLOOKUP('Public Expenditure'!$B31,'Local Government'!$B$16:$O$75,'Public Expenditure'!D$1,FALSE)),VLOOKUP('Public Expenditure'!$B31,'Local Government'!$B$16:$O$75,'Public Expenditure'!D$1,FALSE),0)</f>
        <v>5469939.7199999988</v>
      </c>
      <c r="E31" s="96">
        <f t="shared" si="0"/>
        <v>0.15556586043099829</v>
      </c>
      <c r="F31" s="170">
        <f>+IF(ISNUMBER(VLOOKUP($B31,'Cental Budget'!$B$16:$K$90,'Public Expenditure'!F$1,FALSE)),VLOOKUP($B31,'Cental Budget'!$B$16:$K$90,'Public Expenditure'!F$1,FALSE),0)+IF(ISNUMBER(VLOOKUP('Public Expenditure'!$B31,'Local Government'!$B$16:$O$75,'Public Expenditure'!F$1,FALSE)),VLOOKUP('Public Expenditure'!$B31,'Local Government'!$B$16:$O$75,'Public Expenditure'!F$1,FALSE),0)</f>
        <v>5069135.921414163</v>
      </c>
      <c r="G31" s="96">
        <f t="shared" si="4"/>
        <v>0.14416694362702701</v>
      </c>
      <c r="H31" s="261">
        <f t="shared" si="5"/>
        <v>400803.79858583584</v>
      </c>
      <c r="I31" s="262">
        <f t="shared" si="6"/>
        <v>7.9067479112696901</v>
      </c>
      <c r="J31" s="170">
        <f>+IF(ISNUMBER(VLOOKUP($B31,'Cental Budget'!$B$16:$K$90,'Public Expenditure'!J$1,FALSE)),VLOOKUP($B31,'Cental Budget'!$B$16:$K$90,'Public Expenditure'!J$1,FALSE),0)+IF(ISNUMBER(VLOOKUP('Public Expenditure'!$B31,'Local Government'!$B$16:$O$75,'Public Expenditure'!J$1,FALSE)),VLOOKUP('Public Expenditure'!$B31,'Local Government'!$B$16:$O$75,'Public Expenditure'!J$1,FALSE),0)</f>
        <v>6272736.3400000008</v>
      </c>
      <c r="K31" s="96">
        <f t="shared" si="1"/>
        <v>0.18803730147786207</v>
      </c>
      <c r="L31" s="261">
        <f t="shared" si="8"/>
        <v>-802796.62000000197</v>
      </c>
      <c r="M31" s="262">
        <f t="shared" si="9"/>
        <v>-12.798188485633077</v>
      </c>
      <c r="O31" s="81"/>
      <c r="P31" s="81"/>
      <c r="Q31" s="81"/>
      <c r="R31" s="81"/>
      <c r="CD31" s="81"/>
      <c r="CE31" s="81"/>
      <c r="CF31" s="81"/>
    </row>
    <row r="32" spans="2:84" ht="15" customHeight="1">
      <c r="B32" s="80">
        <v>714</v>
      </c>
      <c r="C32" s="93" t="str">
        <f>IF(MasterSheet!$A$1=1,MasterSheet!C91,MasterSheet!B91)</f>
        <v>Naknade</v>
      </c>
      <c r="D32" s="170">
        <f>+IF(ISNUMBER(VLOOKUP($B32,'Cental Budget'!$B$16:$K$90,'Public Expenditure'!D$1,FALSE)),VLOOKUP($B32,'Cental Budget'!$B$16:$K$90,'Public Expenditure'!D$1,FALSE),0)+IF(ISNUMBER(VLOOKUP('Public Expenditure'!$B32,'Local Government'!$B$16:$O$75,'Public Expenditure'!D$1,FALSE)),VLOOKUP('Public Expenditure'!$B32,'Local Government'!$B$16:$O$75,'Public Expenditure'!D$1,FALSE),0)</f>
        <v>12048052.030000001</v>
      </c>
      <c r="E32" s="96">
        <f t="shared" si="0"/>
        <v>0.34264830628963244</v>
      </c>
      <c r="F32" s="170">
        <f>+IF(ISNUMBER(VLOOKUP($B32,'Cental Budget'!$B$16:$K$90,'Public Expenditure'!F$1,FALSE)),VLOOKUP($B32,'Cental Budget'!$B$16:$K$90,'Public Expenditure'!F$1,FALSE),0)+IF(ISNUMBER(VLOOKUP('Public Expenditure'!$B32,'Local Government'!$B$16:$O$75,'Public Expenditure'!F$1,FALSE)),VLOOKUP('Public Expenditure'!$B32,'Local Government'!$B$16:$O$75,'Public Expenditure'!F$1,FALSE),0)</f>
        <v>12911963.290512975</v>
      </c>
      <c r="G32" s="96">
        <f t="shared" si="4"/>
        <v>0.36721806490805636</v>
      </c>
      <c r="H32" s="261">
        <f t="shared" si="5"/>
        <v>-863911.26051297411</v>
      </c>
      <c r="I32" s="262">
        <f t="shared" si="6"/>
        <v>-6.6907815726809758</v>
      </c>
      <c r="J32" s="170">
        <f>+IF(ISNUMBER(VLOOKUP($B32,'Cental Budget'!$B$16:$K$90,'Public Expenditure'!J$1,FALSE)),VLOOKUP($B32,'Cental Budget'!$B$16:$K$90,'Public Expenditure'!J$1,FALSE),0)+IF(ISNUMBER(VLOOKUP('Public Expenditure'!$B32,'Local Government'!$B$16:$O$75,'Public Expenditure'!J$1,FALSE)),VLOOKUP('Public Expenditure'!$B32,'Local Government'!$B$16:$O$75,'Public Expenditure'!J$1,FALSE),0)</f>
        <v>11791543.490000002</v>
      </c>
      <c r="K32" s="96">
        <f t="shared" si="1"/>
        <v>0.35347412962019253</v>
      </c>
      <c r="L32" s="261">
        <f t="shared" si="8"/>
        <v>256508.53999999911</v>
      </c>
      <c r="M32" s="262">
        <f t="shared" si="9"/>
        <v>2.1753601656775032</v>
      </c>
      <c r="O32" s="81"/>
      <c r="P32" s="81"/>
      <c r="Q32" s="81"/>
      <c r="R32" s="81"/>
      <c r="CD32" s="141"/>
      <c r="CE32" s="141"/>
      <c r="CF32" s="141"/>
    </row>
    <row r="33" spans="1:87" ht="15" customHeight="1">
      <c r="B33" s="80">
        <v>715</v>
      </c>
      <c r="C33" s="93" t="str">
        <f>IF(MasterSheet!$A$1=1,MasterSheet!C98,MasterSheet!B98)</f>
        <v>Ostali prihodi</v>
      </c>
      <c r="D33" s="170">
        <f>+IF(ISNUMBER(VLOOKUP($B33,'Cental Budget'!$B$16:$K$90,'Public Expenditure'!D$1,FALSE)),VLOOKUP($B33,'Cental Budget'!$B$16:$K$90,'Public Expenditure'!D$1,FALSE),0)+IF(ISNUMBER(VLOOKUP('Public Expenditure'!$B33,'Local Government'!$B$16:$O$75,'Public Expenditure'!D$1,FALSE)),VLOOKUP('Public Expenditure'!$B33,'Local Government'!$B$16:$O$75,'Public Expenditure'!D$1,FALSE),0)</f>
        <v>7314385.1400000006</v>
      </c>
      <c r="E33" s="96">
        <f t="shared" si="0"/>
        <v>0.20802214943381653</v>
      </c>
      <c r="F33" s="170">
        <f>+IF(ISNUMBER(VLOOKUP($B33,'Cental Budget'!$B$16:$K$90,'Public Expenditure'!F$1,FALSE)),VLOOKUP($B33,'Cental Budget'!$B$16:$K$90,'Public Expenditure'!F$1,FALSE),0)+IF(ISNUMBER(VLOOKUP('Public Expenditure'!$B33,'Local Government'!$B$16:$O$75,'Public Expenditure'!F$1,FALSE)),VLOOKUP('Public Expenditure'!$B33,'Local Government'!$B$16:$O$75,'Public Expenditure'!F$1,FALSE),0)</f>
        <v>7508223.4035128029</v>
      </c>
      <c r="G33" s="96">
        <f t="shared" si="4"/>
        <v>0.21353493710450397</v>
      </c>
      <c r="H33" s="261">
        <f t="shared" si="5"/>
        <v>-193838.26351280231</v>
      </c>
      <c r="I33" s="262">
        <f t="shared" si="6"/>
        <v>-2.5816794878814164</v>
      </c>
      <c r="J33" s="170">
        <f>+IF(ISNUMBER(VLOOKUP($B33,'Cental Budget'!$B$16:$K$90,'Public Expenditure'!J$1,FALSE)),VLOOKUP($B33,'Cental Budget'!$B$16:$K$90,'Public Expenditure'!J$1,FALSE),0)+IF(ISNUMBER(VLOOKUP('Public Expenditure'!$B33,'Local Government'!$B$16:$O$75,'Public Expenditure'!J$1,FALSE)),VLOOKUP('Public Expenditure'!$B33,'Local Government'!$B$16:$O$75,'Public Expenditure'!J$1,FALSE),0)</f>
        <v>7692202.5900000008</v>
      </c>
      <c r="K33" s="96">
        <f t="shared" si="1"/>
        <v>0.23058852453610723</v>
      </c>
      <c r="L33" s="261">
        <f t="shared" si="8"/>
        <v>-377817.45000000019</v>
      </c>
      <c r="M33" s="262">
        <f t="shared" si="9"/>
        <v>-4.9116939599480816</v>
      </c>
      <c r="O33" s="81"/>
      <c r="P33" s="81"/>
      <c r="Q33" s="81"/>
      <c r="R33" s="81"/>
      <c r="CD33" s="81"/>
      <c r="CE33" s="81"/>
      <c r="CF33" s="81"/>
      <c r="CG33" s="81"/>
      <c r="CH33" s="81"/>
    </row>
    <row r="34" spans="1:87">
      <c r="B34" s="80">
        <v>73</v>
      </c>
      <c r="C34" s="102" t="str">
        <f>IF(MasterSheet!$A$1=1,MasterSheet!C103,MasterSheet!B103)</f>
        <v>Primici od otplate kredita i sredstva prenijeta iz prethodne godine</v>
      </c>
      <c r="D34" s="170">
        <f>+IF(ISNUMBER(VLOOKUP($B34,'Cental Budget'!$B$16:$K$90,'Public Expenditure'!D$1,FALSE)),VLOOKUP($B34,'Cental Budget'!$B$16:$K$90,'Public Expenditure'!D$1,FALSE),0)+IF(ISNUMBER(VLOOKUP('Public Expenditure'!$B34,'Local Government'!$B$16:$O$75,'Public Expenditure'!D$1,FALSE)),VLOOKUP('Public Expenditure'!$B34,'Local Government'!$B$16:$O$75,'Public Expenditure'!D$1,FALSE),0)</f>
        <v>14655380.239999998</v>
      </c>
      <c r="E34" s="96">
        <f t="shared" si="0"/>
        <v>0.41680108989922304</v>
      </c>
      <c r="F34" s="170">
        <f>+IF(ISNUMBER(VLOOKUP($B34,'Cental Budget'!$B$16:$K$90,'Public Expenditure'!F$1,FALSE)),VLOOKUP($B34,'Cental Budget'!$B$16:$K$90,'Public Expenditure'!F$1,FALSE),0)+IF(ISNUMBER(VLOOKUP('Public Expenditure'!$B34,'Local Government'!$B$16:$O$75,'Public Expenditure'!F$1,FALSE)),VLOOKUP('Public Expenditure'!$B34,'Local Government'!$B$16:$O$75,'Public Expenditure'!F$1,FALSE),0)</f>
        <v>10840224.076763099</v>
      </c>
      <c r="G34" s="96">
        <f t="shared" si="4"/>
        <v>0.30829750821577173</v>
      </c>
      <c r="H34" s="261">
        <f t="shared" si="5"/>
        <v>3815156.1632368993</v>
      </c>
      <c r="I34" s="262">
        <f t="shared" si="6"/>
        <v>35.194440043126008</v>
      </c>
      <c r="J34" s="170">
        <f>+IF(ISNUMBER(VLOOKUP($B34,'Cental Budget'!$B$16:$K$90,'Public Expenditure'!J$1,FALSE)),VLOOKUP($B34,'Cental Budget'!$B$16:$K$90,'Public Expenditure'!J$1,FALSE),0)+IF(ISNUMBER(VLOOKUP('Public Expenditure'!$B34,'Local Government'!$B$16:$O$75,'Public Expenditure'!J$1,FALSE)),VLOOKUP('Public Expenditure'!$B34,'Local Government'!$B$16:$O$75,'Public Expenditure'!J$1,FALSE),0)</f>
        <v>10692039.270000001</v>
      </c>
      <c r="K34" s="96">
        <f t="shared" si="1"/>
        <v>0.32051438202584015</v>
      </c>
      <c r="L34" s="261">
        <f t="shared" si="8"/>
        <v>3963340.9699999969</v>
      </c>
      <c r="M34" s="262">
        <f t="shared" si="9"/>
        <v>37.068148272897218</v>
      </c>
      <c r="O34" s="81"/>
      <c r="P34" s="81"/>
      <c r="Q34" s="81"/>
      <c r="R34" s="81"/>
      <c r="CC34" s="101"/>
      <c r="CD34" s="101"/>
      <c r="CE34" s="100"/>
      <c r="CF34" s="146"/>
      <c r="CG34" s="146"/>
      <c r="CH34" s="146"/>
      <c r="CI34" s="143"/>
    </row>
    <row r="35" spans="1:87" ht="13.5" customHeight="1" thickBot="1">
      <c r="B35" s="80">
        <v>74</v>
      </c>
      <c r="C35" s="93" t="s">
        <v>123</v>
      </c>
      <c r="D35" s="170">
        <f>+IF(ISNUMBER(VLOOKUP($B35,'Cental Budget'!$B$16:$K$90,'Public Expenditure'!D$1,FALSE)),VLOOKUP($B35,'Cental Budget'!$B$16:$K$90,'Public Expenditure'!D$1,FALSE),0)+IF(ISNUMBER(VLOOKUP('Public Expenditure'!$B35,'Local Government'!$B$16:$O$75,'Public Expenditure'!D$1,FALSE)),VLOOKUP('Public Expenditure'!$B35,'Local Government'!$B$16:$O$75,'Public Expenditure'!D$1,FALSE),0)</f>
        <v>1948711.96</v>
      </c>
      <c r="E35" s="96">
        <f>D35/D$11*100</f>
        <v>5.5421644169339625E-2</v>
      </c>
      <c r="F35" s="170">
        <f>+IF(ISNUMBER(VLOOKUP($B35,'Cental Budget'!$B$16:$K$90,'Public Expenditure'!F$1,FALSE)),VLOOKUP($B35,'Cental Budget'!$B$16:$K$90,'Public Expenditure'!F$1,FALSE),0)+IF(ISNUMBER(VLOOKUP('Public Expenditure'!$B35,'Local Government'!$B$16:$O$75,'Public Expenditure'!F$1,FALSE)),VLOOKUP('Public Expenditure'!$B35,'Local Government'!$B$16:$O$75,'Public Expenditure'!F$1,FALSE),0)</f>
        <v>2122228.0891999998</v>
      </c>
      <c r="G35" s="96">
        <f t="shared" si="4"/>
        <v>6.0356467461625242E-2</v>
      </c>
      <c r="H35" s="261">
        <f t="shared" si="5"/>
        <v>-173516.12919999985</v>
      </c>
      <c r="I35" s="262">
        <f t="shared" si="6"/>
        <v>-8.1761300815412739</v>
      </c>
      <c r="J35" s="170">
        <f>+IF(ISNUMBER(VLOOKUP($B35,'Cental Budget'!$B$16:$K$90,'Public Expenditure'!J$1,FALSE)),VLOOKUP($B35,'Cental Budget'!$B$16:$K$90,'Public Expenditure'!J$1,FALSE),0)+IF(ISNUMBER(VLOOKUP('Public Expenditure'!$B35,'Local Government'!$B$16:$O$75,'Public Expenditure'!J$1,FALSE)),VLOOKUP('Public Expenditure'!$B35,'Local Government'!$B$16:$O$75,'Public Expenditure'!J$1,FALSE),0)</f>
        <v>1062484.96</v>
      </c>
      <c r="K35" s="96">
        <f>J35/J$11*100</f>
        <v>3.1850024281303395E-2</v>
      </c>
      <c r="L35" s="261">
        <f t="shared" si="8"/>
        <v>886227</v>
      </c>
      <c r="M35" s="262">
        <f t="shared" si="9"/>
        <v>83.410780704133458</v>
      </c>
      <c r="O35" s="81"/>
      <c r="P35" s="81"/>
      <c r="Q35" s="81"/>
      <c r="R35" s="81"/>
      <c r="CD35" s="184"/>
      <c r="CE35" s="184"/>
      <c r="CF35" s="146"/>
      <c r="CG35" s="146"/>
      <c r="CH35" s="146"/>
      <c r="CI35" s="143"/>
    </row>
    <row r="36" spans="1:87" ht="15" customHeight="1" thickTop="1" thickBot="1">
      <c r="B36" s="103"/>
      <c r="C36" s="203" t="str">
        <f>IF(MasterSheet!$A$1=1,MasterSheet!C104,MasterSheet!B104)</f>
        <v>Izdaci</v>
      </c>
      <c r="D36" s="197">
        <f t="shared" ref="D36" si="13">+D38+D49+D55+SUM(D58:D62)</f>
        <v>321540760.00000006</v>
      </c>
      <c r="E36" s="198">
        <f t="shared" si="0"/>
        <v>9.1446647593105741</v>
      </c>
      <c r="F36" s="197">
        <f t="shared" ref="F36" si="14">+F38+F49+F55+SUM(F58:F62)</f>
        <v>354654118.92040002</v>
      </c>
      <c r="G36" s="198">
        <f t="shared" si="4"/>
        <v>10.086413377376239</v>
      </c>
      <c r="H36" s="197">
        <f t="shared" si="5"/>
        <v>-33113358.920399964</v>
      </c>
      <c r="I36" s="198">
        <f t="shared" si="6"/>
        <v>-9.3368037064394116</v>
      </c>
      <c r="J36" s="197">
        <f t="shared" ref="J36" si="15">+J38+J49+J55+SUM(J58:J62)</f>
        <v>298480014.44949794</v>
      </c>
      <c r="K36" s="198">
        <f t="shared" si="1"/>
        <v>8.9475108501303371</v>
      </c>
      <c r="L36" s="197">
        <f t="shared" si="8"/>
        <v>23060745.550502121</v>
      </c>
      <c r="M36" s="198">
        <f t="shared" si="9"/>
        <v>7.7260601829687801</v>
      </c>
      <c r="N36" s="103">
        <f>+D36-'Cental Budget'!D49-'Local Government'!D40</f>
        <v>-325628.77000001818</v>
      </c>
      <c r="O36" s="81"/>
      <c r="P36" s="81"/>
      <c r="Q36" s="81"/>
      <c r="R36" s="81"/>
      <c r="CD36" s="81"/>
      <c r="CE36" s="81"/>
      <c r="CF36" s="146"/>
      <c r="CG36" s="146"/>
      <c r="CH36" s="146"/>
      <c r="CI36" s="143"/>
    </row>
    <row r="37" spans="1:87" ht="13.5" customHeight="1" thickTop="1" thickBot="1">
      <c r="C37" s="203" t="str">
        <f>IF(MasterSheet!$A$1=1,MasterSheet!C105,MasterSheet!B105)</f>
        <v>Tekuća budžetska potrošnja</v>
      </c>
      <c r="D37" s="197">
        <f t="shared" ref="D37" si="16">+D36-D58</f>
        <v>306067412.25000006</v>
      </c>
      <c r="E37" s="198">
        <f t="shared" si="0"/>
        <v>8.7046005575652572</v>
      </c>
      <c r="F37" s="197">
        <f t="shared" ref="F37" si="17">+F36-F58</f>
        <v>324660693.93940002</v>
      </c>
      <c r="G37" s="198">
        <f t="shared" si="4"/>
        <v>9.233396122472767</v>
      </c>
      <c r="H37" s="197">
        <f t="shared" si="5"/>
        <v>-18593281.689399958</v>
      </c>
      <c r="I37" s="198">
        <f t="shared" si="6"/>
        <v>-5.7269888337238939</v>
      </c>
      <c r="J37" s="197">
        <f t="shared" ref="J37" si="18">+J36-J58</f>
        <v>288442708.81949794</v>
      </c>
      <c r="K37" s="198">
        <f t="shared" si="1"/>
        <v>8.6466233645942019</v>
      </c>
      <c r="L37" s="197">
        <f t="shared" si="8"/>
        <v>17624703.430502117</v>
      </c>
      <c r="M37" s="198">
        <f t="shared" si="9"/>
        <v>6.1102960454900312</v>
      </c>
      <c r="O37" s="81"/>
      <c r="P37" s="81"/>
      <c r="Q37" s="81"/>
      <c r="R37" s="81"/>
      <c r="CD37" s="184"/>
      <c r="CE37" s="184"/>
      <c r="CF37" s="146"/>
      <c r="CG37" s="146"/>
      <c r="CH37" s="146"/>
      <c r="CI37" s="143"/>
    </row>
    <row r="38" spans="1:87" ht="13.5" customHeight="1" thickTop="1">
      <c r="A38" s="80">
        <v>41</v>
      </c>
      <c r="C38" s="93" t="s">
        <v>63</v>
      </c>
      <c r="D38" s="94">
        <f t="shared" ref="D38" si="19">+SUM(D39:D48)</f>
        <v>141584673.27000004</v>
      </c>
      <c r="E38" s="96">
        <f t="shared" si="0"/>
        <v>4.0266881626785693</v>
      </c>
      <c r="F38" s="94">
        <f t="shared" ref="F38" si="20">+SUM(F39:F48)</f>
        <v>165623007.58920005</v>
      </c>
      <c r="G38" s="96">
        <f t="shared" si="4"/>
        <v>4.7103417956466398</v>
      </c>
      <c r="H38" s="246">
        <f t="shared" si="5"/>
        <v>-24038334.319200009</v>
      </c>
      <c r="I38" s="262">
        <f t="shared" si="6"/>
        <v>-14.513885884033115</v>
      </c>
      <c r="J38" s="94">
        <f t="shared" ref="J38" si="21">+SUM(J39:J48)</f>
        <v>138967476.87949798</v>
      </c>
      <c r="K38" s="96">
        <f t="shared" si="1"/>
        <v>4.1658166275817008</v>
      </c>
      <c r="L38" s="246">
        <f t="shared" si="8"/>
        <v>2617196.3905020654</v>
      </c>
      <c r="M38" s="262">
        <f t="shared" si="9"/>
        <v>1.883315757953568</v>
      </c>
      <c r="N38" s="80">
        <f>+'Cental Budget'!D51+'Local Government'!D42</f>
        <v>141584673.27000001</v>
      </c>
      <c r="O38" s="81"/>
      <c r="P38" s="319">
        <f>+D38-N38</f>
        <v>0</v>
      </c>
      <c r="Q38" s="81"/>
      <c r="R38" s="81"/>
      <c r="CD38" s="184"/>
      <c r="CE38" s="184"/>
      <c r="CF38" s="146"/>
      <c r="CG38" s="146"/>
      <c r="CH38" s="146"/>
      <c r="CI38" s="143"/>
    </row>
    <row r="39" spans="1:87" ht="13.5" customHeight="1">
      <c r="B39" s="80">
        <v>411</v>
      </c>
      <c r="C39" s="93" t="s">
        <v>64</v>
      </c>
      <c r="D39" s="170">
        <f>+IF(ISNUMBER(VLOOKUP($B39,'Cental Budget'!$B$16:$K$90,'Public Expenditure'!D$1,FALSE)),VLOOKUP($B39,'Cental Budget'!$B$16:$K$90,'Public Expenditure'!D$1,FALSE),0)+IF(ISNUMBER(VLOOKUP('Public Expenditure'!$B39,'Local Government'!$B$16:$O$75,'Public Expenditure'!D$1,FALSE)),VLOOKUP('Public Expenditure'!$B39,'Local Government'!$B$16:$O$75,'Public Expenditure'!D$1,FALSE),0)</f>
        <v>97797866.400000036</v>
      </c>
      <c r="E39" s="96">
        <f t="shared" si="0"/>
        <v>2.7813851730767936</v>
      </c>
      <c r="F39" s="170">
        <f>+IF(ISNUMBER(VLOOKUP($B39,'Cental Budget'!$B$16:$K$90,'Public Expenditure'!F$1,FALSE)),VLOOKUP($B39,'Cental Budget'!$B$16:$K$90,'Public Expenditure'!F$1,FALSE),0)+IF(ISNUMBER(VLOOKUP('Public Expenditure'!$B39,'Local Government'!$B$16:$O$75,'Public Expenditure'!F$1,FALSE)),VLOOKUP('Public Expenditure'!$B39,'Local Government'!$B$16:$O$75,'Public Expenditure'!F$1,FALSE),0)</f>
        <v>101751781.18140003</v>
      </c>
      <c r="G39" s="96">
        <f t="shared" si="4"/>
        <v>2.8938350695153843</v>
      </c>
      <c r="H39" s="261">
        <f t="shared" si="5"/>
        <v>-3953914.7813999951</v>
      </c>
      <c r="I39" s="262">
        <f t="shared" si="6"/>
        <v>-3.8858433095643505</v>
      </c>
      <c r="J39" s="170">
        <f>+IF(ISNUMBER(VLOOKUP($B39,'Cental Budget'!$B$16:$K$90,'Public Expenditure'!J$1,FALSE)),VLOOKUP($B39,'Cental Budget'!$B$16:$K$90,'Public Expenditure'!J$1,FALSE),0)+IF(ISNUMBER(VLOOKUP('Public Expenditure'!$B39,'Local Government'!$B$16:$O$75,'Public Expenditure'!J$1,FALSE)),VLOOKUP('Public Expenditure'!$B39,'Local Government'!$B$16:$O$75,'Public Expenditure'!J$1,FALSE),0)</f>
        <v>98278112.389497966</v>
      </c>
      <c r="K39" s="96">
        <f t="shared" si="1"/>
        <v>2.946074894016546</v>
      </c>
      <c r="L39" s="261">
        <f t="shared" si="8"/>
        <v>-480245.98949792981</v>
      </c>
      <c r="M39" s="262">
        <f t="shared" si="9"/>
        <v>-0.48866016839498627</v>
      </c>
      <c r="O39" s="81"/>
      <c r="P39" s="319"/>
      <c r="Q39" s="81"/>
      <c r="R39" s="81"/>
      <c r="CD39" s="184"/>
      <c r="CE39" s="184"/>
      <c r="CF39" s="146"/>
      <c r="CG39" s="146"/>
      <c r="CH39" s="146"/>
      <c r="CI39" s="143"/>
    </row>
    <row r="40" spans="1:87" ht="13.5" customHeight="1">
      <c r="B40" s="80">
        <v>412</v>
      </c>
      <c r="C40" s="93" t="s">
        <v>75</v>
      </c>
      <c r="D40" s="170">
        <f>+IF(ISNUMBER(VLOOKUP($B40,'Cental Budget'!$B$16:$K$90,'Public Expenditure'!D$1,FALSE)),VLOOKUP($B40,'Cental Budget'!$B$16:$K$90,'Public Expenditure'!D$1,FALSE),0)+IF(ISNUMBER(VLOOKUP('Public Expenditure'!$B40,'Local Government'!$B$16:$O$75,'Public Expenditure'!D$1,FALSE)),VLOOKUP('Public Expenditure'!$B40,'Local Government'!$B$16:$O$75,'Public Expenditure'!D$1,FALSE),0)</f>
        <v>2552372.4599999995</v>
      </c>
      <c r="E40" s="96">
        <f t="shared" si="0"/>
        <v>7.2589834295337316E-2</v>
      </c>
      <c r="F40" s="170">
        <f>+IF(ISNUMBER(VLOOKUP($B40,'Cental Budget'!$B$16:$K$90,'Public Expenditure'!F$1,FALSE)),VLOOKUP($B40,'Cental Budget'!$B$16:$K$90,'Public Expenditure'!F$1,FALSE),0)+IF(ISNUMBER(VLOOKUP('Public Expenditure'!$B40,'Local Government'!$B$16:$O$75,'Public Expenditure'!F$1,FALSE)),VLOOKUP('Public Expenditure'!$B40,'Local Government'!$B$16:$O$75,'Public Expenditure'!F$1,FALSE),0)</f>
        <v>3205343.5934000001</v>
      </c>
      <c r="G40" s="96">
        <f t="shared" si="4"/>
        <v>9.1160425819877058E-2</v>
      </c>
      <c r="H40" s="261">
        <f t="shared" si="5"/>
        <v>-652971.13340000063</v>
      </c>
      <c r="I40" s="262">
        <f t="shared" si="6"/>
        <v>-20.371330385438498</v>
      </c>
      <c r="J40" s="170">
        <f>+IF(ISNUMBER(VLOOKUP($B40,'Cental Budget'!$B$16:$K$90,'Public Expenditure'!J$1,FALSE)),VLOOKUP($B40,'Cental Budget'!$B$16:$K$90,'Public Expenditure'!J$1,FALSE),0)+IF(ISNUMBER(VLOOKUP('Public Expenditure'!$B40,'Local Government'!$B$16:$O$75,'Public Expenditure'!J$1,FALSE)),VLOOKUP('Public Expenditure'!$B40,'Local Government'!$B$16:$O$75,'Public Expenditure'!J$1,FALSE),0)</f>
        <v>3799761.01</v>
      </c>
      <c r="K40" s="96">
        <f t="shared" si="1"/>
        <v>0.11390512335501662</v>
      </c>
      <c r="L40" s="261">
        <f t="shared" si="8"/>
        <v>-1247388.5500000003</v>
      </c>
      <c r="M40" s="262">
        <f t="shared" si="9"/>
        <v>-32.828079100690616</v>
      </c>
      <c r="O40" s="81"/>
      <c r="P40" s="319"/>
      <c r="Q40" s="81"/>
      <c r="R40" s="81"/>
      <c r="CD40" s="184"/>
      <c r="CE40" s="184"/>
      <c r="CF40" s="146"/>
      <c r="CG40" s="146"/>
      <c r="CH40" s="146"/>
      <c r="CI40" s="143"/>
    </row>
    <row r="41" spans="1:87" ht="13.5" customHeight="1">
      <c r="B41" s="80">
        <v>413</v>
      </c>
      <c r="C41" s="93" t="s">
        <v>429</v>
      </c>
      <c r="D41" s="170">
        <f>+IF(ISNUMBER(VLOOKUP($B41,'Cental Budget'!$B$16:$K$90,'Public Expenditure'!D$1,FALSE)),VLOOKUP($B41,'Cental Budget'!$B$16:$K$90,'Public Expenditure'!D$1,FALSE),0)+IF(ISNUMBER(VLOOKUP('Public Expenditure'!$B41,'Local Government'!$B$16:$O$75,'Public Expenditure'!D$1,FALSE)),VLOOKUP('Public Expenditure'!$B41,'Local Government'!$B$16:$O$75,'Public Expenditure'!D$1,FALSE),0)</f>
        <v>6708779.4499999993</v>
      </c>
      <c r="E41" s="96">
        <f t="shared" si="0"/>
        <v>0.19079863782869066</v>
      </c>
      <c r="F41" s="170">
        <f>+IF(ISNUMBER(VLOOKUP($B41,'Cental Budget'!$B$16:$K$90,'Public Expenditure'!F$1,FALSE)),VLOOKUP($B41,'Cental Budget'!$B$16:$K$90,'Public Expenditure'!F$1,FALSE),0)+IF(ISNUMBER(VLOOKUP('Public Expenditure'!$B41,'Local Government'!$B$16:$O$75,'Public Expenditure'!F$1,FALSE)),VLOOKUP('Public Expenditure'!$B41,'Local Government'!$B$16:$O$75,'Public Expenditure'!F$1,FALSE),0)</f>
        <v>8363669.5977000007</v>
      </c>
      <c r="G41" s="96">
        <f t="shared" si="4"/>
        <v>0.23786394803758137</v>
      </c>
      <c r="H41" s="261">
        <f t="shared" si="5"/>
        <v>-1654890.1477000015</v>
      </c>
      <c r="I41" s="262">
        <f t="shared" si="6"/>
        <v>-19.786651401857085</v>
      </c>
      <c r="J41" s="170">
        <f>+IF(ISNUMBER(VLOOKUP($B41,'Cental Budget'!$B$16:$K$90,'Public Expenditure'!J$1,FALSE)),VLOOKUP($B41,'Cental Budget'!$B$16:$K$90,'Public Expenditure'!J$1,FALSE),0)+IF(ISNUMBER(VLOOKUP('Public Expenditure'!$B41,'Local Government'!$B$16:$O$75,'Public Expenditure'!J$1,FALSE)),VLOOKUP('Public Expenditure'!$B41,'Local Government'!$B$16:$O$75,'Public Expenditure'!J$1,FALSE),0)</f>
        <v>7662645.1500000004</v>
      </c>
      <c r="K41" s="96">
        <f t="shared" si="1"/>
        <v>0.22970248358763753</v>
      </c>
      <c r="L41" s="261">
        <f t="shared" si="8"/>
        <v>-953865.70000000112</v>
      </c>
      <c r="M41" s="262">
        <f t="shared" si="9"/>
        <v>-12.44825620040622</v>
      </c>
      <c r="O41" s="81"/>
      <c r="P41" s="319"/>
      <c r="Q41" s="81"/>
      <c r="R41" s="81"/>
      <c r="CD41" s="184"/>
      <c r="CE41" s="184"/>
      <c r="CF41" s="146"/>
      <c r="CG41" s="146"/>
      <c r="CH41" s="146"/>
      <c r="CI41" s="143"/>
    </row>
    <row r="42" spans="1:87" ht="13.5" customHeight="1">
      <c r="B42" s="80">
        <v>414</v>
      </c>
      <c r="C42" s="93" t="s">
        <v>430</v>
      </c>
      <c r="D42" s="170">
        <f>+IF(ISNUMBER(VLOOKUP($B42,'Cental Budget'!$B$16:$K$90,'Public Expenditure'!D$1,FALSE)),VLOOKUP($B42,'Cental Budget'!$B$16:$K$90,'Public Expenditure'!D$1,FALSE),0)+IF(ISNUMBER(VLOOKUP('Public Expenditure'!$B42,'Local Government'!$B$16:$O$75,'Public Expenditure'!D$1,FALSE)),VLOOKUP('Public Expenditure'!$B42,'Local Government'!$B$16:$O$75,'Public Expenditure'!D$1,FALSE),0)</f>
        <v>9015554.8399999999</v>
      </c>
      <c r="E42" s="96">
        <f t="shared" si="0"/>
        <v>0.25640365666542514</v>
      </c>
      <c r="F42" s="170">
        <f>+IF(ISNUMBER(VLOOKUP($B42,'Cental Budget'!$B$16:$K$90,'Public Expenditure'!F$1,FALSE)),VLOOKUP($B42,'Cental Budget'!$B$16:$K$90,'Public Expenditure'!F$1,FALSE),0)+IF(ISNUMBER(VLOOKUP('Public Expenditure'!$B42,'Local Government'!$B$16:$O$75,'Public Expenditure'!F$1,FALSE)),VLOOKUP('Public Expenditure'!$B42,'Local Government'!$B$16:$O$75,'Public Expenditure'!F$1,FALSE),0)</f>
        <v>11025401.8048</v>
      </c>
      <c r="G42" s="96">
        <f t="shared" si="4"/>
        <v>0.31356398903079574</v>
      </c>
      <c r="H42" s="261">
        <f t="shared" si="5"/>
        <v>-2009846.9648000002</v>
      </c>
      <c r="I42" s="262">
        <f t="shared" si="6"/>
        <v>-18.229240080166491</v>
      </c>
      <c r="J42" s="170">
        <f>+IF(ISNUMBER(VLOOKUP($B42,'Cental Budget'!$B$16:$K$90,'Public Expenditure'!J$1,FALSE)),VLOOKUP($B42,'Cental Budget'!$B$16:$K$90,'Public Expenditure'!J$1,FALSE),0)+IF(ISNUMBER(VLOOKUP('Public Expenditure'!$B42,'Local Government'!$B$16:$O$75,'Public Expenditure'!J$1,FALSE)),VLOOKUP('Public Expenditure'!$B42,'Local Government'!$B$16:$O$75,'Public Expenditure'!J$1,FALSE),0)</f>
        <v>8272944.46</v>
      </c>
      <c r="K42" s="96">
        <f t="shared" si="1"/>
        <v>0.24799737582061812</v>
      </c>
      <c r="L42" s="261">
        <f t="shared" si="8"/>
        <v>742610.37999999989</v>
      </c>
      <c r="M42" s="262">
        <f t="shared" si="9"/>
        <v>8.9763733286322633</v>
      </c>
      <c r="O42" s="81"/>
      <c r="P42" s="319"/>
      <c r="Q42" s="81"/>
      <c r="R42" s="81"/>
      <c r="CD42" s="184"/>
      <c r="CE42" s="184"/>
      <c r="CF42" s="146"/>
      <c r="CG42" s="146"/>
      <c r="CH42" s="146"/>
      <c r="CI42" s="143"/>
    </row>
    <row r="43" spans="1:87" ht="13.5" customHeight="1">
      <c r="B43" s="80">
        <v>415</v>
      </c>
      <c r="C43" s="93" t="s">
        <v>431</v>
      </c>
      <c r="D43" s="170">
        <f>+IF(ISNUMBER(VLOOKUP($B43,'Cental Budget'!$B$16:$K$90,'Public Expenditure'!D$1,FALSE)),VLOOKUP($B43,'Cental Budget'!$B$16:$K$90,'Public Expenditure'!D$1,FALSE),0)+IF(ISNUMBER(VLOOKUP('Public Expenditure'!$B43,'Local Government'!$B$16:$O$75,'Public Expenditure'!D$1,FALSE)),VLOOKUP('Public Expenditure'!$B43,'Local Government'!$B$16:$O$75,'Public Expenditure'!D$1,FALSE),0)</f>
        <v>2383204.36</v>
      </c>
      <c r="E43" s="96">
        <f t="shared" si="0"/>
        <v>6.777866956937996E-2</v>
      </c>
      <c r="F43" s="170">
        <f>+IF(ISNUMBER(VLOOKUP($B43,'Cental Budget'!$B$16:$K$90,'Public Expenditure'!F$1,FALSE)),VLOOKUP($B43,'Cental Budget'!$B$16:$K$90,'Public Expenditure'!F$1,FALSE),0)+IF(ISNUMBER(VLOOKUP('Public Expenditure'!$B43,'Local Government'!$B$16:$O$75,'Public Expenditure'!F$1,FALSE)),VLOOKUP('Public Expenditure'!$B43,'Local Government'!$B$16:$O$75,'Public Expenditure'!F$1,FALSE),0)</f>
        <v>6369565.5384</v>
      </c>
      <c r="G43" s="96">
        <f t="shared" si="4"/>
        <v>0.18115134613454775</v>
      </c>
      <c r="H43" s="261">
        <f t="shared" si="5"/>
        <v>-3986361.1784000001</v>
      </c>
      <c r="I43" s="262">
        <f t="shared" si="6"/>
        <v>-62.584506813966343</v>
      </c>
      <c r="J43" s="170">
        <f>+IF(ISNUMBER(VLOOKUP($B43,'Cental Budget'!$B$16:$K$90,'Public Expenditure'!J$1,FALSE)),VLOOKUP($B43,'Cental Budget'!$B$16:$K$90,'Public Expenditure'!J$1,FALSE),0)+IF(ISNUMBER(VLOOKUP('Public Expenditure'!$B43,'Local Government'!$B$16:$O$75,'Public Expenditure'!J$1,FALSE)),VLOOKUP('Public Expenditure'!$B43,'Local Government'!$B$16:$O$75,'Public Expenditure'!J$1,FALSE),0)</f>
        <v>3950446.1999999997</v>
      </c>
      <c r="K43" s="96">
        <f t="shared" si="1"/>
        <v>0.11842220090530291</v>
      </c>
      <c r="L43" s="261">
        <f t="shared" si="8"/>
        <v>-1567241.8399999999</v>
      </c>
      <c r="M43" s="262">
        <f t="shared" si="9"/>
        <v>-39.672527118582202</v>
      </c>
      <c r="O43" s="81"/>
      <c r="P43" s="319"/>
      <c r="Q43" s="81"/>
      <c r="R43" s="81"/>
      <c r="CD43" s="184"/>
      <c r="CE43" s="184"/>
      <c r="CF43" s="146"/>
      <c r="CG43" s="146"/>
      <c r="CH43" s="146"/>
      <c r="CI43" s="143"/>
    </row>
    <row r="44" spans="1:87" ht="13.5" customHeight="1">
      <c r="B44" s="80">
        <v>416</v>
      </c>
      <c r="C44" s="93" t="s">
        <v>80</v>
      </c>
      <c r="D44" s="170">
        <f>+IF(ISNUMBER(VLOOKUP($B44,'Cental Budget'!$B$16:$K$90,'Public Expenditure'!D$1,FALSE)),VLOOKUP($B44,'Cental Budget'!$B$16:$K$90,'Public Expenditure'!D$1,FALSE),0)+IF(ISNUMBER(VLOOKUP('Public Expenditure'!$B44,'Local Government'!$B$16:$O$75,'Public Expenditure'!D$1,FALSE)),VLOOKUP('Public Expenditure'!$B44,'Local Government'!$B$16:$O$75,'Public Expenditure'!D$1,FALSE),0)</f>
        <v>8888761.3399999999</v>
      </c>
      <c r="E44" s="96">
        <f t="shared" si="0"/>
        <v>0.25279763156565349</v>
      </c>
      <c r="F44" s="170">
        <f>+IF(ISNUMBER(VLOOKUP($B44,'Cental Budget'!$B$16:$K$90,'Public Expenditure'!F$1,FALSE)),VLOOKUP($B44,'Cental Budget'!$B$16:$K$90,'Public Expenditure'!F$1,FALSE),0)+IF(ISNUMBER(VLOOKUP('Public Expenditure'!$B44,'Local Government'!$B$16:$O$75,'Public Expenditure'!F$1,FALSE)),VLOOKUP('Public Expenditure'!$B44,'Local Government'!$B$16:$O$75,'Public Expenditure'!F$1,FALSE),0)</f>
        <v>19007821.0634</v>
      </c>
      <c r="G44" s="96">
        <f t="shared" si="4"/>
        <v>0.54058512342184917</v>
      </c>
      <c r="H44" s="261">
        <f t="shared" si="5"/>
        <v>-10119059.7234</v>
      </c>
      <c r="I44" s="262">
        <f t="shared" si="6"/>
        <v>-53.236295152654215</v>
      </c>
      <c r="J44" s="170">
        <f>+IF(ISNUMBER(VLOOKUP($B44,'Cental Budget'!$B$16:$K$90,'Public Expenditure'!J$1,FALSE)),VLOOKUP($B44,'Cental Budget'!$B$16:$K$90,'Public Expenditure'!J$1,FALSE),0)+IF(ISNUMBER(VLOOKUP('Public Expenditure'!$B44,'Local Government'!$B$16:$O$75,'Public Expenditure'!J$1,FALSE)),VLOOKUP('Public Expenditure'!$B44,'Local Government'!$B$16:$O$75,'Public Expenditure'!J$1,FALSE),0)</f>
        <v>5139934.59</v>
      </c>
      <c r="K44" s="96">
        <f t="shared" si="1"/>
        <v>0.15407939656464523</v>
      </c>
      <c r="L44" s="261">
        <f t="shared" si="8"/>
        <v>3748826.75</v>
      </c>
      <c r="M44" s="262">
        <f t="shared" si="9"/>
        <v>72.93530071945915</v>
      </c>
      <c r="O44" s="81"/>
      <c r="P44" s="319"/>
      <c r="Q44" s="81"/>
      <c r="R44" s="81"/>
      <c r="CD44" s="184"/>
      <c r="CE44" s="184"/>
      <c r="CF44" s="146"/>
      <c r="CG44" s="146"/>
      <c r="CH44" s="146"/>
      <c r="CI44" s="143"/>
    </row>
    <row r="45" spans="1:87" ht="13.5" customHeight="1">
      <c r="B45" s="80">
        <v>417</v>
      </c>
      <c r="C45" s="93" t="s">
        <v>82</v>
      </c>
      <c r="D45" s="170">
        <f>+IF(ISNUMBER(VLOOKUP($B45,'Cental Budget'!$B$16:$K$90,'Public Expenditure'!D$1,FALSE)),VLOOKUP($B45,'Cental Budget'!$B$16:$K$90,'Public Expenditure'!D$1,FALSE),0)+IF(ISNUMBER(VLOOKUP('Public Expenditure'!$B45,'Local Government'!$B$16:$O$75,'Public Expenditure'!D$1,FALSE)),VLOOKUP('Public Expenditure'!$B45,'Local Government'!$B$16:$O$75,'Public Expenditure'!D$1,FALSE),0)</f>
        <v>2156901.77</v>
      </c>
      <c r="E45" s="96">
        <f t="shared" si="0"/>
        <v>6.1342591854959841E-2</v>
      </c>
      <c r="F45" s="170">
        <f>+IF(ISNUMBER(VLOOKUP($B45,'Cental Budget'!$B$16:$K$90,'Public Expenditure'!F$1,FALSE)),VLOOKUP($B45,'Cental Budget'!$B$16:$K$90,'Public Expenditure'!F$1,FALSE),0)+IF(ISNUMBER(VLOOKUP('Public Expenditure'!$B45,'Local Government'!$B$16:$O$75,'Public Expenditure'!F$1,FALSE)),VLOOKUP('Public Expenditure'!$B45,'Local Government'!$B$16:$O$75,'Public Expenditure'!F$1,FALSE),0)</f>
        <v>2083132.5762</v>
      </c>
      <c r="G45" s="96">
        <f t="shared" si="4"/>
        <v>5.9244585534188522E-2</v>
      </c>
      <c r="H45" s="261">
        <f t="shared" si="5"/>
        <v>73769.193800000008</v>
      </c>
      <c r="I45" s="262">
        <f t="shared" si="6"/>
        <v>3.541262550584662</v>
      </c>
      <c r="J45" s="170">
        <f>+IF(ISNUMBER(VLOOKUP($B45,'Cental Budget'!$B$16:$K$90,'Public Expenditure'!J$1,FALSE)),VLOOKUP($B45,'Cental Budget'!$B$16:$K$90,'Public Expenditure'!J$1,FALSE),0)+IF(ISNUMBER(VLOOKUP('Public Expenditure'!$B45,'Local Government'!$B$16:$O$75,'Public Expenditure'!J$1,FALSE)),VLOOKUP('Public Expenditure'!$B45,'Local Government'!$B$16:$O$75,'Public Expenditure'!J$1,FALSE),0)</f>
        <v>1856513.5500000003</v>
      </c>
      <c r="K45" s="96">
        <f t="shared" si="1"/>
        <v>5.5652554033394294E-2</v>
      </c>
      <c r="L45" s="261">
        <f t="shared" si="8"/>
        <v>300388.21999999974</v>
      </c>
      <c r="M45" s="262">
        <f t="shared" si="9"/>
        <v>16.180233104142957</v>
      </c>
      <c r="O45" s="81"/>
      <c r="P45" s="319"/>
      <c r="Q45" s="81"/>
      <c r="R45" s="81"/>
      <c r="CD45" s="184"/>
      <c r="CE45" s="184"/>
      <c r="CF45" s="146"/>
      <c r="CG45" s="146"/>
      <c r="CH45" s="146"/>
      <c r="CI45" s="143"/>
    </row>
    <row r="46" spans="1:87" ht="13.5" customHeight="1">
      <c r="B46" s="80">
        <v>418</v>
      </c>
      <c r="C46" s="93" t="s">
        <v>84</v>
      </c>
      <c r="D46" s="170">
        <f>+IF(ISNUMBER(VLOOKUP($B46,'Cental Budget'!$B$16:$K$90,'Public Expenditure'!D$1,FALSE)),VLOOKUP($B46,'Cental Budget'!$B$16:$K$90,'Public Expenditure'!D$1,FALSE),0)+IF(ISNUMBER(VLOOKUP('Public Expenditure'!$B46,'Local Government'!$B$16:$O$75,'Public Expenditure'!D$1,FALSE)),VLOOKUP('Public Expenditure'!$B46,'Local Government'!$B$16:$O$75,'Public Expenditure'!D$1,FALSE),0)</f>
        <v>6171632.7699999996</v>
      </c>
      <c r="E46" s="96">
        <f t="shared" si="0"/>
        <v>0.17552211016489877</v>
      </c>
      <c r="F46" s="170">
        <f>+IF(ISNUMBER(VLOOKUP($B46,'Cental Budget'!$B$16:$K$90,'Public Expenditure'!F$1,FALSE)),VLOOKUP($B46,'Cental Budget'!$B$16:$K$90,'Public Expenditure'!F$1,FALSE),0)+IF(ISNUMBER(VLOOKUP('Public Expenditure'!$B46,'Local Government'!$B$16:$O$75,'Public Expenditure'!F$1,FALSE)),VLOOKUP('Public Expenditure'!$B46,'Local Government'!$B$16:$O$75,'Public Expenditure'!F$1,FALSE),0)</f>
        <v>4768278.5181999998</v>
      </c>
      <c r="G46" s="96">
        <f t="shared" si="4"/>
        <v>0.13561051646441705</v>
      </c>
      <c r="H46" s="261">
        <f t="shared" si="5"/>
        <v>1403354.2517999997</v>
      </c>
      <c r="I46" s="262">
        <f t="shared" si="6"/>
        <v>29.431046161493072</v>
      </c>
      <c r="J46" s="170">
        <f>+IF(ISNUMBER(VLOOKUP($B46,'Cental Budget'!$B$16:$K$90,'Public Expenditure'!J$1,FALSE)),VLOOKUP($B46,'Cental Budget'!$B$16:$K$90,'Public Expenditure'!J$1,FALSE),0)+IF(ISNUMBER(VLOOKUP('Public Expenditure'!$B46,'Local Government'!$B$16:$O$75,'Public Expenditure'!J$1,FALSE)),VLOOKUP('Public Expenditure'!$B46,'Local Government'!$B$16:$O$75,'Public Expenditure'!J$1,FALSE),0)</f>
        <v>4365321.5199999996</v>
      </c>
      <c r="K46" s="96">
        <f t="shared" si="1"/>
        <v>0.13085888425912046</v>
      </c>
      <c r="L46" s="261">
        <f t="shared" si="8"/>
        <v>1806311.25</v>
      </c>
      <c r="M46" s="262">
        <f t="shared" si="9"/>
        <v>41.378653135267797</v>
      </c>
      <c r="O46" s="81"/>
      <c r="P46" s="319"/>
      <c r="Q46" s="81"/>
      <c r="R46" s="81"/>
      <c r="CD46" s="184"/>
      <c r="CE46" s="184"/>
      <c r="CF46" s="146"/>
      <c r="CG46" s="146"/>
      <c r="CH46" s="146"/>
      <c r="CI46" s="143"/>
    </row>
    <row r="47" spans="1:87" ht="13.5" customHeight="1">
      <c r="B47" s="80">
        <v>419</v>
      </c>
      <c r="C47" s="93" t="s">
        <v>86</v>
      </c>
      <c r="D47" s="170">
        <f>+IF(ISNUMBER(VLOOKUP($B47,'Cental Budget'!$B$16:$K$90,'Public Expenditure'!D$1,FALSE)),VLOOKUP($B47,'Cental Budget'!$B$16:$K$90,'Public Expenditure'!D$1,FALSE),0)+IF(ISNUMBER(VLOOKUP('Public Expenditure'!$B47,'Local Government'!$B$16:$O$75,'Public Expenditure'!D$1,FALSE)),VLOOKUP('Public Expenditure'!$B47,'Local Government'!$B$16:$O$75,'Public Expenditure'!D$1,FALSE),0)</f>
        <v>5106129.46</v>
      </c>
      <c r="E47" s="96">
        <f t="shared" si="0"/>
        <v>0.14521904510438902</v>
      </c>
      <c r="F47" s="170">
        <f>+IF(ISNUMBER(VLOOKUP($B47,'Cental Budget'!$B$16:$K$90,'Public Expenditure'!F$1,FALSE)),VLOOKUP($B47,'Cental Budget'!$B$16:$K$90,'Public Expenditure'!F$1,FALSE),0)+IF(ISNUMBER(VLOOKUP('Public Expenditure'!$B47,'Local Government'!$B$16:$O$75,'Public Expenditure'!F$1,FALSE)),VLOOKUP('Public Expenditure'!$B47,'Local Government'!$B$16:$O$75,'Public Expenditure'!F$1,FALSE),0)</f>
        <v>6422272.8857000005</v>
      </c>
      <c r="G47" s="96">
        <f t="shared" si="4"/>
        <v>0.18265035055753617</v>
      </c>
      <c r="H47" s="261">
        <f t="shared" si="5"/>
        <v>-1316143.4257000005</v>
      </c>
      <c r="I47" s="262">
        <f t="shared" si="6"/>
        <v>-20.493421085089054</v>
      </c>
      <c r="J47" s="170">
        <f>+IF(ISNUMBER(VLOOKUP($B47,'Cental Budget'!$B$16:$K$90,'Public Expenditure'!J$1,FALSE)),VLOOKUP($B47,'Cental Budget'!$B$16:$K$90,'Public Expenditure'!J$1,FALSE),0)+IF(ISNUMBER(VLOOKUP('Public Expenditure'!$B47,'Local Government'!$B$16:$O$75,'Public Expenditure'!J$1,FALSE)),VLOOKUP('Public Expenditure'!$B47,'Local Government'!$B$16:$O$75,'Public Expenditure'!J$1,FALSE),0)</f>
        <v>4850130.9499999993</v>
      </c>
      <c r="K47" s="96">
        <f t="shared" si="1"/>
        <v>0.14539197667795795</v>
      </c>
      <c r="L47" s="261">
        <f t="shared" si="8"/>
        <v>255998.51000000071</v>
      </c>
      <c r="M47" s="262">
        <f t="shared" si="9"/>
        <v>5.2781772830278015</v>
      </c>
      <c r="O47" s="81"/>
      <c r="P47" s="319"/>
      <c r="Q47" s="81"/>
      <c r="R47" s="81"/>
      <c r="CD47" s="184"/>
      <c r="CE47" s="184"/>
      <c r="CF47" s="146"/>
      <c r="CG47" s="146"/>
      <c r="CH47" s="146"/>
      <c r="CI47" s="143"/>
    </row>
    <row r="48" spans="1:87" ht="13.5" customHeight="1">
      <c r="B48" s="80">
        <v>441</v>
      </c>
      <c r="C48" s="93" t="s">
        <v>130</v>
      </c>
      <c r="D48" s="170">
        <f>+IF(ISNUMBER(VLOOKUP($B48,'Cental Budget'!$B$16:$K$90,'Public Expenditure'!D$1,FALSE)),VLOOKUP($B48,'Cental Budget'!$B$16:$K$90,'Public Expenditure'!D$1,FALSE),0)+IF(ISNUMBER(VLOOKUP('Public Expenditure'!$B48,'Local Government'!$B$16:$O$75,'Public Expenditure'!D$1,FALSE)),VLOOKUP('Public Expenditure'!$B48,'Local Government'!$B$16:$O$75,'Public Expenditure'!D$1,FALSE),0)</f>
        <v>803470.42</v>
      </c>
      <c r="E48" s="96">
        <f t="shared" si="0"/>
        <v>2.2850812553041375E-2</v>
      </c>
      <c r="F48" s="170">
        <f>+IF(ISNUMBER(VLOOKUP($B48,'Cental Budget'!$B$16:$K$90,'Public Expenditure'!F$1,FALSE)),VLOOKUP($B48,'Cental Budget'!$B$16:$K$90,'Public Expenditure'!F$1,FALSE),0)+IF(ISNUMBER(VLOOKUP('Public Expenditure'!$B48,'Local Government'!$B$16:$O$75,'Public Expenditure'!F$1,FALSE)),VLOOKUP('Public Expenditure'!$B48,'Local Government'!$B$16:$O$75,'Public Expenditure'!F$1,FALSE),0)</f>
        <v>2625740.83</v>
      </c>
      <c r="G48" s="96">
        <f t="shared" si="4"/>
        <v>7.4676441130461624E-2</v>
      </c>
      <c r="H48" s="261">
        <f t="shared" si="5"/>
        <v>-1822270.4100000001</v>
      </c>
      <c r="I48" s="262">
        <f t="shared" si="6"/>
        <v>-69.400238941327657</v>
      </c>
      <c r="J48" s="170">
        <f>+IF(ISNUMBER(VLOOKUP($B48,'Cental Budget'!$B$16:$K$90,'Public Expenditure'!J$1,FALSE)),VLOOKUP($B48,'Cental Budget'!$B$16:$K$90,'Public Expenditure'!J$1,FALSE),0)+IF(ISNUMBER(VLOOKUP('Public Expenditure'!$B48,'Local Government'!$B$16:$O$75,'Public Expenditure'!J$1,FALSE)),VLOOKUP('Public Expenditure'!$B48,'Local Government'!$B$16:$O$75,'Public Expenditure'!J$1,FALSE),0)</f>
        <v>791667.06</v>
      </c>
      <c r="K48" s="96">
        <f t="shared" si="1"/>
        <v>2.3731738361461675E-2</v>
      </c>
      <c r="L48" s="261">
        <f t="shared" si="8"/>
        <v>11803.359999999986</v>
      </c>
      <c r="M48" s="262">
        <f t="shared" si="9"/>
        <v>1.490949996075372</v>
      </c>
      <c r="O48" s="81"/>
      <c r="P48" s="319"/>
      <c r="Q48" s="81"/>
      <c r="R48" s="81"/>
      <c r="CD48" s="184"/>
      <c r="CE48" s="184"/>
      <c r="CF48" s="146"/>
      <c r="CG48" s="146"/>
      <c r="CH48" s="146"/>
      <c r="CI48" s="143"/>
    </row>
    <row r="49" spans="1:87" ht="13.5" customHeight="1">
      <c r="A49" s="80">
        <v>42</v>
      </c>
      <c r="B49" s="80" t="s">
        <v>428</v>
      </c>
      <c r="C49" s="93" t="s">
        <v>87</v>
      </c>
      <c r="D49" s="94">
        <f>+IF(ISNUMBER(VLOOKUP($B49,'Cental Budget'!$B$16:$K$90,'Public Expenditure'!D$1,FALSE)),VLOOKUP($B49,'Cental Budget'!$B$16:$K$90,'Public Expenditure'!D$1,FALSE),0)+IF(ISNUMBER(VLOOKUP('Public Expenditure'!$B49,'Local Government'!$B$16:$M$75,'Public Expenditure'!D$1,FALSE)),VLOOKUP('Public Expenditure'!$B49,'Local Government'!$B$16:$M$75,'Public Expenditure'!D$1,FALSE),0)</f>
        <v>122929905.88000003</v>
      </c>
      <c r="E49" s="96">
        <f t="shared" si="0"/>
        <v>3.4961439357367992</v>
      </c>
      <c r="F49" s="94">
        <f>+IF(ISNUMBER(VLOOKUP($B49,'Cental Budget'!$B$16:$K$90,'Public Expenditure'!F$1,FALSE)),VLOOKUP($B49,'Cental Budget'!$B$16:$K$90,'Public Expenditure'!F$1,FALSE),0)+IF(ISNUMBER(VLOOKUP('Public Expenditure'!$B49,'Local Government'!$B$16:$M$75,'Public Expenditure'!F$1,FALSE)),VLOOKUP('Public Expenditure'!$B49,'Local Government'!$B$16:$M$75,'Public Expenditure'!F$1,FALSE),0)</f>
        <v>124695290.36229999</v>
      </c>
      <c r="G49" s="96">
        <f t="shared" si="4"/>
        <v>3.5463517204727757</v>
      </c>
      <c r="H49" s="246">
        <f t="shared" si="5"/>
        <v>-1765384.4822999686</v>
      </c>
      <c r="I49" s="262">
        <f t="shared" si="6"/>
        <v>-1.4157587485226344</v>
      </c>
      <c r="J49" s="94">
        <f>+IF(ISNUMBER(VLOOKUP($B49,'Cental Budget'!$B$16:$K$90,'Public Expenditure'!J$1,FALSE)),VLOOKUP($B49,'Cental Budget'!$B$16:$K$90,'Public Expenditure'!J$1,FALSE),0)+IF(ISNUMBER(VLOOKUP('Public Expenditure'!$B49,'Local Government'!$B$16:$M$75,'Public Expenditure'!J$1,FALSE)),VLOOKUP('Public Expenditure'!$B49,'Local Government'!$B$16:$M$75,'Public Expenditure'!J$1,FALSE),0)</f>
        <v>121088110.19999997</v>
      </c>
      <c r="K49" s="96">
        <f t="shared" si="1"/>
        <v>3.62984832279145</v>
      </c>
      <c r="L49" s="246">
        <f t="shared" si="8"/>
        <v>1841795.6800000519</v>
      </c>
      <c r="M49" s="262">
        <f t="shared" si="9"/>
        <v>1.5210375956466606</v>
      </c>
      <c r="N49" s="80">
        <f>+'Cental Budget'!D62+'Local Government'!D52</f>
        <v>122929905.88000003</v>
      </c>
      <c r="O49" s="319">
        <f>+N49-D49</f>
        <v>0</v>
      </c>
      <c r="P49" s="81"/>
      <c r="Q49" s="81"/>
      <c r="R49" s="81"/>
      <c r="CD49" s="184"/>
      <c r="CE49" s="184"/>
      <c r="CF49" s="146"/>
      <c r="CG49" s="146"/>
      <c r="CH49" s="146"/>
      <c r="CI49" s="143"/>
    </row>
    <row r="50" spans="1:87" ht="13.5" hidden="1" customHeight="1">
      <c r="B50" s="80">
        <v>421</v>
      </c>
      <c r="C50" s="97" t="s">
        <v>89</v>
      </c>
      <c r="D50" s="172">
        <f>+IF(ISNUMBER(VLOOKUP($B50,'Cental Budget'!$B$16:$K$90,'Public Expenditure'!D$1,FALSE)),VLOOKUP($B50,'Cental Budget'!$B$16:$K$90,'Public Expenditure'!D$1,FALSE),0)+IF(ISNUMBER(VLOOKUP('Public Expenditure'!$B50,'Local Government'!$B$16:$O$75,'Public Expenditure'!D$1,FALSE)),VLOOKUP('Public Expenditure'!$B50,'Local Government'!$B$16:$O$75,'Public Expenditure'!D$1,FALSE),0)</f>
        <v>15430652.299999999</v>
      </c>
      <c r="E50" s="99">
        <f t="shared" si="0"/>
        <v>0.43884993709968406</v>
      </c>
      <c r="F50" s="172">
        <f>+IF(ISNUMBER(VLOOKUP($B50,'Cental Budget'!$B$16:$K$90,'Public Expenditure'!F$1,FALSE)),VLOOKUP($B50,'Cental Budget'!$B$16:$K$90,'Public Expenditure'!F$1,FALSE),0)+IF(ISNUMBER(VLOOKUP('Public Expenditure'!$B50,'Local Government'!$B$16:$O$75,'Public Expenditure'!F$1,FALSE)),VLOOKUP('Public Expenditure'!$B50,'Local Government'!$B$16:$O$75,'Public Expenditure'!F$1,FALSE),0)</f>
        <v>14661250</v>
      </c>
      <c r="G50" s="99">
        <f t="shared" si="4"/>
        <v>0.41696802670505018</v>
      </c>
      <c r="H50" s="263">
        <f t="shared" si="5"/>
        <v>769402.29999999888</v>
      </c>
      <c r="I50" s="264">
        <f t="shared" si="6"/>
        <v>5.2478629039133722</v>
      </c>
      <c r="J50" s="172">
        <f>+IF(ISNUMBER(VLOOKUP($B50,'Cental Budget'!$B$16:$K$90,'Public Expenditure'!J$1,FALSE)),VLOOKUP($B50,'Cental Budget'!$B$16:$K$90,'Public Expenditure'!J$1,FALSE),0)+IF(ISNUMBER(VLOOKUP('Public Expenditure'!$B50,'Local Government'!$B$16:$O$75,'Public Expenditure'!J$1,FALSE)),VLOOKUP('Public Expenditure'!$B50,'Local Government'!$B$16:$O$75,'Public Expenditure'!J$1,FALSE),0)</f>
        <v>17063335.420000002</v>
      </c>
      <c r="K50" s="99">
        <f t="shared" si="1"/>
        <v>0.51150620282382575</v>
      </c>
      <c r="L50" s="263">
        <f t="shared" si="8"/>
        <v>-1632683.1200000029</v>
      </c>
      <c r="M50" s="264">
        <f t="shared" si="9"/>
        <v>-9.5683703086931473</v>
      </c>
      <c r="O50" s="81"/>
      <c r="P50" s="81"/>
      <c r="Q50" s="81"/>
      <c r="R50" s="81"/>
      <c r="CD50" s="184"/>
      <c r="CE50" s="184"/>
      <c r="CF50" s="146"/>
      <c r="CG50" s="146"/>
      <c r="CH50" s="146"/>
      <c r="CI50" s="143"/>
    </row>
    <row r="51" spans="1:87" ht="13.5" hidden="1" customHeight="1">
      <c r="B51" s="80">
        <v>422</v>
      </c>
      <c r="C51" s="97" t="s">
        <v>91</v>
      </c>
      <c r="D51" s="172">
        <f>+IF(ISNUMBER(VLOOKUP($B51,'Cental Budget'!$B$16:$K$90,'Public Expenditure'!D$1,FALSE)),VLOOKUP($B51,'Cental Budget'!$B$16:$K$90,'Public Expenditure'!D$1,FALSE),0)+IF(ISNUMBER(VLOOKUP('Public Expenditure'!$B51,'Local Government'!$B$16:$O$75,'Public Expenditure'!D$1,FALSE)),VLOOKUP('Public Expenditure'!$B51,'Local Government'!$B$16:$O$75,'Public Expenditure'!D$1,FALSE),0)</f>
        <v>6349338.0499999998</v>
      </c>
      <c r="E51" s="99">
        <f t="shared" si="0"/>
        <v>0.18057607349931221</v>
      </c>
      <c r="F51" s="172">
        <f>+IF(ISNUMBER(VLOOKUP($B51,'Cental Budget'!$B$16:$K$90,'Public Expenditure'!F$1,FALSE)),VLOOKUP($B51,'Cental Budget'!$B$16:$K$90,'Public Expenditure'!F$1,FALSE),0)+IF(ISNUMBER(VLOOKUP('Public Expenditure'!$B51,'Local Government'!$B$16:$O$75,'Public Expenditure'!F$1,FALSE)),VLOOKUP('Public Expenditure'!$B51,'Local Government'!$B$16:$O$75,'Public Expenditure'!F$1,FALSE),0)</f>
        <v>5189531</v>
      </c>
      <c r="G51" s="99">
        <f t="shared" si="4"/>
        <v>0.14759099671547005</v>
      </c>
      <c r="H51" s="263">
        <f t="shared" si="5"/>
        <v>1159807.0499999998</v>
      </c>
      <c r="I51" s="264">
        <f t="shared" si="6"/>
        <v>22.348976236966294</v>
      </c>
      <c r="J51" s="172">
        <f>+IF(ISNUMBER(VLOOKUP($B51,'Cental Budget'!$B$16:$K$90,'Public Expenditure'!J$1,FALSE)),VLOOKUP($B51,'Cental Budget'!$B$16:$K$90,'Public Expenditure'!J$1,FALSE),0)+IF(ISNUMBER(VLOOKUP('Public Expenditure'!$B51,'Local Government'!$B$16:$O$75,'Public Expenditure'!J$1,FALSE)),VLOOKUP('Public Expenditure'!$B51,'Local Government'!$B$16:$O$75,'Public Expenditure'!J$1,FALSE),0)</f>
        <v>3486893.2199999997</v>
      </c>
      <c r="K51" s="99">
        <f t="shared" si="1"/>
        <v>0.10452631134026799</v>
      </c>
      <c r="L51" s="263">
        <f t="shared" si="8"/>
        <v>2862444.83</v>
      </c>
      <c r="M51" s="264">
        <f t="shared" si="9"/>
        <v>82.091553982258176</v>
      </c>
      <c r="O51" s="81"/>
      <c r="P51" s="81"/>
      <c r="Q51" s="81"/>
      <c r="R51" s="81"/>
      <c r="CD51" s="184"/>
      <c r="CE51" s="184"/>
      <c r="CF51" s="146"/>
      <c r="CG51" s="146"/>
      <c r="CH51" s="146"/>
      <c r="CI51" s="143"/>
    </row>
    <row r="52" spans="1:87" ht="13.5" hidden="1" customHeight="1">
      <c r="B52" s="80">
        <v>423</v>
      </c>
      <c r="C52" s="97" t="s">
        <v>93</v>
      </c>
      <c r="D52" s="172">
        <f>+IF(ISNUMBER(VLOOKUP($B52,'Cental Budget'!$B$16:$K$90,'Public Expenditure'!D$1,FALSE)),VLOOKUP($B52,'Cental Budget'!$B$16:$K$90,'Public Expenditure'!D$1,FALSE),0)+IF(ISNUMBER(VLOOKUP('Public Expenditure'!$B52,'Local Government'!$B$16:$O$75,'Public Expenditure'!D$1,FALSE)),VLOOKUP('Public Expenditure'!$B52,'Local Government'!$B$16:$O$75,'Public Expenditure'!D$1,FALSE),0)</f>
        <v>96392658.900000036</v>
      </c>
      <c r="E52" s="99">
        <f t="shared" si="0"/>
        <v>2.7414208727349987</v>
      </c>
      <c r="F52" s="172">
        <f>+IF(ISNUMBER(VLOOKUP($B52,'Cental Budget'!$B$16:$K$90,'Public Expenditure'!F$1,FALSE)),VLOOKUP($B52,'Cental Budget'!$B$16:$K$90,'Public Expenditure'!F$1,FALSE),0)+IF(ISNUMBER(VLOOKUP('Public Expenditure'!$B52,'Local Government'!$B$16:$O$75,'Public Expenditure'!F$1,FALSE)),VLOOKUP('Public Expenditure'!$B52,'Local Government'!$B$16:$O$75,'Public Expenditure'!F$1,FALSE),0)</f>
        <v>99330068.742499992</v>
      </c>
      <c r="G52" s="99">
        <f t="shared" si="4"/>
        <v>2.8249612247275779</v>
      </c>
      <c r="H52" s="263">
        <f t="shared" si="5"/>
        <v>-2937409.8424999565</v>
      </c>
      <c r="I52" s="264">
        <f t="shared" si="6"/>
        <v>-2.9572211916160143</v>
      </c>
      <c r="J52" s="172">
        <f>+IF(ISNUMBER(VLOOKUP($B52,'Cental Budget'!$B$16:$K$90,'Public Expenditure'!J$1,FALSE)),VLOOKUP($B52,'Cental Budget'!$B$16:$K$90,'Public Expenditure'!J$1,FALSE),0)+IF(ISNUMBER(VLOOKUP('Public Expenditure'!$B52,'Local Government'!$B$16:$O$75,'Public Expenditure'!J$1,FALSE)),VLOOKUP('Public Expenditure'!$B52,'Local Government'!$B$16:$O$75,'Public Expenditure'!J$1,FALSE),0)</f>
        <v>95926777.629999965</v>
      </c>
      <c r="K52" s="99">
        <f t="shared" si="1"/>
        <v>2.8755891252735384</v>
      </c>
      <c r="L52" s="263">
        <f t="shared" si="8"/>
        <v>465881.27000007033</v>
      </c>
      <c r="M52" s="264">
        <f t="shared" si="9"/>
        <v>0.48566342111169547</v>
      </c>
      <c r="O52" s="81"/>
      <c r="P52" s="81"/>
      <c r="Q52" s="81"/>
      <c r="R52" s="81"/>
      <c r="CD52" s="184"/>
      <c r="CE52" s="184"/>
      <c r="CF52" s="146"/>
      <c r="CG52" s="146"/>
      <c r="CH52" s="146"/>
      <c r="CI52" s="143"/>
    </row>
    <row r="53" spans="1:87" ht="13.5" hidden="1" customHeight="1">
      <c r="B53" s="80">
        <v>424</v>
      </c>
      <c r="C53" s="97" t="s">
        <v>95</v>
      </c>
      <c r="D53" s="172">
        <f>+IF(ISNUMBER(VLOOKUP($B53,'Cental Budget'!$B$16:$K$90,'Public Expenditure'!D$1,FALSE)),VLOOKUP($B53,'Cental Budget'!$B$16:$K$90,'Public Expenditure'!D$1,FALSE),0)+IF(ISNUMBER(VLOOKUP('Public Expenditure'!$B53,'Local Government'!$B$16:$O$75,'Public Expenditure'!D$1,FALSE)),VLOOKUP('Public Expenditure'!$B53,'Local Government'!$B$16:$O$75,'Public Expenditure'!D$1,FALSE),0)</f>
        <v>3198763.06</v>
      </c>
      <c r="E53" s="99">
        <f t="shared" si="0"/>
        <v>9.0973274517875888E-2</v>
      </c>
      <c r="F53" s="172">
        <f>+IF(ISNUMBER(VLOOKUP($B53,'Cental Budget'!$B$16:$K$90,'Public Expenditure'!F$1,FALSE)),VLOOKUP($B53,'Cental Budget'!$B$16:$K$90,'Public Expenditure'!F$1,FALSE),0)+IF(ISNUMBER(VLOOKUP('Public Expenditure'!$B53,'Local Government'!$B$16:$O$75,'Public Expenditure'!F$1,FALSE)),VLOOKUP('Public Expenditure'!$B53,'Local Government'!$B$16:$O$75,'Public Expenditure'!F$1,FALSE),0)</f>
        <v>3625000</v>
      </c>
      <c r="G53" s="99">
        <f t="shared" si="4"/>
        <v>0.10309551346616468</v>
      </c>
      <c r="H53" s="263">
        <f t="shared" si="5"/>
        <v>-426236.93999999994</v>
      </c>
      <c r="I53" s="264">
        <f t="shared" si="6"/>
        <v>-11.758260413793096</v>
      </c>
      <c r="J53" s="172">
        <f>+IF(ISNUMBER(VLOOKUP($B53,'Cental Budget'!$B$16:$K$90,'Public Expenditure'!J$1,FALSE)),VLOOKUP($B53,'Cental Budget'!$B$16:$K$90,'Public Expenditure'!J$1,FALSE),0)+IF(ISNUMBER(VLOOKUP('Public Expenditure'!$B53,'Local Government'!$B$16:$O$75,'Public Expenditure'!J$1,FALSE)),VLOOKUP('Public Expenditure'!$B53,'Local Government'!$B$16:$O$75,'Public Expenditure'!J$1,FALSE),0)</f>
        <v>2844986.5100000002</v>
      </c>
      <c r="K53" s="99">
        <f t="shared" si="1"/>
        <v>8.5283926676459135E-2</v>
      </c>
      <c r="L53" s="263">
        <f t="shared" si="8"/>
        <v>353776.54999999981</v>
      </c>
      <c r="M53" s="264">
        <f t="shared" si="9"/>
        <v>12.435087082363694</v>
      </c>
      <c r="O53" s="81"/>
      <c r="P53" s="81"/>
      <c r="Q53" s="81"/>
      <c r="R53" s="81"/>
      <c r="CD53" s="184"/>
      <c r="CE53" s="184"/>
      <c r="CF53" s="146"/>
      <c r="CG53" s="146"/>
      <c r="CH53" s="146"/>
      <c r="CI53" s="143"/>
    </row>
    <row r="54" spans="1:87" ht="13.5" hidden="1" customHeight="1">
      <c r="B54" s="80">
        <v>425</v>
      </c>
      <c r="C54" s="97" t="s">
        <v>432</v>
      </c>
      <c r="D54" s="172">
        <f>+IF(ISNUMBER(VLOOKUP($B54,'Cental Budget'!$B$16:$K$90,'Public Expenditure'!D$1,FALSE)),VLOOKUP($B54,'Cental Budget'!$B$16:$K$90,'Public Expenditure'!D$1,FALSE),0)+IF(ISNUMBER(VLOOKUP('Public Expenditure'!$B54,'Local Government'!$B$16:$O$75,'Public Expenditure'!D$1,FALSE)),VLOOKUP('Public Expenditure'!$B54,'Local Government'!$B$16:$O$75,'Public Expenditure'!D$1,FALSE),0)</f>
        <v>1558493.5699999998</v>
      </c>
      <c r="E54" s="99">
        <f t="shared" si="0"/>
        <v>4.4323777884928563E-2</v>
      </c>
      <c r="F54" s="172">
        <f>+IF(ISNUMBER(VLOOKUP($B54,'Cental Budget'!$B$16:$K$90,'Public Expenditure'!F$1,FALSE)),VLOOKUP($B54,'Cental Budget'!$B$16:$K$90,'Public Expenditure'!F$1,FALSE),0)+IF(ISNUMBER(VLOOKUP('Public Expenditure'!$B54,'Local Government'!$B$16:$O$75,'Public Expenditure'!F$1,FALSE)),VLOOKUP('Public Expenditure'!$B54,'Local Government'!$B$16:$O$75,'Public Expenditure'!F$1,FALSE),0)</f>
        <v>1750000</v>
      </c>
      <c r="G54" s="99">
        <f t="shared" si="4"/>
        <v>4.977024788021743E-2</v>
      </c>
      <c r="H54" s="263">
        <f t="shared" si="5"/>
        <v>-191506.43000000017</v>
      </c>
      <c r="I54" s="264">
        <f t="shared" si="6"/>
        <v>-10.943224571428573</v>
      </c>
      <c r="J54" s="172">
        <f>+IF(ISNUMBER(VLOOKUP($B54,'Cental Budget'!$B$16:$K$90,'Public Expenditure'!J$1,FALSE)),VLOOKUP($B54,'Cental Budget'!$B$16:$K$90,'Public Expenditure'!J$1,FALSE),0)+IF(ISNUMBER(VLOOKUP('Public Expenditure'!$B54,'Local Government'!$B$16:$O$75,'Public Expenditure'!J$1,FALSE)),VLOOKUP('Public Expenditure'!$B54,'Local Government'!$B$16:$O$75,'Public Expenditure'!J$1,FALSE),0)</f>
        <v>1629410.9300000002</v>
      </c>
      <c r="K54" s="99">
        <f t="shared" si="1"/>
        <v>4.8844717467549988E-2</v>
      </c>
      <c r="L54" s="263">
        <f t="shared" si="8"/>
        <v>-70917.360000000335</v>
      </c>
      <c r="M54" s="264">
        <f t="shared" si="9"/>
        <v>-4.3523311826563145</v>
      </c>
      <c r="O54" s="81"/>
      <c r="P54" s="81"/>
      <c r="Q54" s="81"/>
      <c r="R54" s="81"/>
      <c r="CD54" s="184"/>
      <c r="CE54" s="184"/>
      <c r="CF54" s="146"/>
      <c r="CG54" s="146"/>
      <c r="CH54" s="146"/>
      <c r="CI54" s="143"/>
    </row>
    <row r="55" spans="1:87" ht="13.5" customHeight="1">
      <c r="A55" s="80">
        <v>43</v>
      </c>
      <c r="C55" s="93" t="s">
        <v>433</v>
      </c>
      <c r="D55" s="94">
        <f t="shared" ref="D55" si="22">+SUM(D56:D57)</f>
        <v>26031017.350000001</v>
      </c>
      <c r="E55" s="96">
        <f t="shared" si="0"/>
        <v>0.74032582061928032</v>
      </c>
      <c r="F55" s="94">
        <f t="shared" ref="F55" si="23">+SUM(F56:F57)</f>
        <v>30796693.366599999</v>
      </c>
      <c r="G55" s="96">
        <f t="shared" si="4"/>
        <v>0.8758623215695599</v>
      </c>
      <c r="H55" s="246">
        <f t="shared" si="5"/>
        <v>-4765676.0165999979</v>
      </c>
      <c r="I55" s="262">
        <f t="shared" si="6"/>
        <v>-15.47463540929536</v>
      </c>
      <c r="J55" s="94">
        <f t="shared" ref="J55" si="24">+SUM(J56:J57)</f>
        <v>26325335.82</v>
      </c>
      <c r="K55" s="96">
        <f t="shared" si="1"/>
        <v>0.78915242723103207</v>
      </c>
      <c r="L55" s="246">
        <f t="shared" si="8"/>
        <v>-294318.46999999881</v>
      </c>
      <c r="M55" s="262">
        <f t="shared" si="9"/>
        <v>-1.1180046173481202</v>
      </c>
      <c r="N55" s="80">
        <f>+'Cental Budget'!D68+'Local Government'!D55</f>
        <v>26356646.120000001</v>
      </c>
      <c r="O55" s="273">
        <f>+D55-N55</f>
        <v>-325628.76999999955</v>
      </c>
      <c r="P55" s="81"/>
      <c r="Q55" s="81"/>
      <c r="R55" s="81"/>
      <c r="CD55" s="184"/>
      <c r="CE55" s="184"/>
      <c r="CF55" s="146"/>
      <c r="CG55" s="146"/>
      <c r="CH55" s="146"/>
      <c r="CI55" s="143"/>
    </row>
    <row r="56" spans="1:87" ht="13.5" customHeight="1">
      <c r="A56" s="80">
        <v>999</v>
      </c>
      <c r="B56" s="80">
        <v>431</v>
      </c>
      <c r="C56" s="97" t="s">
        <v>433</v>
      </c>
      <c r="D56" s="172">
        <f>+IF(ISNUMBER(VLOOKUP($B56,'Cental Budget'!$B$16:$K$90,'Public Expenditure'!D$1,FALSE)),VLOOKUP($B56,'Cental Budget'!$B$16:$K$90,'Public Expenditure'!D$1,FALSE),0)+IF(ISNUMBER(VLOOKUP('Public Expenditure'!$B56,'Local Government'!$B$16:$O$75,'Public Expenditure'!D$1,FALSE)),VLOOKUP('Public Expenditure'!$B56,'Local Government'!$B$16:$O$75,'Public Expenditure'!D$1,FALSE),0)-'Local Government'!D75</f>
        <v>26031017.350000001</v>
      </c>
      <c r="E56" s="99">
        <f t="shared" si="0"/>
        <v>0.74032582061928032</v>
      </c>
      <c r="F56" s="172">
        <f>+IF(ISNUMBER(VLOOKUP($B56,'Cental Budget'!$B$16:$K$90,'Public Expenditure'!F$1,FALSE)),VLOOKUP($B56,'Cental Budget'!$B$16:$K$90,'Public Expenditure'!F$1,FALSE),0)+IF(ISNUMBER(VLOOKUP('Public Expenditure'!$B56,'Local Government'!$B$16:$O$75,'Public Expenditure'!F$1,FALSE)),VLOOKUP('Public Expenditure'!$B56,'Local Government'!$B$16:$O$75,'Public Expenditure'!F$1,FALSE),0)-'Local Government'!F75</f>
        <v>30229743.5066</v>
      </c>
      <c r="G56" s="99">
        <f t="shared" si="4"/>
        <v>0.85973818724507156</v>
      </c>
      <c r="H56" s="172">
        <f t="shared" si="5"/>
        <v>-4198726.1565999985</v>
      </c>
      <c r="I56" s="99">
        <f t="shared" si="6"/>
        <v>-13.889387303876063</v>
      </c>
      <c r="J56" s="172">
        <f>+IF(ISNUMBER(VLOOKUP($B56,'Cental Budget'!$B$16:$K$90,'Public Expenditure'!J$1,FALSE)),VLOOKUP($B56,'Cental Budget'!$B$16:$K$90,'Public Expenditure'!J$1,FALSE),0)+IF(ISNUMBER(VLOOKUP('Public Expenditure'!$B56,'Local Government'!$B$16:$O$75,'Public Expenditure'!J$1,FALSE)),VLOOKUP('Public Expenditure'!$B56,'Local Government'!$B$16:$O$75,'Public Expenditure'!J$1,FALSE),0)-'Local Government'!J75</f>
        <v>26322835.82</v>
      </c>
      <c r="K56" s="99">
        <f t="shared" si="1"/>
        <v>0.78907748493659891</v>
      </c>
      <c r="L56" s="172">
        <f t="shared" si="8"/>
        <v>-291818.46999999881</v>
      </c>
      <c r="M56" s="99">
        <f t="shared" si="9"/>
        <v>-1.1086133424054339</v>
      </c>
      <c r="O56" s="81"/>
      <c r="P56" s="81"/>
      <c r="Q56" s="81"/>
      <c r="R56" s="81"/>
      <c r="CD56" s="184"/>
      <c r="CE56" s="184"/>
      <c r="CF56" s="146"/>
      <c r="CG56" s="146"/>
      <c r="CH56" s="146"/>
      <c r="CI56" s="143"/>
    </row>
    <row r="57" spans="1:87" ht="13.5" customHeight="1" thickBot="1">
      <c r="A57" s="80" t="s">
        <v>428</v>
      </c>
      <c r="B57" s="80">
        <v>432</v>
      </c>
      <c r="C57" s="97" t="s">
        <v>434</v>
      </c>
      <c r="D57" s="172">
        <f>+IF(ISNUMBER(VLOOKUP($B57,'Cental Budget'!$B$16:$K$90,'Public Expenditure'!D$1,FALSE)),VLOOKUP($B57,'Cental Budget'!$B$16:$K$90,'Public Expenditure'!D$1,FALSE),0)+IF(ISNUMBER(VLOOKUP('Public Expenditure'!$B57,'Local Government'!$B$16:$O$75,'Public Expenditure'!D$1,FALSE)),VLOOKUP('Public Expenditure'!$B57,'Local Government'!$B$16:$O$75,'Public Expenditure'!D$1,FALSE),0)</f>
        <v>0</v>
      </c>
      <c r="E57" s="99">
        <f t="shared" si="0"/>
        <v>0</v>
      </c>
      <c r="F57" s="172">
        <f>+IF(ISNUMBER(VLOOKUP($B57,'Cental Budget'!$B$16:$K$90,'Public Expenditure'!F$1,FALSE)),VLOOKUP($B57,'Cental Budget'!$B$16:$K$90,'Public Expenditure'!F$1,FALSE),0)+IF(ISNUMBER(VLOOKUP('Public Expenditure'!$B57,'Local Government'!$B$16:$O$75,'Public Expenditure'!F$1,FALSE)),VLOOKUP('Public Expenditure'!$B57,'Local Government'!$B$16:$O$75,'Public Expenditure'!F$1,FALSE),0)</f>
        <v>566949.86</v>
      </c>
      <c r="G57" s="99">
        <f t="shared" si="4"/>
        <v>1.6124134324488323E-2</v>
      </c>
      <c r="H57" s="172">
        <f t="shared" si="5"/>
        <v>-566949.86</v>
      </c>
      <c r="I57" s="99">
        <f t="shared" si="6"/>
        <v>-100</v>
      </c>
      <c r="J57" s="172">
        <f>+IF(ISNUMBER(VLOOKUP($B57,'Cental Budget'!$B$16:$K$90,'Public Expenditure'!J$1,FALSE)),VLOOKUP($B57,'Cental Budget'!$B$16:$K$90,'Public Expenditure'!J$1,FALSE),0)+IF(ISNUMBER(VLOOKUP('Public Expenditure'!$B57,'Local Government'!$B$16:$O$75,'Public Expenditure'!J$1,FALSE)),VLOOKUP('Public Expenditure'!$B57,'Local Government'!$B$16:$O$75,'Public Expenditure'!J$1,FALSE),0)</f>
        <v>2500</v>
      </c>
      <c r="K57" s="99">
        <f t="shared" si="1"/>
        <v>7.4942294433286375E-5</v>
      </c>
      <c r="L57" s="172">
        <f t="shared" si="8"/>
        <v>-2500</v>
      </c>
      <c r="M57" s="99">
        <f t="shared" si="9"/>
        <v>-100</v>
      </c>
      <c r="O57" s="81"/>
      <c r="P57" s="81"/>
      <c r="Q57" s="81"/>
      <c r="R57" s="81"/>
      <c r="CD57" s="184"/>
      <c r="CE57" s="184"/>
      <c r="CF57" s="146"/>
      <c r="CG57" s="146"/>
      <c r="CH57" s="146"/>
      <c r="CI57" s="143"/>
    </row>
    <row r="58" spans="1:87" ht="13.5" customHeight="1" thickTop="1" thickBot="1">
      <c r="B58" s="80">
        <v>44</v>
      </c>
      <c r="C58" s="203" t="s">
        <v>281</v>
      </c>
      <c r="D58" s="202">
        <f>+IF(ISNUMBER(VLOOKUP($B58,'Cental Budget'!$B$16:$K$90,'Public Expenditure'!D$1,FALSE)),VLOOKUP($B58,'Cental Budget'!$B$16:$K$90,'Public Expenditure'!D$1,FALSE),0)+IF(ISNUMBER(VLOOKUP('Public Expenditure'!$B58,'Local Government'!$B$16:$O$75,'Public Expenditure'!D$1,FALSE)),VLOOKUP('Public Expenditure'!$B58,'Local Government'!$B$16:$O$75,'Public Expenditure'!D$1,FALSE),0)</f>
        <v>15473347.75</v>
      </c>
      <c r="E58" s="198">
        <f t="shared" si="0"/>
        <v>0.44006420174531691</v>
      </c>
      <c r="F58" s="202">
        <f>+IF(ISNUMBER(VLOOKUP($B58,'Cental Budget'!$B$16:$K$90,'Public Expenditure'!F$1,FALSE)),VLOOKUP($B58,'Cental Budget'!$B$16:$K$90,'Public Expenditure'!F$1,FALSE),0)+IF(ISNUMBER(VLOOKUP('Public Expenditure'!$B58,'Local Government'!$B$16:$O$75,'Public Expenditure'!F$1,FALSE)),VLOOKUP('Public Expenditure'!$B58,'Local Government'!$B$16:$O$75,'Public Expenditure'!F$1,FALSE),0)</f>
        <v>29993424.980999999</v>
      </c>
      <c r="G58" s="198">
        <f t="shared" si="4"/>
        <v>0.8530172549034718</v>
      </c>
      <c r="H58" s="202">
        <f t="shared" si="5"/>
        <v>-14520077.230999999</v>
      </c>
      <c r="I58" s="198">
        <f t="shared" si="6"/>
        <v>-48.410867515790756</v>
      </c>
      <c r="J58" s="202">
        <f>+IF(ISNUMBER(VLOOKUP($B58,'Cental Budget'!$B$16:$K$90,'Public Expenditure'!J$1,FALSE)),VLOOKUP($B58,'Cental Budget'!$B$16:$K$90,'Public Expenditure'!J$1,FALSE),0)+IF(ISNUMBER(VLOOKUP('Public Expenditure'!$B58,'Local Government'!$B$16:$O$75,'Public Expenditure'!J$1,FALSE)),VLOOKUP('Public Expenditure'!$B58,'Local Government'!$B$16:$O$75,'Public Expenditure'!J$1,FALSE),0)</f>
        <v>10037305.629999999</v>
      </c>
      <c r="K58" s="198">
        <f t="shared" si="1"/>
        <v>0.30088748553613714</v>
      </c>
      <c r="L58" s="202">
        <f t="shared" si="8"/>
        <v>5436042.120000001</v>
      </c>
      <c r="M58" s="198">
        <f t="shared" si="9"/>
        <v>54.158379951612602</v>
      </c>
      <c r="N58" s="80">
        <f>+'Cental Budget'!D71+'Local Government'!D58</f>
        <v>15473347.75</v>
      </c>
      <c r="O58" s="273">
        <f>+D58-N58</f>
        <v>0</v>
      </c>
      <c r="P58" s="81"/>
      <c r="Q58" s="81"/>
      <c r="R58" s="81"/>
      <c r="CD58" s="184"/>
      <c r="CE58" s="184"/>
      <c r="CF58" s="146"/>
      <c r="CG58" s="146"/>
      <c r="CH58" s="146"/>
      <c r="CI58" s="143"/>
    </row>
    <row r="59" spans="1:87" ht="13.5" customHeight="1" thickTop="1">
      <c r="B59" s="80">
        <v>451</v>
      </c>
      <c r="C59" s="93" t="s">
        <v>111</v>
      </c>
      <c r="D59" s="170">
        <f>+IF(ISNUMBER(VLOOKUP($B59,'Cental Budget'!$B$16:$K$90,'Public Expenditure'!D$1,FALSE)),VLOOKUP($B59,'Cental Budget'!$B$16:$K$90,'Public Expenditure'!D$1,FALSE),0)+IF(ISNUMBER(VLOOKUP('Public Expenditure'!$B59,'Local Government'!$B$16:$O$75,'Public Expenditure'!D$1,FALSE)),VLOOKUP('Public Expenditure'!$B59,'Local Government'!$B$16:$O$75,'Public Expenditure'!D$1,FALSE),0)</f>
        <v>1225045.54</v>
      </c>
      <c r="E59" s="96">
        <f t="shared" si="0"/>
        <v>3.4840468680202748E-2</v>
      </c>
      <c r="F59" s="170">
        <f>+IF(ISNUMBER(VLOOKUP($B59,'Cental Budget'!$B$16:$K$90,'Public Expenditure'!F$1,FALSE)),VLOOKUP($B59,'Cental Budget'!$B$16:$K$90,'Public Expenditure'!F$1,FALSE),0)+IF(ISNUMBER(VLOOKUP('Public Expenditure'!$B59,'Local Government'!$B$16:$O$75,'Public Expenditure'!F$1,FALSE)),VLOOKUP('Public Expenditure'!$B59,'Local Government'!$B$16:$O$75,'Public Expenditure'!F$1,FALSE),0)</f>
        <v>904401.05799999996</v>
      </c>
      <c r="G59" s="96">
        <f t="shared" si="4"/>
        <v>2.5721294194166223E-2</v>
      </c>
      <c r="H59" s="261">
        <f t="shared" si="5"/>
        <v>320644.48200000008</v>
      </c>
      <c r="I59" s="262">
        <f t="shared" si="6"/>
        <v>35.453793332470866</v>
      </c>
      <c r="J59" s="170">
        <f>+IF(ISNUMBER(VLOOKUP($B59,'Cental Budget'!$B$16:$K$90,'Public Expenditure'!J$1,FALSE)),VLOOKUP($B59,'Cental Budget'!$B$16:$K$90,'Public Expenditure'!J$1,FALSE),0)+IF(ISNUMBER(VLOOKUP('Public Expenditure'!$B59,'Local Government'!$B$16:$O$75,'Public Expenditure'!J$1,FALSE)),VLOOKUP('Public Expenditure'!$B59,'Local Government'!$B$16:$O$75,'Public Expenditure'!J$1,FALSE),0)</f>
        <v>1038319.67</v>
      </c>
      <c r="K59" s="96">
        <f t="shared" si="1"/>
        <v>3.1125623370005101E-2</v>
      </c>
      <c r="L59" s="261">
        <f t="shared" si="8"/>
        <v>186725.87</v>
      </c>
      <c r="M59" s="262">
        <f t="shared" si="9"/>
        <v>17.983466498327999</v>
      </c>
      <c r="N59" s="80">
        <f>+'Cental Budget'!D72+'Local Government'!D59</f>
        <v>1225045.54</v>
      </c>
      <c r="O59" s="273">
        <f t="shared" ref="O59:O61" si="25">+D59-N59</f>
        <v>0</v>
      </c>
      <c r="P59" s="81"/>
      <c r="Q59" s="81"/>
      <c r="R59" s="81"/>
      <c r="CD59" s="184"/>
      <c r="CE59" s="184"/>
      <c r="CF59" s="146"/>
      <c r="CG59" s="146"/>
      <c r="CH59" s="146"/>
      <c r="CI59" s="143"/>
    </row>
    <row r="60" spans="1:87" ht="13.5" customHeight="1" thickBot="1">
      <c r="B60" s="80">
        <v>47</v>
      </c>
      <c r="C60" s="93" t="s">
        <v>118</v>
      </c>
      <c r="D60" s="170">
        <f>+IF(ISNUMBER(VLOOKUP($B60,'Cental Budget'!$B$16:$K$90,'Public Expenditure'!D$1,FALSE)),VLOOKUP($B60,'Cental Budget'!$B$16:$K$90,'Public Expenditure'!D$1,FALSE),0)+IF(ISNUMBER(VLOOKUP('Public Expenditure'!$B60,'Local Government'!$B$16:$O$75,'Public Expenditure'!D$1,FALSE)),VLOOKUP('Public Expenditure'!$B60,'Local Government'!$B$16:$O$75,'Public Expenditure'!D$1,FALSE),0)</f>
        <v>4614003.1400000006</v>
      </c>
      <c r="E60" s="96">
        <f t="shared" si="0"/>
        <v>0.13122290285594376</v>
      </c>
      <c r="F60" s="170">
        <f>+IF(ISNUMBER(VLOOKUP($B60,'Cental Budget'!$B$16:$K$90,'Public Expenditure'!F$1,FALSE)),VLOOKUP($B60,'Cental Budget'!$B$16:$K$90,'Public Expenditure'!F$1,FALSE),0)+IF(ISNUMBER(VLOOKUP('Public Expenditure'!$B60,'Local Government'!$B$16:$O$75,'Public Expenditure'!F$1,FALSE)),VLOOKUP('Public Expenditure'!$B60,'Local Government'!$B$16:$O$75,'Public Expenditure'!F$1,FALSE),0)</f>
        <v>2641301.5633</v>
      </c>
      <c r="G60" s="96">
        <f t="shared" si="4"/>
        <v>7.5118990589626733E-2</v>
      </c>
      <c r="H60" s="261">
        <f t="shared" si="5"/>
        <v>1972701.5767000006</v>
      </c>
      <c r="I60" s="262">
        <f t="shared" si="6"/>
        <v>74.68672279265752</v>
      </c>
      <c r="J60" s="170">
        <f>+IF(ISNUMBER(VLOOKUP($B60,'Cental Budget'!$B$16:$K$90,'Public Expenditure'!J$1,FALSE)),VLOOKUP($B60,'Cental Budget'!$B$16:$K$90,'Public Expenditure'!J$1,FALSE),0)+IF(ISNUMBER(VLOOKUP('Public Expenditure'!$B60,'Local Government'!$B$16:$O$75,'Public Expenditure'!J$1,FALSE)),VLOOKUP('Public Expenditure'!$B60,'Local Government'!$B$16:$O$75,'Public Expenditure'!J$1,FALSE),0)</f>
        <v>1023466.25</v>
      </c>
      <c r="K60" s="96">
        <f t="shared" si="1"/>
        <v>3.0680363620012592E-2</v>
      </c>
      <c r="L60" s="261">
        <f t="shared" si="8"/>
        <v>3590536.8900000006</v>
      </c>
      <c r="M60" s="262">
        <f t="shared" si="9"/>
        <v>350.82123030437015</v>
      </c>
      <c r="N60" s="80">
        <f>+'Cental Budget'!D73+'Local Government'!D60</f>
        <v>4614003.1400000006</v>
      </c>
      <c r="O60" s="273">
        <f t="shared" si="25"/>
        <v>0</v>
      </c>
      <c r="P60" s="81"/>
      <c r="Q60" s="81"/>
      <c r="R60" s="81"/>
      <c r="CD60" s="184"/>
      <c r="CE60" s="184"/>
      <c r="CF60" s="146"/>
      <c r="CG60" s="146"/>
      <c r="CH60" s="146"/>
      <c r="CI60" s="143"/>
    </row>
    <row r="61" spans="1:87" ht="13.5" customHeight="1" thickTop="1" thickBot="1">
      <c r="B61" s="80">
        <v>462</v>
      </c>
      <c r="C61" s="163" t="s">
        <v>113</v>
      </c>
      <c r="D61" s="186">
        <f>+IF(ISNUMBER(VLOOKUP($B61,'Cental Budget'!$B$16:$K$90,'Public Expenditure'!D$1,FALSE)),VLOOKUP($B61,'Cental Budget'!$B$16:$K$90,'Public Expenditure'!D$1,FALSE),0)+IF(ISNUMBER(VLOOKUP('Public Expenditure'!$B61,'Local Government'!$B$16:$O$75,'Public Expenditure'!D$1,FALSE)),VLOOKUP('Public Expenditure'!$B61,'Local Government'!$B$16:$O$75,'Public Expenditure'!D$1,FALSE),0)</f>
        <v>9682767.0700000003</v>
      </c>
      <c r="E61" s="165">
        <f t="shared" si="0"/>
        <v>0.27537926699446091</v>
      </c>
      <c r="F61" s="186">
        <f>+IF(ISNUMBER(VLOOKUP($B61,'Cental Budget'!$B$16:$K$90,'Public Expenditure'!F$1,FALSE)),VLOOKUP($B61,'Cental Budget'!$B$16:$K$90,'Public Expenditure'!F$1,FALSE),0)+IF(ISNUMBER(VLOOKUP('Public Expenditure'!$B61,'Local Government'!$B$16:$O$75,'Public Expenditure'!F$1,FALSE)),VLOOKUP('Public Expenditure'!$B61,'Local Government'!$B$16:$O$75,'Public Expenditure'!F$1,FALSE),0)</f>
        <v>0</v>
      </c>
      <c r="G61" s="165">
        <f t="shared" si="4"/>
        <v>0</v>
      </c>
      <c r="H61" s="266">
        <f t="shared" si="5"/>
        <v>9682767.0700000003</v>
      </c>
      <c r="I61" s="267" t="e">
        <f t="shared" si="6"/>
        <v>#DIV/0!</v>
      </c>
      <c r="J61" s="186">
        <f>+IF(ISNUMBER(VLOOKUP($B61,'Cental Budget'!$B$16:$K$90,'Public Expenditure'!J$1,FALSE)),VLOOKUP($B61,'Cental Budget'!$B$16:$K$90,'Public Expenditure'!J$1,FALSE),0)+IF(ISNUMBER(VLOOKUP('Public Expenditure'!$B61,'Local Government'!$B$16:$O$75,'Public Expenditure'!J$1,FALSE)),VLOOKUP('Public Expenditure'!$B61,'Local Government'!$B$16:$O$75,'Public Expenditure'!J$1,FALSE),0)</f>
        <v>0</v>
      </c>
      <c r="K61" s="165">
        <f t="shared" si="1"/>
        <v>0</v>
      </c>
      <c r="L61" s="266">
        <f t="shared" si="8"/>
        <v>9682767.0700000003</v>
      </c>
      <c r="M61" s="267" t="e">
        <f t="shared" si="9"/>
        <v>#DIV/0!</v>
      </c>
      <c r="N61" s="80">
        <f>+'Cental Budget'!D74</f>
        <v>9682767.0700000003</v>
      </c>
      <c r="O61" s="273">
        <f t="shared" si="25"/>
        <v>0</v>
      </c>
      <c r="P61" s="81"/>
      <c r="Q61" s="81"/>
      <c r="R61" s="81"/>
      <c r="CD61" s="184"/>
      <c r="CE61" s="184"/>
      <c r="CF61" s="146"/>
      <c r="CG61" s="146"/>
      <c r="CH61" s="146"/>
      <c r="CI61" s="143"/>
    </row>
    <row r="62" spans="1:87" ht="13.5" customHeight="1" thickTop="1" thickBot="1">
      <c r="B62" s="80">
        <v>990</v>
      </c>
      <c r="C62" s="162" t="s">
        <v>152</v>
      </c>
      <c r="D62" s="170">
        <f>+IF(ISNUMBER(VLOOKUP($B62,'Cental Budget'!$B$16:$K$90,'Public Expenditure'!D$1,FALSE)),VLOOKUP($B62,'Cental Budget'!$B$16:$K$90,'Public Expenditure'!D$1,FALSE),0)+IF(ISNUMBER(VLOOKUP('Public Expenditure'!$B62,'Local Government'!$B$16:$O$75,'Public Expenditure'!D$1,FALSE)),VLOOKUP('Public Expenditure'!$B62,'Local Government'!$B$16:$O$75,'Public Expenditure'!D$1,FALSE),0)</f>
        <v>0</v>
      </c>
      <c r="E62" s="96">
        <f t="shared" si="0"/>
        <v>0</v>
      </c>
      <c r="F62" s="170">
        <f>+IF(ISNUMBER(VLOOKUP($B62,'Cental Budget'!$B$16:$K$90,'Public Expenditure'!F$1,FALSE)),VLOOKUP($B62,'Cental Budget'!$B$16:$K$90,'Public Expenditure'!F$1,FALSE),0)+IF(ISNUMBER(VLOOKUP('Public Expenditure'!$B62,'Local Government'!$B$16:$O$75,'Public Expenditure'!F$1,FALSE)),VLOOKUP('Public Expenditure'!$B62,'Local Government'!$B$16:$O$75,'Public Expenditure'!F$1,FALSE),0)</f>
        <v>0</v>
      </c>
      <c r="G62" s="96">
        <f t="shared" si="4"/>
        <v>0</v>
      </c>
      <c r="H62" s="261">
        <f t="shared" si="5"/>
        <v>0</v>
      </c>
      <c r="I62" s="262" t="e">
        <f t="shared" si="6"/>
        <v>#DIV/0!</v>
      </c>
      <c r="J62" s="170">
        <f>+IF(ISNUMBER(VLOOKUP($B62,'Cental Budget'!$B$16:$K$90,'Public Expenditure'!J$1,FALSE)),VLOOKUP($B62,'Cental Budget'!$B$16:$K$90,'Public Expenditure'!J$1,FALSE),0)+IF(ISNUMBER(VLOOKUP('Public Expenditure'!$B62,'Local Government'!$B$16:$O$75,'Public Expenditure'!J$1,FALSE)),VLOOKUP('Public Expenditure'!$B62,'Local Government'!$B$16:$O$75,'Public Expenditure'!J$1,FALSE),0)</f>
        <v>0</v>
      </c>
      <c r="K62" s="96">
        <f t="shared" si="1"/>
        <v>0</v>
      </c>
      <c r="L62" s="261">
        <f t="shared" si="8"/>
        <v>0</v>
      </c>
      <c r="M62" s="262" t="e">
        <f t="shared" si="9"/>
        <v>#DIV/0!</v>
      </c>
      <c r="O62" s="81"/>
      <c r="P62" s="81"/>
      <c r="Q62" s="81"/>
      <c r="R62" s="81"/>
      <c r="CD62" s="184"/>
      <c r="CE62" s="184"/>
      <c r="CF62" s="146"/>
      <c r="CG62" s="146"/>
      <c r="CH62" s="146"/>
      <c r="CI62" s="143"/>
    </row>
    <row r="63" spans="1:87" ht="13.5" customHeight="1" thickTop="1" thickBot="1">
      <c r="C63" s="203" t="s">
        <v>132</v>
      </c>
      <c r="D63" s="197">
        <f t="shared" ref="D63" si="26">+D16-D36</f>
        <v>-24981900.00000006</v>
      </c>
      <c r="E63" s="198">
        <f t="shared" si="0"/>
        <v>-0.71048877458217519</v>
      </c>
      <c r="F63" s="197">
        <f t="shared" ref="F63" si="27">+F16-F36</f>
        <v>-81023896.845594645</v>
      </c>
      <c r="G63" s="198">
        <f t="shared" si="4"/>
        <v>-2.304331102986521</v>
      </c>
      <c r="H63" s="197">
        <f t="shared" si="5"/>
        <v>56041996.845594585</v>
      </c>
      <c r="I63" s="198">
        <f t="shared" si="6"/>
        <v>-69.167244513544588</v>
      </c>
      <c r="J63" s="197">
        <f t="shared" ref="J63" si="28">+J16-J36</f>
        <v>-40453294.609497905</v>
      </c>
      <c r="K63" s="198">
        <f t="shared" si="1"/>
        <v>-1.2126650861685873</v>
      </c>
      <c r="L63" s="197">
        <f t="shared" si="8"/>
        <v>15471394.609497845</v>
      </c>
      <c r="M63" s="198">
        <f t="shared" si="9"/>
        <v>-38.245079316396058</v>
      </c>
      <c r="N63" s="80">
        <f>+'Cental Budget'!D76+'Local Government'!D63</f>
        <v>-24981900.000000063</v>
      </c>
      <c r="O63" s="273">
        <f>+D63-N63</f>
        <v>0</v>
      </c>
      <c r="P63" s="273">
        <f>+O63-'Local Government'!D75</f>
        <v>-325628.77</v>
      </c>
      <c r="Q63" s="81"/>
      <c r="R63" s="81"/>
      <c r="CD63" s="184"/>
      <c r="CE63" s="184"/>
      <c r="CF63" s="146"/>
      <c r="CG63" s="146"/>
      <c r="CH63" s="146"/>
      <c r="CI63" s="143"/>
    </row>
    <row r="64" spans="1:87" ht="13.5" customHeight="1" thickTop="1" thickBot="1">
      <c r="C64" s="203" t="s">
        <v>133</v>
      </c>
      <c r="D64" s="197">
        <f t="shared" ref="D64" si="29">+D63+D44</f>
        <v>-16093138.66000006</v>
      </c>
      <c r="E64" s="198">
        <f t="shared" si="0"/>
        <v>-0.4576911430165217</v>
      </c>
      <c r="F64" s="197">
        <f t="shared" ref="F64" si="30">+F63+F44</f>
        <v>-62016075.782194644</v>
      </c>
      <c r="G64" s="198">
        <f t="shared" si="4"/>
        <v>-1.7637459795646719</v>
      </c>
      <c r="H64" s="197">
        <f t="shared" si="5"/>
        <v>45922937.122194588</v>
      </c>
      <c r="I64" s="198">
        <f t="shared" si="6"/>
        <v>-74.050053220844816</v>
      </c>
      <c r="J64" s="197">
        <f t="shared" ref="J64" si="31">+J63+J44</f>
        <v>-35313360.019497901</v>
      </c>
      <c r="K64" s="198">
        <f t="shared" si="1"/>
        <v>-1.0585856896039421</v>
      </c>
      <c r="L64" s="197">
        <f t="shared" si="8"/>
        <v>19220221.359497841</v>
      </c>
      <c r="M64" s="198">
        <f t="shared" si="9"/>
        <v>-54.427619883482052</v>
      </c>
      <c r="O64" s="273">
        <v>246309.15120001836</v>
      </c>
      <c r="P64" s="81"/>
      <c r="Q64" s="81"/>
      <c r="R64" s="81"/>
      <c r="CD64" s="184"/>
      <c r="CE64" s="184"/>
      <c r="CF64" s="146"/>
      <c r="CG64" s="146"/>
      <c r="CH64" s="146"/>
      <c r="CI64" s="143"/>
    </row>
    <row r="65" spans="2:87" ht="13.5" customHeight="1" thickTop="1" thickBot="1">
      <c r="C65" s="203" t="s">
        <v>0</v>
      </c>
      <c r="D65" s="197">
        <f t="shared" ref="D65" si="32">+SUM(D66:D68)</f>
        <v>31807901.869999997</v>
      </c>
      <c r="E65" s="198">
        <f t="shared" si="0"/>
        <v>0.90462123463973221</v>
      </c>
      <c r="F65" s="197">
        <f t="shared" ref="F65" si="33">+SUM(F66:F68)</f>
        <v>55810992.530699998</v>
      </c>
      <c r="G65" s="198">
        <f t="shared" si="4"/>
        <v>1.587272532967944</v>
      </c>
      <c r="H65" s="197">
        <f t="shared" si="5"/>
        <v>-24003090.660700001</v>
      </c>
      <c r="I65" s="198">
        <f t="shared" si="6"/>
        <v>-43.007819019696882</v>
      </c>
      <c r="J65" s="197">
        <f t="shared" ref="J65" si="34">+SUM(J66:J68)</f>
        <v>46294811.5</v>
      </c>
      <c r="K65" s="198">
        <f t="shared" si="1"/>
        <v>1.3877757576665968</v>
      </c>
      <c r="L65" s="197">
        <f t="shared" si="8"/>
        <v>-14486909.630000003</v>
      </c>
      <c r="M65" s="198">
        <f t="shared" si="9"/>
        <v>-31.292728408668438</v>
      </c>
      <c r="O65" s="81"/>
      <c r="P65" s="81"/>
      <c r="Q65" s="81"/>
      <c r="R65" s="81"/>
      <c r="CD65" s="184"/>
      <c r="CE65" s="184"/>
      <c r="CF65" s="146"/>
      <c r="CG65" s="146"/>
      <c r="CH65" s="146"/>
      <c r="CI65" s="143"/>
    </row>
    <row r="66" spans="2:87" ht="13.5" customHeight="1" thickTop="1">
      <c r="B66" s="80">
        <v>4611</v>
      </c>
      <c r="C66" s="97" t="s">
        <v>135</v>
      </c>
      <c r="D66" s="172">
        <f>+IF(ISNUMBER(VLOOKUP($B66,'Cental Budget'!$B$16:$K$90,'Public Expenditure'!D$1,FALSE)),VLOOKUP($B66,'Cental Budget'!$B$16:$K$90,'Public Expenditure'!D$1,FALSE),0)+IF(ISNUMBER(VLOOKUP('Public Expenditure'!$B66,'Local Government'!$B$16:$O$75,'Public Expenditure'!D$1,FALSE)),VLOOKUP('Public Expenditure'!$B66,'Local Government'!$B$16:$O$75,'Public Expenditure'!D$1,FALSE),0)</f>
        <v>8787279.3599999994</v>
      </c>
      <c r="E66" s="99">
        <f t="shared" si="0"/>
        <v>0.24991146967995331</v>
      </c>
      <c r="F66" s="172">
        <f>+IF(ISNUMBER(VLOOKUP($B66,'Cental Budget'!$B$16:$K$90,'Public Expenditure'!F$1,FALSE)),VLOOKUP($B66,'Cental Budget'!$B$16:$K$90,'Public Expenditure'!F$1,FALSE),0)+IF(ISNUMBER(VLOOKUP('Public Expenditure'!$B66,'Local Government'!$B$16:$O$75,'Public Expenditure'!F$1,FALSE)),VLOOKUP('Public Expenditure'!$B66,'Local Government'!$B$16:$O$75,'Public Expenditure'!F$1,FALSE),0)</f>
        <v>9192009.1492999997</v>
      </c>
      <c r="G66" s="99">
        <f t="shared" si="4"/>
        <v>0.26142204221593568</v>
      </c>
      <c r="H66" s="263">
        <f t="shared" si="5"/>
        <v>-404729.7893000003</v>
      </c>
      <c r="I66" s="264">
        <f t="shared" si="6"/>
        <v>-4.4030612102993985</v>
      </c>
      <c r="J66" s="172">
        <f>+IF(ISNUMBER(VLOOKUP($B66,'Cental Budget'!$B$16:$K$90,'Public Expenditure'!J$1,FALSE)),VLOOKUP($B66,'Cental Budget'!$B$16:$K$90,'Public Expenditure'!J$1,FALSE),0)+IF(ISNUMBER(VLOOKUP('Public Expenditure'!$B66,'Local Government'!$B$16:$O$75,'Public Expenditure'!J$1,FALSE)),VLOOKUP('Public Expenditure'!$B66,'Local Government'!$B$16:$O$75,'Public Expenditure'!J$1,FALSE),0)</f>
        <v>14697334.51</v>
      </c>
      <c r="K66" s="99">
        <f t="shared" si="1"/>
        <v>0.44058078809316831</v>
      </c>
      <c r="L66" s="263">
        <f t="shared" si="8"/>
        <v>-5910055.1500000004</v>
      </c>
      <c r="M66" s="264">
        <f t="shared" si="9"/>
        <v>-40.211748232162947</v>
      </c>
      <c r="O66" s="81"/>
      <c r="P66" s="81"/>
      <c r="Q66" s="81"/>
      <c r="R66" s="81"/>
      <c r="CD66" s="184"/>
      <c r="CE66" s="184"/>
      <c r="CF66" s="146"/>
      <c r="CG66" s="146"/>
      <c r="CH66" s="146"/>
      <c r="CI66" s="143"/>
    </row>
    <row r="67" spans="2:87" ht="13.5" customHeight="1">
      <c r="B67" s="80">
        <v>4612</v>
      </c>
      <c r="C67" s="97" t="s">
        <v>137</v>
      </c>
      <c r="D67" s="172">
        <f>+IF(ISNUMBER(VLOOKUP($B67,'Cental Budget'!$B$16:$K$90,'Public Expenditure'!D$1,FALSE)),VLOOKUP($B67,'Cental Budget'!$B$16:$K$90,'Public Expenditure'!D$1,FALSE),0)+IF(ISNUMBER(VLOOKUP('Public Expenditure'!$B67,'Local Government'!$B$16:$O$75,'Public Expenditure'!D$1,FALSE)),VLOOKUP('Public Expenditure'!$B67,'Local Government'!$B$16:$O$75,'Public Expenditure'!D$1,FALSE),0)</f>
        <v>7692739.2599999998</v>
      </c>
      <c r="E67" s="99">
        <f t="shared" si="0"/>
        <v>0.21878259419890306</v>
      </c>
      <c r="F67" s="172">
        <f>+IF(ISNUMBER(VLOOKUP($B67,'Cental Budget'!$B$16:$K$90,'Public Expenditure'!F$1,FALSE)),VLOOKUP($B67,'Cental Budget'!$B$16:$K$90,'Public Expenditure'!F$1,FALSE),0)+IF(ISNUMBER(VLOOKUP('Public Expenditure'!$B67,'Local Government'!$B$16:$O$75,'Public Expenditure'!F$1,FALSE)),VLOOKUP('Public Expenditure'!$B67,'Local Government'!$B$16:$O$75,'Public Expenditure'!F$1,FALSE),0)</f>
        <v>27792828.908500001</v>
      </c>
      <c r="G67" s="99">
        <f t="shared" si="4"/>
        <v>0.7904319908962959</v>
      </c>
      <c r="H67" s="263">
        <f t="shared" si="5"/>
        <v>-20100089.648500003</v>
      </c>
      <c r="I67" s="264">
        <f t="shared" si="6"/>
        <v>-72.321136199103165</v>
      </c>
      <c r="J67" s="172">
        <f>+IF(ISNUMBER(VLOOKUP($B67,'Cental Budget'!$B$16:$K$90,'Public Expenditure'!J$1,FALSE)),VLOOKUP($B67,'Cental Budget'!$B$16:$K$90,'Public Expenditure'!J$1,FALSE),0)+IF(ISNUMBER(VLOOKUP('Public Expenditure'!$B67,'Local Government'!$B$16:$O$75,'Public Expenditure'!J$1,FALSE)),VLOOKUP('Public Expenditure'!$B67,'Local Government'!$B$16:$O$75,'Public Expenditure'!J$1,FALSE),0)</f>
        <v>7370033.8999999994</v>
      </c>
      <c r="K67" s="99">
        <f t="shared" si="1"/>
        <v>0.2209309002068407</v>
      </c>
      <c r="L67" s="263">
        <f t="shared" si="8"/>
        <v>322705.36000000034</v>
      </c>
      <c r="M67" s="264">
        <f t="shared" si="9"/>
        <v>4.3786143236057598</v>
      </c>
      <c r="O67" s="81"/>
      <c r="P67" s="81"/>
      <c r="Q67" s="81"/>
      <c r="R67" s="81"/>
      <c r="CD67" s="184"/>
      <c r="CE67" s="184"/>
      <c r="CF67" s="146"/>
      <c r="CG67" s="146"/>
      <c r="CH67" s="146"/>
      <c r="CI67" s="143"/>
    </row>
    <row r="68" spans="2:87" ht="13.5" customHeight="1" thickBot="1">
      <c r="B68" s="80">
        <v>4630</v>
      </c>
      <c r="C68" s="97" t="s">
        <v>116</v>
      </c>
      <c r="D68" s="172">
        <f>+IF(ISNUMBER(VLOOKUP($B68,'Cental Budget'!$B$16:$K$90,'Public Expenditure'!D$1,FALSE)),VLOOKUP($B68,'Cental Budget'!$B$16:$K$90,'Public Expenditure'!D$1,FALSE),0)+IF(ISNUMBER(VLOOKUP('Public Expenditure'!$B68,'Local Government'!$B$16:$O$75,'Public Expenditure'!D$1,FALSE)),VLOOKUP('Public Expenditure'!$B68,'Local Government'!$B$16:$O$75,'Public Expenditure'!D$1,FALSE),0)</f>
        <v>15327883.25</v>
      </c>
      <c r="E68" s="99">
        <f t="shared" si="0"/>
        <v>0.43592717076087584</v>
      </c>
      <c r="F68" s="172">
        <f>+IF(ISNUMBER(VLOOKUP($B68,'Cental Budget'!$B$16:$K$90,'Public Expenditure'!F$1,FALSE)),VLOOKUP($B68,'Cental Budget'!$B$16:$K$90,'Public Expenditure'!F$1,FALSE),0)+IF(ISNUMBER(VLOOKUP('Public Expenditure'!$B68,'Local Government'!$B$16:$O$75,'Public Expenditure'!F$1,FALSE)),VLOOKUP('Public Expenditure'!$B68,'Local Government'!$B$16:$O$75,'Public Expenditure'!F$1,FALSE),0)</f>
        <v>18826154.472899999</v>
      </c>
      <c r="G68" s="99">
        <f t="shared" si="4"/>
        <v>0.53541849985571255</v>
      </c>
      <c r="H68" s="263">
        <f t="shared" si="5"/>
        <v>-3498271.2228999995</v>
      </c>
      <c r="I68" s="264">
        <f t="shared" si="6"/>
        <v>-18.58197449689321</v>
      </c>
      <c r="J68" s="172">
        <f>+IF(ISNUMBER(VLOOKUP($B68,'Cental Budget'!$B$16:$K$90,'Public Expenditure'!J$1,FALSE)),VLOOKUP($B68,'Cental Budget'!$B$16:$K$90,'Public Expenditure'!J$1,FALSE),0)+IF(ISNUMBER(VLOOKUP('Public Expenditure'!$B68,'Local Government'!$B$16:$O$75,'Public Expenditure'!J$1,FALSE)),VLOOKUP('Public Expenditure'!$B68,'Local Government'!$B$16:$O$75,'Public Expenditure'!J$1,FALSE),0)</f>
        <v>24227443.09</v>
      </c>
      <c r="K68" s="99">
        <f t="shared" si="1"/>
        <v>0.72626406936658772</v>
      </c>
      <c r="L68" s="263">
        <f t="shared" si="8"/>
        <v>-8899559.8399999999</v>
      </c>
      <c r="M68" s="264">
        <f t="shared" si="9"/>
        <v>-36.733384562869276</v>
      </c>
      <c r="O68" s="81"/>
      <c r="P68" s="81"/>
      <c r="Q68" s="81"/>
      <c r="R68" s="81"/>
      <c r="CD68" s="184"/>
      <c r="CE68" s="184"/>
      <c r="CF68" s="146"/>
      <c r="CG68" s="146"/>
      <c r="CH68" s="146"/>
      <c r="CI68" s="143"/>
    </row>
    <row r="69" spans="2:87" ht="13.5" customHeight="1" thickTop="1" thickBot="1">
      <c r="C69" s="203" t="s">
        <v>141</v>
      </c>
      <c r="D69" s="197">
        <f t="shared" ref="D69" si="35">+D63-D65</f>
        <v>-56789801.870000057</v>
      </c>
      <c r="E69" s="198">
        <f t="shared" si="0"/>
        <v>-1.6151100092219075</v>
      </c>
      <c r="F69" s="197">
        <f t="shared" ref="F69" si="36">+F63-F65</f>
        <v>-136834889.37629464</v>
      </c>
      <c r="G69" s="198">
        <f t="shared" si="4"/>
        <v>-3.891603635954465</v>
      </c>
      <c r="H69" s="197">
        <f t="shared" si="5"/>
        <v>80045087.506294578</v>
      </c>
      <c r="I69" s="198">
        <f t="shared" si="6"/>
        <v>-58.497571687416176</v>
      </c>
      <c r="J69" s="197">
        <f t="shared" ref="J69" si="37">+J63-J65</f>
        <v>-86748106.109497905</v>
      </c>
      <c r="K69" s="198">
        <f t="shared" si="1"/>
        <v>-2.6004408438351843</v>
      </c>
      <c r="L69" s="197">
        <f t="shared" si="8"/>
        <v>29958304.239497848</v>
      </c>
      <c r="M69" s="198">
        <f t="shared" si="9"/>
        <v>-34.534822237713115</v>
      </c>
      <c r="O69" s="81"/>
      <c r="P69" s="81"/>
      <c r="Q69" s="81"/>
      <c r="R69" s="81"/>
      <c r="CD69" s="184"/>
      <c r="CE69" s="184"/>
      <c r="CF69" s="146"/>
      <c r="CG69" s="146"/>
      <c r="CH69" s="146"/>
      <c r="CI69" s="143"/>
    </row>
    <row r="70" spans="2:87" ht="13.5" customHeight="1" thickTop="1" thickBot="1">
      <c r="C70" s="203" t="s">
        <v>121</v>
      </c>
      <c r="D70" s="197">
        <f t="shared" ref="D70" si="38">+SUM(D71:D74)</f>
        <v>56789801.870000057</v>
      </c>
      <c r="E70" s="198">
        <f t="shared" si="0"/>
        <v>1.6151100092219075</v>
      </c>
      <c r="F70" s="197">
        <f t="shared" ref="F70" si="39">+SUM(F71:F74)</f>
        <v>136834889.37629464</v>
      </c>
      <c r="G70" s="198">
        <f t="shared" si="4"/>
        <v>3.891603635954465</v>
      </c>
      <c r="H70" s="197">
        <f t="shared" si="5"/>
        <v>-80045087.506294578</v>
      </c>
      <c r="I70" s="198">
        <f t="shared" si="6"/>
        <v>-58.497571687416176</v>
      </c>
      <c r="J70" s="197">
        <f t="shared" ref="J70" si="40">+SUM(J71:J74)</f>
        <v>86748106.109497905</v>
      </c>
      <c r="K70" s="198">
        <f t="shared" si="1"/>
        <v>2.6004408438351843</v>
      </c>
      <c r="L70" s="197">
        <f t="shared" si="8"/>
        <v>-29958304.239497848</v>
      </c>
      <c r="M70" s="198">
        <f t="shared" si="9"/>
        <v>-34.534822237713115</v>
      </c>
      <c r="O70" s="81"/>
      <c r="P70" s="81"/>
      <c r="Q70" s="81"/>
      <c r="R70" s="81"/>
      <c r="CD70" s="184"/>
      <c r="CE70" s="184"/>
      <c r="CF70" s="146"/>
      <c r="CG70" s="146"/>
      <c r="CH70" s="146"/>
      <c r="CI70" s="143"/>
    </row>
    <row r="71" spans="2:87" ht="13.5" customHeight="1" thickTop="1">
      <c r="B71" s="80">
        <v>7511</v>
      </c>
      <c r="C71" s="97" t="s">
        <v>144</v>
      </c>
      <c r="D71" s="172">
        <f>+IF(ISNUMBER(VLOOKUP($B71,'Cental Budget'!$B$16:$K$90,'Public Expenditure'!D$1,FALSE)),VLOOKUP($B71,'Cental Budget'!$B$16:$K$90,'Public Expenditure'!D$1,FALSE),0)+IF(ISNUMBER(VLOOKUP('Public Expenditure'!$B71,'Local Government'!$B$16:$O$75,'Public Expenditure'!D$1,FALSE)),VLOOKUP('Public Expenditure'!$B71,'Local Government'!$B$16:$O$75,'Public Expenditure'!D$1,FALSE),0)</f>
        <v>78535011.960000008</v>
      </c>
      <c r="E71" s="99">
        <f t="shared" si="0"/>
        <v>2.2335468643000231</v>
      </c>
      <c r="F71" s="172">
        <f>+IF(ISNUMBER(VLOOKUP($B71,'Cental Budget'!$B$16:$K$90,'Public Expenditure'!F$1,FALSE)),VLOOKUP($B71,'Cental Budget'!$B$16:$K$90,'Public Expenditure'!F$1,FALSE),0)+IF(ISNUMBER(VLOOKUP('Public Expenditure'!$B71,'Local Government'!$B$16:$O$75,'Public Expenditure'!F$1,FALSE)),VLOOKUP('Public Expenditure'!$B71,'Local Government'!$B$16:$O$75,'Public Expenditure'!F$1,FALSE),0)</f>
        <v>1131447.801</v>
      </c>
      <c r="G71" s="99">
        <f t="shared" si="4"/>
        <v>3.2178535725312526E-2</v>
      </c>
      <c r="H71" s="263">
        <f t="shared" si="5"/>
        <v>77403564.159000009</v>
      </c>
      <c r="I71" s="264">
        <f t="shared" si="6"/>
        <v>6841.1078346335489</v>
      </c>
      <c r="J71" s="172">
        <f>+IF(ISNUMBER(VLOOKUP($B71,'Cental Budget'!$B$16:$K$90,'Public Expenditure'!J$1,FALSE)),VLOOKUP($B71,'Cental Budget'!$B$16:$K$90,'Public Expenditure'!J$1,FALSE),0)+IF(ISNUMBER(VLOOKUP('Public Expenditure'!$B71,'Local Government'!$B$16:$O$75,'Public Expenditure'!J$1,FALSE)),VLOOKUP('Public Expenditure'!$B71,'Local Government'!$B$16:$O$75,'Public Expenditure'!J$1,FALSE),0)</f>
        <v>28080762.550000001</v>
      </c>
      <c r="K71" s="99">
        <f t="shared" si="1"/>
        <v>0.8417747099733206</v>
      </c>
      <c r="L71" s="263">
        <f t="shared" si="8"/>
        <v>50454249.410000011</v>
      </c>
      <c r="M71" s="264">
        <f t="shared" si="9"/>
        <v>179.67549606305118</v>
      </c>
      <c r="O71" s="81"/>
      <c r="P71" s="81"/>
      <c r="Q71" s="81"/>
      <c r="R71" s="81"/>
      <c r="CD71" s="184"/>
      <c r="CE71" s="184"/>
      <c r="CF71" s="146"/>
      <c r="CG71" s="146"/>
      <c r="CH71" s="146"/>
      <c r="CI71" s="143"/>
    </row>
    <row r="72" spans="2:87" ht="13.5" customHeight="1">
      <c r="B72" s="80">
        <v>7512</v>
      </c>
      <c r="C72" s="97" t="s">
        <v>122</v>
      </c>
      <c r="D72" s="172">
        <f>+IF(ISNUMBER(VLOOKUP($B72,'Cental Budget'!$B$16:$K$90,'Public Expenditure'!D$1,FALSE)),VLOOKUP($B72,'Cental Budget'!$B$16:$K$90,'Public Expenditure'!D$1,FALSE),0)+IF(ISNUMBER(VLOOKUP('Public Expenditure'!$B72,'Local Government'!$B$16:$O$75,'Public Expenditure'!D$1,FALSE)),VLOOKUP('Public Expenditure'!$B72,'Local Government'!$B$16:$O$75,'Public Expenditure'!D$1,FALSE),0)</f>
        <v>713103.67999999993</v>
      </c>
      <c r="E72" s="99">
        <f t="shared" si="0"/>
        <v>2.0280769667368709E-2</v>
      </c>
      <c r="F72" s="172">
        <f>+IF(ISNUMBER(VLOOKUP($B72,'Cental Budget'!$B$16:$K$90,'Public Expenditure'!F$1,FALSE)),VLOOKUP($B72,'Cental Budget'!$B$16:$K$90,'Public Expenditure'!F$1,FALSE),0)+IF(ISNUMBER(VLOOKUP('Public Expenditure'!$B72,'Local Government'!$B$16:$O$75,'Public Expenditure'!F$1,FALSE)),VLOOKUP('Public Expenditure'!$B72,'Local Government'!$B$16:$O$75,'Public Expenditure'!F$1,FALSE),0)</f>
        <v>57393177.443507358</v>
      </c>
      <c r="G72" s="99">
        <f t="shared" si="4"/>
        <v>1.632270095998094</v>
      </c>
      <c r="H72" s="263">
        <f t="shared" si="5"/>
        <v>-56680073.763507359</v>
      </c>
      <c r="I72" s="264">
        <f t="shared" si="6"/>
        <v>-98.757511412045602</v>
      </c>
      <c r="J72" s="172">
        <f>+IF(ISNUMBER(VLOOKUP($B72,'Cental Budget'!$B$16:$K$90,'Public Expenditure'!J$1,FALSE)),VLOOKUP($B72,'Cental Budget'!$B$16:$K$90,'Public Expenditure'!J$1,FALSE),0)+IF(ISNUMBER(VLOOKUP('Public Expenditure'!$B72,'Local Government'!$B$16:$O$75,'Public Expenditure'!J$1,FALSE)),VLOOKUP('Public Expenditure'!$B72,'Local Government'!$B$16:$O$75,'Public Expenditure'!J$1,FALSE),0)</f>
        <v>38104892.810000002</v>
      </c>
      <c r="K72" s="99">
        <f t="shared" si="1"/>
        <v>1.1422672385263348</v>
      </c>
      <c r="L72" s="263">
        <f t="shared" si="8"/>
        <v>-37391789.130000003</v>
      </c>
      <c r="M72" s="264">
        <f t="shared" si="9"/>
        <v>-98.128577126418634</v>
      </c>
      <c r="O72" s="81"/>
      <c r="P72" s="81"/>
      <c r="Q72" s="81"/>
      <c r="R72" s="81"/>
      <c r="CD72" s="184"/>
      <c r="CE72" s="184"/>
      <c r="CF72" s="146"/>
      <c r="CG72" s="146"/>
      <c r="CH72" s="146"/>
      <c r="CI72" s="143"/>
    </row>
    <row r="73" spans="2:87" ht="13.5" customHeight="1" thickBot="1">
      <c r="B73" s="80">
        <v>72</v>
      </c>
      <c r="C73" s="104" t="s">
        <v>329</v>
      </c>
      <c r="D73" s="172">
        <f>+IF(ISNUMBER(VLOOKUP($B73,'Cental Budget'!$B$16:$K$90,'Public Expenditure'!D$1,FALSE)),VLOOKUP($B73,'Cental Budget'!$B$16:$K$90,'Public Expenditure'!D$1,FALSE),0)+IF(ISNUMBER(VLOOKUP('Public Expenditure'!$B73,'Local Government'!$B$16:$O$75,'Public Expenditure'!D$1,FALSE)),VLOOKUP('Public Expenditure'!$B73,'Local Government'!$B$16:$O$75,'Public Expenditure'!D$1,FALSE),0)</f>
        <v>841454.75</v>
      </c>
      <c r="E73" s="105">
        <f t="shared" si="0"/>
        <v>2.3931092278563649E-2</v>
      </c>
      <c r="F73" s="172">
        <f>+IF(ISNUMBER(VLOOKUP($B73,'Cental Budget'!$B$16:$K$90,'Public Expenditure'!F$1,FALSE)),VLOOKUP($B73,'Cental Budget'!$B$16:$K$90,'Public Expenditure'!F$1,FALSE),0)+IF(ISNUMBER(VLOOKUP('Public Expenditure'!$B73,'Local Government'!$B$16:$O$75,'Public Expenditure'!F$1,FALSE)),VLOOKUP('Public Expenditure'!$B73,'Local Government'!$B$16:$O$75,'Public Expenditure'!F$1,FALSE),0)</f>
        <v>4896309.5558000002</v>
      </c>
      <c r="G73" s="105">
        <f t="shared" si="4"/>
        <v>0.13925173730882473</v>
      </c>
      <c r="H73" s="263">
        <f t="shared" si="5"/>
        <v>-4054854.8058000002</v>
      </c>
      <c r="I73" s="264">
        <f t="shared" si="6"/>
        <v>-82.814510798173671</v>
      </c>
      <c r="J73" s="172">
        <f>+IF(ISNUMBER(VLOOKUP($B73,'Cental Budget'!$B$16:$K$90,'Public Expenditure'!J$1,FALSE)),VLOOKUP($B73,'Cental Budget'!$B$16:$K$90,'Public Expenditure'!J$1,FALSE),0)+IF(ISNUMBER(VLOOKUP('Public Expenditure'!$B73,'Local Government'!$B$16:$O$75,'Public Expenditure'!J$1,FALSE)),VLOOKUP('Public Expenditure'!$B73,'Local Government'!$B$16:$O$75,'Public Expenditure'!J$1,FALSE),0)</f>
        <v>3632640.7600000002</v>
      </c>
      <c r="K73" s="105">
        <f t="shared" si="1"/>
        <v>0.10889537336251087</v>
      </c>
      <c r="L73" s="263">
        <f t="shared" si="8"/>
        <v>-2791186.0100000002</v>
      </c>
      <c r="M73" s="264">
        <f t="shared" si="9"/>
        <v>-76.836279566493658</v>
      </c>
      <c r="O73" s="81"/>
      <c r="P73" s="81"/>
      <c r="Q73" s="81"/>
      <c r="R73" s="81"/>
      <c r="CD73" s="184"/>
      <c r="CE73" s="184"/>
      <c r="CF73" s="146"/>
      <c r="CG73" s="146"/>
      <c r="CH73" s="146"/>
      <c r="CI73" s="143"/>
    </row>
    <row r="74" spans="2:87" ht="13.5" customHeight="1" thickTop="1" thickBot="1">
      <c r="C74" s="163" t="s">
        <v>125</v>
      </c>
      <c r="D74" s="164">
        <f>-D69-SUM(D71:D73)</f>
        <v>-23299768.519999959</v>
      </c>
      <c r="E74" s="165">
        <f t="shared" si="0"/>
        <v>-0.66264871702404837</v>
      </c>
      <c r="F74" s="164">
        <f>-F69-SUM(F71:F73)</f>
        <v>73413954.575987279</v>
      </c>
      <c r="G74" s="165">
        <f t="shared" si="4"/>
        <v>2.0879032669222339</v>
      </c>
      <c r="H74" s="260">
        <f t="shared" si="5"/>
        <v>-96713723.095987231</v>
      </c>
      <c r="I74" s="267">
        <f t="shared" si="6"/>
        <v>-131.73752000497873</v>
      </c>
      <c r="J74" s="164">
        <f>-J69-SUM(J71:J73)</f>
        <v>16929809.9894979</v>
      </c>
      <c r="K74" s="165">
        <f t="shared" si="1"/>
        <v>0.50750352197301785</v>
      </c>
      <c r="L74" s="260">
        <f t="shared" si="8"/>
        <v>-40229578.509497859</v>
      </c>
      <c r="M74" s="267">
        <f t="shared" si="9"/>
        <v>-237.62569417172165</v>
      </c>
      <c r="O74" s="81"/>
      <c r="P74" s="81"/>
      <c r="Q74" s="81"/>
      <c r="R74" s="81"/>
      <c r="CD74" s="184"/>
      <c r="CE74" s="184"/>
      <c r="CF74" s="146"/>
      <c r="CG74" s="146"/>
      <c r="CH74" s="146"/>
      <c r="CI74" s="143"/>
    </row>
    <row r="75" spans="2:87" ht="13.5" thickTop="1">
      <c r="C75" s="107" t="str">
        <f>IF(MasterSheet!$A$1=1,MasterSheet!C151,MasterSheet!B151)</f>
        <v>Izvor: Ministarstvo finansija Crne Gore</v>
      </c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O75" s="81"/>
      <c r="P75" s="81"/>
      <c r="Q75" s="81"/>
      <c r="R75" s="81"/>
    </row>
    <row r="79" spans="2:87">
      <c r="D79" s="80">
        <f>+'Cental Budget'!D16+'Local Government'!D16</f>
        <v>296558860</v>
      </c>
      <c r="F79" s="80">
        <f>+'Cental Budget'!F16+'Local Government'!F16</f>
        <v>273630222.07480538</v>
      </c>
      <c r="J79" s="80">
        <f>+'Cental Budget'!J16+'Local Government'!J16</f>
        <v>258026719.83999997</v>
      </c>
    </row>
    <row r="80" spans="2:87">
      <c r="D80" s="103">
        <f>+D16</f>
        <v>296558860</v>
      </c>
      <c r="F80" s="103">
        <f>+F16</f>
        <v>273630222.07480538</v>
      </c>
      <c r="J80" s="103">
        <f>+J16</f>
        <v>258026719.84000003</v>
      </c>
    </row>
    <row r="81" spans="4:10">
      <c r="D81" s="103">
        <f>+D79-D80</f>
        <v>0</v>
      </c>
      <c r="F81" s="103">
        <f>+F79-F80</f>
        <v>0</v>
      </c>
      <c r="J81" s="103">
        <f>+J79-J80</f>
        <v>0</v>
      </c>
    </row>
    <row r="84" spans="4:10">
      <c r="D84" s="80">
        <f>+'Cental Budget'!D49+'Local Government'!D40</f>
        <v>321866388.7700001</v>
      </c>
      <c r="F84" s="80">
        <f>+'Cental Budget'!F49+'Local Government'!F40</f>
        <v>354900428.07159996</v>
      </c>
      <c r="J84" s="80">
        <f>+'Cental Budget'!J49+'Local Government'!J40</f>
        <v>298721494.00949794</v>
      </c>
    </row>
    <row r="85" spans="4:10">
      <c r="D85" s="103">
        <f>+D36</f>
        <v>321540760.00000006</v>
      </c>
      <c r="F85" s="103">
        <f>+F36</f>
        <v>354654118.92040002</v>
      </c>
      <c r="J85" s="103">
        <f>+J36</f>
        <v>298480014.44949794</v>
      </c>
    </row>
    <row r="86" spans="4:10">
      <c r="D86" s="103">
        <f>+D84-D85</f>
        <v>325628.77000004053</v>
      </c>
      <c r="F86" s="103">
        <f>+F84-F85</f>
        <v>246309.15119993687</v>
      </c>
      <c r="J86" s="103">
        <f>+J84-J85</f>
        <v>241479.56000000238</v>
      </c>
    </row>
    <row r="89" spans="4:10">
      <c r="D89" s="80">
        <f>+'Cental Budget'!D76+'Local Government'!D63</f>
        <v>-24981900.000000063</v>
      </c>
      <c r="F89" s="80">
        <f>+'Cental Budget'!F76+'Local Government'!F63</f>
        <v>-81023896.845594615</v>
      </c>
      <c r="J89" s="80">
        <f>+'Cental Budget'!J76+'Local Government'!J63</f>
        <v>-40453294.609497994</v>
      </c>
    </row>
    <row r="90" spans="4:10">
      <c r="D90" s="103">
        <f>+D63</f>
        <v>-24981900.00000006</v>
      </c>
      <c r="F90" s="103">
        <f>+F63</f>
        <v>-81023896.845594645</v>
      </c>
      <c r="J90" s="103">
        <f>+J63</f>
        <v>-40453294.609497905</v>
      </c>
    </row>
    <row r="91" spans="4:10">
      <c r="D91" s="321">
        <f>+D89-D90</f>
        <v>0</v>
      </c>
      <c r="F91" s="321">
        <f>+F89-F90</f>
        <v>0</v>
      </c>
      <c r="G91" s="321"/>
      <c r="H91" s="321"/>
      <c r="I91" s="321"/>
      <c r="J91" s="320">
        <f>+J89-J90</f>
        <v>-8.9406967163085938E-8</v>
      </c>
    </row>
  </sheetData>
  <sheetProtection formatCells="0" formatColumns="0" formatRows="0" sort="0" autoFilter="0"/>
  <mergeCells count="10">
    <mergeCell ref="H11:I11"/>
    <mergeCell ref="J11:K11"/>
    <mergeCell ref="L11:M11"/>
    <mergeCell ref="D11:G11"/>
    <mergeCell ref="C14:C15"/>
    <mergeCell ref="D14:E14"/>
    <mergeCell ref="F14:G14"/>
    <mergeCell ref="H14:I14"/>
    <mergeCell ref="J14:K14"/>
    <mergeCell ref="L14:M14"/>
  </mergeCells>
  <printOptions horizontalCentered="1" verticalCentered="1"/>
  <pageMargins left="0" right="0" top="0.19685039370078741" bottom="0.19685039370078741" header="0" footer="0"/>
  <pageSetup paperSize="9" scale="10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B2:G59"/>
  <sheetViews>
    <sheetView workbookViewId="0">
      <selection activeCell="F5" sqref="F5"/>
    </sheetView>
  </sheetViews>
  <sheetFormatPr defaultRowHeight="15"/>
  <cols>
    <col min="1" max="2" width="9.140625" style="29"/>
    <col min="3" max="3" width="51.7109375" style="29" bestFit="1" customWidth="1"/>
    <col min="4" max="4" width="15.42578125" style="29" bestFit="1" customWidth="1"/>
    <col min="5" max="5" width="9.140625" style="29"/>
    <col min="6" max="6" width="15.5703125" style="29" bestFit="1" customWidth="1"/>
    <col min="7" max="7" width="15.42578125" style="29" bestFit="1" customWidth="1"/>
    <col min="8" max="16384" width="9.140625" style="29"/>
  </cols>
  <sheetData>
    <row r="2" spans="2:7" ht="15.75" thickBot="1">
      <c r="D2" s="205" t="s">
        <v>438</v>
      </c>
    </row>
    <row r="3" spans="2:7" ht="55.5" thickTop="1" thickBot="1">
      <c r="B3" s="30" t="s">
        <v>394</v>
      </c>
      <c r="C3" s="31" t="s">
        <v>395</v>
      </c>
      <c r="D3" s="32" t="s">
        <v>396</v>
      </c>
      <c r="G3" s="29" t="s">
        <v>397</v>
      </c>
    </row>
    <row r="4" spans="2:7" ht="16.5" thickTop="1" thickBot="1">
      <c r="B4" s="33">
        <v>7</v>
      </c>
      <c r="C4" s="34" t="s">
        <v>398</v>
      </c>
      <c r="D4" s="35" t="e">
        <f>+D5+D36+D55+D52+D44</f>
        <v>#REF!</v>
      </c>
      <c r="F4" s="70" t="e">
        <f>+#REF!+#REF!+#REF!+#REF!+#REF!</f>
        <v>#REF!</v>
      </c>
      <c r="G4" s="36" t="e">
        <f>+D4-F4</f>
        <v>#REF!</v>
      </c>
    </row>
    <row r="5" spans="2:7" ht="15.75" thickTop="1">
      <c r="B5" s="37">
        <v>71</v>
      </c>
      <c r="C5" s="38" t="s">
        <v>399</v>
      </c>
      <c r="D5" s="39" t="e">
        <f>+D6+D14+D19+D24+D31</f>
        <v>#REF!</v>
      </c>
      <c r="F5" s="40"/>
    </row>
    <row r="6" spans="2:7">
      <c r="B6" s="41">
        <v>711</v>
      </c>
      <c r="C6" s="42" t="s">
        <v>2</v>
      </c>
      <c r="D6" s="43" t="e">
        <f>SUM(D7:D13)</f>
        <v>#REF!</v>
      </c>
    </row>
    <row r="7" spans="2:7">
      <c r="B7" s="44">
        <v>7111</v>
      </c>
      <c r="C7" s="45" t="s">
        <v>3</v>
      </c>
      <c r="D7" s="46" t="e">
        <f>+#REF!</f>
        <v>#REF!</v>
      </c>
      <c r="E7" s="40"/>
    </row>
    <row r="8" spans="2:7">
      <c r="B8" s="44">
        <v>7112</v>
      </c>
      <c r="C8" s="45" t="s">
        <v>5</v>
      </c>
      <c r="D8" s="46" t="e">
        <f>+#REF!</f>
        <v>#REF!</v>
      </c>
    </row>
    <row r="9" spans="2:7">
      <c r="B9" s="44">
        <v>7113</v>
      </c>
      <c r="C9" s="45" t="s">
        <v>305</v>
      </c>
      <c r="D9" s="46" t="e">
        <f>+#REF!</f>
        <v>#REF!</v>
      </c>
    </row>
    <row r="10" spans="2:7">
      <c r="B10" s="44">
        <v>7114</v>
      </c>
      <c r="C10" s="45" t="s">
        <v>9</v>
      </c>
      <c r="D10" s="46" t="e">
        <f>+#REF!</f>
        <v>#REF!</v>
      </c>
    </row>
    <row r="11" spans="2:7">
      <c r="B11" s="44">
        <v>7115</v>
      </c>
      <c r="C11" s="45" t="s">
        <v>306</v>
      </c>
      <c r="D11" s="46" t="e">
        <f>+#REF!</f>
        <v>#REF!</v>
      </c>
    </row>
    <row r="12" spans="2:7">
      <c r="B12" s="44">
        <v>7116</v>
      </c>
      <c r="C12" s="45" t="s">
        <v>14</v>
      </c>
      <c r="D12" s="46" t="e">
        <f>+#REF!</f>
        <v>#REF!</v>
      </c>
    </row>
    <row r="13" spans="2:7">
      <c r="B13" s="44">
        <v>7118</v>
      </c>
      <c r="C13" s="45" t="s">
        <v>16</v>
      </c>
      <c r="D13" s="46" t="e">
        <f>+#REF!</f>
        <v>#REF!</v>
      </c>
    </row>
    <row r="14" spans="2:7">
      <c r="B14" s="41">
        <v>712</v>
      </c>
      <c r="C14" s="42" t="s">
        <v>19</v>
      </c>
      <c r="D14" s="43" t="e">
        <f>SUM(D15:D18)</f>
        <v>#REF!</v>
      </c>
    </row>
    <row r="15" spans="2:7">
      <c r="B15" s="44">
        <v>7121</v>
      </c>
      <c r="C15" s="45" t="s">
        <v>21</v>
      </c>
      <c r="D15" s="46" t="e">
        <f>+#REF!</f>
        <v>#REF!</v>
      </c>
      <c r="F15" s="40"/>
    </row>
    <row r="16" spans="2:7">
      <c r="B16" s="44">
        <v>7122</v>
      </c>
      <c r="C16" s="45" t="s">
        <v>23</v>
      </c>
      <c r="D16" s="46" t="e">
        <f>+#REF!</f>
        <v>#REF!</v>
      </c>
    </row>
    <row r="17" spans="2:4">
      <c r="B17" s="44">
        <v>7123</v>
      </c>
      <c r="C17" s="45" t="s">
        <v>25</v>
      </c>
      <c r="D17" s="46" t="e">
        <f>+#REF!</f>
        <v>#REF!</v>
      </c>
    </row>
    <row r="18" spans="2:4">
      <c r="B18" s="44">
        <v>7124</v>
      </c>
      <c r="C18" s="45" t="s">
        <v>27</v>
      </c>
      <c r="D18" s="46" t="e">
        <f>+#REF!</f>
        <v>#REF!</v>
      </c>
    </row>
    <row r="19" spans="2:4">
      <c r="B19" s="41">
        <v>713</v>
      </c>
      <c r="C19" s="42" t="s">
        <v>29</v>
      </c>
      <c r="D19" s="43" t="e">
        <f>SUM(D20:D23)</f>
        <v>#REF!</v>
      </c>
    </row>
    <row r="20" spans="2:4">
      <c r="B20" s="44">
        <v>7131</v>
      </c>
      <c r="C20" s="47" t="s">
        <v>31</v>
      </c>
      <c r="D20" s="46" t="e">
        <f>+#REF!</f>
        <v>#REF!</v>
      </c>
    </row>
    <row r="21" spans="2:4">
      <c r="B21" s="44">
        <v>7132</v>
      </c>
      <c r="C21" s="47" t="s">
        <v>32</v>
      </c>
      <c r="D21" s="46" t="e">
        <f>+#REF!</f>
        <v>#REF!</v>
      </c>
    </row>
    <row r="22" spans="2:4">
      <c r="B22" s="44">
        <v>7133</v>
      </c>
      <c r="C22" s="47" t="s">
        <v>34</v>
      </c>
      <c r="D22" s="46" t="e">
        <f>+#REF!</f>
        <v>#REF!</v>
      </c>
    </row>
    <row r="23" spans="2:4">
      <c r="B23" s="44">
        <v>7136</v>
      </c>
      <c r="C23" s="47" t="s">
        <v>37</v>
      </c>
      <c r="D23" s="46" t="e">
        <f>+#REF!</f>
        <v>#REF!</v>
      </c>
    </row>
    <row r="24" spans="2:4">
      <c r="B24" s="41">
        <v>714</v>
      </c>
      <c r="C24" s="42" t="s">
        <v>39</v>
      </c>
      <c r="D24" s="43" t="e">
        <f>SUM(D25:D30)</f>
        <v>#REF!</v>
      </c>
    </row>
    <row r="25" spans="2:4">
      <c r="B25" s="44">
        <v>7141</v>
      </c>
      <c r="C25" s="45" t="s">
        <v>40</v>
      </c>
      <c r="D25" s="46" t="e">
        <f>+#REF!</f>
        <v>#REF!</v>
      </c>
    </row>
    <row r="26" spans="2:4">
      <c r="B26" s="44">
        <v>7142</v>
      </c>
      <c r="C26" s="45" t="s">
        <v>400</v>
      </c>
      <c r="D26" s="46" t="e">
        <f>+#REF!</f>
        <v>#REF!</v>
      </c>
    </row>
    <row r="27" spans="2:4">
      <c r="B27" s="44">
        <v>7143</v>
      </c>
      <c r="C27" s="45" t="s">
        <v>45</v>
      </c>
      <c r="D27" s="46" t="e">
        <f>+#REF!</f>
        <v>#REF!</v>
      </c>
    </row>
    <row r="28" spans="2:4">
      <c r="B28" s="44">
        <v>7144</v>
      </c>
      <c r="C28" s="45" t="s">
        <v>47</v>
      </c>
      <c r="D28" s="46" t="e">
        <f>+#REF!</f>
        <v>#REF!</v>
      </c>
    </row>
    <row r="29" spans="2:4">
      <c r="B29" s="44">
        <v>7148</v>
      </c>
      <c r="C29" s="45" t="s">
        <v>313</v>
      </c>
      <c r="D29" s="46" t="e">
        <f>+#REF!</f>
        <v>#REF!</v>
      </c>
    </row>
    <row r="30" spans="2:4">
      <c r="B30" s="44">
        <v>7149</v>
      </c>
      <c r="C30" s="45" t="s">
        <v>51</v>
      </c>
      <c r="D30" s="46" t="e">
        <f>+#REF!</f>
        <v>#REF!</v>
      </c>
    </row>
    <row r="31" spans="2:4">
      <c r="B31" s="41">
        <v>715</v>
      </c>
      <c r="C31" s="42" t="s">
        <v>53</v>
      </c>
      <c r="D31" s="43" t="e">
        <f>SUM(D32:D35)</f>
        <v>#REF!</v>
      </c>
    </row>
    <row r="32" spans="2:4">
      <c r="B32" s="44">
        <v>7151</v>
      </c>
      <c r="C32" s="48" t="s">
        <v>55</v>
      </c>
      <c r="D32" s="46" t="e">
        <f>+#REF!</f>
        <v>#REF!</v>
      </c>
    </row>
    <row r="33" spans="2:4">
      <c r="B33" s="44">
        <v>7152</v>
      </c>
      <c r="C33" s="48" t="s">
        <v>57</v>
      </c>
      <c r="D33" s="46" t="e">
        <f>+#REF!</f>
        <v>#REF!</v>
      </c>
    </row>
    <row r="34" spans="2:4" ht="16.5" customHeight="1">
      <c r="B34" s="44">
        <v>7153</v>
      </c>
      <c r="C34" s="48" t="s">
        <v>59</v>
      </c>
      <c r="D34" s="46" t="e">
        <f>+#REF!</f>
        <v>#REF!</v>
      </c>
    </row>
    <row r="35" spans="2:4">
      <c r="B35" s="44">
        <v>7155</v>
      </c>
      <c r="C35" s="48" t="s">
        <v>53</v>
      </c>
      <c r="D35" s="46" t="e">
        <f>+#REF!</f>
        <v>#REF!</v>
      </c>
    </row>
    <row r="36" spans="2:4">
      <c r="B36" s="49">
        <v>72</v>
      </c>
      <c r="C36" s="50" t="s">
        <v>401</v>
      </c>
      <c r="D36" s="43" t="e">
        <f>+D37+D38+D41</f>
        <v>#REF!</v>
      </c>
    </row>
    <row r="37" spans="2:4">
      <c r="B37" s="51">
        <v>7200</v>
      </c>
      <c r="C37" s="48" t="s">
        <v>402</v>
      </c>
      <c r="D37" s="46" t="e">
        <f>+#REF!</f>
        <v>#REF!</v>
      </c>
    </row>
    <row r="38" spans="2:4" hidden="1">
      <c r="B38" s="52">
        <v>721</v>
      </c>
      <c r="C38" s="48" t="s">
        <v>403</v>
      </c>
      <c r="D38" s="46"/>
    </row>
    <row r="39" spans="2:4" hidden="1">
      <c r="B39" s="51">
        <v>7211</v>
      </c>
      <c r="C39" s="48" t="s">
        <v>404</v>
      </c>
      <c r="D39" s="46"/>
    </row>
    <row r="40" spans="2:4" hidden="1">
      <c r="B40" s="51">
        <v>7213</v>
      </c>
      <c r="C40" s="48" t="s">
        <v>405</v>
      </c>
      <c r="D40" s="46"/>
    </row>
    <row r="41" spans="2:4" hidden="1">
      <c r="B41" s="52">
        <v>722</v>
      </c>
      <c r="C41" s="48" t="s">
        <v>406</v>
      </c>
      <c r="D41" s="46">
        <v>0</v>
      </c>
    </row>
    <row r="42" spans="2:4" hidden="1">
      <c r="B42" s="44">
        <v>7221</v>
      </c>
      <c r="C42" s="48" t="s">
        <v>407</v>
      </c>
      <c r="D42" s="46"/>
    </row>
    <row r="43" spans="2:4" hidden="1">
      <c r="B43" s="44">
        <v>7222</v>
      </c>
      <c r="C43" s="48" t="s">
        <v>408</v>
      </c>
      <c r="D43" s="46"/>
    </row>
    <row r="44" spans="2:4">
      <c r="B44" s="49">
        <v>73</v>
      </c>
      <c r="C44" s="50" t="s">
        <v>409</v>
      </c>
      <c r="D44" s="43" t="e">
        <f>+D45</f>
        <v>#REF!</v>
      </c>
    </row>
    <row r="45" spans="2:4">
      <c r="B45" s="52">
        <v>731</v>
      </c>
      <c r="C45" s="45" t="s">
        <v>409</v>
      </c>
      <c r="D45" s="46" t="e">
        <f>+#REF!</f>
        <v>#REF!</v>
      </c>
    </row>
    <row r="46" spans="2:4" ht="27" hidden="1">
      <c r="B46" s="51">
        <v>7311</v>
      </c>
      <c r="C46" s="48" t="s">
        <v>410</v>
      </c>
      <c r="D46" s="46"/>
    </row>
    <row r="47" spans="2:4" hidden="1">
      <c r="B47" s="52">
        <v>7312</v>
      </c>
      <c r="C47" s="48" t="s">
        <v>411</v>
      </c>
      <c r="D47" s="46"/>
    </row>
    <row r="48" spans="2:4" hidden="1">
      <c r="B48" s="52">
        <v>7313</v>
      </c>
      <c r="C48" s="48" t="s">
        <v>412</v>
      </c>
      <c r="D48" s="46"/>
    </row>
    <row r="49" spans="2:4" hidden="1">
      <c r="B49" s="52">
        <v>7314</v>
      </c>
      <c r="C49" s="48" t="s">
        <v>413</v>
      </c>
      <c r="D49" s="46"/>
    </row>
    <row r="50" spans="2:4" hidden="1">
      <c r="B50" s="52">
        <v>732</v>
      </c>
      <c r="C50" s="45" t="s">
        <v>414</v>
      </c>
      <c r="D50" s="46"/>
    </row>
    <row r="51" spans="2:4" hidden="1">
      <c r="B51" s="44">
        <v>7321</v>
      </c>
      <c r="C51" s="48" t="s">
        <v>415</v>
      </c>
      <c r="D51" s="46"/>
    </row>
    <row r="52" spans="2:4">
      <c r="B52" s="49">
        <v>74</v>
      </c>
      <c r="C52" s="50" t="s">
        <v>416</v>
      </c>
      <c r="D52" s="43" t="e">
        <f>+D53</f>
        <v>#REF!</v>
      </c>
    </row>
    <row r="53" spans="2:4">
      <c r="B53" s="52">
        <v>741</v>
      </c>
      <c r="C53" s="48" t="s">
        <v>416</v>
      </c>
      <c r="D53" s="46" t="e">
        <f>+#REF!</f>
        <v>#REF!</v>
      </c>
    </row>
    <row r="54" spans="2:4" hidden="1">
      <c r="B54" s="44">
        <v>7411</v>
      </c>
      <c r="C54" s="48" t="s">
        <v>417</v>
      </c>
      <c r="D54" s="46">
        <v>0</v>
      </c>
    </row>
    <row r="55" spans="2:4">
      <c r="B55" s="49">
        <v>75</v>
      </c>
      <c r="C55" s="50" t="s">
        <v>111</v>
      </c>
      <c r="D55" s="43" t="e">
        <f>+D56</f>
        <v>#REF!</v>
      </c>
    </row>
    <row r="56" spans="2:4">
      <c r="B56" s="53">
        <v>751</v>
      </c>
      <c r="C56" s="54" t="s">
        <v>111</v>
      </c>
      <c r="D56" s="55" t="e">
        <f>+D57+D58</f>
        <v>#REF!</v>
      </c>
    </row>
    <row r="57" spans="2:4">
      <c r="B57" s="51">
        <v>7511</v>
      </c>
      <c r="C57" s="48" t="s">
        <v>144</v>
      </c>
      <c r="D57" s="46" t="e">
        <f>+#REF!</f>
        <v>#REF!</v>
      </c>
    </row>
    <row r="58" spans="2:4" ht="15.75" thickBot="1">
      <c r="B58" s="56">
        <v>7512</v>
      </c>
      <c r="C58" s="57" t="s">
        <v>122</v>
      </c>
      <c r="D58" s="58" t="e">
        <f>+#REF!</f>
        <v>#REF!</v>
      </c>
    </row>
    <row r="59" spans="2:4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/>
  <dimension ref="D2:G24"/>
  <sheetViews>
    <sheetView workbookViewId="0">
      <selection activeCell="G24" sqref="G24"/>
    </sheetView>
  </sheetViews>
  <sheetFormatPr defaultRowHeight="15"/>
  <cols>
    <col min="1" max="3" width="9.140625" style="29"/>
    <col min="4" max="4" width="44.28515625" style="29" customWidth="1"/>
    <col min="5" max="5" width="18.28515625" style="29" customWidth="1"/>
    <col min="6" max="6" width="9.140625" style="29"/>
    <col min="7" max="7" width="14.5703125" style="29" bestFit="1" customWidth="1"/>
    <col min="8" max="16384" width="9.140625" style="29"/>
  </cols>
  <sheetData>
    <row r="2" spans="4:7" ht="15.75" thickBot="1"/>
    <row r="3" spans="4:7" ht="16.5" thickTop="1" thickBot="1">
      <c r="D3" s="59" t="s">
        <v>127</v>
      </c>
      <c r="E3" s="60" t="s">
        <v>396</v>
      </c>
    </row>
    <row r="4" spans="4:7" ht="16.5" thickTop="1" thickBot="1">
      <c r="D4" s="61" t="s">
        <v>418</v>
      </c>
      <c r="E4" s="62" t="e">
        <f>+E5+E6</f>
        <v>#REF!</v>
      </c>
      <c r="G4" s="63" t="e">
        <f>+E4-#REF!</f>
        <v>#REF!</v>
      </c>
    </row>
    <row r="5" spans="4:7" ht="16.5" thickTop="1">
      <c r="D5" s="71" t="s">
        <v>419</v>
      </c>
      <c r="E5" s="72" t="e">
        <f>+PRIMICI!D6+PRIMICI!D14</f>
        <v>#REF!</v>
      </c>
      <c r="G5" s="65"/>
    </row>
    <row r="6" spans="4:7" ht="16.5" thickBot="1">
      <c r="D6" s="73" t="s">
        <v>53</v>
      </c>
      <c r="E6" s="74" t="e">
        <f>+PRIMICI!D19+PRIMICI!D24+PRIMICI!D31+PRIMICI!D44</f>
        <v>#REF!</v>
      </c>
      <c r="G6" s="65"/>
    </row>
    <row r="7" spans="4:7" ht="16.5" thickTop="1" thickBot="1">
      <c r="D7" s="66" t="s">
        <v>420</v>
      </c>
      <c r="E7" s="62" t="e">
        <f>+E8+E9</f>
        <v>#REF!</v>
      </c>
      <c r="G7" s="63" t="e">
        <f>+E7-#REF!</f>
        <v>#REF!</v>
      </c>
    </row>
    <row r="8" spans="4:7" ht="16.5" thickTop="1">
      <c r="D8" s="75" t="s">
        <v>126</v>
      </c>
      <c r="E8" s="72" t="e">
        <f>+#REF!</f>
        <v>#REF!</v>
      </c>
      <c r="G8" s="65"/>
    </row>
    <row r="9" spans="4:7" ht="16.5" thickBot="1">
      <c r="D9" s="73" t="s">
        <v>421</v>
      </c>
      <c r="E9" s="74" t="e">
        <f>+#REF!</f>
        <v>#REF!</v>
      </c>
      <c r="G9" s="65"/>
    </row>
    <row r="10" spans="4:7" ht="16.5" thickTop="1" thickBot="1">
      <c r="D10" s="67" t="s">
        <v>422</v>
      </c>
      <c r="E10" s="62" t="e">
        <f>+E4-E7</f>
        <v>#REF!</v>
      </c>
      <c r="G10" s="63" t="e">
        <f>+E10-#REF!</f>
        <v>#REF!</v>
      </c>
    </row>
    <row r="11" spans="4:7" ht="16.5" thickTop="1" thickBot="1">
      <c r="D11" s="67" t="s">
        <v>423</v>
      </c>
      <c r="E11" s="62" t="e">
        <f>+#REF!</f>
        <v>#REF!</v>
      </c>
      <c r="G11" s="65"/>
    </row>
    <row r="12" spans="4:7" ht="16.5" thickTop="1" thickBot="1">
      <c r="D12" s="67" t="s">
        <v>424</v>
      </c>
      <c r="E12" s="62" t="e">
        <f>+E13+E14+E15</f>
        <v>#REF!</v>
      </c>
      <c r="G12" s="63" t="e">
        <f>+E12-#REF!</f>
        <v>#REF!</v>
      </c>
    </row>
    <row r="13" spans="4:7" ht="16.5" thickTop="1" thickBot="1">
      <c r="D13" s="76" t="s">
        <v>158</v>
      </c>
      <c r="E13" s="72" t="e">
        <f>+#REF!</f>
        <v>#REF!</v>
      </c>
      <c r="G13" s="65"/>
    </row>
    <row r="14" spans="4:7" ht="16.5" thickTop="1" thickBot="1">
      <c r="D14" s="77" t="s">
        <v>159</v>
      </c>
      <c r="E14" s="72" t="e">
        <f>+#REF!</f>
        <v>#REF!</v>
      </c>
      <c r="G14" s="65"/>
    </row>
    <row r="15" spans="4:7" ht="16.5" thickTop="1" thickBot="1">
      <c r="D15" s="78" t="s">
        <v>160</v>
      </c>
      <c r="E15" s="72" t="e">
        <f>+#REF!</f>
        <v>#REF!</v>
      </c>
      <c r="G15" s="65"/>
    </row>
    <row r="16" spans="4:7" ht="15.75" hidden="1" thickBot="1">
      <c r="D16" s="68" t="s">
        <v>113</v>
      </c>
      <c r="E16" s="64">
        <v>0</v>
      </c>
      <c r="G16" s="65"/>
    </row>
    <row r="17" spans="4:7" ht="16.5" thickTop="1" thickBot="1">
      <c r="D17" s="67" t="s">
        <v>425</v>
      </c>
      <c r="E17" s="62" t="e">
        <f>+E10-E12</f>
        <v>#REF!</v>
      </c>
      <c r="G17" s="63" t="e">
        <f>+E17-#REF!</f>
        <v>#REF!</v>
      </c>
    </row>
    <row r="18" spans="4:7" ht="16.5" thickTop="1" thickBot="1">
      <c r="D18" s="67" t="s">
        <v>426</v>
      </c>
      <c r="E18" s="62" t="e">
        <f>SUM(E19:E23)</f>
        <v>#REF!</v>
      </c>
      <c r="G18" s="63" t="e">
        <f>+E18-#REF!</f>
        <v>#REF!</v>
      </c>
    </row>
    <row r="19" spans="4:7" ht="16.5" thickTop="1" thickBot="1">
      <c r="D19" s="76" t="s">
        <v>144</v>
      </c>
      <c r="E19" s="72" t="e">
        <f>+#REF!</f>
        <v>#REF!</v>
      </c>
      <c r="G19" s="65"/>
    </row>
    <row r="20" spans="4:7" ht="16.5" thickTop="1" thickBot="1">
      <c r="D20" s="77" t="s">
        <v>122</v>
      </c>
      <c r="E20" s="72" t="e">
        <f>+#REF!</f>
        <v>#REF!</v>
      </c>
      <c r="G20" s="65"/>
    </row>
    <row r="21" spans="4:7" ht="16.5" thickTop="1" thickBot="1">
      <c r="D21" s="77" t="s">
        <v>123</v>
      </c>
      <c r="E21" s="72" t="e">
        <f>+#REF!</f>
        <v>#REF!</v>
      </c>
      <c r="G21" s="65"/>
    </row>
    <row r="22" spans="4:7" ht="15.75" thickTop="1">
      <c r="D22" s="77" t="s">
        <v>124</v>
      </c>
      <c r="E22" s="72" t="e">
        <f>+#REF!</f>
        <v>#REF!</v>
      </c>
      <c r="G22" s="65"/>
    </row>
    <row r="23" spans="4:7" ht="15.75" thickBot="1">
      <c r="D23" s="78" t="s">
        <v>161</v>
      </c>
      <c r="E23" s="79" t="e">
        <f>-E17-SUM(E19:E22)</f>
        <v>#REF!</v>
      </c>
      <c r="G23" s="69" t="e">
        <f>+E23-#REF!</f>
        <v>#REF!</v>
      </c>
    </row>
    <row r="24" spans="4:7" ht="15.75" thickTop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0"/>
  <dimension ref="A1:W444"/>
  <sheetViews>
    <sheetView topLeftCell="C324" workbookViewId="0">
      <selection activeCell="G429" sqref="G429"/>
    </sheetView>
  </sheetViews>
  <sheetFormatPr defaultColWidth="9.140625" defaultRowHeight="12.75"/>
  <cols>
    <col min="1" max="1" width="2" style="11" customWidth="1"/>
    <col min="2" max="2" width="62" style="11" customWidth="1"/>
    <col min="3" max="3" width="63.140625" style="11" customWidth="1"/>
    <col min="4" max="4" width="41.7109375" style="11" customWidth="1"/>
    <col min="5" max="5" width="20" style="11" customWidth="1"/>
    <col min="6" max="6" width="8.5703125" style="11" customWidth="1"/>
    <col min="7" max="7" width="5.42578125" style="11" customWidth="1"/>
    <col min="8" max="8" width="6.42578125" style="11" customWidth="1"/>
    <col min="9" max="9" width="8" style="11" customWidth="1"/>
    <col min="10" max="10" width="6.42578125" style="11" customWidth="1"/>
    <col min="11" max="11" width="9.28515625" style="11" customWidth="1"/>
    <col min="12" max="12" width="7.42578125" style="11" customWidth="1"/>
    <col min="13" max="13" width="17" style="11" customWidth="1"/>
    <col min="14" max="14" width="8.85546875" style="11" customWidth="1"/>
    <col min="15" max="15" width="83.140625" style="11" customWidth="1"/>
    <col min="16" max="16" width="6.42578125" style="11" customWidth="1"/>
    <col min="17" max="17" width="5.42578125" style="11" customWidth="1"/>
    <col min="18" max="18" width="6.42578125" style="11" customWidth="1"/>
    <col min="19" max="19" width="2.7109375" style="11" customWidth="1"/>
    <col min="20" max="20" width="6.5703125" style="11" customWidth="1"/>
    <col min="21" max="21" width="5.7109375" style="11" customWidth="1"/>
    <col min="22" max="22" width="11.7109375" style="1" customWidth="1"/>
    <col min="23" max="16384" width="9.140625" style="1"/>
  </cols>
  <sheetData>
    <row r="1" spans="1:3">
      <c r="A1" s="10">
        <v>2</v>
      </c>
      <c r="B1" s="11" t="s">
        <v>251</v>
      </c>
    </row>
    <row r="3" spans="1:3">
      <c r="B3" s="311" t="s">
        <v>196</v>
      </c>
      <c r="C3" s="311"/>
    </row>
    <row r="5" spans="1:3" ht="15" customHeight="1">
      <c r="B5" s="11" t="s">
        <v>199</v>
      </c>
      <c r="C5" s="11" t="s">
        <v>197</v>
      </c>
    </row>
    <row r="6" spans="1:3">
      <c r="B6" s="11" t="s">
        <v>200</v>
      </c>
      <c r="C6" s="11" t="s">
        <v>198</v>
      </c>
    </row>
    <row r="8" spans="1:3">
      <c r="B8" s="11" t="s">
        <v>208</v>
      </c>
      <c r="C8" s="11" t="s">
        <v>365</v>
      </c>
    </row>
    <row r="9" spans="1:3">
      <c r="B9" s="11" t="s">
        <v>206</v>
      </c>
      <c r="C9" s="11" t="s">
        <v>207</v>
      </c>
    </row>
    <row r="10" spans="1:3">
      <c r="B10" s="11" t="s">
        <v>213</v>
      </c>
      <c r="C10" s="11" t="s">
        <v>215</v>
      </c>
    </row>
    <row r="11" spans="1:3">
      <c r="B11" s="11" t="s">
        <v>214</v>
      </c>
      <c r="C11" s="11" t="s">
        <v>212</v>
      </c>
    </row>
    <row r="12" spans="1:3">
      <c r="B12" s="11" t="s">
        <v>216</v>
      </c>
      <c r="C12" s="11" t="s">
        <v>217</v>
      </c>
    </row>
    <row r="13" spans="1:3">
      <c r="B13" s="11" t="s">
        <v>211</v>
      </c>
      <c r="C13" s="11" t="s">
        <v>366</v>
      </c>
    </row>
    <row r="14" spans="1:3">
      <c r="B14" s="11" t="s">
        <v>367</v>
      </c>
      <c r="C14" s="11" t="s">
        <v>368</v>
      </c>
    </row>
    <row r="15" spans="1:3">
      <c r="B15" s="11" t="s">
        <v>209</v>
      </c>
      <c r="C15" s="11" t="s">
        <v>210</v>
      </c>
    </row>
    <row r="16" spans="1:3">
      <c r="B16" s="11" t="s">
        <v>201</v>
      </c>
      <c r="C16" s="11" t="s">
        <v>202</v>
      </c>
    </row>
    <row r="17" spans="2:3" ht="15" customHeight="1">
      <c r="B17" s="11" t="s">
        <v>203</v>
      </c>
      <c r="C17" s="11" t="s">
        <v>290</v>
      </c>
    </row>
    <row r="18" spans="2:3">
      <c r="B18" s="11" t="s">
        <v>369</v>
      </c>
      <c r="C18" s="11" t="s">
        <v>370</v>
      </c>
    </row>
    <row r="19" spans="2:3">
      <c r="B19" s="11" t="s">
        <v>291</v>
      </c>
      <c r="C19" s="11" t="s">
        <v>292</v>
      </c>
    </row>
    <row r="21" spans="2:3">
      <c r="B21" s="11" t="s">
        <v>221</v>
      </c>
      <c r="C21" s="11" t="s">
        <v>222</v>
      </c>
    </row>
    <row r="22" spans="2:3">
      <c r="B22" s="11" t="s">
        <v>204</v>
      </c>
      <c r="C22" s="11" t="s">
        <v>205</v>
      </c>
    </row>
    <row r="24" spans="2:3">
      <c r="B24" s="11" t="s">
        <v>331</v>
      </c>
    </row>
    <row r="25" spans="2:3">
      <c r="B25" s="11" t="s">
        <v>220</v>
      </c>
    </row>
    <row r="27" spans="2:3">
      <c r="B27" s="12" t="s">
        <v>172</v>
      </c>
    </row>
    <row r="28" spans="2:3">
      <c r="B28" s="12" t="s">
        <v>171</v>
      </c>
    </row>
    <row r="30" spans="2:3">
      <c r="B30" s="11" t="s">
        <v>218</v>
      </c>
    </row>
    <row r="31" spans="2:3">
      <c r="B31" s="11" t="s">
        <v>219</v>
      </c>
    </row>
    <row r="37" spans="2:20">
      <c r="B37" s="311" t="s">
        <v>244</v>
      </c>
      <c r="C37" s="311"/>
      <c r="D37" s="311"/>
      <c r="E37" s="311"/>
      <c r="F37" s="311"/>
      <c r="G37" s="311"/>
      <c r="H37" s="311"/>
      <c r="I37" s="311"/>
      <c r="J37" s="311"/>
      <c r="K37" s="311"/>
      <c r="L37" s="311"/>
      <c r="M37" s="311"/>
      <c r="N37" s="311"/>
      <c r="O37" s="311"/>
      <c r="P37" s="311"/>
      <c r="Q37" s="311"/>
      <c r="R37" s="311"/>
      <c r="S37" s="311"/>
      <c r="T37" s="311"/>
    </row>
    <row r="40" spans="2:20" ht="12.75" customHeight="1">
      <c r="B40" s="310" t="s">
        <v>239</v>
      </c>
      <c r="C40" s="310"/>
      <c r="D40" s="315" t="s">
        <v>245</v>
      </c>
      <c r="E40" s="315"/>
      <c r="F40" s="310" t="s">
        <v>240</v>
      </c>
      <c r="G40" s="310"/>
      <c r="H40" s="310"/>
      <c r="I40" s="2" t="s">
        <v>241</v>
      </c>
      <c r="J40" s="310" t="s">
        <v>242</v>
      </c>
      <c r="K40" s="310"/>
      <c r="L40" s="310"/>
      <c r="M40" s="310" t="s">
        <v>243</v>
      </c>
      <c r="N40" s="310"/>
      <c r="O40" s="310"/>
      <c r="P40" s="310"/>
    </row>
    <row r="41" spans="2:20">
      <c r="B41" s="310"/>
      <c r="C41" s="310"/>
      <c r="D41" s="315"/>
      <c r="E41" s="315"/>
      <c r="F41" s="13">
        <v>2008</v>
      </c>
      <c r="G41" s="14">
        <v>2009</v>
      </c>
      <c r="H41" s="14">
        <v>2010</v>
      </c>
      <c r="I41" s="14">
        <v>2011</v>
      </c>
      <c r="J41" s="14">
        <v>2012</v>
      </c>
      <c r="K41" s="14">
        <v>2013</v>
      </c>
      <c r="L41" s="14">
        <v>2014</v>
      </c>
      <c r="M41" s="14">
        <v>2011</v>
      </c>
      <c r="N41" s="14">
        <v>2012</v>
      </c>
      <c r="O41" s="14">
        <v>2013</v>
      </c>
      <c r="P41" s="14">
        <v>2014</v>
      </c>
    </row>
    <row r="42" spans="2:20">
      <c r="B42" s="313" t="s">
        <v>223</v>
      </c>
      <c r="C42" s="15" t="s">
        <v>224</v>
      </c>
      <c r="D42" s="316" t="s">
        <v>181</v>
      </c>
      <c r="E42" s="16" t="s">
        <v>182</v>
      </c>
      <c r="F42" s="316" t="s">
        <v>247</v>
      </c>
      <c r="G42" s="316"/>
      <c r="H42" s="316"/>
      <c r="I42" s="17" t="s">
        <v>248</v>
      </c>
      <c r="J42" s="317" t="s">
        <v>249</v>
      </c>
      <c r="K42" s="317"/>
      <c r="L42" s="317"/>
      <c r="M42" s="316" t="s">
        <v>250</v>
      </c>
      <c r="N42" s="316"/>
      <c r="O42" s="316"/>
      <c r="P42" s="316"/>
    </row>
    <row r="43" spans="2:20">
      <c r="B43" s="313"/>
      <c r="C43" s="18" t="s">
        <v>225</v>
      </c>
      <c r="D43" s="316"/>
      <c r="E43" s="16" t="s">
        <v>183</v>
      </c>
      <c r="G43" s="16"/>
      <c r="H43" s="16"/>
      <c r="I43" s="17"/>
      <c r="J43" s="16"/>
      <c r="K43" s="17"/>
      <c r="L43" s="16"/>
      <c r="M43" s="17"/>
      <c r="N43" s="16"/>
    </row>
    <row r="44" spans="2:20">
      <c r="B44" s="313"/>
      <c r="C44" s="15" t="s">
        <v>226</v>
      </c>
      <c r="D44" s="316"/>
      <c r="E44" s="16" t="s">
        <v>184</v>
      </c>
      <c r="F44" s="16"/>
      <c r="G44" s="17"/>
      <c r="H44" s="16"/>
      <c r="I44" s="17"/>
      <c r="J44" s="17"/>
      <c r="K44" s="17"/>
      <c r="L44" s="16"/>
      <c r="M44" s="16"/>
      <c r="N44" s="16"/>
    </row>
    <row r="45" spans="2:20">
      <c r="B45" s="313"/>
      <c r="C45" s="15" t="s">
        <v>227</v>
      </c>
      <c r="D45" s="316"/>
      <c r="E45" s="17" t="s">
        <v>185</v>
      </c>
      <c r="F45" s="17"/>
      <c r="G45" s="17"/>
      <c r="H45" s="17"/>
      <c r="I45" s="17"/>
      <c r="J45" s="17"/>
      <c r="K45" s="17"/>
      <c r="L45" s="17"/>
      <c r="M45" s="17"/>
      <c r="N45" s="17"/>
    </row>
    <row r="46" spans="2:20">
      <c r="B46" s="313"/>
      <c r="C46" s="15" t="s">
        <v>228</v>
      </c>
      <c r="D46" s="316"/>
      <c r="E46" s="17" t="s">
        <v>186</v>
      </c>
      <c r="F46" s="17"/>
      <c r="G46" s="17"/>
      <c r="H46" s="17"/>
      <c r="I46" s="17"/>
      <c r="J46" s="17"/>
      <c r="K46" s="17"/>
      <c r="L46" s="17"/>
      <c r="M46" s="17"/>
      <c r="N46" s="17"/>
    </row>
    <row r="47" spans="2:20">
      <c r="B47" s="313"/>
      <c r="C47" s="15" t="s">
        <v>229</v>
      </c>
      <c r="D47" s="316"/>
      <c r="E47" s="16" t="s">
        <v>187</v>
      </c>
      <c r="F47" s="17"/>
      <c r="G47" s="17"/>
      <c r="H47" s="17"/>
      <c r="I47" s="16"/>
      <c r="J47" s="16"/>
      <c r="K47" s="16"/>
      <c r="L47" s="16"/>
      <c r="M47" s="16"/>
      <c r="N47" s="16"/>
    </row>
    <row r="48" spans="2:20">
      <c r="B48" s="313"/>
      <c r="C48" s="15" t="s">
        <v>230</v>
      </c>
      <c r="D48" s="316"/>
      <c r="E48" s="17" t="s">
        <v>188</v>
      </c>
      <c r="F48" s="17"/>
      <c r="G48" s="17"/>
      <c r="H48" s="17"/>
      <c r="I48" s="17"/>
      <c r="J48" s="17"/>
      <c r="K48" s="17"/>
      <c r="L48" s="17"/>
      <c r="M48" s="17"/>
      <c r="N48" s="17"/>
    </row>
    <row r="49" spans="2:20">
      <c r="B49" s="313"/>
      <c r="C49" s="19" t="s">
        <v>231</v>
      </c>
      <c r="D49" s="316"/>
      <c r="E49" s="16" t="s">
        <v>246</v>
      </c>
      <c r="F49" s="17"/>
      <c r="G49" s="16"/>
      <c r="H49" s="16"/>
      <c r="I49" s="16"/>
      <c r="J49" s="16"/>
      <c r="K49" s="16"/>
      <c r="L49" s="16"/>
      <c r="M49" s="16"/>
      <c r="N49" s="16"/>
    </row>
    <row r="50" spans="2:20">
      <c r="B50" s="313"/>
      <c r="C50" s="15" t="s">
        <v>232</v>
      </c>
      <c r="D50" s="316"/>
      <c r="E50" s="17" t="s">
        <v>189</v>
      </c>
      <c r="F50" s="17"/>
      <c r="G50" s="17"/>
      <c r="H50" s="17"/>
      <c r="I50" s="17"/>
      <c r="J50" s="17"/>
      <c r="K50" s="17"/>
      <c r="L50" s="17"/>
      <c r="M50" s="17"/>
      <c r="N50" s="17"/>
    </row>
    <row r="51" spans="2:20">
      <c r="B51" s="313"/>
      <c r="C51" s="15" t="s">
        <v>379</v>
      </c>
      <c r="D51" s="316"/>
      <c r="E51" s="17" t="s">
        <v>380</v>
      </c>
      <c r="F51" s="17"/>
      <c r="G51" s="17"/>
      <c r="H51" s="17"/>
      <c r="I51" s="17"/>
      <c r="J51" s="17"/>
      <c r="K51" s="17"/>
      <c r="L51" s="17"/>
      <c r="M51" s="17"/>
      <c r="N51" s="17"/>
    </row>
    <row r="52" spans="2:20">
      <c r="B52" s="314" t="s">
        <v>233</v>
      </c>
      <c r="C52" s="20" t="s">
        <v>234</v>
      </c>
      <c r="D52" s="316" t="s">
        <v>190</v>
      </c>
      <c r="E52" s="17" t="s">
        <v>191</v>
      </c>
      <c r="F52" s="17"/>
      <c r="G52" s="17"/>
      <c r="H52" s="17"/>
      <c r="I52" s="17"/>
      <c r="J52" s="17"/>
      <c r="K52" s="17"/>
      <c r="L52" s="17"/>
      <c r="M52" s="17"/>
      <c r="N52" s="17"/>
    </row>
    <row r="53" spans="2:20">
      <c r="B53" s="314"/>
      <c r="C53" s="20" t="s">
        <v>235</v>
      </c>
      <c r="D53" s="316"/>
      <c r="E53" s="17" t="s">
        <v>192</v>
      </c>
      <c r="F53" s="17"/>
      <c r="G53" s="17"/>
      <c r="H53" s="17"/>
      <c r="I53" s="17"/>
      <c r="J53" s="17"/>
      <c r="K53" s="17"/>
      <c r="L53" s="17"/>
      <c r="M53" s="17"/>
      <c r="N53" s="17"/>
    </row>
    <row r="54" spans="2:20">
      <c r="B54" s="314"/>
      <c r="C54" s="20" t="s">
        <v>236</v>
      </c>
      <c r="D54" s="316"/>
      <c r="E54" s="17" t="s">
        <v>374</v>
      </c>
      <c r="F54" s="17"/>
      <c r="G54" s="17"/>
      <c r="H54" s="17"/>
      <c r="I54" s="17"/>
      <c r="J54" s="17"/>
      <c r="K54" s="16"/>
      <c r="L54" s="17"/>
      <c r="M54" s="17"/>
      <c r="N54" s="17"/>
    </row>
    <row r="55" spans="2:20">
      <c r="B55" s="314"/>
      <c r="C55" s="20" t="s">
        <v>375</v>
      </c>
      <c r="D55" s="316"/>
      <c r="E55" s="20" t="s">
        <v>377</v>
      </c>
      <c r="F55" s="17"/>
      <c r="G55" s="17"/>
      <c r="H55" s="17"/>
      <c r="I55" s="17"/>
      <c r="J55" s="17"/>
      <c r="K55" s="16"/>
      <c r="L55" s="17"/>
      <c r="M55" s="17"/>
      <c r="N55" s="17"/>
    </row>
    <row r="56" spans="2:20">
      <c r="B56" s="314"/>
      <c r="C56" s="20" t="s">
        <v>80</v>
      </c>
      <c r="D56" s="316"/>
      <c r="E56" s="17" t="s">
        <v>193</v>
      </c>
      <c r="F56" s="17"/>
      <c r="G56" s="16"/>
      <c r="H56" s="21"/>
      <c r="I56" s="21"/>
      <c r="J56" s="21"/>
      <c r="K56" s="21"/>
      <c r="L56" s="21"/>
      <c r="M56" s="21"/>
      <c r="N56" s="16"/>
    </row>
    <row r="57" spans="2:20">
      <c r="B57" s="314"/>
      <c r="C57" s="20" t="s">
        <v>237</v>
      </c>
      <c r="D57" s="316"/>
      <c r="E57" s="17" t="s">
        <v>194</v>
      </c>
      <c r="F57" s="17"/>
      <c r="G57" s="17"/>
      <c r="H57" s="17"/>
      <c r="I57" s="17"/>
      <c r="J57" s="21"/>
      <c r="K57" s="16"/>
      <c r="L57" s="17"/>
      <c r="M57" s="17"/>
      <c r="N57" s="17"/>
    </row>
    <row r="58" spans="2:20">
      <c r="B58" s="314"/>
      <c r="C58" s="20" t="s">
        <v>376</v>
      </c>
      <c r="D58" s="316"/>
      <c r="E58" s="17" t="s">
        <v>378</v>
      </c>
      <c r="F58" s="17"/>
      <c r="G58" s="17"/>
      <c r="H58" s="17"/>
      <c r="I58" s="17"/>
      <c r="J58" s="21"/>
      <c r="K58" s="16"/>
      <c r="L58" s="17"/>
      <c r="M58" s="17"/>
      <c r="N58" s="17"/>
    </row>
    <row r="59" spans="2:20">
      <c r="B59" s="314"/>
      <c r="C59" s="20" t="s">
        <v>238</v>
      </c>
      <c r="D59" s="316"/>
      <c r="E59" s="17" t="s">
        <v>195</v>
      </c>
      <c r="F59" s="17"/>
      <c r="G59" s="17"/>
      <c r="H59" s="17"/>
      <c r="I59" s="17"/>
      <c r="J59" s="17"/>
      <c r="K59" s="17"/>
      <c r="L59" s="21"/>
      <c r="M59" s="17"/>
      <c r="N59" s="17"/>
    </row>
    <row r="60" spans="2:20">
      <c r="B60" s="11" t="s">
        <v>333</v>
      </c>
      <c r="D60" s="11" t="s">
        <v>332</v>
      </c>
    </row>
    <row r="62" spans="2:20">
      <c r="B62" s="311" t="s">
        <v>252</v>
      </c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</row>
    <row r="66" spans="2:22">
      <c r="B66" s="11" t="s">
        <v>371</v>
      </c>
    </row>
    <row r="67" spans="2:22">
      <c r="B67" s="11" t="s">
        <v>372</v>
      </c>
      <c r="M67" s="11" t="s">
        <v>338</v>
      </c>
      <c r="O67" s="11" t="s">
        <v>381</v>
      </c>
    </row>
    <row r="68" spans="2:22">
      <c r="D68" s="22"/>
      <c r="E68" s="23"/>
      <c r="F68" s="22"/>
      <c r="G68" s="23"/>
      <c r="H68" s="22"/>
      <c r="I68" s="23"/>
      <c r="J68" s="22"/>
      <c r="K68" s="23"/>
      <c r="L68" s="22"/>
      <c r="M68" s="23" t="s">
        <v>337</v>
      </c>
      <c r="N68" s="22"/>
      <c r="O68" s="23" t="s">
        <v>382</v>
      </c>
      <c r="P68" s="22"/>
      <c r="Q68" s="23"/>
      <c r="R68" s="22"/>
      <c r="S68" s="23"/>
      <c r="T68" s="22"/>
    </row>
    <row r="69" spans="2:22">
      <c r="C69" s="4">
        <v>2006</v>
      </c>
      <c r="D69" s="4"/>
      <c r="E69" s="4">
        <v>2007</v>
      </c>
      <c r="F69" s="4"/>
      <c r="G69" s="4">
        <v>2008</v>
      </c>
      <c r="H69" s="4"/>
      <c r="I69" s="4">
        <v>2009</v>
      </c>
      <c r="J69" s="4"/>
      <c r="K69" s="4">
        <v>2010</v>
      </c>
      <c r="L69" s="4"/>
      <c r="M69" s="4">
        <v>2011</v>
      </c>
      <c r="N69" s="4"/>
      <c r="O69" s="4">
        <v>2012</v>
      </c>
      <c r="P69" s="4"/>
      <c r="Q69" s="4">
        <v>2013</v>
      </c>
      <c r="R69" s="4"/>
      <c r="S69" s="4">
        <v>2014</v>
      </c>
      <c r="T69" s="4"/>
      <c r="U69" s="11">
        <v>2015</v>
      </c>
    </row>
    <row r="70" spans="2:22">
      <c r="B70" s="5" t="s">
        <v>127</v>
      </c>
      <c r="C70" s="6" t="s">
        <v>263</v>
      </c>
      <c r="D70" s="6" t="s">
        <v>150</v>
      </c>
      <c r="E70" s="6" t="s">
        <v>263</v>
      </c>
      <c r="F70" s="6" t="s">
        <v>150</v>
      </c>
      <c r="G70" s="6" t="s">
        <v>263</v>
      </c>
      <c r="H70" s="6" t="s">
        <v>150</v>
      </c>
      <c r="I70" s="6" t="s">
        <v>263</v>
      </c>
      <c r="J70" s="6" t="s">
        <v>150</v>
      </c>
      <c r="K70" s="6" t="s">
        <v>263</v>
      </c>
      <c r="L70" s="6" t="s">
        <v>150</v>
      </c>
      <c r="M70" s="6" t="s">
        <v>263</v>
      </c>
      <c r="N70" s="6" t="s">
        <v>150</v>
      </c>
      <c r="O70" s="6" t="s">
        <v>263</v>
      </c>
      <c r="P70" s="6" t="s">
        <v>150</v>
      </c>
      <c r="Q70" s="6" t="s">
        <v>263</v>
      </c>
      <c r="R70" s="6" t="s">
        <v>150</v>
      </c>
      <c r="S70" s="6" t="s">
        <v>263</v>
      </c>
      <c r="T70" s="6" t="s">
        <v>150</v>
      </c>
      <c r="U70" s="6" t="s">
        <v>263</v>
      </c>
      <c r="V70" s="3" t="s">
        <v>150</v>
      </c>
    </row>
    <row r="71" spans="2:22">
      <c r="B71" s="5" t="s">
        <v>253</v>
      </c>
      <c r="C71" s="6" t="s">
        <v>263</v>
      </c>
      <c r="D71" s="6" t="s">
        <v>166</v>
      </c>
      <c r="E71" s="6" t="s">
        <v>263</v>
      </c>
      <c r="F71" s="6" t="s">
        <v>166</v>
      </c>
      <c r="G71" s="6" t="s">
        <v>263</v>
      </c>
      <c r="H71" s="6" t="s">
        <v>166</v>
      </c>
      <c r="I71" s="6" t="s">
        <v>263</v>
      </c>
      <c r="J71" s="6" t="s">
        <v>166</v>
      </c>
      <c r="K71" s="6" t="s">
        <v>263</v>
      </c>
      <c r="L71" s="6" t="s">
        <v>166</v>
      </c>
      <c r="M71" s="6" t="s">
        <v>263</v>
      </c>
      <c r="N71" s="6" t="s">
        <v>166</v>
      </c>
      <c r="O71" s="6" t="s">
        <v>263</v>
      </c>
      <c r="P71" s="6" t="s">
        <v>166</v>
      </c>
      <c r="Q71" s="6" t="s">
        <v>263</v>
      </c>
      <c r="R71" s="6" t="s">
        <v>166</v>
      </c>
      <c r="S71" s="6" t="s">
        <v>263</v>
      </c>
      <c r="T71" s="6" t="s">
        <v>166</v>
      </c>
      <c r="U71" s="6" t="s">
        <v>263</v>
      </c>
      <c r="V71" s="3" t="s">
        <v>166</v>
      </c>
    </row>
    <row r="72" spans="2:22">
      <c r="B72" s="7" t="s">
        <v>128</v>
      </c>
      <c r="C72" s="23" t="s">
        <v>1</v>
      </c>
      <c r="D72" s="24"/>
      <c r="E72" s="25"/>
      <c r="F72" s="24"/>
      <c r="G72" s="25"/>
      <c r="H72" s="24"/>
      <c r="I72" s="25"/>
      <c r="J72" s="24"/>
      <c r="K72" s="25"/>
      <c r="L72" s="24"/>
      <c r="M72" s="25"/>
      <c r="N72" s="24"/>
      <c r="O72" s="25"/>
      <c r="P72" s="24"/>
      <c r="Q72" s="25"/>
      <c r="R72" s="24"/>
      <c r="S72" s="25"/>
      <c r="T72" s="24"/>
    </row>
    <row r="73" spans="2:22">
      <c r="B73" s="7" t="s">
        <v>2</v>
      </c>
      <c r="C73" s="23" t="s">
        <v>167</v>
      </c>
      <c r="D73" s="22"/>
      <c r="E73" s="23"/>
      <c r="F73" s="22"/>
      <c r="G73" s="23"/>
      <c r="H73" s="22"/>
      <c r="I73" s="23"/>
      <c r="J73" s="22"/>
      <c r="K73" s="23"/>
      <c r="L73" s="22"/>
      <c r="M73" s="23"/>
      <c r="N73" s="22"/>
      <c r="O73" s="23"/>
      <c r="P73" s="22"/>
      <c r="Q73" s="23"/>
      <c r="R73" s="22"/>
      <c r="S73" s="23"/>
      <c r="T73" s="22"/>
    </row>
    <row r="74" spans="2:22">
      <c r="B74" s="8" t="s">
        <v>3</v>
      </c>
      <c r="C74" s="23" t="s">
        <v>69</v>
      </c>
      <c r="D74" s="22"/>
      <c r="E74" s="23"/>
      <c r="F74" s="22"/>
      <c r="G74" s="23"/>
      <c r="H74" s="22"/>
      <c r="I74" s="23"/>
      <c r="J74" s="22"/>
      <c r="K74" s="23"/>
      <c r="L74" s="22"/>
      <c r="M74" s="23"/>
      <c r="N74" s="22"/>
      <c r="O74" s="23"/>
      <c r="P74" s="22"/>
      <c r="Q74" s="23"/>
      <c r="R74" s="22"/>
      <c r="S74" s="23"/>
      <c r="T74" s="22"/>
    </row>
    <row r="75" spans="2:22">
      <c r="B75" s="7" t="s">
        <v>5</v>
      </c>
      <c r="C75" s="23" t="s">
        <v>254</v>
      </c>
      <c r="D75" s="22"/>
      <c r="E75" s="23"/>
      <c r="F75" s="22"/>
      <c r="G75" s="23"/>
      <c r="H75" s="22"/>
      <c r="I75" s="23"/>
      <c r="J75" s="22"/>
      <c r="K75" s="23"/>
      <c r="L75" s="22"/>
      <c r="M75" s="23"/>
      <c r="N75" s="22"/>
      <c r="O75" s="23"/>
      <c r="P75" s="22"/>
      <c r="Q75" s="23"/>
      <c r="R75" s="22"/>
      <c r="S75" s="23"/>
      <c r="T75" s="22"/>
    </row>
    <row r="76" spans="2:22">
      <c r="B76" s="7" t="s">
        <v>7</v>
      </c>
      <c r="C76" s="26" t="s">
        <v>8</v>
      </c>
      <c r="D76" s="22"/>
      <c r="E76" s="23"/>
      <c r="F76" s="22"/>
      <c r="G76" s="23"/>
      <c r="H76" s="22"/>
      <c r="I76" s="23"/>
      <c r="J76" s="22"/>
      <c r="K76" s="23"/>
      <c r="L76" s="22"/>
      <c r="M76" s="23"/>
      <c r="N76" s="22"/>
      <c r="O76" s="23"/>
      <c r="P76" s="22"/>
      <c r="Q76" s="23"/>
      <c r="R76" s="22"/>
      <c r="S76" s="23"/>
      <c r="T76" s="22"/>
    </row>
    <row r="77" spans="2:22">
      <c r="B77" s="7" t="s">
        <v>9</v>
      </c>
      <c r="C77" s="26" t="s">
        <v>10</v>
      </c>
      <c r="D77" s="24"/>
      <c r="E77" s="25"/>
      <c r="F77" s="24"/>
      <c r="G77" s="25"/>
      <c r="H77" s="24"/>
      <c r="I77" s="25"/>
      <c r="J77" s="24"/>
      <c r="K77" s="25"/>
      <c r="L77" s="24"/>
      <c r="M77" s="25"/>
      <c r="N77" s="24"/>
      <c r="O77" s="25"/>
      <c r="P77" s="24"/>
      <c r="Q77" s="25"/>
      <c r="R77" s="24"/>
      <c r="S77" s="25"/>
      <c r="T77" s="24"/>
    </row>
    <row r="78" spans="2:22">
      <c r="B78" s="7" t="s">
        <v>12</v>
      </c>
      <c r="C78" s="26" t="s">
        <v>13</v>
      </c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/>
      <c r="P78" s="24"/>
      <c r="Q78" s="23"/>
      <c r="R78" s="24"/>
      <c r="S78" s="23"/>
      <c r="T78" s="24"/>
    </row>
    <row r="79" spans="2:22">
      <c r="B79" s="7" t="s">
        <v>14</v>
      </c>
      <c r="C79" s="26" t="s">
        <v>15</v>
      </c>
      <c r="D79" s="24"/>
      <c r="E79" s="23"/>
      <c r="F79" s="24"/>
      <c r="G79" s="23"/>
      <c r="H79" s="24"/>
      <c r="I79" s="23"/>
      <c r="J79" s="24"/>
      <c r="K79" s="23"/>
      <c r="L79" s="24"/>
      <c r="M79" s="23"/>
      <c r="N79" s="24"/>
      <c r="O79" s="23"/>
      <c r="P79" s="24"/>
      <c r="Q79" s="23"/>
      <c r="R79" s="24"/>
      <c r="S79" s="23"/>
      <c r="T79" s="24"/>
    </row>
    <row r="80" spans="2:22">
      <c r="B80" s="7" t="s">
        <v>17</v>
      </c>
      <c r="C80" s="26" t="s">
        <v>18</v>
      </c>
      <c r="D80" s="24"/>
      <c r="E80" s="23"/>
      <c r="F80" s="24"/>
      <c r="G80" s="23"/>
      <c r="H80" s="24"/>
      <c r="I80" s="23"/>
      <c r="J80" s="24"/>
      <c r="K80" s="23"/>
      <c r="L80" s="24"/>
      <c r="M80" s="23"/>
      <c r="N80" s="24"/>
      <c r="O80" s="23"/>
      <c r="P80" s="24"/>
      <c r="Q80" s="23"/>
      <c r="R80" s="24"/>
      <c r="S80" s="23"/>
      <c r="T80" s="24"/>
    </row>
    <row r="81" spans="2:20">
      <c r="B81" s="7" t="s">
        <v>19</v>
      </c>
      <c r="C81" s="26" t="s">
        <v>20</v>
      </c>
      <c r="D81" s="24"/>
      <c r="E81" s="23"/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3"/>
      <c r="R81" s="24"/>
      <c r="S81" s="23"/>
      <c r="T81" s="24"/>
    </row>
    <row r="82" spans="2:20">
      <c r="B82" s="7" t="s">
        <v>21</v>
      </c>
      <c r="C82" s="26" t="s">
        <v>22</v>
      </c>
      <c r="D82" s="24"/>
      <c r="E82" s="25"/>
      <c r="F82" s="24"/>
      <c r="G82" s="25"/>
      <c r="H82" s="24"/>
      <c r="I82" s="25"/>
      <c r="J82" s="24"/>
      <c r="K82" s="25"/>
      <c r="L82" s="24"/>
      <c r="M82" s="25"/>
      <c r="N82" s="24"/>
      <c r="O82" s="25"/>
      <c r="P82" s="24"/>
      <c r="Q82" s="25"/>
      <c r="R82" s="24"/>
      <c r="S82" s="25"/>
      <c r="T82" s="24"/>
    </row>
    <row r="83" spans="2:20">
      <c r="B83" s="7" t="s">
        <v>23</v>
      </c>
      <c r="C83" s="26" t="s">
        <v>24</v>
      </c>
      <c r="D83" s="24"/>
      <c r="E83" s="23"/>
      <c r="F83" s="24"/>
      <c r="G83" s="23"/>
      <c r="H83" s="24"/>
      <c r="I83" s="23"/>
      <c r="J83" s="24"/>
      <c r="K83" s="23"/>
      <c r="L83" s="24"/>
      <c r="M83" s="23"/>
      <c r="N83" s="24"/>
      <c r="O83" s="23"/>
      <c r="P83" s="24"/>
      <c r="Q83" s="23"/>
      <c r="R83" s="24"/>
      <c r="S83" s="23"/>
      <c r="T83" s="24"/>
    </row>
    <row r="84" spans="2:20">
      <c r="B84" s="7" t="s">
        <v>25</v>
      </c>
      <c r="C84" s="26" t="s">
        <v>26</v>
      </c>
      <c r="D84" s="24"/>
      <c r="E84" s="23"/>
      <c r="F84" s="24"/>
      <c r="G84" s="23"/>
      <c r="H84" s="24"/>
      <c r="I84" s="23"/>
      <c r="J84" s="24"/>
      <c r="K84" s="23"/>
      <c r="L84" s="24"/>
      <c r="M84" s="23"/>
      <c r="N84" s="24"/>
      <c r="O84" s="23"/>
      <c r="P84" s="24"/>
      <c r="Q84" s="23"/>
      <c r="R84" s="24"/>
      <c r="S84" s="23"/>
      <c r="T84" s="24"/>
    </row>
    <row r="85" spans="2:20">
      <c r="B85" s="7" t="s">
        <v>27</v>
      </c>
      <c r="C85" s="26" t="s">
        <v>28</v>
      </c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4"/>
    </row>
    <row r="86" spans="2:20">
      <c r="B86" s="7" t="s">
        <v>29</v>
      </c>
      <c r="C86" s="26" t="s">
        <v>30</v>
      </c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4"/>
    </row>
    <row r="87" spans="2:20">
      <c r="B87" s="7" t="s">
        <v>31</v>
      </c>
      <c r="C87" s="26" t="s">
        <v>175</v>
      </c>
      <c r="D87" s="24"/>
      <c r="E87" s="23"/>
      <c r="F87" s="24"/>
      <c r="G87" s="23"/>
      <c r="H87" s="24"/>
      <c r="I87" s="23"/>
      <c r="J87" s="24"/>
      <c r="K87" s="23"/>
      <c r="L87" s="24"/>
      <c r="M87" s="23"/>
      <c r="N87" s="24"/>
      <c r="O87" s="23"/>
      <c r="P87" s="24"/>
      <c r="Q87" s="23"/>
      <c r="R87" s="24"/>
      <c r="S87" s="23"/>
      <c r="T87" s="24"/>
    </row>
    <row r="88" spans="2:20">
      <c r="B88" s="7" t="s">
        <v>32</v>
      </c>
      <c r="C88" s="12" t="s">
        <v>33</v>
      </c>
      <c r="D88" s="24"/>
      <c r="E88" s="23"/>
      <c r="F88" s="24"/>
      <c r="G88" s="23"/>
      <c r="H88" s="24"/>
      <c r="I88" s="23"/>
      <c r="J88" s="24"/>
      <c r="K88" s="23"/>
      <c r="L88" s="24"/>
      <c r="M88" s="23"/>
      <c r="N88" s="24"/>
      <c r="O88" s="23"/>
      <c r="P88" s="24"/>
      <c r="Q88" s="23"/>
      <c r="R88" s="24"/>
      <c r="S88" s="23"/>
      <c r="T88" s="24"/>
    </row>
    <row r="89" spans="2:20">
      <c r="B89" s="7" t="s">
        <v>34</v>
      </c>
      <c r="C89" s="12" t="s">
        <v>35</v>
      </c>
      <c r="D89" s="24"/>
      <c r="E89" s="25"/>
      <c r="F89" s="24"/>
      <c r="G89" s="25"/>
      <c r="H89" s="24"/>
      <c r="I89" s="25"/>
      <c r="J89" s="24"/>
      <c r="K89" s="25"/>
      <c r="L89" s="24"/>
      <c r="M89" s="25"/>
      <c r="N89" s="24"/>
      <c r="O89" s="25"/>
      <c r="P89" s="24"/>
      <c r="Q89" s="25"/>
      <c r="R89" s="24"/>
      <c r="S89" s="25"/>
      <c r="T89" s="24"/>
    </row>
    <row r="90" spans="2:20">
      <c r="B90" s="7" t="s">
        <v>37</v>
      </c>
      <c r="C90" s="12" t="s">
        <v>38</v>
      </c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23"/>
      <c r="P90" s="24"/>
      <c r="Q90" s="23"/>
      <c r="R90" s="24"/>
      <c r="S90" s="23"/>
      <c r="T90" s="24"/>
    </row>
    <row r="91" spans="2:20">
      <c r="B91" s="7" t="s">
        <v>39</v>
      </c>
      <c r="C91" s="12" t="s">
        <v>168</v>
      </c>
      <c r="D91" s="24"/>
      <c r="E91" s="23"/>
      <c r="F91" s="24"/>
      <c r="G91" s="23"/>
      <c r="H91" s="24"/>
      <c r="I91" s="23"/>
      <c r="J91" s="24"/>
      <c r="K91" s="23"/>
      <c r="L91" s="24"/>
      <c r="M91" s="23"/>
      <c r="N91" s="24"/>
      <c r="O91" s="23"/>
      <c r="P91" s="24"/>
      <c r="Q91" s="23"/>
      <c r="R91" s="24"/>
      <c r="S91" s="23"/>
      <c r="T91" s="24"/>
    </row>
    <row r="92" spans="2:20">
      <c r="B92" s="7" t="s">
        <v>40</v>
      </c>
      <c r="C92" s="12" t="s">
        <v>41</v>
      </c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/>
      <c r="P92" s="24"/>
      <c r="Q92" s="23"/>
      <c r="R92" s="24"/>
      <c r="S92" s="23"/>
      <c r="T92" s="24"/>
    </row>
    <row r="93" spans="2:20">
      <c r="B93" s="7" t="s">
        <v>42</v>
      </c>
      <c r="C93" s="12" t="s">
        <v>43</v>
      </c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</row>
    <row r="94" spans="2:20">
      <c r="B94" s="7" t="s">
        <v>45</v>
      </c>
      <c r="C94" s="12" t="s">
        <v>46</v>
      </c>
      <c r="D94" s="24"/>
      <c r="E94" s="25"/>
      <c r="F94" s="24"/>
      <c r="G94" s="25"/>
      <c r="H94" s="24"/>
      <c r="I94" s="25"/>
      <c r="J94" s="24"/>
      <c r="K94" s="25"/>
      <c r="L94" s="24"/>
      <c r="M94" s="25"/>
      <c r="N94" s="24"/>
      <c r="O94" s="25"/>
      <c r="P94" s="24"/>
      <c r="Q94" s="25"/>
      <c r="R94" s="24"/>
      <c r="S94" s="25"/>
      <c r="T94" s="24"/>
    </row>
    <row r="95" spans="2:20">
      <c r="B95" s="7" t="s">
        <v>47</v>
      </c>
      <c r="C95" s="12" t="s">
        <v>48</v>
      </c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4"/>
      <c r="O95" s="25"/>
      <c r="P95" s="24"/>
      <c r="Q95" s="25"/>
      <c r="R95" s="24"/>
      <c r="S95" s="25"/>
      <c r="T95" s="24"/>
    </row>
    <row r="96" spans="2:20">
      <c r="B96" s="7" t="s">
        <v>50</v>
      </c>
      <c r="C96" s="12" t="s">
        <v>169</v>
      </c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  <c r="P96" s="24"/>
      <c r="Q96" s="25"/>
      <c r="R96" s="24"/>
      <c r="S96" s="25"/>
      <c r="T96" s="24"/>
    </row>
    <row r="97" spans="2:20">
      <c r="B97" s="7" t="s">
        <v>51</v>
      </c>
      <c r="C97" s="12" t="s">
        <v>52</v>
      </c>
      <c r="D97" s="22"/>
      <c r="E97" s="23"/>
      <c r="F97" s="22"/>
      <c r="G97" s="23"/>
      <c r="H97" s="22"/>
      <c r="I97" s="23"/>
      <c r="J97" s="22"/>
      <c r="K97" s="23"/>
      <c r="L97" s="22"/>
      <c r="M97" s="23"/>
      <c r="N97" s="22"/>
      <c r="O97" s="23"/>
      <c r="P97" s="22"/>
      <c r="Q97" s="23"/>
      <c r="R97" s="22"/>
      <c r="S97" s="23"/>
      <c r="T97" s="22"/>
    </row>
    <row r="98" spans="2:20">
      <c r="B98" s="7" t="s">
        <v>53</v>
      </c>
      <c r="C98" s="12" t="s">
        <v>54</v>
      </c>
      <c r="D98" s="22"/>
      <c r="E98" s="23"/>
      <c r="F98" s="22"/>
      <c r="G98" s="23"/>
      <c r="H98" s="22"/>
      <c r="I98" s="23"/>
      <c r="J98" s="22"/>
      <c r="K98" s="23"/>
      <c r="L98" s="22"/>
      <c r="M98" s="23"/>
      <c r="N98" s="22"/>
      <c r="O98" s="23"/>
      <c r="P98" s="22"/>
      <c r="Q98" s="23"/>
      <c r="R98" s="22"/>
      <c r="S98" s="23"/>
      <c r="T98" s="22"/>
    </row>
    <row r="99" spans="2:20">
      <c r="B99" s="7" t="s">
        <v>55</v>
      </c>
      <c r="C99" s="12" t="s">
        <v>56</v>
      </c>
      <c r="D99" s="22"/>
      <c r="E99" s="23"/>
      <c r="F99" s="22"/>
      <c r="G99" s="23"/>
      <c r="H99" s="22"/>
      <c r="I99" s="23"/>
      <c r="J99" s="22"/>
      <c r="K99" s="23"/>
      <c r="L99" s="22"/>
      <c r="M99" s="23"/>
      <c r="N99" s="22"/>
      <c r="O99" s="23"/>
      <c r="P99" s="22"/>
      <c r="Q99" s="23"/>
      <c r="R99" s="22"/>
      <c r="S99" s="23"/>
      <c r="T99" s="22"/>
    </row>
    <row r="100" spans="2:20">
      <c r="B100" s="7" t="s">
        <v>57</v>
      </c>
      <c r="C100" s="12" t="s">
        <v>58</v>
      </c>
      <c r="D100" s="22"/>
      <c r="E100" s="23"/>
      <c r="F100" s="22"/>
      <c r="G100" s="23"/>
      <c r="H100" s="22"/>
      <c r="I100" s="23"/>
      <c r="J100" s="22"/>
      <c r="K100" s="23"/>
      <c r="L100" s="22"/>
      <c r="M100" s="23"/>
      <c r="N100" s="22"/>
      <c r="O100" s="23"/>
      <c r="P100" s="22"/>
      <c r="Q100" s="23"/>
      <c r="R100" s="22"/>
      <c r="S100" s="23"/>
      <c r="T100" s="22"/>
    </row>
    <row r="101" spans="2:20">
      <c r="B101" s="7" t="s">
        <v>59</v>
      </c>
      <c r="C101" s="12" t="s">
        <v>60</v>
      </c>
      <c r="D101" s="22"/>
      <c r="E101" s="23"/>
      <c r="F101" s="22"/>
      <c r="G101" s="23"/>
      <c r="H101" s="22"/>
      <c r="I101" s="23"/>
      <c r="J101" s="22"/>
      <c r="K101" s="23"/>
      <c r="L101" s="22"/>
      <c r="M101" s="23"/>
      <c r="N101" s="22"/>
      <c r="O101" s="23"/>
      <c r="P101" s="22"/>
      <c r="Q101" s="23"/>
      <c r="R101" s="22"/>
      <c r="S101" s="23"/>
      <c r="T101" s="22"/>
    </row>
    <row r="102" spans="2:20">
      <c r="B102" s="7" t="s">
        <v>53</v>
      </c>
      <c r="C102" s="12" t="s">
        <v>54</v>
      </c>
      <c r="D102" s="22"/>
      <c r="E102" s="23"/>
      <c r="F102" s="22"/>
      <c r="G102" s="23"/>
      <c r="H102" s="22"/>
      <c r="I102" s="23"/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</row>
    <row r="103" spans="2:20">
      <c r="B103" s="7" t="s">
        <v>255</v>
      </c>
      <c r="C103" s="12" t="s">
        <v>61</v>
      </c>
      <c r="D103" s="22"/>
      <c r="E103" s="23"/>
      <c r="F103" s="22"/>
      <c r="G103" s="23"/>
      <c r="H103" s="22"/>
      <c r="I103" s="23"/>
      <c r="J103" s="22"/>
      <c r="K103" s="23"/>
      <c r="L103" s="22"/>
      <c r="M103" s="23"/>
      <c r="N103" s="22"/>
      <c r="O103" s="23"/>
      <c r="P103" s="22"/>
      <c r="Q103" s="23"/>
      <c r="R103" s="22"/>
      <c r="S103" s="23"/>
      <c r="T103" s="22"/>
    </row>
    <row r="104" spans="2:20">
      <c r="B104" s="7" t="s">
        <v>62</v>
      </c>
      <c r="C104" s="12" t="s">
        <v>340</v>
      </c>
      <c r="D104" s="22"/>
      <c r="E104" s="23"/>
      <c r="F104" s="22"/>
      <c r="G104" s="23"/>
      <c r="H104" s="22"/>
      <c r="I104" s="23"/>
      <c r="J104" s="22"/>
      <c r="K104" s="23"/>
      <c r="L104" s="22"/>
      <c r="M104" s="23"/>
      <c r="N104" s="22"/>
      <c r="O104" s="23"/>
      <c r="P104" s="22"/>
      <c r="Q104" s="23"/>
      <c r="R104" s="22"/>
      <c r="S104" s="23"/>
      <c r="T104" s="22"/>
    </row>
    <row r="105" spans="2:20">
      <c r="B105" s="7" t="s">
        <v>126</v>
      </c>
      <c r="C105" s="12" t="s">
        <v>170</v>
      </c>
      <c r="D105" s="22"/>
      <c r="E105" s="23"/>
      <c r="F105" s="22"/>
      <c r="G105" s="23"/>
      <c r="H105" s="22"/>
      <c r="I105" s="23"/>
      <c r="J105" s="22"/>
      <c r="K105" s="23"/>
      <c r="L105" s="22"/>
      <c r="M105" s="23"/>
      <c r="N105" s="22"/>
      <c r="O105" s="23"/>
      <c r="P105" s="22"/>
      <c r="Q105" s="23"/>
      <c r="R105" s="22"/>
      <c r="S105" s="23"/>
      <c r="T105" s="22"/>
    </row>
    <row r="106" spans="2:20">
      <c r="B106" s="9" t="s">
        <v>63</v>
      </c>
      <c r="C106" s="12" t="s">
        <v>341</v>
      </c>
      <c r="D106" s="22"/>
      <c r="E106" s="23"/>
      <c r="F106" s="22"/>
      <c r="G106" s="23"/>
      <c r="H106" s="22"/>
      <c r="I106" s="23"/>
      <c r="J106" s="22"/>
      <c r="K106" s="23"/>
      <c r="L106" s="22"/>
      <c r="M106" s="23"/>
      <c r="N106" s="22"/>
      <c r="O106" s="23"/>
      <c r="P106" s="22"/>
      <c r="Q106" s="23"/>
      <c r="R106" s="22"/>
      <c r="S106" s="23"/>
      <c r="T106" s="22"/>
    </row>
    <row r="107" spans="2:20">
      <c r="B107" s="9" t="s">
        <v>64</v>
      </c>
      <c r="C107" s="12" t="s">
        <v>65</v>
      </c>
      <c r="D107" s="22"/>
      <c r="E107" s="23"/>
      <c r="F107" s="22"/>
      <c r="G107" s="23"/>
      <c r="H107" s="22"/>
      <c r="I107" s="23"/>
      <c r="J107" s="22"/>
      <c r="K107" s="23"/>
      <c r="L107" s="22"/>
      <c r="M107" s="23"/>
      <c r="N107" s="22"/>
      <c r="O107" s="23"/>
      <c r="P107" s="22"/>
      <c r="Q107" s="23"/>
      <c r="R107" s="22"/>
      <c r="S107" s="23"/>
      <c r="T107" s="22"/>
    </row>
    <row r="108" spans="2:20">
      <c r="B108" s="9" t="s">
        <v>66</v>
      </c>
      <c r="C108" s="12" t="s">
        <v>67</v>
      </c>
      <c r="D108" s="22"/>
      <c r="E108" s="23"/>
      <c r="F108" s="22"/>
      <c r="G108" s="23"/>
      <c r="H108" s="22"/>
      <c r="I108" s="23"/>
      <c r="J108" s="22"/>
      <c r="K108" s="23"/>
      <c r="L108" s="22"/>
      <c r="M108" s="23"/>
      <c r="N108" s="22"/>
      <c r="O108" s="23"/>
      <c r="P108" s="22"/>
      <c r="Q108" s="23"/>
      <c r="R108" s="22"/>
      <c r="S108" s="23"/>
      <c r="T108" s="22"/>
    </row>
    <row r="109" spans="2:20">
      <c r="B109" s="9" t="s">
        <v>68</v>
      </c>
      <c r="C109" s="12" t="s">
        <v>69</v>
      </c>
      <c r="D109" s="22"/>
      <c r="E109" s="23"/>
      <c r="F109" s="22"/>
      <c r="G109" s="23"/>
      <c r="H109" s="22"/>
      <c r="I109" s="23"/>
      <c r="J109" s="22"/>
      <c r="K109" s="23"/>
      <c r="L109" s="22"/>
      <c r="M109" s="23"/>
      <c r="N109" s="22"/>
      <c r="O109" s="23"/>
      <c r="P109" s="22"/>
      <c r="Q109" s="23"/>
      <c r="R109" s="22"/>
      <c r="S109" s="23"/>
      <c r="T109" s="22"/>
    </row>
    <row r="110" spans="2:20">
      <c r="B110" s="9" t="s">
        <v>70</v>
      </c>
      <c r="C110" s="12" t="s">
        <v>71</v>
      </c>
      <c r="D110" s="22"/>
      <c r="E110" s="23"/>
      <c r="F110" s="22"/>
      <c r="G110" s="23"/>
      <c r="H110" s="22"/>
      <c r="I110" s="23"/>
      <c r="J110" s="22"/>
      <c r="K110" s="23"/>
      <c r="L110" s="22"/>
      <c r="M110" s="23"/>
      <c r="N110" s="22"/>
      <c r="O110" s="23"/>
      <c r="P110" s="22"/>
      <c r="Q110" s="23"/>
      <c r="R110" s="22"/>
      <c r="S110" s="23"/>
      <c r="T110" s="22"/>
    </row>
    <row r="111" spans="2:20">
      <c r="B111" s="9" t="s">
        <v>72</v>
      </c>
      <c r="C111" s="12" t="s">
        <v>73</v>
      </c>
      <c r="D111" s="22"/>
      <c r="E111" s="23"/>
      <c r="F111" s="22"/>
      <c r="G111" s="23"/>
      <c r="H111" s="22"/>
      <c r="I111" s="23"/>
      <c r="J111" s="22"/>
      <c r="K111" s="23"/>
      <c r="L111" s="22"/>
      <c r="M111" s="23"/>
      <c r="N111" s="22"/>
      <c r="O111" s="23"/>
      <c r="P111" s="22"/>
      <c r="Q111" s="23"/>
      <c r="R111" s="22"/>
      <c r="S111" s="23"/>
      <c r="T111" s="22"/>
    </row>
    <row r="112" spans="2:20">
      <c r="B112" s="9" t="s">
        <v>129</v>
      </c>
      <c r="C112" s="12" t="s">
        <v>179</v>
      </c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</row>
    <row r="113" spans="2:20">
      <c r="B113" s="9" t="s">
        <v>75</v>
      </c>
      <c r="C113" s="12" t="s">
        <v>76</v>
      </c>
      <c r="D113" s="22"/>
      <c r="E113" s="23"/>
      <c r="F113" s="22"/>
      <c r="G113" s="23"/>
      <c r="H113" s="22"/>
      <c r="I113" s="23"/>
      <c r="J113" s="22"/>
      <c r="K113" s="23"/>
      <c r="L113" s="22"/>
      <c r="M113" s="23"/>
      <c r="N113" s="22"/>
      <c r="O113" s="23"/>
      <c r="P113" s="22"/>
      <c r="Q113" s="23"/>
      <c r="R113" s="22"/>
      <c r="S113" s="23"/>
      <c r="T113" s="22"/>
    </row>
    <row r="114" spans="2:20">
      <c r="B114" s="9" t="s">
        <v>77</v>
      </c>
      <c r="C114" s="12" t="s">
        <v>78</v>
      </c>
      <c r="D114" s="22"/>
      <c r="E114" s="23"/>
      <c r="F114" s="22"/>
      <c r="G114" s="23"/>
      <c r="H114" s="22"/>
      <c r="I114" s="23"/>
      <c r="J114" s="22"/>
      <c r="K114" s="23"/>
      <c r="L114" s="22"/>
      <c r="M114" s="23"/>
      <c r="N114" s="22"/>
      <c r="O114" s="23"/>
      <c r="P114" s="22"/>
      <c r="Q114" s="23"/>
      <c r="R114" s="22"/>
      <c r="S114" s="23"/>
      <c r="T114" s="22"/>
    </row>
    <row r="115" spans="2:20">
      <c r="B115" s="9" t="s">
        <v>79</v>
      </c>
      <c r="C115" s="12" t="s">
        <v>151</v>
      </c>
      <c r="D115" s="22"/>
      <c r="E115" s="23"/>
      <c r="F115" s="22"/>
      <c r="G115" s="23"/>
      <c r="H115" s="22"/>
      <c r="I115" s="23"/>
      <c r="J115" s="22"/>
      <c r="K115" s="23"/>
      <c r="L115" s="22"/>
      <c r="M115" s="23"/>
      <c r="N115" s="22"/>
      <c r="O115" s="23"/>
      <c r="P115" s="22"/>
      <c r="Q115" s="23"/>
      <c r="R115" s="22"/>
      <c r="S115" s="23"/>
      <c r="T115" s="22"/>
    </row>
    <row r="116" spans="2:20">
      <c r="B116" s="9" t="s">
        <v>80</v>
      </c>
      <c r="C116" s="12" t="s">
        <v>81</v>
      </c>
      <c r="D116" s="22"/>
      <c r="E116" s="23"/>
      <c r="F116" s="22"/>
      <c r="G116" s="23"/>
      <c r="H116" s="22"/>
      <c r="I116" s="23"/>
      <c r="J116" s="22"/>
      <c r="K116" s="23"/>
      <c r="L116" s="22"/>
      <c r="M116" s="23"/>
      <c r="N116" s="22"/>
      <c r="O116" s="23"/>
      <c r="P116" s="22"/>
      <c r="Q116" s="23"/>
      <c r="R116" s="22"/>
      <c r="S116" s="23"/>
      <c r="T116" s="22"/>
    </row>
    <row r="117" spans="2:20">
      <c r="B117" s="9" t="s">
        <v>82</v>
      </c>
      <c r="C117" s="12" t="s">
        <v>83</v>
      </c>
      <c r="D117" s="22"/>
      <c r="E117" s="23"/>
      <c r="F117" s="22"/>
      <c r="G117" s="23"/>
      <c r="H117" s="22"/>
      <c r="I117" s="23"/>
      <c r="J117" s="22"/>
      <c r="K117" s="23"/>
      <c r="L117" s="22"/>
      <c r="M117" s="23"/>
      <c r="N117" s="22"/>
      <c r="O117" s="23"/>
      <c r="P117" s="22"/>
      <c r="Q117" s="23"/>
      <c r="R117" s="22"/>
      <c r="S117" s="23"/>
      <c r="T117" s="22"/>
    </row>
    <row r="118" spans="2:20">
      <c r="B118" s="9" t="s">
        <v>84</v>
      </c>
      <c r="C118" s="12" t="s">
        <v>85</v>
      </c>
      <c r="D118" s="24"/>
      <c r="E118" s="25"/>
      <c r="F118" s="24"/>
      <c r="G118" s="25"/>
      <c r="H118" s="24"/>
      <c r="I118" s="25"/>
      <c r="J118" s="24"/>
      <c r="K118" s="25"/>
      <c r="L118" s="24"/>
      <c r="M118" s="25"/>
      <c r="N118" s="24"/>
      <c r="O118" s="25"/>
      <c r="P118" s="24"/>
      <c r="Q118" s="25"/>
      <c r="R118" s="24"/>
      <c r="S118" s="25"/>
      <c r="T118" s="24"/>
    </row>
    <row r="119" spans="2:20">
      <c r="B119" s="9" t="s">
        <v>86</v>
      </c>
      <c r="C119" s="12" t="s">
        <v>342</v>
      </c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22"/>
      <c r="Q119" s="23"/>
      <c r="R119" s="22"/>
      <c r="S119" s="23"/>
      <c r="T119" s="22"/>
    </row>
    <row r="120" spans="2:20">
      <c r="B120" s="9" t="s">
        <v>130</v>
      </c>
      <c r="C120" s="12" t="s">
        <v>180</v>
      </c>
      <c r="D120" s="22"/>
      <c r="E120" s="23"/>
      <c r="F120" s="22"/>
      <c r="G120" s="23"/>
      <c r="H120" s="22"/>
      <c r="I120" s="23"/>
      <c r="J120" s="22"/>
      <c r="K120" s="23"/>
      <c r="L120" s="22"/>
      <c r="M120" s="23"/>
      <c r="N120" s="22"/>
      <c r="O120" s="23"/>
      <c r="P120" s="22"/>
      <c r="Q120" s="23"/>
      <c r="R120" s="22"/>
      <c r="S120" s="23"/>
      <c r="T120" s="22"/>
    </row>
    <row r="121" spans="2:20">
      <c r="B121" s="9" t="s">
        <v>87</v>
      </c>
      <c r="C121" s="12" t="s">
        <v>88</v>
      </c>
      <c r="D121" s="22"/>
      <c r="E121" s="23"/>
      <c r="F121" s="22"/>
      <c r="G121" s="23"/>
      <c r="H121" s="22"/>
      <c r="I121" s="23"/>
      <c r="J121" s="22"/>
      <c r="K121" s="23"/>
      <c r="L121" s="22"/>
      <c r="M121" s="23"/>
      <c r="N121" s="22"/>
      <c r="O121" s="23"/>
      <c r="P121" s="22"/>
      <c r="Q121" s="23"/>
      <c r="R121" s="22"/>
      <c r="S121" s="23"/>
      <c r="T121" s="22"/>
    </row>
    <row r="122" spans="2:20">
      <c r="B122" s="9" t="s">
        <v>89</v>
      </c>
      <c r="C122" s="12" t="s">
        <v>90</v>
      </c>
      <c r="D122" s="22"/>
      <c r="E122" s="23"/>
      <c r="F122" s="22"/>
      <c r="G122" s="23"/>
      <c r="H122" s="22"/>
      <c r="I122" s="23"/>
      <c r="J122" s="22"/>
      <c r="K122" s="23"/>
      <c r="L122" s="22"/>
      <c r="M122" s="23"/>
      <c r="N122" s="22"/>
      <c r="O122" s="23"/>
      <c r="P122" s="22"/>
      <c r="Q122" s="23"/>
      <c r="R122" s="22"/>
      <c r="S122" s="23"/>
      <c r="T122" s="22"/>
    </row>
    <row r="123" spans="2:20">
      <c r="B123" s="9" t="s">
        <v>91</v>
      </c>
      <c r="C123" s="12" t="s">
        <v>92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22"/>
    </row>
    <row r="124" spans="2:20">
      <c r="B124" s="9" t="s">
        <v>93</v>
      </c>
      <c r="C124" s="12" t="s">
        <v>94</v>
      </c>
      <c r="D124" s="24"/>
      <c r="E124" s="25"/>
      <c r="F124" s="24"/>
      <c r="G124" s="25"/>
      <c r="H124" s="24"/>
      <c r="I124" s="25"/>
      <c r="J124" s="24"/>
      <c r="K124" s="25"/>
      <c r="L124" s="24"/>
      <c r="M124" s="25"/>
      <c r="N124" s="24"/>
      <c r="O124" s="25"/>
      <c r="P124" s="24"/>
      <c r="Q124" s="25"/>
      <c r="R124" s="24"/>
      <c r="S124" s="25"/>
      <c r="T124" s="24"/>
    </row>
    <row r="125" spans="2:20">
      <c r="B125" s="9" t="s">
        <v>95</v>
      </c>
      <c r="C125" s="12" t="s">
        <v>96</v>
      </c>
      <c r="D125" s="24"/>
      <c r="E125" s="25"/>
      <c r="F125" s="24"/>
      <c r="G125" s="25"/>
      <c r="H125" s="24"/>
      <c r="I125" s="25"/>
      <c r="J125" s="24"/>
      <c r="K125" s="25"/>
      <c r="L125" s="24"/>
      <c r="M125" s="25"/>
      <c r="N125" s="24"/>
      <c r="O125" s="25"/>
      <c r="P125" s="24"/>
      <c r="Q125" s="25"/>
      <c r="R125" s="24"/>
      <c r="S125" s="25"/>
      <c r="T125" s="24"/>
    </row>
    <row r="126" spans="2:20">
      <c r="B126" s="9" t="s">
        <v>97</v>
      </c>
      <c r="C126" s="12" t="s">
        <v>98</v>
      </c>
      <c r="D126" s="24"/>
      <c r="E126" s="25"/>
      <c r="F126" s="24"/>
      <c r="G126" s="25"/>
      <c r="H126" s="24"/>
      <c r="I126" s="25"/>
      <c r="J126" s="24"/>
      <c r="K126" s="25"/>
      <c r="L126" s="24"/>
      <c r="M126" s="25"/>
      <c r="N126" s="24"/>
      <c r="O126" s="25"/>
      <c r="P126" s="24"/>
      <c r="Q126" s="25"/>
      <c r="R126" s="24"/>
      <c r="S126" s="25"/>
      <c r="T126" s="24"/>
    </row>
    <row r="127" spans="2:20">
      <c r="B127" s="9" t="s">
        <v>100</v>
      </c>
      <c r="C127" s="12" t="s">
        <v>101</v>
      </c>
      <c r="D127" s="24"/>
      <c r="E127" s="25"/>
      <c r="F127" s="24"/>
      <c r="G127" s="25"/>
      <c r="H127" s="24"/>
      <c r="I127" s="25"/>
      <c r="J127" s="24"/>
      <c r="K127" s="25"/>
      <c r="L127" s="24"/>
      <c r="M127" s="25"/>
      <c r="N127" s="24"/>
      <c r="O127" s="25"/>
      <c r="P127" s="24"/>
      <c r="Q127" s="25"/>
      <c r="R127" s="24"/>
      <c r="S127" s="25"/>
      <c r="T127" s="24"/>
    </row>
    <row r="128" spans="2:20">
      <c r="B128" s="9" t="s">
        <v>102</v>
      </c>
      <c r="C128" s="12" t="s">
        <v>103</v>
      </c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  <c r="P128" s="24"/>
      <c r="Q128" s="25"/>
      <c r="R128" s="24"/>
      <c r="S128" s="25"/>
      <c r="T128" s="24"/>
    </row>
    <row r="129" spans="2:20">
      <c r="B129" s="9" t="s">
        <v>104</v>
      </c>
      <c r="C129" s="12" t="s">
        <v>105</v>
      </c>
      <c r="D129" s="24"/>
      <c r="E129" s="25"/>
      <c r="F129" s="24"/>
      <c r="G129" s="25"/>
      <c r="H129" s="24"/>
      <c r="I129" s="25"/>
      <c r="J129" s="24"/>
      <c r="K129" s="25"/>
      <c r="L129" s="24"/>
      <c r="M129" s="25"/>
      <c r="N129" s="24"/>
      <c r="O129" s="25"/>
      <c r="P129" s="24"/>
      <c r="Q129" s="25"/>
      <c r="R129" s="24"/>
      <c r="S129" s="25"/>
      <c r="T129" s="24"/>
    </row>
    <row r="130" spans="2:20">
      <c r="B130" s="9" t="s">
        <v>106</v>
      </c>
      <c r="C130" s="12" t="s">
        <v>107</v>
      </c>
      <c r="D130" s="24"/>
      <c r="E130" s="25"/>
      <c r="F130" s="24"/>
      <c r="G130" s="25"/>
      <c r="H130" s="24"/>
      <c r="I130" s="25"/>
      <c r="J130" s="24"/>
      <c r="K130" s="25"/>
      <c r="L130" s="24"/>
      <c r="M130" s="25"/>
      <c r="N130" s="24"/>
      <c r="O130" s="25"/>
      <c r="P130" s="24"/>
      <c r="Q130" s="25"/>
      <c r="R130" s="24"/>
      <c r="S130" s="25"/>
      <c r="T130" s="24"/>
    </row>
    <row r="131" spans="2:20">
      <c r="B131" s="9" t="s">
        <v>108</v>
      </c>
      <c r="C131" s="12" t="s">
        <v>173</v>
      </c>
      <c r="D131" s="24"/>
      <c r="E131" s="25"/>
      <c r="F131" s="24"/>
      <c r="G131" s="25"/>
      <c r="H131" s="24"/>
      <c r="I131" s="25"/>
      <c r="J131" s="24"/>
      <c r="K131" s="25"/>
      <c r="L131" s="24"/>
      <c r="M131" s="25"/>
      <c r="N131" s="24"/>
      <c r="O131" s="25"/>
      <c r="P131" s="24"/>
      <c r="Q131" s="25"/>
      <c r="R131" s="24"/>
      <c r="S131" s="25"/>
      <c r="T131" s="24"/>
    </row>
    <row r="132" spans="2:20">
      <c r="B132" s="9" t="s">
        <v>109</v>
      </c>
      <c r="C132" s="12" t="s">
        <v>174</v>
      </c>
      <c r="D132" s="22"/>
      <c r="E132" s="23"/>
      <c r="F132" s="22"/>
      <c r="G132" s="23"/>
      <c r="H132" s="22"/>
      <c r="I132" s="23"/>
      <c r="J132" s="22"/>
      <c r="K132" s="23"/>
      <c r="L132" s="22"/>
      <c r="M132" s="23"/>
      <c r="N132" s="22"/>
      <c r="O132" s="23"/>
      <c r="P132" s="22"/>
      <c r="Q132" s="23"/>
      <c r="R132" s="22"/>
      <c r="S132" s="23"/>
      <c r="T132" s="22"/>
    </row>
    <row r="133" spans="2:20">
      <c r="B133" s="9" t="s">
        <v>131</v>
      </c>
      <c r="C133" s="12" t="s">
        <v>176</v>
      </c>
      <c r="D133" s="22"/>
      <c r="E133" s="23"/>
      <c r="F133" s="22"/>
      <c r="G133" s="23"/>
      <c r="H133" s="22"/>
      <c r="I133" s="23"/>
      <c r="J133" s="22"/>
      <c r="K133" s="23"/>
      <c r="L133" s="22"/>
      <c r="M133" s="23"/>
      <c r="N133" s="22"/>
      <c r="O133" s="23"/>
      <c r="P133" s="22"/>
      <c r="Q133" s="23"/>
      <c r="R133" s="22"/>
      <c r="S133" s="23"/>
      <c r="T133" s="22"/>
    </row>
    <row r="134" spans="2:20">
      <c r="B134" s="9" t="s">
        <v>111</v>
      </c>
      <c r="C134" s="12" t="s">
        <v>112</v>
      </c>
      <c r="D134" s="22"/>
      <c r="E134" s="23"/>
      <c r="F134" s="22"/>
      <c r="G134" s="23"/>
      <c r="H134" s="22"/>
      <c r="I134" s="23"/>
      <c r="J134" s="22"/>
      <c r="K134" s="23"/>
      <c r="L134" s="22"/>
      <c r="M134" s="23"/>
      <c r="N134" s="22"/>
      <c r="O134" s="23"/>
      <c r="P134" s="22"/>
      <c r="Q134" s="23"/>
      <c r="R134" s="22"/>
      <c r="S134" s="23"/>
      <c r="T134" s="22"/>
    </row>
    <row r="135" spans="2:20">
      <c r="B135" s="9" t="s">
        <v>118</v>
      </c>
      <c r="C135" s="12" t="s">
        <v>119</v>
      </c>
      <c r="D135" s="22"/>
      <c r="E135" s="23"/>
      <c r="F135" s="22"/>
      <c r="G135" s="23"/>
      <c r="H135" s="22"/>
      <c r="I135" s="23"/>
      <c r="J135" s="22"/>
      <c r="K135" s="23"/>
      <c r="L135" s="22"/>
      <c r="M135" s="23"/>
      <c r="N135" s="22"/>
      <c r="O135" s="23"/>
      <c r="P135" s="22"/>
      <c r="Q135" s="23"/>
      <c r="R135" s="22"/>
      <c r="S135" s="23"/>
      <c r="T135" s="22"/>
    </row>
    <row r="136" spans="2:20">
      <c r="B136" s="9" t="s">
        <v>152</v>
      </c>
      <c r="C136" s="12" t="s">
        <v>177</v>
      </c>
      <c r="D136" s="24"/>
      <c r="E136" s="25"/>
      <c r="F136" s="24"/>
      <c r="G136" s="25"/>
      <c r="H136" s="24"/>
      <c r="I136" s="25"/>
      <c r="J136" s="24"/>
      <c r="K136" s="25"/>
      <c r="L136" s="24"/>
      <c r="M136" s="25"/>
      <c r="N136" s="24"/>
      <c r="O136" s="25"/>
      <c r="P136" s="24"/>
      <c r="Q136" s="25"/>
      <c r="R136" s="24"/>
      <c r="S136" s="25"/>
      <c r="T136" s="24"/>
    </row>
    <row r="137" spans="2:20">
      <c r="B137" s="9" t="s">
        <v>132</v>
      </c>
      <c r="C137" s="12" t="s">
        <v>120</v>
      </c>
      <c r="D137" s="24"/>
      <c r="E137" s="25"/>
      <c r="F137" s="24"/>
      <c r="G137" s="25"/>
      <c r="H137" s="24"/>
      <c r="I137" s="25"/>
      <c r="J137" s="24"/>
      <c r="K137" s="25"/>
      <c r="L137" s="24"/>
      <c r="M137" s="25"/>
      <c r="N137" s="24"/>
      <c r="O137" s="25"/>
      <c r="P137" s="24"/>
      <c r="Q137" s="25"/>
      <c r="R137" s="24"/>
      <c r="S137" s="25"/>
      <c r="T137" s="24"/>
    </row>
    <row r="138" spans="2:20">
      <c r="B138" s="9" t="s">
        <v>133</v>
      </c>
      <c r="C138" s="12" t="s">
        <v>178</v>
      </c>
      <c r="D138" s="22"/>
      <c r="E138" s="23"/>
      <c r="F138" s="22"/>
      <c r="G138" s="23"/>
      <c r="H138" s="22"/>
      <c r="I138" s="23"/>
      <c r="J138" s="22"/>
      <c r="K138" s="23"/>
      <c r="L138" s="22"/>
      <c r="M138" s="23"/>
      <c r="N138" s="22"/>
      <c r="O138" s="23"/>
      <c r="P138" s="22"/>
      <c r="Q138" s="23"/>
      <c r="R138" s="22"/>
      <c r="S138" s="23"/>
      <c r="T138" s="22"/>
    </row>
    <row r="139" spans="2:20">
      <c r="B139" s="9" t="s">
        <v>0</v>
      </c>
      <c r="C139" s="12" t="s">
        <v>134</v>
      </c>
      <c r="D139" s="22"/>
      <c r="E139" s="23"/>
      <c r="F139" s="22"/>
      <c r="G139" s="23"/>
      <c r="H139" s="22"/>
      <c r="I139" s="23"/>
      <c r="J139" s="22"/>
      <c r="K139" s="23"/>
      <c r="L139" s="22"/>
      <c r="M139" s="23"/>
      <c r="N139" s="22"/>
      <c r="O139" s="23"/>
      <c r="P139" s="22"/>
      <c r="Q139" s="23"/>
      <c r="R139" s="22"/>
      <c r="S139" s="23"/>
      <c r="T139" s="22"/>
    </row>
    <row r="140" spans="2:20">
      <c r="B140" s="9" t="s">
        <v>135</v>
      </c>
      <c r="C140" s="12" t="s">
        <v>136</v>
      </c>
      <c r="D140" s="22"/>
      <c r="E140" s="23"/>
      <c r="F140" s="22"/>
      <c r="G140" s="23"/>
      <c r="H140" s="22"/>
      <c r="I140" s="23"/>
      <c r="J140" s="22"/>
      <c r="K140" s="23"/>
      <c r="L140" s="22"/>
      <c r="M140" s="23"/>
      <c r="N140" s="22"/>
      <c r="O140" s="23"/>
      <c r="P140" s="22"/>
      <c r="Q140" s="23"/>
      <c r="R140" s="22"/>
      <c r="S140" s="23"/>
      <c r="T140" s="22"/>
    </row>
    <row r="141" spans="2:20">
      <c r="B141" s="9" t="s">
        <v>137</v>
      </c>
      <c r="C141" s="12" t="s">
        <v>138</v>
      </c>
      <c r="D141" s="22"/>
      <c r="E141" s="23"/>
      <c r="F141" s="22"/>
      <c r="G141" s="23"/>
      <c r="H141" s="22"/>
      <c r="I141" s="23"/>
      <c r="J141" s="22"/>
      <c r="K141" s="23"/>
      <c r="L141" s="22"/>
      <c r="M141" s="23"/>
      <c r="N141" s="22"/>
      <c r="O141" s="23"/>
      <c r="P141" s="22"/>
      <c r="Q141" s="23"/>
      <c r="R141" s="22"/>
      <c r="S141" s="23"/>
      <c r="T141" s="22"/>
    </row>
    <row r="142" spans="2:20">
      <c r="B142" s="9" t="s">
        <v>116</v>
      </c>
      <c r="C142" s="12" t="s">
        <v>139</v>
      </c>
    </row>
    <row r="143" spans="2:20">
      <c r="B143" s="9" t="s">
        <v>113</v>
      </c>
      <c r="C143" s="12" t="s">
        <v>140</v>
      </c>
    </row>
    <row r="144" spans="2:20">
      <c r="B144" s="9" t="s">
        <v>141</v>
      </c>
      <c r="C144" s="12" t="s">
        <v>142</v>
      </c>
    </row>
    <row r="145" spans="2:22">
      <c r="B145" s="9" t="s">
        <v>121</v>
      </c>
      <c r="C145" s="12" t="s">
        <v>143</v>
      </c>
    </row>
    <row r="146" spans="2:22">
      <c r="B146" s="9" t="s">
        <v>144</v>
      </c>
      <c r="C146" s="12" t="s">
        <v>145</v>
      </c>
    </row>
    <row r="147" spans="2:22">
      <c r="B147" s="9" t="s">
        <v>122</v>
      </c>
      <c r="C147" s="12" t="s">
        <v>146</v>
      </c>
    </row>
    <row r="148" spans="2:22">
      <c r="B148" s="9" t="s">
        <v>123</v>
      </c>
      <c r="C148" s="12" t="s">
        <v>147</v>
      </c>
    </row>
    <row r="149" spans="2:22">
      <c r="B149" s="9" t="s">
        <v>329</v>
      </c>
      <c r="C149" s="12" t="s">
        <v>148</v>
      </c>
    </row>
    <row r="150" spans="2:22">
      <c r="B150" s="9" t="s">
        <v>125</v>
      </c>
      <c r="C150" s="12" t="s">
        <v>149</v>
      </c>
    </row>
    <row r="151" spans="2:22">
      <c r="B151" s="11" t="s">
        <v>266</v>
      </c>
      <c r="C151" s="11" t="s">
        <v>267</v>
      </c>
    </row>
    <row r="154" spans="2:22">
      <c r="B154" s="311" t="s">
        <v>256</v>
      </c>
      <c r="C154" s="311"/>
      <c r="D154" s="311"/>
      <c r="E154" s="311"/>
      <c r="F154" s="311"/>
      <c r="G154" s="311"/>
      <c r="H154" s="311"/>
      <c r="I154" s="311"/>
      <c r="J154" s="311"/>
      <c r="K154" s="311"/>
      <c r="L154" s="311"/>
      <c r="M154" s="311"/>
      <c r="N154" s="311"/>
      <c r="O154" s="311"/>
      <c r="P154" s="311"/>
      <c r="Q154" s="311"/>
      <c r="R154" s="311"/>
      <c r="S154" s="311"/>
      <c r="T154" s="311"/>
    </row>
    <row r="158" spans="2:22">
      <c r="C158" s="11">
        <v>2006</v>
      </c>
      <c r="E158" s="11">
        <v>2007</v>
      </c>
      <c r="G158" s="11">
        <v>2008</v>
      </c>
      <c r="I158" s="11">
        <v>2009</v>
      </c>
      <c r="K158" s="11">
        <v>2010</v>
      </c>
      <c r="M158" s="11">
        <v>2011</v>
      </c>
      <c r="O158" s="11">
        <v>2012</v>
      </c>
      <c r="Q158" s="11">
        <v>2013</v>
      </c>
      <c r="S158" s="11">
        <v>2014</v>
      </c>
      <c r="U158" s="11">
        <v>2015</v>
      </c>
    </row>
    <row r="159" spans="2:22">
      <c r="B159" s="11" t="s">
        <v>259</v>
      </c>
      <c r="C159" s="11" t="s">
        <v>263</v>
      </c>
      <c r="D159" s="11" t="s">
        <v>153</v>
      </c>
      <c r="E159" s="11" t="s">
        <v>263</v>
      </c>
      <c r="F159" s="11" t="s">
        <v>153</v>
      </c>
      <c r="G159" s="11" t="s">
        <v>263</v>
      </c>
      <c r="H159" s="11" t="s">
        <v>153</v>
      </c>
      <c r="I159" s="11" t="s">
        <v>263</v>
      </c>
      <c r="J159" s="11" t="s">
        <v>153</v>
      </c>
      <c r="K159" s="11" t="s">
        <v>263</v>
      </c>
      <c r="L159" s="11" t="s">
        <v>153</v>
      </c>
      <c r="M159" s="11" t="s">
        <v>263</v>
      </c>
      <c r="N159" s="11" t="s">
        <v>153</v>
      </c>
      <c r="O159" s="11" t="s">
        <v>263</v>
      </c>
      <c r="P159" s="11" t="s">
        <v>153</v>
      </c>
      <c r="Q159" s="11" t="s">
        <v>263</v>
      </c>
      <c r="R159" s="11" t="s">
        <v>153</v>
      </c>
      <c r="S159" s="11" t="s">
        <v>263</v>
      </c>
      <c r="T159" s="11" t="s">
        <v>153</v>
      </c>
      <c r="U159" s="11" t="s">
        <v>263</v>
      </c>
      <c r="V159" s="1" t="s">
        <v>153</v>
      </c>
    </row>
    <row r="160" spans="2:22">
      <c r="B160" s="11" t="s">
        <v>258</v>
      </c>
      <c r="C160" s="11" t="s">
        <v>263</v>
      </c>
      <c r="D160" s="11" t="s">
        <v>257</v>
      </c>
      <c r="E160" s="11" t="s">
        <v>263</v>
      </c>
      <c r="F160" s="11" t="s">
        <v>257</v>
      </c>
      <c r="G160" s="11" t="s">
        <v>263</v>
      </c>
      <c r="H160" s="11" t="s">
        <v>257</v>
      </c>
      <c r="I160" s="11" t="s">
        <v>263</v>
      </c>
      <c r="J160" s="11" t="s">
        <v>257</v>
      </c>
      <c r="K160" s="11" t="s">
        <v>263</v>
      </c>
      <c r="L160" s="11" t="s">
        <v>257</v>
      </c>
      <c r="M160" s="11" t="s">
        <v>263</v>
      </c>
      <c r="N160" s="11" t="s">
        <v>257</v>
      </c>
      <c r="O160" s="11" t="s">
        <v>263</v>
      </c>
      <c r="P160" s="11" t="s">
        <v>257</v>
      </c>
      <c r="Q160" s="11" t="s">
        <v>263</v>
      </c>
      <c r="R160" s="11" t="s">
        <v>257</v>
      </c>
      <c r="S160" s="11" t="s">
        <v>263</v>
      </c>
      <c r="T160" s="11" t="s">
        <v>257</v>
      </c>
      <c r="U160" s="11" t="s">
        <v>263</v>
      </c>
      <c r="V160" s="1" t="s">
        <v>257</v>
      </c>
    </row>
    <row r="161" spans="2:3">
      <c r="B161" s="11" t="s">
        <v>261</v>
      </c>
      <c r="C161" s="11" t="s">
        <v>260</v>
      </c>
    </row>
    <row r="162" spans="2:3">
      <c r="B162" s="11" t="s">
        <v>128</v>
      </c>
      <c r="C162" s="11" t="s">
        <v>1</v>
      </c>
    </row>
    <row r="163" spans="2:3">
      <c r="B163" s="11" t="s">
        <v>2</v>
      </c>
      <c r="C163" s="11" t="s">
        <v>167</v>
      </c>
    </row>
    <row r="164" spans="2:3">
      <c r="B164" s="11" t="s">
        <v>3</v>
      </c>
      <c r="C164" s="11" t="s">
        <v>4</v>
      </c>
    </row>
    <row r="165" spans="2:3">
      <c r="B165" s="11" t="s">
        <v>5</v>
      </c>
      <c r="C165" s="11" t="s">
        <v>6</v>
      </c>
    </row>
    <row r="166" spans="2:3">
      <c r="B166" s="11" t="s">
        <v>7</v>
      </c>
      <c r="C166" s="11" t="s">
        <v>8</v>
      </c>
    </row>
    <row r="167" spans="2:3">
      <c r="B167" s="11" t="s">
        <v>9</v>
      </c>
      <c r="C167" s="11" t="s">
        <v>10</v>
      </c>
    </row>
    <row r="168" spans="2:3">
      <c r="B168" s="11" t="s">
        <v>11</v>
      </c>
      <c r="C168" s="11" t="s">
        <v>264</v>
      </c>
    </row>
    <row r="169" spans="2:3">
      <c r="B169" s="11" t="s">
        <v>12</v>
      </c>
      <c r="C169" s="11" t="s">
        <v>13</v>
      </c>
    </row>
    <row r="170" spans="2:3">
      <c r="B170" s="11" t="s">
        <v>14</v>
      </c>
      <c r="C170" s="11" t="s">
        <v>15</v>
      </c>
    </row>
    <row r="171" spans="2:3">
      <c r="B171" s="11" t="s">
        <v>16</v>
      </c>
      <c r="C171" s="11" t="s">
        <v>18</v>
      </c>
    </row>
    <row r="172" spans="2:3">
      <c r="B172" s="11" t="s">
        <v>19</v>
      </c>
      <c r="C172" s="11" t="s">
        <v>20</v>
      </c>
    </row>
    <row r="173" spans="2:3">
      <c r="B173" s="11" t="s">
        <v>21</v>
      </c>
      <c r="C173" s="11" t="s">
        <v>22</v>
      </c>
    </row>
    <row r="174" spans="2:3">
      <c r="B174" s="11" t="s">
        <v>23</v>
      </c>
      <c r="C174" s="11" t="s">
        <v>24</v>
      </c>
    </row>
    <row r="175" spans="2:3">
      <c r="B175" s="11" t="s">
        <v>25</v>
      </c>
      <c r="C175" s="11" t="s">
        <v>26</v>
      </c>
    </row>
    <row r="176" spans="2:3">
      <c r="B176" s="11" t="s">
        <v>27</v>
      </c>
      <c r="C176" s="11" t="s">
        <v>28</v>
      </c>
    </row>
    <row r="177" spans="2:3">
      <c r="B177" s="11" t="s">
        <v>29</v>
      </c>
      <c r="C177" s="11" t="s">
        <v>30</v>
      </c>
    </row>
    <row r="178" spans="2:3">
      <c r="B178" s="11" t="s">
        <v>31</v>
      </c>
      <c r="C178" s="11" t="s">
        <v>175</v>
      </c>
    </row>
    <row r="179" spans="2:3">
      <c r="B179" s="11" t="s">
        <v>32</v>
      </c>
      <c r="C179" s="11" t="s">
        <v>33</v>
      </c>
    </row>
    <row r="180" spans="2:3">
      <c r="B180" s="11" t="s">
        <v>34</v>
      </c>
      <c r="C180" s="11" t="s">
        <v>268</v>
      </c>
    </row>
    <row r="181" spans="2:3">
      <c r="B181" s="11" t="s">
        <v>36</v>
      </c>
      <c r="C181" s="11" t="s">
        <v>273</v>
      </c>
    </row>
    <row r="182" spans="2:3">
      <c r="B182" s="11" t="s">
        <v>37</v>
      </c>
      <c r="C182" s="11" t="s">
        <v>38</v>
      </c>
    </row>
    <row r="183" spans="2:3">
      <c r="B183" s="11" t="s">
        <v>39</v>
      </c>
      <c r="C183" s="11" t="s">
        <v>168</v>
      </c>
    </row>
    <row r="184" spans="2:3">
      <c r="B184" s="11" t="s">
        <v>40</v>
      </c>
      <c r="C184" s="11" t="s">
        <v>41</v>
      </c>
    </row>
    <row r="185" spans="2:3">
      <c r="B185" s="11" t="s">
        <v>42</v>
      </c>
      <c r="C185" s="11" t="s">
        <v>43</v>
      </c>
    </row>
    <row r="186" spans="2:3">
      <c r="B186" s="11" t="s">
        <v>162</v>
      </c>
      <c r="C186" s="11" t="s">
        <v>278</v>
      </c>
    </row>
    <row r="187" spans="2:3">
      <c r="B187" s="11" t="s">
        <v>44</v>
      </c>
      <c r="C187" s="11" t="s">
        <v>277</v>
      </c>
    </row>
    <row r="188" spans="2:3">
      <c r="B188" s="11" t="s">
        <v>45</v>
      </c>
      <c r="C188" s="11" t="s">
        <v>46</v>
      </c>
    </row>
    <row r="189" spans="2:3">
      <c r="B189" s="11" t="s">
        <v>47</v>
      </c>
      <c r="C189" s="11" t="s">
        <v>48</v>
      </c>
    </row>
    <row r="190" spans="2:3">
      <c r="B190" s="11" t="s">
        <v>49</v>
      </c>
      <c r="C190" s="11" t="s">
        <v>269</v>
      </c>
    </row>
    <row r="191" spans="2:3">
      <c r="B191" s="11" t="s">
        <v>50</v>
      </c>
      <c r="C191" s="11" t="s">
        <v>169</v>
      </c>
    </row>
    <row r="192" spans="2:3">
      <c r="B192" s="11" t="s">
        <v>51</v>
      </c>
      <c r="C192" s="11" t="s">
        <v>52</v>
      </c>
    </row>
    <row r="193" spans="2:3">
      <c r="B193" s="11" t="s">
        <v>53</v>
      </c>
      <c r="C193" s="11" t="s">
        <v>54</v>
      </c>
    </row>
    <row r="194" spans="2:3">
      <c r="B194" s="11" t="s">
        <v>55</v>
      </c>
      <c r="C194" s="11" t="s">
        <v>56</v>
      </c>
    </row>
    <row r="195" spans="2:3">
      <c r="B195" s="11" t="s">
        <v>57</v>
      </c>
      <c r="C195" s="11" t="s">
        <v>58</v>
      </c>
    </row>
    <row r="196" spans="2:3">
      <c r="B196" s="11" t="s">
        <v>59</v>
      </c>
      <c r="C196" s="11" t="s">
        <v>60</v>
      </c>
    </row>
    <row r="197" spans="2:3">
      <c r="B197" s="11" t="s">
        <v>53</v>
      </c>
      <c r="C197" s="11" t="s">
        <v>54</v>
      </c>
    </row>
    <row r="198" spans="2:3">
      <c r="B198" s="7" t="s">
        <v>255</v>
      </c>
      <c r="C198" s="11" t="s">
        <v>61</v>
      </c>
    </row>
    <row r="199" spans="2:3">
      <c r="B199" s="11" t="s">
        <v>123</v>
      </c>
      <c r="C199" s="11" t="s">
        <v>147</v>
      </c>
    </row>
    <row r="200" spans="2:3">
      <c r="B200" s="11" t="s">
        <v>62</v>
      </c>
      <c r="C200" s="11" t="s">
        <v>340</v>
      </c>
    </row>
    <row r="201" spans="2:3">
      <c r="B201" s="11" t="s">
        <v>262</v>
      </c>
      <c r="C201" s="11" t="s">
        <v>270</v>
      </c>
    </row>
    <row r="202" spans="2:3">
      <c r="B202" s="11" t="s">
        <v>63</v>
      </c>
      <c r="C202" s="11" t="s">
        <v>341</v>
      </c>
    </row>
    <row r="203" spans="2:3">
      <c r="B203" s="11" t="s">
        <v>64</v>
      </c>
      <c r="C203" s="11" t="s">
        <v>65</v>
      </c>
    </row>
    <row r="204" spans="2:3">
      <c r="B204" s="11" t="s">
        <v>66</v>
      </c>
      <c r="C204" s="11" t="s">
        <v>67</v>
      </c>
    </row>
    <row r="205" spans="2:3">
      <c r="B205" s="11" t="s">
        <v>68</v>
      </c>
      <c r="C205" s="11" t="s">
        <v>69</v>
      </c>
    </row>
    <row r="206" spans="2:3">
      <c r="B206" s="11" t="s">
        <v>70</v>
      </c>
      <c r="C206" s="11" t="s">
        <v>71</v>
      </c>
    </row>
    <row r="207" spans="2:3">
      <c r="B207" s="11" t="s">
        <v>72</v>
      </c>
      <c r="C207" s="11" t="s">
        <v>73</v>
      </c>
    </row>
    <row r="208" spans="2:3">
      <c r="B208" s="11" t="s">
        <v>74</v>
      </c>
      <c r="C208" s="11" t="s">
        <v>271</v>
      </c>
    </row>
    <row r="209" spans="2:3">
      <c r="B209" s="11" t="s">
        <v>75</v>
      </c>
      <c r="C209" s="11" t="s">
        <v>76</v>
      </c>
    </row>
    <row r="210" spans="2:3">
      <c r="B210" s="11" t="s">
        <v>77</v>
      </c>
      <c r="C210" s="11" t="s">
        <v>78</v>
      </c>
    </row>
    <row r="211" spans="2:3">
      <c r="B211" s="11" t="s">
        <v>79</v>
      </c>
      <c r="C211" s="11" t="s">
        <v>272</v>
      </c>
    </row>
    <row r="212" spans="2:3">
      <c r="B212" s="11" t="s">
        <v>80</v>
      </c>
      <c r="C212" s="11" t="s">
        <v>81</v>
      </c>
    </row>
    <row r="213" spans="2:3">
      <c r="B213" s="11" t="s">
        <v>82</v>
      </c>
      <c r="C213" s="11" t="s">
        <v>83</v>
      </c>
    </row>
    <row r="214" spans="2:3">
      <c r="B214" s="11" t="s">
        <v>84</v>
      </c>
      <c r="C214" s="11" t="s">
        <v>85</v>
      </c>
    </row>
    <row r="215" spans="2:3">
      <c r="B215" s="11" t="s">
        <v>86</v>
      </c>
      <c r="C215" s="11" t="s">
        <v>342</v>
      </c>
    </row>
    <row r="216" spans="2:3">
      <c r="B216" s="11" t="s">
        <v>87</v>
      </c>
      <c r="C216" s="11" t="s">
        <v>88</v>
      </c>
    </row>
    <row r="217" spans="2:3">
      <c r="B217" s="11" t="s">
        <v>89</v>
      </c>
      <c r="C217" s="11" t="s">
        <v>90</v>
      </c>
    </row>
    <row r="218" spans="2:3">
      <c r="B218" s="11" t="s">
        <v>91</v>
      </c>
      <c r="C218" s="11" t="s">
        <v>92</v>
      </c>
    </row>
    <row r="219" spans="2:3">
      <c r="B219" s="11" t="s">
        <v>93</v>
      </c>
      <c r="C219" s="11" t="s">
        <v>94</v>
      </c>
    </row>
    <row r="220" spans="2:3">
      <c r="B220" s="11" t="s">
        <v>95</v>
      </c>
      <c r="C220" s="11" t="s">
        <v>96</v>
      </c>
    </row>
    <row r="221" spans="2:3">
      <c r="B221" s="11" t="s">
        <v>97</v>
      </c>
      <c r="C221" s="11" t="s">
        <v>98</v>
      </c>
    </row>
    <row r="222" spans="2:3">
      <c r="B222" s="11" t="s">
        <v>99</v>
      </c>
      <c r="C222" s="11" t="s">
        <v>101</v>
      </c>
    </row>
    <row r="223" spans="2:3">
      <c r="B223" s="11" t="s">
        <v>102</v>
      </c>
      <c r="C223" s="11" t="s">
        <v>103</v>
      </c>
    </row>
    <row r="224" spans="2:3">
      <c r="B224" s="11" t="s">
        <v>104</v>
      </c>
      <c r="C224" s="11" t="s">
        <v>105</v>
      </c>
    </row>
    <row r="225" spans="2:3">
      <c r="B225" s="11" t="s">
        <v>106</v>
      </c>
      <c r="C225" s="11" t="s">
        <v>107</v>
      </c>
    </row>
    <row r="226" spans="2:3">
      <c r="B226" s="11" t="s">
        <v>108</v>
      </c>
      <c r="C226" s="12" t="s">
        <v>173</v>
      </c>
    </row>
    <row r="227" spans="2:3">
      <c r="B227" s="11" t="s">
        <v>109</v>
      </c>
      <c r="C227" s="12" t="s">
        <v>174</v>
      </c>
    </row>
    <row r="228" spans="2:3">
      <c r="B228" s="11" t="s">
        <v>163</v>
      </c>
      <c r="C228" s="11" t="s">
        <v>343</v>
      </c>
    </row>
    <row r="229" spans="2:3">
      <c r="B229" s="11" t="s">
        <v>110</v>
      </c>
      <c r="C229" s="12" t="s">
        <v>176</v>
      </c>
    </row>
    <row r="230" spans="2:3">
      <c r="B230" s="11" t="s">
        <v>111</v>
      </c>
      <c r="C230" s="11" t="s">
        <v>112</v>
      </c>
    </row>
    <row r="231" spans="2:3">
      <c r="B231" s="11" t="s">
        <v>113</v>
      </c>
      <c r="C231" s="11" t="s">
        <v>114</v>
      </c>
    </row>
    <row r="232" spans="2:3">
      <c r="B232" s="11" t="s">
        <v>115</v>
      </c>
      <c r="C232" s="11" t="s">
        <v>117</v>
      </c>
    </row>
    <row r="233" spans="2:3">
      <c r="B233" s="11" t="s">
        <v>118</v>
      </c>
      <c r="C233" s="11" t="s">
        <v>119</v>
      </c>
    </row>
    <row r="234" spans="2:3">
      <c r="B234" s="11" t="s">
        <v>152</v>
      </c>
      <c r="C234" s="12" t="s">
        <v>177</v>
      </c>
    </row>
    <row r="235" spans="2:3">
      <c r="B235" s="11" t="s">
        <v>265</v>
      </c>
      <c r="C235" s="11" t="s">
        <v>287</v>
      </c>
    </row>
    <row r="236" spans="2:3">
      <c r="B236" s="11" t="s">
        <v>133</v>
      </c>
      <c r="C236" s="12" t="s">
        <v>178</v>
      </c>
    </row>
    <row r="237" spans="2:3">
      <c r="B237" s="11" t="s">
        <v>0</v>
      </c>
      <c r="C237" s="12" t="s">
        <v>134</v>
      </c>
    </row>
    <row r="238" spans="2:3">
      <c r="B238" s="11" t="s">
        <v>158</v>
      </c>
      <c r="C238" s="12" t="s">
        <v>136</v>
      </c>
    </row>
    <row r="239" spans="2:3">
      <c r="B239" s="11" t="s">
        <v>159</v>
      </c>
      <c r="C239" s="12" t="s">
        <v>138</v>
      </c>
    </row>
    <row r="240" spans="2:3">
      <c r="B240" s="11" t="s">
        <v>160</v>
      </c>
      <c r="C240" s="12" t="s">
        <v>139</v>
      </c>
    </row>
    <row r="241" spans="2:21">
      <c r="B241" s="11" t="s">
        <v>113</v>
      </c>
      <c r="C241" s="12" t="s">
        <v>140</v>
      </c>
    </row>
    <row r="242" spans="2:21">
      <c r="B242" s="11" t="s">
        <v>141</v>
      </c>
      <c r="C242" s="12" t="s">
        <v>142</v>
      </c>
    </row>
    <row r="243" spans="2:21">
      <c r="B243" s="11" t="s">
        <v>121</v>
      </c>
      <c r="C243" s="12" t="s">
        <v>143</v>
      </c>
    </row>
    <row r="244" spans="2:21">
      <c r="B244" s="11" t="s">
        <v>144</v>
      </c>
      <c r="C244" s="12" t="s">
        <v>145</v>
      </c>
    </row>
    <row r="245" spans="2:21">
      <c r="B245" s="11" t="s">
        <v>122</v>
      </c>
      <c r="C245" s="12" t="s">
        <v>146</v>
      </c>
    </row>
    <row r="246" spans="2:21">
      <c r="B246" s="11" t="s">
        <v>124</v>
      </c>
      <c r="C246" s="12" t="s">
        <v>148</v>
      </c>
    </row>
    <row r="247" spans="2:21">
      <c r="B247" s="11" t="s">
        <v>123</v>
      </c>
      <c r="C247" s="5" t="s">
        <v>147</v>
      </c>
    </row>
    <row r="248" spans="2:21">
      <c r="B248" s="11" t="s">
        <v>164</v>
      </c>
      <c r="C248" s="5" t="s">
        <v>275</v>
      </c>
    </row>
    <row r="249" spans="2:21">
      <c r="B249" s="11" t="s">
        <v>165</v>
      </c>
      <c r="C249" s="5" t="s">
        <v>276</v>
      </c>
    </row>
    <row r="250" spans="2:21">
      <c r="B250" s="11" t="s">
        <v>266</v>
      </c>
      <c r="C250" s="11" t="s">
        <v>274</v>
      </c>
    </row>
    <row r="253" spans="2:21">
      <c r="B253" s="311" t="s">
        <v>279</v>
      </c>
      <c r="C253" s="311"/>
      <c r="D253" s="311"/>
      <c r="E253" s="311"/>
      <c r="F253" s="311"/>
      <c r="G253" s="311"/>
      <c r="H253" s="311"/>
      <c r="I253" s="311"/>
      <c r="J253" s="311"/>
      <c r="K253" s="311"/>
      <c r="L253" s="311"/>
      <c r="M253" s="311"/>
      <c r="N253" s="311"/>
      <c r="O253" s="311"/>
      <c r="P253" s="311"/>
      <c r="Q253" s="311"/>
      <c r="R253" s="311"/>
      <c r="S253" s="311"/>
      <c r="T253" s="311"/>
    </row>
    <row r="256" spans="2:21">
      <c r="C256" s="11">
        <v>2006</v>
      </c>
      <c r="E256" s="11">
        <v>2007</v>
      </c>
      <c r="G256" s="11">
        <v>2008</v>
      </c>
      <c r="I256" s="11">
        <v>2009</v>
      </c>
      <c r="K256" s="11">
        <v>2010</v>
      </c>
      <c r="M256" s="11">
        <v>2011</v>
      </c>
      <c r="O256" s="11">
        <v>2012</v>
      </c>
      <c r="Q256" s="11">
        <v>2013</v>
      </c>
      <c r="S256" s="11">
        <v>2014</v>
      </c>
      <c r="U256" s="11">
        <v>2015</v>
      </c>
    </row>
    <row r="257" spans="2:22">
      <c r="B257" s="11" t="s">
        <v>235</v>
      </c>
      <c r="C257" s="11" t="s">
        <v>263</v>
      </c>
      <c r="D257" s="11" t="s">
        <v>153</v>
      </c>
      <c r="E257" s="11" t="s">
        <v>263</v>
      </c>
      <c r="F257" s="11" t="s">
        <v>153</v>
      </c>
      <c r="G257" s="11" t="s">
        <v>263</v>
      </c>
      <c r="H257" s="11" t="s">
        <v>153</v>
      </c>
      <c r="I257" s="11" t="s">
        <v>263</v>
      </c>
      <c r="J257" s="11" t="s">
        <v>153</v>
      </c>
      <c r="K257" s="11" t="s">
        <v>263</v>
      </c>
      <c r="L257" s="11" t="s">
        <v>153</v>
      </c>
      <c r="M257" s="11" t="s">
        <v>263</v>
      </c>
      <c r="N257" s="11" t="s">
        <v>153</v>
      </c>
      <c r="O257" s="11" t="s">
        <v>263</v>
      </c>
      <c r="P257" s="11" t="s">
        <v>153</v>
      </c>
      <c r="Q257" s="11" t="s">
        <v>263</v>
      </c>
      <c r="R257" s="11" t="s">
        <v>153</v>
      </c>
      <c r="S257" s="11" t="s">
        <v>263</v>
      </c>
      <c r="T257" s="11" t="s">
        <v>153</v>
      </c>
      <c r="U257" s="11" t="s">
        <v>263</v>
      </c>
      <c r="V257" s="1" t="s">
        <v>153</v>
      </c>
    </row>
    <row r="258" spans="2:22">
      <c r="B258" s="11" t="s">
        <v>192</v>
      </c>
      <c r="C258" s="11" t="s">
        <v>263</v>
      </c>
      <c r="D258" s="11" t="s">
        <v>257</v>
      </c>
      <c r="E258" s="11" t="s">
        <v>263</v>
      </c>
      <c r="F258" s="11" t="s">
        <v>257</v>
      </c>
      <c r="G258" s="11" t="s">
        <v>263</v>
      </c>
      <c r="H258" s="11" t="s">
        <v>257</v>
      </c>
      <c r="I258" s="11" t="s">
        <v>263</v>
      </c>
      <c r="J258" s="11" t="s">
        <v>257</v>
      </c>
      <c r="K258" s="11" t="s">
        <v>263</v>
      </c>
      <c r="L258" s="11" t="s">
        <v>257</v>
      </c>
      <c r="M258" s="11" t="s">
        <v>263</v>
      </c>
      <c r="N258" s="11" t="s">
        <v>257</v>
      </c>
      <c r="O258" s="11" t="s">
        <v>263</v>
      </c>
      <c r="P258" s="11" t="s">
        <v>257</v>
      </c>
      <c r="Q258" s="11" t="s">
        <v>263</v>
      </c>
      <c r="R258" s="11" t="s">
        <v>257</v>
      </c>
      <c r="S258" s="11" t="s">
        <v>263</v>
      </c>
      <c r="T258" s="11" t="s">
        <v>257</v>
      </c>
      <c r="U258" s="11" t="s">
        <v>263</v>
      </c>
      <c r="V258" s="1" t="s">
        <v>257</v>
      </c>
    </row>
    <row r="259" spans="2:22">
      <c r="B259" s="11" t="s">
        <v>128</v>
      </c>
      <c r="C259" s="11" t="s">
        <v>1</v>
      </c>
    </row>
    <row r="260" spans="2:22">
      <c r="B260" s="11" t="s">
        <v>2</v>
      </c>
      <c r="C260" s="11" t="s">
        <v>167</v>
      </c>
    </row>
    <row r="261" spans="2:22">
      <c r="B261" s="11" t="s">
        <v>3</v>
      </c>
      <c r="C261" s="11" t="s">
        <v>4</v>
      </c>
    </row>
    <row r="262" spans="2:22">
      <c r="B262" s="11" t="s">
        <v>5</v>
      </c>
      <c r="C262" s="11" t="s">
        <v>6</v>
      </c>
    </row>
    <row r="263" spans="2:22">
      <c r="B263" s="11" t="s">
        <v>7</v>
      </c>
      <c r="C263" s="11" t="s">
        <v>8</v>
      </c>
    </row>
    <row r="264" spans="2:22">
      <c r="B264" s="11" t="s">
        <v>9</v>
      </c>
      <c r="C264" s="11" t="s">
        <v>10</v>
      </c>
    </row>
    <row r="265" spans="2:22">
      <c r="B265" s="11" t="s">
        <v>12</v>
      </c>
      <c r="C265" s="11" t="s">
        <v>13</v>
      </c>
    </row>
    <row r="266" spans="2:22">
      <c r="B266" s="11" t="s">
        <v>14</v>
      </c>
      <c r="C266" s="11" t="s">
        <v>15</v>
      </c>
    </row>
    <row r="267" spans="2:22">
      <c r="B267" s="11" t="s">
        <v>11</v>
      </c>
      <c r="C267" s="11" t="s">
        <v>282</v>
      </c>
    </row>
    <row r="268" spans="2:22">
      <c r="B268" s="11" t="s">
        <v>16</v>
      </c>
      <c r="C268" s="11" t="s">
        <v>18</v>
      </c>
    </row>
    <row r="269" spans="2:22">
      <c r="B269" s="11" t="s">
        <v>19</v>
      </c>
      <c r="C269" s="11" t="s">
        <v>20</v>
      </c>
    </row>
    <row r="270" spans="2:22">
      <c r="B270" s="11" t="s">
        <v>21</v>
      </c>
      <c r="C270" s="11" t="s">
        <v>22</v>
      </c>
    </row>
    <row r="271" spans="2:22">
      <c r="B271" s="11" t="s">
        <v>23</v>
      </c>
      <c r="C271" s="11" t="s">
        <v>24</v>
      </c>
    </row>
    <row r="272" spans="2:22">
      <c r="B272" s="11" t="s">
        <v>25</v>
      </c>
      <c r="C272" s="11" t="s">
        <v>26</v>
      </c>
    </row>
    <row r="273" spans="2:3">
      <c r="B273" s="11" t="s">
        <v>27</v>
      </c>
      <c r="C273" s="11" t="s">
        <v>28</v>
      </c>
    </row>
    <row r="274" spans="2:3">
      <c r="B274" s="11" t="s">
        <v>29</v>
      </c>
      <c r="C274" s="11" t="s">
        <v>30</v>
      </c>
    </row>
    <row r="275" spans="2:3">
      <c r="B275" s="11" t="s">
        <v>39</v>
      </c>
      <c r="C275" s="11" t="s">
        <v>168</v>
      </c>
    </row>
    <row r="276" spans="2:3">
      <c r="B276" s="11" t="s">
        <v>53</v>
      </c>
      <c r="C276" s="11" t="s">
        <v>54</v>
      </c>
    </row>
    <row r="277" spans="2:3">
      <c r="B277" s="7" t="s">
        <v>255</v>
      </c>
      <c r="C277" s="11" t="s">
        <v>61</v>
      </c>
    </row>
    <row r="278" spans="2:3">
      <c r="B278" s="11" t="s">
        <v>235</v>
      </c>
      <c r="C278" s="11" t="s">
        <v>283</v>
      </c>
    </row>
    <row r="279" spans="2:3">
      <c r="B279" s="11" t="s">
        <v>280</v>
      </c>
      <c r="C279" s="11" t="s">
        <v>284</v>
      </c>
    </row>
    <row r="280" spans="2:3">
      <c r="B280" s="11" t="s">
        <v>63</v>
      </c>
      <c r="C280" s="11" t="s">
        <v>341</v>
      </c>
    </row>
    <row r="281" spans="2:3">
      <c r="B281" s="11" t="s">
        <v>64</v>
      </c>
      <c r="C281" s="11" t="s">
        <v>65</v>
      </c>
    </row>
    <row r="282" spans="2:3">
      <c r="B282" s="11" t="s">
        <v>66</v>
      </c>
      <c r="C282" s="11" t="s">
        <v>67</v>
      </c>
    </row>
    <row r="283" spans="2:3">
      <c r="B283" s="11" t="s">
        <v>68</v>
      </c>
      <c r="C283" s="11" t="s">
        <v>69</v>
      </c>
    </row>
    <row r="284" spans="2:3">
      <c r="B284" s="11" t="s">
        <v>70</v>
      </c>
      <c r="C284" s="11" t="s">
        <v>71</v>
      </c>
    </row>
    <row r="285" spans="2:3">
      <c r="B285" s="11" t="s">
        <v>72</v>
      </c>
      <c r="C285" s="11" t="s">
        <v>73</v>
      </c>
    </row>
    <row r="286" spans="2:3">
      <c r="B286" s="11" t="s">
        <v>154</v>
      </c>
      <c r="C286" s="11" t="s">
        <v>271</v>
      </c>
    </row>
    <row r="287" spans="2:3">
      <c r="B287" s="11" t="s">
        <v>75</v>
      </c>
      <c r="C287" s="11" t="s">
        <v>76</v>
      </c>
    </row>
    <row r="288" spans="2:3">
      <c r="B288" s="11" t="s">
        <v>77</v>
      </c>
      <c r="C288" s="11" t="s">
        <v>78</v>
      </c>
    </row>
    <row r="289" spans="2:3">
      <c r="B289" s="11" t="s">
        <v>79</v>
      </c>
      <c r="C289" s="11" t="s">
        <v>272</v>
      </c>
    </row>
    <row r="290" spans="2:3">
      <c r="B290" s="11" t="s">
        <v>80</v>
      </c>
      <c r="C290" s="11" t="s">
        <v>81</v>
      </c>
    </row>
    <row r="291" spans="2:3">
      <c r="B291" s="11" t="s">
        <v>82</v>
      </c>
      <c r="C291" s="11" t="s">
        <v>83</v>
      </c>
    </row>
    <row r="292" spans="2:3">
      <c r="B292" s="11" t="s">
        <v>84</v>
      </c>
      <c r="C292" s="11" t="s">
        <v>85</v>
      </c>
    </row>
    <row r="293" spans="2:3">
      <c r="B293" s="11" t="s">
        <v>86</v>
      </c>
      <c r="C293" s="11" t="s">
        <v>342</v>
      </c>
    </row>
    <row r="294" spans="2:3">
      <c r="B294" s="11" t="s">
        <v>155</v>
      </c>
      <c r="C294" s="11" t="s">
        <v>344</v>
      </c>
    </row>
    <row r="295" spans="2:3">
      <c r="B295" s="11" t="s">
        <v>87</v>
      </c>
      <c r="C295" s="11" t="s">
        <v>88</v>
      </c>
    </row>
    <row r="296" spans="2:3">
      <c r="B296" s="11" t="s">
        <v>89</v>
      </c>
      <c r="C296" s="11" t="s">
        <v>90</v>
      </c>
    </row>
    <row r="297" spans="2:3">
      <c r="B297" s="11" t="s">
        <v>91</v>
      </c>
      <c r="C297" s="11" t="s">
        <v>92</v>
      </c>
    </row>
    <row r="298" spans="2:3">
      <c r="B298" s="11" t="s">
        <v>93</v>
      </c>
      <c r="C298" s="11" t="s">
        <v>94</v>
      </c>
    </row>
    <row r="299" spans="2:3">
      <c r="B299" s="11" t="s">
        <v>95</v>
      </c>
      <c r="C299" s="11" t="s">
        <v>96</v>
      </c>
    </row>
    <row r="300" spans="2:3">
      <c r="B300" s="11" t="s">
        <v>97</v>
      </c>
      <c r="C300" s="11" t="s">
        <v>98</v>
      </c>
    </row>
    <row r="301" spans="2:3">
      <c r="B301" s="11" t="s">
        <v>156</v>
      </c>
      <c r="C301" s="11" t="s">
        <v>101</v>
      </c>
    </row>
    <row r="302" spans="2:3">
      <c r="B302" s="11" t="s">
        <v>102</v>
      </c>
      <c r="C302" s="11" t="s">
        <v>103</v>
      </c>
    </row>
    <row r="303" spans="2:3">
      <c r="B303" s="11" t="s">
        <v>104</v>
      </c>
      <c r="C303" s="11" t="s">
        <v>105</v>
      </c>
    </row>
    <row r="304" spans="2:3">
      <c r="B304" s="11" t="s">
        <v>109</v>
      </c>
      <c r="C304" s="12" t="s">
        <v>174</v>
      </c>
    </row>
    <row r="305" spans="2:3">
      <c r="B305" s="11" t="s">
        <v>106</v>
      </c>
      <c r="C305" s="11" t="s">
        <v>107</v>
      </c>
    </row>
    <row r="306" spans="2:3">
      <c r="B306" s="11" t="s">
        <v>281</v>
      </c>
      <c r="C306" s="11" t="s">
        <v>343</v>
      </c>
    </row>
    <row r="307" spans="2:3">
      <c r="B307" s="11" t="s">
        <v>110</v>
      </c>
      <c r="C307" s="11" t="s">
        <v>285</v>
      </c>
    </row>
    <row r="308" spans="2:3">
      <c r="B308" s="11" t="s">
        <v>157</v>
      </c>
      <c r="C308" s="11" t="s">
        <v>286</v>
      </c>
    </row>
    <row r="309" spans="2:3">
      <c r="B309" s="11" t="s">
        <v>111</v>
      </c>
      <c r="C309" s="11" t="s">
        <v>112</v>
      </c>
    </row>
    <row r="310" spans="2:3">
      <c r="B310" s="11" t="s">
        <v>113</v>
      </c>
      <c r="C310" s="11" t="s">
        <v>114</v>
      </c>
    </row>
    <row r="311" spans="2:3">
      <c r="B311" s="11" t="s">
        <v>116</v>
      </c>
      <c r="C311" s="11" t="s">
        <v>117</v>
      </c>
    </row>
    <row r="312" spans="2:3">
      <c r="B312" s="11" t="s">
        <v>118</v>
      </c>
      <c r="C312" s="11" t="s">
        <v>119</v>
      </c>
    </row>
    <row r="313" spans="2:3">
      <c r="B313" s="11" t="s">
        <v>152</v>
      </c>
      <c r="C313" s="12" t="s">
        <v>177</v>
      </c>
    </row>
    <row r="314" spans="2:3">
      <c r="B314" s="11" t="s">
        <v>265</v>
      </c>
      <c r="C314" s="11" t="s">
        <v>287</v>
      </c>
    </row>
    <row r="315" spans="2:3">
      <c r="B315" s="11" t="s">
        <v>133</v>
      </c>
      <c r="C315" s="12" t="s">
        <v>178</v>
      </c>
    </row>
    <row r="316" spans="2:3">
      <c r="B316" s="11" t="s">
        <v>0</v>
      </c>
      <c r="C316" s="12" t="s">
        <v>134</v>
      </c>
    </row>
    <row r="317" spans="2:3">
      <c r="B317" s="11" t="s">
        <v>158</v>
      </c>
      <c r="C317" s="12" t="s">
        <v>136</v>
      </c>
    </row>
    <row r="318" spans="2:3">
      <c r="B318" s="11" t="s">
        <v>159</v>
      </c>
      <c r="C318" s="12" t="s">
        <v>138</v>
      </c>
    </row>
    <row r="319" spans="2:3">
      <c r="B319" s="11" t="s">
        <v>116</v>
      </c>
      <c r="C319" s="12" t="s">
        <v>139</v>
      </c>
    </row>
    <row r="320" spans="2:3">
      <c r="B320" s="11" t="s">
        <v>113</v>
      </c>
      <c r="C320" s="12" t="s">
        <v>140</v>
      </c>
    </row>
    <row r="321" spans="2:20">
      <c r="B321" s="11" t="s">
        <v>141</v>
      </c>
      <c r="C321" s="12" t="s">
        <v>142</v>
      </c>
    </row>
    <row r="322" spans="2:20">
      <c r="B322" s="11" t="s">
        <v>121</v>
      </c>
      <c r="C322" s="12" t="s">
        <v>288</v>
      </c>
    </row>
    <row r="323" spans="2:20">
      <c r="B323" s="11" t="s">
        <v>144</v>
      </c>
      <c r="C323" s="12" t="s">
        <v>145</v>
      </c>
    </row>
    <row r="324" spans="2:20">
      <c r="B324" s="11" t="s">
        <v>122</v>
      </c>
      <c r="C324" s="12" t="s">
        <v>146</v>
      </c>
    </row>
    <row r="325" spans="2:20">
      <c r="B325" s="11" t="s">
        <v>123</v>
      </c>
      <c r="C325" s="5" t="s">
        <v>147</v>
      </c>
    </row>
    <row r="326" spans="2:20">
      <c r="B326" s="11" t="s">
        <v>124</v>
      </c>
      <c r="C326" s="12" t="s">
        <v>289</v>
      </c>
    </row>
    <row r="327" spans="2:20">
      <c r="B327" s="11" t="s">
        <v>161</v>
      </c>
      <c r="C327" s="12" t="s">
        <v>149</v>
      </c>
    </row>
    <row r="328" spans="2:20">
      <c r="B328" s="11" t="s">
        <v>266</v>
      </c>
      <c r="C328" s="11" t="s">
        <v>274</v>
      </c>
    </row>
    <row r="331" spans="2:20">
      <c r="B331" s="311" t="s">
        <v>315</v>
      </c>
      <c r="C331" s="311"/>
      <c r="D331" s="311"/>
      <c r="E331" s="311"/>
      <c r="F331" s="311"/>
      <c r="G331" s="311"/>
      <c r="H331" s="311"/>
      <c r="I331" s="311"/>
      <c r="J331" s="311"/>
      <c r="K331" s="311"/>
      <c r="L331" s="311"/>
      <c r="M331" s="311"/>
      <c r="N331" s="311"/>
      <c r="O331" s="311"/>
      <c r="P331" s="311"/>
      <c r="Q331" s="311"/>
      <c r="R331" s="311"/>
      <c r="S331" s="311"/>
      <c r="T331" s="311"/>
    </row>
    <row r="334" spans="2:20">
      <c r="C334" s="11">
        <v>2013</v>
      </c>
    </row>
    <row r="335" spans="2:20">
      <c r="B335" s="11" t="s">
        <v>385</v>
      </c>
      <c r="C335" s="11" t="s">
        <v>293</v>
      </c>
      <c r="D335" s="11" t="s">
        <v>294</v>
      </c>
      <c r="E335" s="11" t="s">
        <v>295</v>
      </c>
      <c r="F335" s="11" t="s">
        <v>296</v>
      </c>
      <c r="G335" s="11" t="s">
        <v>297</v>
      </c>
      <c r="H335" s="11" t="s">
        <v>298</v>
      </c>
      <c r="I335" s="11" t="s">
        <v>299</v>
      </c>
      <c r="J335" s="11" t="s">
        <v>300</v>
      </c>
      <c r="K335" s="11" t="s">
        <v>301</v>
      </c>
      <c r="L335" s="11" t="s">
        <v>302</v>
      </c>
      <c r="M335" s="11" t="s">
        <v>303</v>
      </c>
      <c r="N335" s="11" t="s">
        <v>304</v>
      </c>
      <c r="O335" s="11" t="s">
        <v>384</v>
      </c>
    </row>
    <row r="336" spans="2:20">
      <c r="B336" s="11" t="s">
        <v>386</v>
      </c>
      <c r="C336" s="11" t="s">
        <v>316</v>
      </c>
      <c r="D336" s="11" t="s">
        <v>317</v>
      </c>
      <c r="E336" s="11" t="s">
        <v>318</v>
      </c>
      <c r="F336" s="11" t="s">
        <v>296</v>
      </c>
      <c r="G336" s="11" t="s">
        <v>319</v>
      </c>
      <c r="H336" s="11" t="s">
        <v>320</v>
      </c>
      <c r="I336" s="11" t="s">
        <v>321</v>
      </c>
      <c r="J336" s="11" t="s">
        <v>322</v>
      </c>
      <c r="K336" s="11" t="s">
        <v>323</v>
      </c>
      <c r="L336" s="11" t="s">
        <v>324</v>
      </c>
      <c r="M336" s="11" t="s">
        <v>325</v>
      </c>
      <c r="N336" s="11" t="s">
        <v>326</v>
      </c>
      <c r="O336" s="11" t="s">
        <v>383</v>
      </c>
    </row>
    <row r="337" spans="2:3">
      <c r="B337" s="11" t="s">
        <v>128</v>
      </c>
      <c r="C337" s="11" t="s">
        <v>1</v>
      </c>
    </row>
    <row r="338" spans="2:3">
      <c r="B338" s="11" t="s">
        <v>2</v>
      </c>
      <c r="C338" s="11" t="s">
        <v>167</v>
      </c>
    </row>
    <row r="339" spans="2:3">
      <c r="B339" s="11" t="s">
        <v>3</v>
      </c>
      <c r="C339" s="11" t="s">
        <v>4</v>
      </c>
    </row>
    <row r="340" spans="2:3">
      <c r="B340" s="11" t="s">
        <v>5</v>
      </c>
      <c r="C340" s="11" t="s">
        <v>6</v>
      </c>
    </row>
    <row r="341" spans="2:3">
      <c r="B341" s="11" t="s">
        <v>305</v>
      </c>
      <c r="C341" s="11" t="s">
        <v>8</v>
      </c>
    </row>
    <row r="342" spans="2:3">
      <c r="B342" s="11" t="s">
        <v>9</v>
      </c>
      <c r="C342" s="11" t="s">
        <v>10</v>
      </c>
    </row>
    <row r="343" spans="2:3">
      <c r="B343" s="11" t="s">
        <v>306</v>
      </c>
      <c r="C343" s="11" t="s">
        <v>13</v>
      </c>
    </row>
    <row r="344" spans="2:3">
      <c r="B344" s="11" t="s">
        <v>307</v>
      </c>
      <c r="C344" s="11" t="s">
        <v>15</v>
      </c>
    </row>
    <row r="345" spans="2:3">
      <c r="B345" s="11" t="s">
        <v>16</v>
      </c>
      <c r="C345" s="11" t="s">
        <v>18</v>
      </c>
    </row>
    <row r="346" spans="2:3">
      <c r="B346" s="11" t="s">
        <v>19</v>
      </c>
      <c r="C346" s="11" t="s">
        <v>20</v>
      </c>
    </row>
    <row r="347" spans="2:3">
      <c r="B347" s="11" t="s">
        <v>308</v>
      </c>
      <c r="C347" s="11" t="s">
        <v>22</v>
      </c>
    </row>
    <row r="348" spans="2:3">
      <c r="B348" s="11" t="s">
        <v>309</v>
      </c>
      <c r="C348" s="11" t="s">
        <v>24</v>
      </c>
    </row>
    <row r="349" spans="2:3">
      <c r="B349" s="11" t="s">
        <v>310</v>
      </c>
      <c r="C349" s="11" t="s">
        <v>26</v>
      </c>
    </row>
    <row r="350" spans="2:3">
      <c r="B350" s="11" t="s">
        <v>27</v>
      </c>
      <c r="C350" s="11" t="s">
        <v>28</v>
      </c>
    </row>
    <row r="351" spans="2:3">
      <c r="B351" s="11" t="s">
        <v>29</v>
      </c>
      <c r="C351" s="11" t="s">
        <v>30</v>
      </c>
    </row>
    <row r="352" spans="2:3">
      <c r="B352" s="11" t="s">
        <v>31</v>
      </c>
      <c r="C352" s="11" t="s">
        <v>175</v>
      </c>
    </row>
    <row r="353" spans="2:3">
      <c r="B353" s="11" t="s">
        <v>32</v>
      </c>
      <c r="C353" s="11" t="s">
        <v>33</v>
      </c>
    </row>
    <row r="354" spans="2:3">
      <c r="B354" s="11" t="s">
        <v>34</v>
      </c>
      <c r="C354" s="11" t="s">
        <v>35</v>
      </c>
    </row>
    <row r="355" spans="2:3">
      <c r="B355" s="11" t="s">
        <v>37</v>
      </c>
      <c r="C355" s="11" t="s">
        <v>38</v>
      </c>
    </row>
    <row r="356" spans="2:3">
      <c r="B356" s="11" t="s">
        <v>39</v>
      </c>
      <c r="C356" s="11" t="s">
        <v>168</v>
      </c>
    </row>
    <row r="357" spans="2:3">
      <c r="B357" s="11" t="s">
        <v>328</v>
      </c>
      <c r="C357" s="11" t="s">
        <v>41</v>
      </c>
    </row>
    <row r="358" spans="2:3">
      <c r="B358" s="11" t="s">
        <v>311</v>
      </c>
      <c r="C358" s="11" t="s">
        <v>43</v>
      </c>
    </row>
    <row r="359" spans="2:3">
      <c r="B359" s="11" t="s">
        <v>45</v>
      </c>
      <c r="C359" s="11" t="s">
        <v>46</v>
      </c>
    </row>
    <row r="360" spans="2:3">
      <c r="B360" s="11" t="s">
        <v>312</v>
      </c>
      <c r="C360" s="11" t="s">
        <v>48</v>
      </c>
    </row>
    <row r="361" spans="2:3">
      <c r="B361" s="11" t="s">
        <v>313</v>
      </c>
      <c r="C361" s="11" t="s">
        <v>169</v>
      </c>
    </row>
    <row r="362" spans="2:3">
      <c r="B362" s="11" t="s">
        <v>51</v>
      </c>
      <c r="C362" s="11" t="s">
        <v>52</v>
      </c>
    </row>
    <row r="363" spans="2:3">
      <c r="B363" s="11" t="s">
        <v>53</v>
      </c>
      <c r="C363" s="11" t="s">
        <v>54</v>
      </c>
    </row>
    <row r="364" spans="2:3">
      <c r="B364" s="11" t="s">
        <v>55</v>
      </c>
      <c r="C364" s="11" t="s">
        <v>56</v>
      </c>
    </row>
    <row r="365" spans="2:3">
      <c r="B365" s="11" t="s">
        <v>57</v>
      </c>
      <c r="C365" s="11" t="s">
        <v>58</v>
      </c>
    </row>
    <row r="366" spans="2:3">
      <c r="B366" s="11" t="s">
        <v>314</v>
      </c>
      <c r="C366" s="11" t="s">
        <v>60</v>
      </c>
    </row>
    <row r="367" spans="2:3">
      <c r="B367" s="11" t="s">
        <v>53</v>
      </c>
      <c r="C367" s="11" t="s">
        <v>54</v>
      </c>
    </row>
    <row r="368" spans="2:3">
      <c r="B368" s="7" t="s">
        <v>255</v>
      </c>
      <c r="C368" s="11" t="s">
        <v>61</v>
      </c>
    </row>
    <row r="369" spans="2:3">
      <c r="B369" s="11" t="s">
        <v>62</v>
      </c>
      <c r="C369" s="11" t="s">
        <v>340</v>
      </c>
    </row>
    <row r="370" spans="2:3">
      <c r="B370" s="11" t="s">
        <v>126</v>
      </c>
      <c r="C370" s="11" t="s">
        <v>170</v>
      </c>
    </row>
    <row r="371" spans="2:3">
      <c r="B371" s="11" t="s">
        <v>63</v>
      </c>
      <c r="C371" s="11" t="s">
        <v>341</v>
      </c>
    </row>
    <row r="372" spans="2:3">
      <c r="B372" s="11" t="s">
        <v>64</v>
      </c>
      <c r="C372" s="11" t="s">
        <v>65</v>
      </c>
    </row>
    <row r="373" spans="2:3">
      <c r="B373" s="11" t="s">
        <v>66</v>
      </c>
      <c r="C373" s="11" t="s">
        <v>67</v>
      </c>
    </row>
    <row r="374" spans="2:3">
      <c r="B374" s="11" t="s">
        <v>68</v>
      </c>
      <c r="C374" s="11" t="s">
        <v>69</v>
      </c>
    </row>
    <row r="375" spans="2:3">
      <c r="B375" s="11" t="s">
        <v>70</v>
      </c>
      <c r="C375" s="11" t="s">
        <v>71</v>
      </c>
    </row>
    <row r="376" spans="2:3">
      <c r="B376" s="11" t="s">
        <v>72</v>
      </c>
      <c r="C376" s="11" t="s">
        <v>73</v>
      </c>
    </row>
    <row r="377" spans="2:3">
      <c r="B377" s="11" t="s">
        <v>129</v>
      </c>
      <c r="C377" s="11" t="s">
        <v>179</v>
      </c>
    </row>
    <row r="378" spans="2:3">
      <c r="B378" s="11" t="s">
        <v>75</v>
      </c>
      <c r="C378" s="11" t="s">
        <v>76</v>
      </c>
    </row>
    <row r="379" spans="2:3">
      <c r="B379" s="11" t="s">
        <v>77</v>
      </c>
      <c r="C379" s="11" t="s">
        <v>78</v>
      </c>
    </row>
    <row r="380" spans="2:3">
      <c r="B380" s="11" t="s">
        <v>79</v>
      </c>
      <c r="C380" s="11" t="s">
        <v>151</v>
      </c>
    </row>
    <row r="381" spans="2:3">
      <c r="B381" s="11" t="s">
        <v>80</v>
      </c>
      <c r="C381" s="11" t="s">
        <v>81</v>
      </c>
    </row>
    <row r="382" spans="2:3">
      <c r="B382" s="11" t="s">
        <v>82</v>
      </c>
      <c r="C382" s="11" t="s">
        <v>83</v>
      </c>
    </row>
    <row r="383" spans="2:3">
      <c r="B383" s="11" t="s">
        <v>84</v>
      </c>
      <c r="C383" s="11" t="s">
        <v>85</v>
      </c>
    </row>
    <row r="384" spans="2:3">
      <c r="B384" s="11" t="s">
        <v>86</v>
      </c>
      <c r="C384" s="11" t="s">
        <v>342</v>
      </c>
    </row>
    <row r="385" spans="2:3">
      <c r="B385" s="11" t="s">
        <v>130</v>
      </c>
      <c r="C385" s="11" t="s">
        <v>180</v>
      </c>
    </row>
    <row r="386" spans="2:3">
      <c r="B386" s="11" t="s">
        <v>87</v>
      </c>
      <c r="C386" s="11" t="s">
        <v>88</v>
      </c>
    </row>
    <row r="387" spans="2:3">
      <c r="B387" s="11" t="s">
        <v>89</v>
      </c>
      <c r="C387" s="11" t="s">
        <v>90</v>
      </c>
    </row>
    <row r="388" spans="2:3">
      <c r="B388" s="11" t="s">
        <v>91</v>
      </c>
      <c r="C388" s="11" t="s">
        <v>92</v>
      </c>
    </row>
    <row r="389" spans="2:3">
      <c r="B389" s="11" t="s">
        <v>93</v>
      </c>
      <c r="C389" s="11" t="s">
        <v>94</v>
      </c>
    </row>
    <row r="390" spans="2:3">
      <c r="B390" s="11" t="s">
        <v>95</v>
      </c>
      <c r="C390" s="11" t="s">
        <v>96</v>
      </c>
    </row>
    <row r="391" spans="2:3">
      <c r="B391" s="11" t="s">
        <v>97</v>
      </c>
      <c r="C391" s="11" t="s">
        <v>98</v>
      </c>
    </row>
    <row r="392" spans="2:3">
      <c r="B392" s="11" t="s">
        <v>100</v>
      </c>
      <c r="C392" s="11" t="s">
        <v>101</v>
      </c>
    </row>
    <row r="393" spans="2:3">
      <c r="B393" s="11" t="s">
        <v>102</v>
      </c>
      <c r="C393" s="11" t="s">
        <v>103</v>
      </c>
    </row>
    <row r="394" spans="2:3">
      <c r="B394" s="11" t="s">
        <v>104</v>
      </c>
      <c r="C394" s="11" t="s">
        <v>105</v>
      </c>
    </row>
    <row r="395" spans="2:3">
      <c r="B395" s="11" t="s">
        <v>106</v>
      </c>
      <c r="C395" s="11" t="s">
        <v>107</v>
      </c>
    </row>
    <row r="396" spans="2:3">
      <c r="B396" s="11" t="s">
        <v>108</v>
      </c>
      <c r="C396" s="11" t="s">
        <v>173</v>
      </c>
    </row>
    <row r="397" spans="2:3">
      <c r="B397" s="11" t="s">
        <v>109</v>
      </c>
      <c r="C397" s="11" t="s">
        <v>174</v>
      </c>
    </row>
    <row r="398" spans="2:3">
      <c r="B398" s="11" t="s">
        <v>131</v>
      </c>
      <c r="C398" s="11" t="s">
        <v>373</v>
      </c>
    </row>
    <row r="399" spans="2:3">
      <c r="B399" s="11" t="s">
        <v>111</v>
      </c>
      <c r="C399" s="11" t="s">
        <v>112</v>
      </c>
    </row>
    <row r="400" spans="2:3">
      <c r="B400" s="11" t="s">
        <v>118</v>
      </c>
      <c r="C400" s="11" t="s">
        <v>119</v>
      </c>
    </row>
    <row r="401" spans="2:3">
      <c r="B401" s="11" t="s">
        <v>152</v>
      </c>
      <c r="C401" s="11" t="s">
        <v>177</v>
      </c>
    </row>
    <row r="402" spans="2:3">
      <c r="B402" s="11" t="s">
        <v>132</v>
      </c>
      <c r="C402" s="11" t="s">
        <v>120</v>
      </c>
    </row>
    <row r="403" spans="2:3">
      <c r="B403" s="11" t="s">
        <v>133</v>
      </c>
      <c r="C403" s="11" t="s">
        <v>178</v>
      </c>
    </row>
    <row r="404" spans="2:3">
      <c r="B404" s="11" t="s">
        <v>0</v>
      </c>
      <c r="C404" s="11" t="s">
        <v>134</v>
      </c>
    </row>
    <row r="405" spans="2:3">
      <c r="B405" s="11" t="s">
        <v>135</v>
      </c>
      <c r="C405" s="11" t="s">
        <v>136</v>
      </c>
    </row>
    <row r="406" spans="2:3">
      <c r="B406" s="11" t="s">
        <v>137</v>
      </c>
      <c r="C406" s="11" t="s">
        <v>138</v>
      </c>
    </row>
    <row r="407" spans="2:3">
      <c r="B407" s="11" t="s">
        <v>116</v>
      </c>
      <c r="C407" s="11" t="s">
        <v>139</v>
      </c>
    </row>
    <row r="408" spans="2:3">
      <c r="B408" s="11" t="s">
        <v>113</v>
      </c>
      <c r="C408" s="11" t="s">
        <v>140</v>
      </c>
    </row>
    <row r="409" spans="2:3">
      <c r="B409" s="11" t="s">
        <v>141</v>
      </c>
      <c r="C409" s="11" t="s">
        <v>142</v>
      </c>
    </row>
    <row r="410" spans="2:3">
      <c r="B410" s="11" t="s">
        <v>121</v>
      </c>
      <c r="C410" s="11" t="s">
        <v>143</v>
      </c>
    </row>
    <row r="411" spans="2:3">
      <c r="B411" s="11" t="s">
        <v>144</v>
      </c>
      <c r="C411" s="11" t="s">
        <v>145</v>
      </c>
    </row>
    <row r="412" spans="2:3">
      <c r="B412" s="11" t="s">
        <v>122</v>
      </c>
      <c r="C412" s="11" t="s">
        <v>146</v>
      </c>
    </row>
    <row r="413" spans="2:3">
      <c r="B413" s="11" t="s">
        <v>123</v>
      </c>
      <c r="C413" s="11" t="s">
        <v>147</v>
      </c>
    </row>
    <row r="414" spans="2:3">
      <c r="B414" s="11" t="s">
        <v>329</v>
      </c>
      <c r="C414" s="11" t="s">
        <v>148</v>
      </c>
    </row>
    <row r="415" spans="2:3">
      <c r="B415" s="11" t="s">
        <v>125</v>
      </c>
      <c r="C415" s="11" t="s">
        <v>149</v>
      </c>
    </row>
    <row r="416" spans="2:3">
      <c r="B416" s="11" t="s">
        <v>266</v>
      </c>
      <c r="C416" s="11" t="s">
        <v>267</v>
      </c>
    </row>
    <row r="419" spans="2:23">
      <c r="B419" s="311" t="s">
        <v>387</v>
      </c>
      <c r="C419" s="312"/>
      <c r="D419" s="312"/>
      <c r="E419" s="312"/>
      <c r="F419" s="312"/>
      <c r="G419" s="312"/>
      <c r="H419" s="312"/>
      <c r="I419" s="312"/>
      <c r="J419" s="312"/>
      <c r="K419" s="312"/>
      <c r="L419" s="312"/>
      <c r="M419" s="312"/>
      <c r="N419" s="312"/>
      <c r="O419" s="312"/>
      <c r="P419" s="312"/>
      <c r="Q419" s="312"/>
      <c r="R419" s="312"/>
      <c r="S419" s="312"/>
      <c r="T419" s="312"/>
    </row>
    <row r="421" spans="2:23">
      <c r="B421" s="11" t="s">
        <v>327</v>
      </c>
    </row>
    <row r="422" spans="2:23">
      <c r="B422" s="11" t="s">
        <v>334</v>
      </c>
      <c r="O422" s="1"/>
    </row>
    <row r="424" spans="2:23">
      <c r="B424" s="11" t="s">
        <v>389</v>
      </c>
    </row>
    <row r="425" spans="2:23">
      <c r="B425" s="11" t="s">
        <v>389</v>
      </c>
    </row>
    <row r="427" spans="2:23">
      <c r="B427" s="311" t="s">
        <v>330</v>
      </c>
      <c r="C427" s="311"/>
      <c r="D427" s="311"/>
      <c r="E427" s="311"/>
      <c r="F427" s="311"/>
      <c r="G427" s="311"/>
      <c r="H427" s="311"/>
      <c r="I427" s="311"/>
      <c r="J427" s="311"/>
      <c r="K427" s="311"/>
      <c r="L427" s="311"/>
      <c r="M427" s="311"/>
      <c r="N427" s="311"/>
      <c r="O427" s="311"/>
      <c r="P427" s="311"/>
      <c r="Q427" s="311"/>
      <c r="R427" s="311"/>
      <c r="S427" s="311"/>
      <c r="T427" s="311"/>
    </row>
    <row r="429" spans="2:23">
      <c r="B429" s="11" t="s">
        <v>335</v>
      </c>
      <c r="C429" s="11" t="s">
        <v>240</v>
      </c>
      <c r="D429" s="11" t="s">
        <v>388</v>
      </c>
      <c r="E429" s="27" t="s">
        <v>390</v>
      </c>
      <c r="F429" s="27" t="s">
        <v>391</v>
      </c>
    </row>
    <row r="430" spans="2:23">
      <c r="B430" s="11" t="s">
        <v>336</v>
      </c>
      <c r="C430" s="11" t="s">
        <v>339</v>
      </c>
      <c r="D430" s="11" t="s">
        <v>388</v>
      </c>
      <c r="E430" s="27" t="s">
        <v>390</v>
      </c>
      <c r="F430" s="27" t="s">
        <v>392</v>
      </c>
      <c r="W430" s="28"/>
    </row>
    <row r="432" spans="2:23">
      <c r="B432" s="311" t="s">
        <v>345</v>
      </c>
      <c r="C432" s="311"/>
      <c r="D432" s="311"/>
      <c r="E432" s="311"/>
      <c r="F432" s="311"/>
      <c r="G432" s="311"/>
      <c r="H432" s="311"/>
      <c r="I432" s="311"/>
      <c r="J432" s="311"/>
      <c r="K432" s="311"/>
      <c r="L432" s="311"/>
      <c r="M432" s="311"/>
      <c r="N432" s="311"/>
      <c r="O432" s="311"/>
      <c r="P432" s="311"/>
      <c r="Q432" s="311"/>
      <c r="R432" s="311"/>
      <c r="S432" s="311"/>
      <c r="T432" s="311"/>
    </row>
    <row r="435" spans="2:6">
      <c r="B435" s="11" t="s">
        <v>353</v>
      </c>
      <c r="C435" s="11" t="s">
        <v>354</v>
      </c>
    </row>
    <row r="437" spans="2:6">
      <c r="B437" s="11" t="s">
        <v>346</v>
      </c>
      <c r="C437" s="11" t="s">
        <v>345</v>
      </c>
    </row>
    <row r="438" spans="2:6">
      <c r="B438" s="11" t="s">
        <v>347</v>
      </c>
      <c r="C438" s="11" t="s">
        <v>355</v>
      </c>
    </row>
    <row r="439" spans="2:6">
      <c r="B439" s="11" t="s">
        <v>348</v>
      </c>
      <c r="C439" s="11" t="s">
        <v>356</v>
      </c>
    </row>
    <row r="441" spans="2:6">
      <c r="B441" s="11" t="s">
        <v>357</v>
      </c>
      <c r="C441" s="11" t="s">
        <v>349</v>
      </c>
      <c r="D441" s="11" t="s">
        <v>350</v>
      </c>
      <c r="E441" s="11" t="s">
        <v>351</v>
      </c>
      <c r="F441" s="11" t="s">
        <v>352</v>
      </c>
    </row>
    <row r="442" spans="2:6">
      <c r="B442" s="11" t="s">
        <v>358</v>
      </c>
      <c r="C442" s="11" t="s">
        <v>359</v>
      </c>
      <c r="D442" s="11" t="s">
        <v>360</v>
      </c>
      <c r="E442" s="11" t="s">
        <v>361</v>
      </c>
      <c r="F442" s="11" t="s">
        <v>362</v>
      </c>
    </row>
    <row r="443" spans="2:6">
      <c r="B443" s="11" t="s">
        <v>363</v>
      </c>
    </row>
    <row r="444" spans="2:6">
      <c r="B444" s="11" t="s">
        <v>364</v>
      </c>
    </row>
  </sheetData>
  <mergeCells count="21"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  <mergeCell ref="B40:C41"/>
    <mergeCell ref="B419:T419"/>
    <mergeCell ref="B432:T432"/>
    <mergeCell ref="B427:T427"/>
    <mergeCell ref="B331:T33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/>
  <dimension ref="C4:P7"/>
  <sheetViews>
    <sheetView workbookViewId="0">
      <selection activeCell="P5" sqref="P5:P7"/>
    </sheetView>
  </sheetViews>
  <sheetFormatPr defaultRowHeight="12.75"/>
  <cols>
    <col min="3" max="3" width="28.28515625" bestFit="1" customWidth="1"/>
  </cols>
  <sheetData>
    <row r="4" spans="3:16">
      <c r="D4" s="207" t="s">
        <v>293</v>
      </c>
      <c r="E4" s="207" t="s">
        <v>294</v>
      </c>
      <c r="F4" s="207" t="s">
        <v>295</v>
      </c>
      <c r="G4" s="207" t="s">
        <v>296</v>
      </c>
      <c r="H4" s="207" t="s">
        <v>297</v>
      </c>
      <c r="I4" s="207" t="s">
        <v>298</v>
      </c>
      <c r="J4" s="207" t="s">
        <v>299</v>
      </c>
      <c r="K4" s="207" t="s">
        <v>300</v>
      </c>
      <c r="L4" s="207" t="s">
        <v>301</v>
      </c>
      <c r="M4" s="207" t="s">
        <v>302</v>
      </c>
      <c r="N4" s="207" t="s">
        <v>303</v>
      </c>
      <c r="O4" s="207" t="s">
        <v>304</v>
      </c>
    </row>
    <row r="5" spans="3:16">
      <c r="C5" s="207" t="s">
        <v>439</v>
      </c>
      <c r="D5" s="208">
        <v>62425293.156965584</v>
      </c>
      <c r="E5" s="208">
        <v>79762187.59852089</v>
      </c>
      <c r="F5" s="208">
        <v>89318688.151918903</v>
      </c>
      <c r="G5" s="208">
        <v>106294081.27535464</v>
      </c>
      <c r="H5" s="208">
        <v>97189661.825924918</v>
      </c>
      <c r="I5" s="208">
        <v>105191801.34506513</v>
      </c>
      <c r="J5" s="208">
        <v>123272889.17858437</v>
      </c>
      <c r="K5" s="208">
        <v>125579133.65326507</v>
      </c>
      <c r="L5" s="208">
        <v>121047897.33843082</v>
      </c>
      <c r="M5" s="208">
        <v>114789505.85515907</v>
      </c>
      <c r="N5" s="208">
        <v>97406301.479715049</v>
      </c>
      <c r="O5" s="208">
        <v>145778958.57826602</v>
      </c>
      <c r="P5" s="208">
        <f>+SUM(D5:O5)</f>
        <v>1268056399.4371705</v>
      </c>
    </row>
    <row r="6" spans="3:16">
      <c r="C6" s="207" t="s">
        <v>440</v>
      </c>
      <c r="D6" s="208">
        <v>70632268.589999989</v>
      </c>
      <c r="E6" s="208">
        <v>81381758.450000018</v>
      </c>
      <c r="F6" s="208">
        <v>100495765.61000001</v>
      </c>
      <c r="G6" s="208">
        <v>107356417.33534782</v>
      </c>
      <c r="H6" s="208">
        <v>98816734.644163221</v>
      </c>
      <c r="I6" s="208">
        <v>107147051.5707173</v>
      </c>
      <c r="J6" s="208">
        <v>125666748.8575906</v>
      </c>
      <c r="K6" s="208">
        <v>127890096.38694921</v>
      </c>
      <c r="L6" s="208">
        <v>123465322.33433203</v>
      </c>
      <c r="M6" s="208">
        <v>117130344.73943919</v>
      </c>
      <c r="N6" s="208">
        <v>99294843.070796907</v>
      </c>
      <c r="O6" s="208">
        <v>149056317.49743444</v>
      </c>
      <c r="P6" s="208">
        <f t="shared" ref="P6:P7" si="0">+SUM(D6:O6)</f>
        <v>1308333669.0867708</v>
      </c>
    </row>
    <row r="7" spans="3:16">
      <c r="C7" s="207" t="s">
        <v>441</v>
      </c>
      <c r="D7" s="208">
        <v>54757461.979999989</v>
      </c>
      <c r="E7" s="208">
        <v>75673443.909999996</v>
      </c>
      <c r="F7" s="208">
        <v>88296245.580000013</v>
      </c>
      <c r="G7" s="208">
        <v>103948239.19999999</v>
      </c>
      <c r="H7" s="208">
        <v>93997829.679999992</v>
      </c>
      <c r="I7" s="208">
        <v>99561632.659999996</v>
      </c>
      <c r="J7" s="208">
        <v>122021331.04999998</v>
      </c>
      <c r="K7" s="208">
        <v>125053427.64999999</v>
      </c>
      <c r="L7" s="208">
        <v>116342017.78000002</v>
      </c>
      <c r="M7" s="208">
        <v>117283627.60000001</v>
      </c>
      <c r="N7" s="208">
        <v>95781753.159999996</v>
      </c>
      <c r="O7" s="208">
        <v>142429369.22999999</v>
      </c>
      <c r="P7" s="208">
        <f t="shared" si="0"/>
        <v>1235146379.48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B1:M80"/>
  <sheetViews>
    <sheetView workbookViewId="0">
      <selection activeCell="G63" sqref="G63"/>
    </sheetView>
  </sheetViews>
  <sheetFormatPr defaultRowHeight="12.75"/>
  <cols>
    <col min="2" max="2" width="43.28515625" customWidth="1"/>
    <col min="3" max="3" width="7.42578125" bestFit="1" customWidth="1"/>
    <col min="4" max="4" width="7.85546875" bestFit="1" customWidth="1"/>
    <col min="5" max="5" width="7.7109375" style="80" customWidth="1"/>
    <col min="6" max="6" width="6" style="80" customWidth="1"/>
    <col min="7" max="7" width="7.7109375" style="80" customWidth="1"/>
    <col min="8" max="8" width="7" style="80" bestFit="1" customWidth="1"/>
    <col min="12" max="12" width="11.5703125" bestFit="1" customWidth="1"/>
  </cols>
  <sheetData>
    <row r="1" spans="2:13">
      <c r="E1" s="82"/>
      <c r="F1" s="82"/>
      <c r="G1" s="82"/>
      <c r="H1" s="82"/>
    </row>
    <row r="2" spans="2:13" ht="13.5" thickBot="1">
      <c r="E2" s="82"/>
      <c r="F2" s="82"/>
      <c r="G2" s="82"/>
      <c r="H2" s="82"/>
    </row>
    <row r="3" spans="2:13" ht="14.25" thickTop="1" thickBot="1">
      <c r="C3" s="285">
        <v>3335894492.1291356</v>
      </c>
      <c r="D3" s="285"/>
      <c r="E3" s="278">
        <v>3516156889.9792166</v>
      </c>
      <c r="F3" s="279"/>
      <c r="G3" s="279"/>
      <c r="H3" s="280"/>
    </row>
    <row r="4" spans="2:13" ht="13.5" thickTop="1">
      <c r="E4" s="83"/>
      <c r="F4" s="83"/>
      <c r="G4" s="82"/>
      <c r="H4" s="82"/>
    </row>
    <row r="5" spans="2:13" ht="13.5" thickBot="1">
      <c r="E5" s="187"/>
      <c r="F5" s="187"/>
      <c r="G5" s="187"/>
      <c r="H5" s="187"/>
    </row>
    <row r="6" spans="2:13" ht="13.5" thickTop="1">
      <c r="B6" t="s">
        <v>127</v>
      </c>
      <c r="C6" s="276">
        <v>2013</v>
      </c>
      <c r="D6" s="277"/>
      <c r="E6" s="276" t="s">
        <v>393</v>
      </c>
      <c r="F6" s="277"/>
      <c r="G6" s="276" t="s">
        <v>427</v>
      </c>
      <c r="H6" s="277"/>
      <c r="I6" s="276" t="s">
        <v>442</v>
      </c>
      <c r="J6" s="277"/>
    </row>
    <row r="7" spans="2:13" ht="13.5" thickBot="1">
      <c r="C7" s="88" t="str">
        <f>+E7</f>
        <v>mil. €</v>
      </c>
      <c r="D7" s="89" t="str">
        <f>+F7</f>
        <v>% BDP</v>
      </c>
      <c r="E7" s="88" t="s">
        <v>263</v>
      </c>
      <c r="F7" s="89" t="s">
        <v>150</v>
      </c>
      <c r="G7" s="88" t="s">
        <v>263</v>
      </c>
      <c r="H7" s="89" t="s">
        <v>150</v>
      </c>
      <c r="I7" s="210" t="s">
        <v>263</v>
      </c>
      <c r="J7" s="210" t="s">
        <v>443</v>
      </c>
    </row>
    <row r="8" spans="2:13" ht="14.25" thickTop="1" thickBot="1">
      <c r="B8" s="90" t="s">
        <v>128</v>
      </c>
      <c r="C8" s="188">
        <f>C9+C17+C22+C27+C34+C39</f>
        <v>1235146379.48</v>
      </c>
      <c r="D8" s="92">
        <f>C8/C$3*100</f>
        <v>37.025942588839719</v>
      </c>
      <c r="E8" s="188">
        <f>+E9+E17+E22+E27+E34+E39+E40</f>
        <v>1276056399.4371703</v>
      </c>
      <c r="F8" s="92">
        <f>E8/E$3*100</f>
        <v>36.291224748071834</v>
      </c>
      <c r="G8" s="185">
        <f>+G9+G17+G22+G27+G34+G39+G40</f>
        <v>1316333669.0867703</v>
      </c>
      <c r="H8" s="92">
        <f>G8/E$3*100</f>
        <v>37.436716002014087</v>
      </c>
      <c r="I8" s="185">
        <f>+G8-E8</f>
        <v>40277269.649600029</v>
      </c>
      <c r="J8" s="92">
        <f>+G8/E8*100-100</f>
        <v>3.1563863217460693</v>
      </c>
    </row>
    <row r="9" spans="2:13" ht="13.5" thickTop="1">
      <c r="B9" s="93" t="s">
        <v>2</v>
      </c>
      <c r="C9" s="170">
        <f>SUM(C10:C16)</f>
        <v>755696459.51000011</v>
      </c>
      <c r="D9" s="95">
        <f t="shared" ref="D9:D72" si="0">C9/C$3*100</f>
        <v>22.653488031261944</v>
      </c>
      <c r="E9" s="170">
        <f>+SUM(E10:E16)</f>
        <v>797828901.35953081</v>
      </c>
      <c r="F9" s="96">
        <f t="shared" ref="F9:F73" si="1">E9/E$3*100</f>
        <v>22.690366963808792</v>
      </c>
      <c r="G9" s="170">
        <f>+SUM(G10:G16)</f>
        <v>819077478.06873</v>
      </c>
      <c r="H9" s="96">
        <f t="shared" ref="H9:H72" si="2">G9/E$3*100</f>
        <v>23.294679495190881</v>
      </c>
      <c r="I9" s="170">
        <f t="shared" ref="I9:I41" si="3">+G9-E9</f>
        <v>21248576.70919919</v>
      </c>
      <c r="J9" s="96">
        <f t="shared" ref="J9:J73" si="4">+G9/E9*100-100</f>
        <v>2.6632999472682428</v>
      </c>
    </row>
    <row r="10" spans="2:13">
      <c r="B10" s="97" t="s">
        <v>3</v>
      </c>
      <c r="C10" s="171">
        <v>95618433.909999996</v>
      </c>
      <c r="D10" s="99">
        <f t="shared" si="0"/>
        <v>2.8663506635358695</v>
      </c>
      <c r="E10" s="171">
        <v>96011654.614494905</v>
      </c>
      <c r="F10" s="99">
        <f t="shared" si="1"/>
        <v>2.7305850568875618</v>
      </c>
      <c r="G10" s="172">
        <v>96781150.729929999</v>
      </c>
      <c r="H10" s="99">
        <f t="shared" si="2"/>
        <v>2.7524696354064582</v>
      </c>
      <c r="I10" s="172">
        <f t="shared" si="3"/>
        <v>769496.11543509364</v>
      </c>
      <c r="J10" s="99">
        <f t="shared" si="4"/>
        <v>0.80146115440335564</v>
      </c>
    </row>
    <row r="11" spans="2:13">
      <c r="B11" s="97" t="s">
        <v>5</v>
      </c>
      <c r="C11" s="172">
        <v>40638726.390000008</v>
      </c>
      <c r="D11" s="99">
        <f t="shared" si="0"/>
        <v>1.2182257708055488</v>
      </c>
      <c r="E11" s="172">
        <v>44395641.531501003</v>
      </c>
      <c r="F11" s="99">
        <f t="shared" si="1"/>
        <v>1.2626183336137604</v>
      </c>
      <c r="G11" s="172">
        <v>50018934.706970006</v>
      </c>
      <c r="H11" s="99">
        <f t="shared" si="2"/>
        <v>1.4225455880401758</v>
      </c>
      <c r="I11" s="172">
        <f t="shared" si="3"/>
        <v>5623293.1754690036</v>
      </c>
      <c r="J11" s="99">
        <f t="shared" si="4"/>
        <v>12.666318092236565</v>
      </c>
    </row>
    <row r="12" spans="2:13">
      <c r="B12" s="97" t="s">
        <v>7</v>
      </c>
      <c r="C12" s="172">
        <v>1440565.3199999998</v>
      </c>
      <c r="D12" s="99">
        <f t="shared" si="0"/>
        <v>4.318377944503151E-2</v>
      </c>
      <c r="E12" s="172">
        <v>1544536.6728920399</v>
      </c>
      <c r="F12" s="99">
        <f t="shared" si="1"/>
        <v>4.3926841754241781E-2</v>
      </c>
      <c r="G12" s="172">
        <v>1489198.0023599996</v>
      </c>
      <c r="H12" s="99">
        <f t="shared" si="2"/>
        <v>4.2353002125818169E-2</v>
      </c>
      <c r="I12" s="172">
        <f t="shared" si="3"/>
        <v>-55338.670532040298</v>
      </c>
      <c r="J12" s="99">
        <f t="shared" si="4"/>
        <v>-3.5828654316392772</v>
      </c>
    </row>
    <row r="13" spans="2:13">
      <c r="B13" s="97" t="s">
        <v>9</v>
      </c>
      <c r="C13" s="171">
        <v>429195069.32999998</v>
      </c>
      <c r="D13" s="99">
        <f t="shared" si="0"/>
        <v>12.865966544885122</v>
      </c>
      <c r="E13" s="171">
        <v>455945630.52919102</v>
      </c>
      <c r="F13" s="99">
        <f t="shared" si="1"/>
        <v>12.967158315051353</v>
      </c>
      <c r="G13" s="172">
        <v>473642045.78458995</v>
      </c>
      <c r="H13" s="99">
        <f t="shared" si="2"/>
        <v>13.470446871538474</v>
      </c>
      <c r="I13" s="172">
        <f t="shared" si="3"/>
        <v>17696415.255398929</v>
      </c>
      <c r="J13" s="99">
        <f t="shared" si="4"/>
        <v>3.8812555862986784</v>
      </c>
      <c r="L13" s="172">
        <f>+G13-C13</f>
        <v>44446976.454589963</v>
      </c>
      <c r="M13">
        <f>+G13/C13*100-100</f>
        <v>10.355891675077828</v>
      </c>
    </row>
    <row r="14" spans="2:13">
      <c r="B14" s="97" t="s">
        <v>12</v>
      </c>
      <c r="C14" s="172">
        <v>161445470.17000002</v>
      </c>
      <c r="D14" s="99">
        <f t="shared" si="0"/>
        <v>4.8396455748502225</v>
      </c>
      <c r="E14" s="172">
        <v>171111988.52539012</v>
      </c>
      <c r="F14" s="99">
        <f t="shared" si="1"/>
        <v>4.8664491909631922</v>
      </c>
      <c r="G14" s="172">
        <v>169158715.98390999</v>
      </c>
      <c r="H14" s="99">
        <f t="shared" si="2"/>
        <v>4.8108978432105705</v>
      </c>
      <c r="I14" s="172">
        <f t="shared" si="3"/>
        <v>-1953272.541480124</v>
      </c>
      <c r="J14" s="99">
        <f t="shared" si="4"/>
        <v>-1.1415170604427232</v>
      </c>
    </row>
    <row r="15" spans="2:13">
      <c r="B15" s="97" t="s">
        <v>14</v>
      </c>
      <c r="C15" s="172">
        <v>22269382.640000001</v>
      </c>
      <c r="D15" s="99">
        <f t="shared" si="0"/>
        <v>0.66756855447746977</v>
      </c>
      <c r="E15" s="172">
        <v>23735353.696558259</v>
      </c>
      <c r="F15" s="99">
        <f t="shared" si="1"/>
        <v>0.67503682114419394</v>
      </c>
      <c r="G15" s="172">
        <v>22781578.440719999</v>
      </c>
      <c r="H15" s="99">
        <f t="shared" si="2"/>
        <v>0.64791131776985811</v>
      </c>
      <c r="I15" s="172">
        <f t="shared" si="3"/>
        <v>-953775.25583826005</v>
      </c>
      <c r="J15" s="99">
        <f t="shared" si="4"/>
        <v>-4.0183738908283573</v>
      </c>
    </row>
    <row r="16" spans="2:13">
      <c r="B16" s="97" t="s">
        <v>17</v>
      </c>
      <c r="C16" s="172">
        <v>5088811.75</v>
      </c>
      <c r="D16" s="99">
        <f t="shared" si="0"/>
        <v>0.15254714326267749</v>
      </c>
      <c r="E16" s="172">
        <v>5084095.7895035082</v>
      </c>
      <c r="F16" s="99">
        <f t="shared" si="1"/>
        <v>0.14459240439449103</v>
      </c>
      <c r="G16" s="172">
        <v>5205854.4202499995</v>
      </c>
      <c r="H16" s="99">
        <f t="shared" si="2"/>
        <v>0.14805523709952459</v>
      </c>
      <c r="I16" s="172">
        <f t="shared" si="3"/>
        <v>121758.63074649125</v>
      </c>
      <c r="J16" s="99">
        <f t="shared" si="4"/>
        <v>2.394892539158505</v>
      </c>
      <c r="L16">
        <f>+G13/G8*100</f>
        <v>35.981913773670129</v>
      </c>
    </row>
    <row r="17" spans="2:12">
      <c r="B17" s="93" t="s">
        <v>19</v>
      </c>
      <c r="C17" s="189">
        <f>SUM(C18:C21)</f>
        <v>398494284.19</v>
      </c>
      <c r="D17" s="96">
        <f t="shared" si="0"/>
        <v>11.94565011364196</v>
      </c>
      <c r="E17" s="170">
        <f>+SUM(E18:E21)</f>
        <v>397823173.70918262</v>
      </c>
      <c r="F17" s="96">
        <f t="shared" si="1"/>
        <v>11.314147410286179</v>
      </c>
      <c r="G17" s="170">
        <f>+SUM(G18:G21)</f>
        <v>417559652.73636997</v>
      </c>
      <c r="H17" s="96">
        <f t="shared" si="2"/>
        <v>11.87545566940951</v>
      </c>
      <c r="I17" s="170">
        <f t="shared" si="3"/>
        <v>19736479.027187347</v>
      </c>
      <c r="J17" s="96">
        <f t="shared" si="4"/>
        <v>4.9611184896974265</v>
      </c>
    </row>
    <row r="18" spans="2:12">
      <c r="B18" s="97" t="s">
        <v>21</v>
      </c>
      <c r="C18" s="172">
        <v>241949355.72999999</v>
      </c>
      <c r="D18" s="99">
        <f t="shared" si="0"/>
        <v>7.2529079172277937</v>
      </c>
      <c r="E18" s="172">
        <v>234882396.70208701</v>
      </c>
      <c r="F18" s="99">
        <f t="shared" si="1"/>
        <v>6.6800886323213922</v>
      </c>
      <c r="G18" s="172">
        <v>254875867.28178996</v>
      </c>
      <c r="H18" s="99">
        <f t="shared" si="2"/>
        <v>7.2487057676000486</v>
      </c>
      <c r="I18" s="172">
        <f t="shared" si="3"/>
        <v>19993470.579702944</v>
      </c>
      <c r="J18" s="99">
        <f t="shared" si="4"/>
        <v>8.5121196225963445</v>
      </c>
      <c r="L18" s="172">
        <f>+G18-C18</f>
        <v>12926511.551789969</v>
      </c>
    </row>
    <row r="19" spans="2:12">
      <c r="B19" s="97" t="s">
        <v>23</v>
      </c>
      <c r="C19" s="172">
        <v>134703897.09</v>
      </c>
      <c r="D19" s="99">
        <f t="shared" si="0"/>
        <v>4.038014313936686</v>
      </c>
      <c r="E19" s="172">
        <v>138667298.82084399</v>
      </c>
      <c r="F19" s="99">
        <f t="shared" si="1"/>
        <v>3.9437176201106214</v>
      </c>
      <c r="G19" s="172">
        <v>139196347.37307</v>
      </c>
      <c r="H19" s="99">
        <f t="shared" si="2"/>
        <v>3.9587638358734543</v>
      </c>
      <c r="I19" s="172">
        <f t="shared" si="3"/>
        <v>529048.55222600698</v>
      </c>
      <c r="J19" s="99">
        <f t="shared" si="4"/>
        <v>0.3815236589482538</v>
      </c>
    </row>
    <row r="20" spans="2:12">
      <c r="B20" s="97" t="s">
        <v>25</v>
      </c>
      <c r="C20" s="172">
        <v>10770190.189999999</v>
      </c>
      <c r="D20" s="99">
        <f t="shared" si="0"/>
        <v>0.32285763879558199</v>
      </c>
      <c r="E20" s="172">
        <v>11617385.520490499</v>
      </c>
      <c r="F20" s="99">
        <f t="shared" si="1"/>
        <v>0.33040008975706336</v>
      </c>
      <c r="G20" s="172">
        <v>11434714.104369998</v>
      </c>
      <c r="H20" s="99">
        <f t="shared" si="2"/>
        <v>0.3252048888079504</v>
      </c>
      <c r="I20" s="172">
        <f t="shared" si="3"/>
        <v>-182671.41612050124</v>
      </c>
      <c r="J20" s="99">
        <f t="shared" si="4"/>
        <v>-1.5723969545325787</v>
      </c>
    </row>
    <row r="21" spans="2:12">
      <c r="B21" s="97" t="s">
        <v>27</v>
      </c>
      <c r="C21" s="172">
        <v>11070841.180000002</v>
      </c>
      <c r="D21" s="99">
        <f t="shared" si="0"/>
        <v>0.33187024368189877</v>
      </c>
      <c r="E21" s="171">
        <v>12656092.6657611</v>
      </c>
      <c r="F21" s="99">
        <f t="shared" si="1"/>
        <v>0.3599410680971038</v>
      </c>
      <c r="G21" s="172">
        <v>12052723.97714</v>
      </c>
      <c r="H21" s="99">
        <f t="shared" si="2"/>
        <v>0.34278117712805589</v>
      </c>
      <c r="I21" s="172">
        <f t="shared" si="3"/>
        <v>-603368.68862110004</v>
      </c>
      <c r="J21" s="99">
        <f t="shared" si="4"/>
        <v>-4.7674168051361647</v>
      </c>
    </row>
    <row r="22" spans="2:12">
      <c r="B22" s="93" t="s">
        <v>29</v>
      </c>
      <c r="C22" s="170">
        <f>SUM(C23:C26)</f>
        <v>27069458</v>
      </c>
      <c r="D22" s="96">
        <f t="shared" si="0"/>
        <v>0.81146025642804165</v>
      </c>
      <c r="E22" s="170">
        <f>+SUM(E23:E26)</f>
        <v>20923047.198280636</v>
      </c>
      <c r="F22" s="96">
        <f t="shared" si="1"/>
        <v>0.59505442598166625</v>
      </c>
      <c r="G22" s="170">
        <f>+SUM(G23:G26)</f>
        <v>19923047.198280636</v>
      </c>
      <c r="H22" s="96">
        <f t="shared" si="2"/>
        <v>0.56661428433582772</v>
      </c>
      <c r="I22" s="170">
        <f t="shared" si="3"/>
        <v>-1000000</v>
      </c>
      <c r="J22" s="96">
        <f t="shared" si="4"/>
        <v>-4.7794185546843977</v>
      </c>
    </row>
    <row r="23" spans="2:12">
      <c r="B23" s="97" t="s">
        <v>31</v>
      </c>
      <c r="C23" s="172">
        <v>7881462.9399999995</v>
      </c>
      <c r="D23" s="99">
        <f t="shared" si="0"/>
        <v>0.23626235657620134</v>
      </c>
      <c r="E23" s="172">
        <v>8144616.5029747505</v>
      </c>
      <c r="F23" s="99">
        <f t="shared" si="1"/>
        <v>0.23163404699563594</v>
      </c>
      <c r="G23" s="172">
        <v>8144616.5029747505</v>
      </c>
      <c r="H23" s="99">
        <f t="shared" si="2"/>
        <v>0.23163404699563594</v>
      </c>
      <c r="I23" s="172">
        <f t="shared" si="3"/>
        <v>0</v>
      </c>
      <c r="J23" s="99">
        <f t="shared" si="4"/>
        <v>0</v>
      </c>
    </row>
    <row r="24" spans="2:12">
      <c r="B24" s="97" t="s">
        <v>32</v>
      </c>
      <c r="C24" s="172">
        <v>4557791.26</v>
      </c>
      <c r="D24" s="99">
        <f t="shared" si="0"/>
        <v>0.13662875941531916</v>
      </c>
      <c r="E24" s="172">
        <v>3676083.5729169641</v>
      </c>
      <c r="F24" s="99">
        <f t="shared" si="1"/>
        <v>0.10454833751569864</v>
      </c>
      <c r="G24" s="172">
        <v>5176083.5729169641</v>
      </c>
      <c r="H24" s="99">
        <f t="shared" si="2"/>
        <v>0.14720854998445643</v>
      </c>
      <c r="I24" s="172">
        <f t="shared" si="3"/>
        <v>1500000</v>
      </c>
      <c r="J24" s="99">
        <f t="shared" si="4"/>
        <v>40.804295393364868</v>
      </c>
    </row>
    <row r="25" spans="2:12">
      <c r="B25" s="97" t="s">
        <v>34</v>
      </c>
      <c r="C25" s="172">
        <v>767936.98999999987</v>
      </c>
      <c r="D25" s="99">
        <f t="shared" si="0"/>
        <v>2.3020422013103413E-2</v>
      </c>
      <c r="E25" s="172">
        <v>762511.44191594806</v>
      </c>
      <c r="F25" s="99">
        <f t="shared" si="1"/>
        <v>2.1685933414662142E-2</v>
      </c>
      <c r="G25" s="172">
        <v>762511.44191594806</v>
      </c>
      <c r="H25" s="99">
        <f t="shared" si="2"/>
        <v>2.1685933414662142E-2</v>
      </c>
      <c r="I25" s="172">
        <f t="shared" si="3"/>
        <v>0</v>
      </c>
      <c r="J25" s="99">
        <f t="shared" si="4"/>
        <v>0</v>
      </c>
    </row>
    <row r="26" spans="2:12">
      <c r="B26" s="97" t="s">
        <v>37</v>
      </c>
      <c r="C26" s="171">
        <v>13862266.809999999</v>
      </c>
      <c r="D26" s="99">
        <f t="shared" si="0"/>
        <v>0.41554871842341756</v>
      </c>
      <c r="E26" s="171">
        <v>8339835.6804729737</v>
      </c>
      <c r="F26" s="99">
        <f t="shared" si="1"/>
        <v>0.23718610805566953</v>
      </c>
      <c r="G26" s="171">
        <v>5839835.6804729737</v>
      </c>
      <c r="H26" s="99">
        <f t="shared" si="2"/>
        <v>0.16608575394107319</v>
      </c>
      <c r="I26" s="171">
        <f t="shared" si="3"/>
        <v>-2500000</v>
      </c>
      <c r="J26" s="99">
        <f t="shared" si="4"/>
        <v>-29.976609801240343</v>
      </c>
    </row>
    <row r="27" spans="2:12">
      <c r="B27" s="93" t="s">
        <v>39</v>
      </c>
      <c r="C27" s="170">
        <f>SUM(C28:C33)</f>
        <v>13233490.18</v>
      </c>
      <c r="D27" s="96">
        <f t="shared" si="0"/>
        <v>0.39669990196703492</v>
      </c>
      <c r="E27" s="170">
        <f>+SUM(E28:E33)</f>
        <v>13024243.76827177</v>
      </c>
      <c r="F27" s="96">
        <f t="shared" si="1"/>
        <v>0.37041133759957889</v>
      </c>
      <c r="G27" s="170">
        <f>+SUM(G28:G33)</f>
        <v>12724243.76827177</v>
      </c>
      <c r="H27" s="96">
        <f t="shared" si="2"/>
        <v>0.36187929510582734</v>
      </c>
      <c r="I27" s="170">
        <f t="shared" si="3"/>
        <v>-300000</v>
      </c>
      <c r="J27" s="96">
        <f t="shared" si="4"/>
        <v>-2.3033966911063715</v>
      </c>
    </row>
    <row r="28" spans="2:12">
      <c r="B28" s="97" t="s">
        <v>40</v>
      </c>
      <c r="C28" s="172">
        <v>647266.8600000001</v>
      </c>
      <c r="D28" s="99">
        <f t="shared" si="0"/>
        <v>1.9403097475870164E-2</v>
      </c>
      <c r="E28" s="172">
        <v>698651.48499726248</v>
      </c>
      <c r="F28" s="99">
        <f t="shared" si="1"/>
        <v>1.9869747194397578E-2</v>
      </c>
      <c r="G28" s="172">
        <v>698651.48499726248</v>
      </c>
      <c r="H28" s="99">
        <f t="shared" si="2"/>
        <v>1.9869747194397578E-2</v>
      </c>
      <c r="I28" s="172">
        <f t="shared" si="3"/>
        <v>0</v>
      </c>
      <c r="J28" s="99">
        <f t="shared" si="4"/>
        <v>0</v>
      </c>
    </row>
    <row r="29" spans="2:12">
      <c r="B29" s="97" t="s">
        <v>42</v>
      </c>
      <c r="C29" s="172">
        <v>1995183.6300000001</v>
      </c>
      <c r="D29" s="99">
        <f t="shared" si="0"/>
        <v>5.9809554370125591E-2</v>
      </c>
      <c r="E29" s="172">
        <v>1997965.7673730874</v>
      </c>
      <c r="F29" s="99">
        <f t="shared" si="1"/>
        <v>5.6822429427627073E-2</v>
      </c>
      <c r="G29" s="172">
        <v>1997965.7673730874</v>
      </c>
      <c r="H29" s="99">
        <f t="shared" si="2"/>
        <v>5.6822429427627073E-2</v>
      </c>
      <c r="I29" s="172">
        <f t="shared" si="3"/>
        <v>0</v>
      </c>
      <c r="J29" s="99">
        <f t="shared" si="4"/>
        <v>0</v>
      </c>
    </row>
    <row r="30" spans="2:12">
      <c r="B30" s="97" t="s">
        <v>45</v>
      </c>
      <c r="C30" s="172">
        <v>309851.25</v>
      </c>
      <c r="D30" s="99">
        <f t="shared" si="0"/>
        <v>9.2884007791936302E-3</v>
      </c>
      <c r="E30" s="172">
        <v>424373.88097611902</v>
      </c>
      <c r="F30" s="99">
        <f t="shared" si="1"/>
        <v>1.2069253285755047E-2</v>
      </c>
      <c r="G30" s="172">
        <v>424373.88097611902</v>
      </c>
      <c r="H30" s="99">
        <f t="shared" si="2"/>
        <v>1.2069253285755047E-2</v>
      </c>
      <c r="I30" s="172">
        <f t="shared" si="3"/>
        <v>0</v>
      </c>
      <c r="J30" s="99">
        <f t="shared" si="4"/>
        <v>0</v>
      </c>
    </row>
    <row r="31" spans="2:12">
      <c r="B31" s="97" t="s">
        <v>47</v>
      </c>
      <c r="C31" s="172">
        <v>3324177.16</v>
      </c>
      <c r="D31" s="99">
        <f t="shared" si="0"/>
        <v>9.9648749918296836E-2</v>
      </c>
      <c r="E31" s="172">
        <v>3266343.0516235088</v>
      </c>
      <c r="F31" s="99">
        <f t="shared" si="1"/>
        <v>9.2895259052073062E-2</v>
      </c>
      <c r="G31" s="172">
        <v>3666343.0516235088</v>
      </c>
      <c r="H31" s="99">
        <f t="shared" si="2"/>
        <v>0.10427131571040847</v>
      </c>
      <c r="I31" s="172">
        <f t="shared" si="3"/>
        <v>400000</v>
      </c>
      <c r="J31" s="99">
        <f t="shared" si="4"/>
        <v>12.246111130341419</v>
      </c>
    </row>
    <row r="32" spans="2:12">
      <c r="B32" s="97" t="s">
        <v>50</v>
      </c>
      <c r="C32" s="172">
        <v>3659024.1899999995</v>
      </c>
      <c r="D32" s="99">
        <f t="shared" si="0"/>
        <v>0.10968644837638813</v>
      </c>
      <c r="E32" s="172">
        <v>3355752.0175728933</v>
      </c>
      <c r="F32" s="99">
        <f t="shared" si="1"/>
        <v>9.5438062708081514E-2</v>
      </c>
      <c r="G32" s="172">
        <v>3355752.0175728933</v>
      </c>
      <c r="H32" s="99">
        <f t="shared" si="2"/>
        <v>9.5438062708081514E-2</v>
      </c>
      <c r="I32" s="172">
        <f t="shared" si="3"/>
        <v>0</v>
      </c>
      <c r="J32" s="99">
        <f t="shared" si="4"/>
        <v>0</v>
      </c>
    </row>
    <row r="33" spans="2:10">
      <c r="B33" s="97" t="s">
        <v>51</v>
      </c>
      <c r="C33" s="172">
        <v>3297987.09</v>
      </c>
      <c r="D33" s="99">
        <f t="shared" si="0"/>
        <v>9.8863651047160633E-2</v>
      </c>
      <c r="E33" s="172">
        <v>3281157.5657288986</v>
      </c>
      <c r="F33" s="99">
        <f t="shared" si="1"/>
        <v>9.331658593164463E-2</v>
      </c>
      <c r="G33" s="172">
        <v>2581157.5657288986</v>
      </c>
      <c r="H33" s="99">
        <f t="shared" si="2"/>
        <v>7.340848677955765E-2</v>
      </c>
      <c r="I33" s="172">
        <f t="shared" si="3"/>
        <v>-700000</v>
      </c>
      <c r="J33" s="99">
        <f t="shared" si="4"/>
        <v>-21.333934319746618</v>
      </c>
    </row>
    <row r="34" spans="2:10">
      <c r="B34" s="93" t="s">
        <v>53</v>
      </c>
      <c r="C34" s="170">
        <f>SUM(C35:C38)</f>
        <v>33088194.540000003</v>
      </c>
      <c r="D34" s="96">
        <f t="shared" si="0"/>
        <v>0.99188372468223518</v>
      </c>
      <c r="E34" s="170">
        <f>+SUM(E35:E38)</f>
        <v>31410770.914738216</v>
      </c>
      <c r="F34" s="96">
        <f t="shared" si="1"/>
        <v>0.89332677402013982</v>
      </c>
      <c r="G34" s="170">
        <f>+SUM(G35:G38)</f>
        <v>31310770.914738216</v>
      </c>
      <c r="H34" s="96">
        <f t="shared" si="2"/>
        <v>0.89048275985555603</v>
      </c>
      <c r="I34" s="170">
        <f t="shared" si="3"/>
        <v>-100000</v>
      </c>
      <c r="J34" s="96">
        <f t="shared" si="4"/>
        <v>-0.318362132121635</v>
      </c>
    </row>
    <row r="35" spans="2:10">
      <c r="B35" s="97" t="s">
        <v>55</v>
      </c>
      <c r="C35" s="172">
        <v>6034873.3200000003</v>
      </c>
      <c r="D35" s="99">
        <f t="shared" si="0"/>
        <v>0.18090719998006413</v>
      </c>
      <c r="E35" s="172">
        <v>5533606.7424404304</v>
      </c>
      <c r="F35" s="99">
        <f t="shared" si="1"/>
        <v>0.15737655956737298</v>
      </c>
      <c r="G35" s="172">
        <v>6533606.7424404304</v>
      </c>
      <c r="H35" s="99">
        <f t="shared" si="2"/>
        <v>0.1858167012132115</v>
      </c>
      <c r="I35" s="172">
        <f t="shared" si="3"/>
        <v>1000000</v>
      </c>
      <c r="J35" s="99">
        <f t="shared" si="4"/>
        <v>18.071396225727824</v>
      </c>
    </row>
    <row r="36" spans="2:10">
      <c r="B36" s="97" t="s">
        <v>57</v>
      </c>
      <c r="C36" s="172">
        <v>12316700.43</v>
      </c>
      <c r="D36" s="99">
        <f t="shared" si="0"/>
        <v>0.36921732563966259</v>
      </c>
      <c r="E36" s="172">
        <v>11824073.889814863</v>
      </c>
      <c r="F36" s="99">
        <f t="shared" si="1"/>
        <v>0.33627833625719566</v>
      </c>
      <c r="G36" s="172">
        <v>12424073.889814863</v>
      </c>
      <c r="H36" s="99">
        <f t="shared" si="2"/>
        <v>0.35334242124469878</v>
      </c>
      <c r="I36" s="172">
        <f t="shared" si="3"/>
        <v>600000</v>
      </c>
      <c r="J36" s="99">
        <f t="shared" si="4"/>
        <v>5.0743931879251249</v>
      </c>
    </row>
    <row r="37" spans="2:10">
      <c r="B37" s="97" t="s">
        <v>59</v>
      </c>
      <c r="C37" s="172">
        <v>2179410.2600000002</v>
      </c>
      <c r="D37" s="99">
        <f t="shared" si="0"/>
        <v>6.5332110027526411E-2</v>
      </c>
      <c r="E37" s="172">
        <v>2220205.3434794326</v>
      </c>
      <c r="F37" s="99">
        <f t="shared" si="1"/>
        <v>6.3142954451402653E-2</v>
      </c>
      <c r="G37" s="172">
        <v>2220205.3434794326</v>
      </c>
      <c r="H37" s="99">
        <f t="shared" si="2"/>
        <v>6.3142954451402653E-2</v>
      </c>
      <c r="I37" s="172">
        <f t="shared" si="3"/>
        <v>0</v>
      </c>
      <c r="J37" s="99">
        <f t="shared" si="4"/>
        <v>0</v>
      </c>
    </row>
    <row r="38" spans="2:10">
      <c r="B38" s="97" t="s">
        <v>53</v>
      </c>
      <c r="C38" s="172">
        <v>12557210.530000001</v>
      </c>
      <c r="D38" s="99">
        <f t="shared" si="0"/>
        <v>0.37642708903498195</v>
      </c>
      <c r="E38" s="172">
        <v>11832884.939003492</v>
      </c>
      <c r="F38" s="99">
        <f t="shared" si="1"/>
        <v>0.33652892374416871</v>
      </c>
      <c r="G38" s="172">
        <v>10132884.939003492</v>
      </c>
      <c r="H38" s="99">
        <f t="shared" si="2"/>
        <v>0.28818068294624322</v>
      </c>
      <c r="I38" s="172">
        <f t="shared" si="3"/>
        <v>-1700000</v>
      </c>
      <c r="J38" s="99">
        <f t="shared" si="4"/>
        <v>-14.366741574545941</v>
      </c>
    </row>
    <row r="39" spans="2:10">
      <c r="B39" s="93" t="s">
        <v>255</v>
      </c>
      <c r="C39" s="170">
        <v>7564493.0600000005</v>
      </c>
      <c r="D39" s="96">
        <f t="shared" si="0"/>
        <v>0.22676056085850488</v>
      </c>
      <c r="E39" s="170">
        <v>7046262.4871663069</v>
      </c>
      <c r="F39" s="96">
        <f t="shared" si="1"/>
        <v>0.20039670320876826</v>
      </c>
      <c r="G39" s="170">
        <v>7738476.4003799995</v>
      </c>
      <c r="H39" s="96">
        <f t="shared" si="2"/>
        <v>0.22008336494978584</v>
      </c>
      <c r="I39" s="170">
        <f t="shared" si="3"/>
        <v>692213.91321369261</v>
      </c>
      <c r="J39" s="96">
        <f t="shared" si="4"/>
        <v>9.8238451161087852</v>
      </c>
    </row>
    <row r="40" spans="2:10" ht="13.5" thickBot="1">
      <c r="B40" s="93" t="s">
        <v>123</v>
      </c>
      <c r="C40" s="172">
        <v>6615451.54</v>
      </c>
      <c r="D40" s="99">
        <f t="shared" si="0"/>
        <v>0.19831117427750797</v>
      </c>
      <c r="E40" s="170">
        <v>8000000</v>
      </c>
      <c r="F40" s="96">
        <f t="shared" si="1"/>
        <v>0.22752113316670824</v>
      </c>
      <c r="G40" s="170">
        <v>8000000</v>
      </c>
      <c r="H40" s="96">
        <f t="shared" si="2"/>
        <v>0.22752113316670824</v>
      </c>
      <c r="I40" s="170">
        <f t="shared" si="3"/>
        <v>0</v>
      </c>
      <c r="J40" s="96">
        <f t="shared" si="4"/>
        <v>0</v>
      </c>
    </row>
    <row r="41" spans="2:10" ht="14.25" thickTop="1" thickBot="1">
      <c r="B41" s="90" t="s">
        <v>62</v>
      </c>
      <c r="C41" s="91">
        <f>+C43+C54+C60+SUM(C63:C67)</f>
        <v>1363467004.0629177</v>
      </c>
      <c r="D41" s="92">
        <f t="shared" si="0"/>
        <v>40.87260575176898</v>
      </c>
      <c r="E41" s="91">
        <f>+E43+E54+E60+SUM(E63:E67)</f>
        <v>1327102106.4899998</v>
      </c>
      <c r="F41" s="92">
        <f t="shared" si="1"/>
        <v>37.742971887066275</v>
      </c>
      <c r="G41" s="91">
        <f>+G43+G54+G60+SUM(G63:G67)</f>
        <v>1342758271.0799997</v>
      </c>
      <c r="H41" s="92">
        <f t="shared" si="2"/>
        <v>38.188235425636442</v>
      </c>
      <c r="I41" s="91">
        <f t="shared" si="3"/>
        <v>15656164.589999914</v>
      </c>
      <c r="J41" s="92">
        <f t="shared" si="4"/>
        <v>1.1797256980782294</v>
      </c>
    </row>
    <row r="42" spans="2:10" ht="14.25" thickTop="1" thickBot="1">
      <c r="B42" s="90" t="s">
        <v>126</v>
      </c>
      <c r="C42" s="91">
        <f>+C41-C63</f>
        <v>1301681501.2029178</v>
      </c>
      <c r="D42" s="92">
        <f t="shared" si="0"/>
        <v>39.020463754898891</v>
      </c>
      <c r="E42" s="91">
        <f>+E41-E63</f>
        <v>1225281606.4899998</v>
      </c>
      <c r="F42" s="92">
        <f t="shared" si="1"/>
        <v>34.84718244461618</v>
      </c>
      <c r="G42" s="91">
        <f>+G41-G63</f>
        <v>1240937771.0799997</v>
      </c>
      <c r="H42" s="92">
        <f t="shared" si="2"/>
        <v>35.29244598318634</v>
      </c>
      <c r="I42" s="91">
        <f t="shared" ref="I42:I73" si="5">+G42-E42</f>
        <v>15656164.589999914</v>
      </c>
      <c r="J42" s="92">
        <f t="shared" si="4"/>
        <v>1.2777605170169295</v>
      </c>
    </row>
    <row r="43" spans="2:10" ht="13.5" thickTop="1">
      <c r="B43" s="93" t="s">
        <v>63</v>
      </c>
      <c r="C43" s="94">
        <f>+SUM(C44:C53)</f>
        <v>600287648.01291776</v>
      </c>
      <c r="D43" s="96">
        <f t="shared" si="0"/>
        <v>17.994803175857761</v>
      </c>
      <c r="E43" s="94">
        <f>+SUM(E44:E53)</f>
        <v>615023510.13</v>
      </c>
      <c r="F43" s="96">
        <f t="shared" si="1"/>
        <v>17.491355743618005</v>
      </c>
      <c r="G43" s="94">
        <f>+SUM(G44:G53)</f>
        <v>625526473.45999992</v>
      </c>
      <c r="H43" s="96">
        <f t="shared" si="2"/>
        <v>17.790061508424255</v>
      </c>
      <c r="I43" s="94">
        <f t="shared" si="5"/>
        <v>10502963.329999924</v>
      </c>
      <c r="J43" s="96">
        <f t="shared" si="4"/>
        <v>1.7077336324557564</v>
      </c>
    </row>
    <row r="44" spans="2:10">
      <c r="B44" s="93" t="s">
        <v>64</v>
      </c>
      <c r="C44" s="170">
        <v>366128508.17291778</v>
      </c>
      <c r="D44" s="96">
        <f t="shared" si="0"/>
        <v>10.975422305375018</v>
      </c>
      <c r="E44" s="170">
        <v>386488693.71999997</v>
      </c>
      <c r="F44" s="96">
        <f t="shared" si="1"/>
        <v>10.991793193911903</v>
      </c>
      <c r="G44" s="170">
        <v>386488693.71999997</v>
      </c>
      <c r="H44" s="96">
        <f t="shared" si="2"/>
        <v>10.991793193911903</v>
      </c>
      <c r="I44" s="170">
        <f t="shared" si="5"/>
        <v>0</v>
      </c>
      <c r="J44" s="96">
        <f t="shared" si="4"/>
        <v>0</v>
      </c>
    </row>
    <row r="45" spans="2:10">
      <c r="B45" s="93" t="s">
        <v>75</v>
      </c>
      <c r="C45" s="170">
        <v>12022159.040000001</v>
      </c>
      <c r="D45" s="96">
        <f t="shared" si="0"/>
        <v>0.36038786803256645</v>
      </c>
      <c r="E45" s="170">
        <v>11478163.960000001</v>
      </c>
      <c r="F45" s="96">
        <f t="shared" si="1"/>
        <v>0.3264406088565589</v>
      </c>
      <c r="G45" s="170">
        <v>11478163.960000001</v>
      </c>
      <c r="H45" s="96">
        <f t="shared" si="2"/>
        <v>0.3264406088565589</v>
      </c>
      <c r="I45" s="170">
        <f t="shared" si="5"/>
        <v>0</v>
      </c>
      <c r="J45" s="96">
        <f t="shared" si="4"/>
        <v>0</v>
      </c>
    </row>
    <row r="46" spans="2:10">
      <c r="B46" s="93" t="s">
        <v>429</v>
      </c>
      <c r="C46" s="170">
        <v>90442340.840000004</v>
      </c>
      <c r="D46" s="96">
        <f t="shared" si="0"/>
        <v>2.7111870910004456</v>
      </c>
      <c r="E46" s="170">
        <v>89210330.25999999</v>
      </c>
      <c r="F46" s="96">
        <f t="shared" si="1"/>
        <v>2.5371544288664349</v>
      </c>
      <c r="G46" s="170">
        <v>29295302.830000002</v>
      </c>
      <c r="H46" s="96">
        <f t="shared" si="2"/>
        <v>0.83316256204293437</v>
      </c>
      <c r="I46" s="170">
        <f t="shared" si="5"/>
        <v>-59915027.429999992</v>
      </c>
      <c r="J46" s="96">
        <f t="shared" si="4"/>
        <v>-67.161535278907735</v>
      </c>
    </row>
    <row r="47" spans="2:10">
      <c r="B47" s="93" t="s">
        <v>430</v>
      </c>
      <c r="C47" s="170"/>
      <c r="D47" s="96">
        <f t="shared" si="0"/>
        <v>0</v>
      </c>
      <c r="E47" s="170"/>
      <c r="F47" s="96">
        <f t="shared" si="1"/>
        <v>0</v>
      </c>
      <c r="G47" s="170">
        <v>40692845.799999997</v>
      </c>
      <c r="H47" s="96">
        <f t="shared" si="2"/>
        <v>1.1573102985242654</v>
      </c>
      <c r="I47" s="170">
        <f t="shared" si="5"/>
        <v>40692845.799999997</v>
      </c>
      <c r="J47" s="96" t="e">
        <f t="shared" si="4"/>
        <v>#DIV/0!</v>
      </c>
    </row>
    <row r="48" spans="2:10">
      <c r="B48" s="93" t="s">
        <v>431</v>
      </c>
      <c r="C48" s="170">
        <v>20416485.639999997</v>
      </c>
      <c r="D48" s="96">
        <f t="shared" si="0"/>
        <v>0.61202432175752564</v>
      </c>
      <c r="E48" s="170">
        <v>21655403.200000003</v>
      </c>
      <c r="F48" s="96">
        <f t="shared" si="1"/>
        <v>0.61588273440574504</v>
      </c>
      <c r="G48" s="170">
        <v>21655403.200000003</v>
      </c>
      <c r="H48" s="96">
        <f t="shared" si="2"/>
        <v>0.61588273440574504</v>
      </c>
      <c r="I48" s="170">
        <f t="shared" si="5"/>
        <v>0</v>
      </c>
      <c r="J48" s="96">
        <f t="shared" si="4"/>
        <v>0</v>
      </c>
    </row>
    <row r="49" spans="2:10">
      <c r="B49" s="93" t="s">
        <v>80</v>
      </c>
      <c r="C49" s="170">
        <v>67427730.789999992</v>
      </c>
      <c r="D49" s="96">
        <f t="shared" si="0"/>
        <v>2.0212788788462022</v>
      </c>
      <c r="E49" s="170">
        <v>73316123.120000005</v>
      </c>
      <c r="F49" s="96">
        <f t="shared" si="1"/>
        <v>2.0851209264565371</v>
      </c>
      <c r="G49" s="170">
        <v>73316123.120000005</v>
      </c>
      <c r="H49" s="96">
        <f t="shared" si="2"/>
        <v>2.0851209264565371</v>
      </c>
      <c r="I49" s="170">
        <f t="shared" si="5"/>
        <v>0</v>
      </c>
      <c r="J49" s="96">
        <f t="shared" si="4"/>
        <v>0</v>
      </c>
    </row>
    <row r="50" spans="2:10">
      <c r="B50" s="93" t="s">
        <v>82</v>
      </c>
      <c r="C50" s="170">
        <v>7928041.8100000005</v>
      </c>
      <c r="D50" s="96">
        <f t="shared" si="0"/>
        <v>0.23765864983757101</v>
      </c>
      <c r="E50" s="170">
        <v>8172802.1399999997</v>
      </c>
      <c r="F50" s="96">
        <f t="shared" si="1"/>
        <v>0.23243565050501225</v>
      </c>
      <c r="G50" s="170">
        <v>8172802.1399999997</v>
      </c>
      <c r="H50" s="96">
        <f t="shared" si="2"/>
        <v>0.23243565050501225</v>
      </c>
      <c r="I50" s="170">
        <f t="shared" si="5"/>
        <v>0</v>
      </c>
      <c r="J50" s="96">
        <f t="shared" si="4"/>
        <v>0</v>
      </c>
    </row>
    <row r="51" spans="2:10">
      <c r="B51" s="93" t="s">
        <v>84</v>
      </c>
      <c r="C51" s="170">
        <v>17426749.959999997</v>
      </c>
      <c r="D51" s="96">
        <f t="shared" si="0"/>
        <v>0.52240111313824467</v>
      </c>
      <c r="E51" s="170">
        <v>18874600</v>
      </c>
      <c r="F51" s="96">
        <f t="shared" si="1"/>
        <v>0.53679629750854385</v>
      </c>
      <c r="G51" s="170">
        <v>18874600</v>
      </c>
      <c r="H51" s="96">
        <f t="shared" si="2"/>
        <v>0.53679629750854385</v>
      </c>
      <c r="I51" s="170">
        <f t="shared" si="5"/>
        <v>0</v>
      </c>
      <c r="J51" s="96">
        <f t="shared" si="4"/>
        <v>0</v>
      </c>
    </row>
    <row r="52" spans="2:10">
      <c r="B52" s="93" t="s">
        <v>86</v>
      </c>
      <c r="C52" s="170">
        <v>6279093.0100000007</v>
      </c>
      <c r="D52" s="96">
        <f t="shared" si="0"/>
        <v>0.18822816563339112</v>
      </c>
      <c r="E52" s="170">
        <v>5827393.7300000023</v>
      </c>
      <c r="F52" s="96">
        <f t="shared" si="1"/>
        <v>0.16573190310727137</v>
      </c>
      <c r="G52" s="170">
        <v>25049575.370000001</v>
      </c>
      <c r="H52" s="96">
        <f t="shared" si="2"/>
        <v>0.71241347169090818</v>
      </c>
      <c r="I52" s="170">
        <f t="shared" si="5"/>
        <v>19222181.640000001</v>
      </c>
      <c r="J52" s="96">
        <f>+G52/E52*100-100</f>
        <v>329.85898208734892</v>
      </c>
    </row>
    <row r="53" spans="2:10">
      <c r="B53" s="93" t="s">
        <v>130</v>
      </c>
      <c r="C53" s="170">
        <v>12216538.75</v>
      </c>
      <c r="D53" s="183">
        <f t="shared" si="0"/>
        <v>0.36621478223679643</v>
      </c>
      <c r="E53" s="170"/>
      <c r="F53" s="183">
        <f t="shared" si="1"/>
        <v>0</v>
      </c>
      <c r="G53" s="170">
        <v>10502963.32</v>
      </c>
      <c r="H53" s="183">
        <f t="shared" si="2"/>
        <v>0.2987057645218465</v>
      </c>
      <c r="I53" s="170">
        <f t="shared" si="5"/>
        <v>10502963.32</v>
      </c>
      <c r="J53" s="183" t="e">
        <f t="shared" si="4"/>
        <v>#DIV/0!</v>
      </c>
    </row>
    <row r="54" spans="2:10">
      <c r="B54" s="93" t="s">
        <v>87</v>
      </c>
      <c r="C54" s="94">
        <f>+SUM(C55:C59)</f>
        <v>482967769.27999985</v>
      </c>
      <c r="D54" s="96">
        <f t="shared" si="0"/>
        <v>14.47790901119734</v>
      </c>
      <c r="E54" s="94">
        <f>+SUM(E55:E59)</f>
        <v>498223398.96999997</v>
      </c>
      <c r="F54" s="96">
        <f t="shared" si="1"/>
        <v>14.169544037977921</v>
      </c>
      <c r="G54" s="94">
        <f>+SUM(G55:G59)</f>
        <v>498223398.96999997</v>
      </c>
      <c r="H54" s="96">
        <f t="shared" si="2"/>
        <v>14.169544037977921</v>
      </c>
      <c r="I54" s="94">
        <f t="shared" si="5"/>
        <v>0</v>
      </c>
      <c r="J54" s="96">
        <f t="shared" si="4"/>
        <v>0</v>
      </c>
    </row>
    <row r="55" spans="2:10">
      <c r="B55" s="97" t="s">
        <v>89</v>
      </c>
      <c r="C55" s="172">
        <v>64036543.990000002</v>
      </c>
      <c r="D55" s="99">
        <f t="shared" si="0"/>
        <v>1.919621383142986</v>
      </c>
      <c r="E55" s="172">
        <v>58645000</v>
      </c>
      <c r="F55" s="99">
        <f t="shared" si="1"/>
        <v>1.6678721068202007</v>
      </c>
      <c r="G55" s="172">
        <v>58645000</v>
      </c>
      <c r="H55" s="99">
        <f t="shared" si="2"/>
        <v>1.6678721068202007</v>
      </c>
      <c r="I55" s="172">
        <f t="shared" si="5"/>
        <v>0</v>
      </c>
      <c r="J55" s="99">
        <f t="shared" si="4"/>
        <v>0</v>
      </c>
    </row>
    <row r="56" spans="2:10">
      <c r="B56" s="97" t="s">
        <v>91</v>
      </c>
      <c r="C56" s="172">
        <v>13086355.520000001</v>
      </c>
      <c r="D56" s="99">
        <f t="shared" si="0"/>
        <v>0.39228925108022916</v>
      </c>
      <c r="E56" s="172">
        <v>20758124</v>
      </c>
      <c r="F56" s="99">
        <f t="shared" si="1"/>
        <v>0.59036398686188019</v>
      </c>
      <c r="G56" s="172">
        <v>20758124</v>
      </c>
      <c r="H56" s="99">
        <f t="shared" si="2"/>
        <v>0.59036398686188019</v>
      </c>
      <c r="I56" s="172">
        <f t="shared" si="5"/>
        <v>0</v>
      </c>
      <c r="J56" s="99">
        <f t="shared" si="4"/>
        <v>0</v>
      </c>
    </row>
    <row r="57" spans="2:10">
      <c r="B57" s="97" t="s">
        <v>93</v>
      </c>
      <c r="C57" s="172">
        <v>383190248.31999987</v>
      </c>
      <c r="D57" s="99">
        <f t="shared" si="0"/>
        <v>11.486881531298929</v>
      </c>
      <c r="E57" s="172">
        <v>397320274.96999997</v>
      </c>
      <c r="F57" s="99">
        <f t="shared" si="1"/>
        <v>11.299844898910312</v>
      </c>
      <c r="G57" s="172">
        <v>397320274.96999997</v>
      </c>
      <c r="H57" s="99">
        <f t="shared" si="2"/>
        <v>11.299844898910312</v>
      </c>
      <c r="I57" s="172">
        <f t="shared" si="5"/>
        <v>0</v>
      </c>
      <c r="J57" s="99">
        <f t="shared" si="4"/>
        <v>0</v>
      </c>
    </row>
    <row r="58" spans="2:10">
      <c r="B58" s="97" t="s">
        <v>95</v>
      </c>
      <c r="C58" s="172">
        <v>14792096.089999998</v>
      </c>
      <c r="D58" s="99">
        <f t="shared" si="0"/>
        <v>0.44342218031478986</v>
      </c>
      <c r="E58" s="172">
        <v>14500000</v>
      </c>
      <c r="F58" s="99">
        <f t="shared" si="1"/>
        <v>0.4123820538646587</v>
      </c>
      <c r="G58" s="172">
        <v>14500000</v>
      </c>
      <c r="H58" s="99">
        <f t="shared" si="2"/>
        <v>0.4123820538646587</v>
      </c>
      <c r="I58" s="172">
        <f t="shared" si="5"/>
        <v>0</v>
      </c>
      <c r="J58" s="99">
        <f t="shared" si="4"/>
        <v>0</v>
      </c>
    </row>
    <row r="59" spans="2:10">
      <c r="B59" s="97" t="s">
        <v>432</v>
      </c>
      <c r="C59" s="172">
        <v>7862525.3600000013</v>
      </c>
      <c r="D59" s="99">
        <f t="shared" si="0"/>
        <v>0.23569466536040659</v>
      </c>
      <c r="E59" s="172">
        <v>7000000</v>
      </c>
      <c r="F59" s="99">
        <f t="shared" si="1"/>
        <v>0.19908099152086972</v>
      </c>
      <c r="G59" s="172">
        <v>7000000</v>
      </c>
      <c r="H59" s="99">
        <f t="shared" si="2"/>
        <v>0.19908099152086972</v>
      </c>
      <c r="I59" s="172">
        <f t="shared" si="5"/>
        <v>0</v>
      </c>
      <c r="J59" s="99">
        <f t="shared" si="4"/>
        <v>0</v>
      </c>
    </row>
    <row r="60" spans="2:10">
      <c r="B60" s="93" t="s">
        <v>433</v>
      </c>
      <c r="C60" s="94">
        <f>+SUM(C61:C62)</f>
        <v>94307106.209999993</v>
      </c>
      <c r="D60" s="96">
        <f t="shared" si="0"/>
        <v>2.8270410359953697</v>
      </c>
      <c r="E60" s="94">
        <f>+SUM(E61:E62)</f>
        <v>101040047.61999999</v>
      </c>
      <c r="F60" s="96">
        <f t="shared" si="1"/>
        <v>2.8735932662150696</v>
      </c>
      <c r="G60" s="94">
        <f>+SUM(G61:G62)</f>
        <v>101040047.61999999</v>
      </c>
      <c r="H60" s="96">
        <f t="shared" si="2"/>
        <v>2.8735932662150696</v>
      </c>
      <c r="I60" s="94">
        <f t="shared" si="5"/>
        <v>0</v>
      </c>
      <c r="J60" s="96">
        <f t="shared" si="4"/>
        <v>0</v>
      </c>
    </row>
    <row r="61" spans="2:10">
      <c r="B61" s="97" t="s">
        <v>433</v>
      </c>
      <c r="C61" s="172">
        <v>94307106.209999993</v>
      </c>
      <c r="D61" s="99">
        <f t="shared" si="0"/>
        <v>2.8270410359953697</v>
      </c>
      <c r="E61" s="172">
        <v>101040047.61999999</v>
      </c>
      <c r="F61" s="99">
        <f t="shared" si="1"/>
        <v>2.8735932662150696</v>
      </c>
      <c r="G61" s="172">
        <v>101040047.61999999</v>
      </c>
      <c r="H61" s="99">
        <f t="shared" si="2"/>
        <v>2.8735932662150696</v>
      </c>
      <c r="I61" s="172">
        <f t="shared" si="5"/>
        <v>0</v>
      </c>
      <c r="J61" s="99">
        <f t="shared" si="4"/>
        <v>0</v>
      </c>
    </row>
    <row r="62" spans="2:10" ht="13.5" thickBot="1">
      <c r="B62" s="97" t="s">
        <v>434</v>
      </c>
      <c r="C62" s="172"/>
      <c r="D62" s="99">
        <f t="shared" si="0"/>
        <v>0</v>
      </c>
      <c r="E62" s="172"/>
      <c r="F62" s="99">
        <f t="shared" si="1"/>
        <v>0</v>
      </c>
      <c r="G62" s="172"/>
      <c r="H62" s="99">
        <f t="shared" si="2"/>
        <v>0</v>
      </c>
      <c r="I62" s="172">
        <f t="shared" si="5"/>
        <v>0</v>
      </c>
      <c r="J62" s="99" t="e">
        <f t="shared" si="4"/>
        <v>#DIV/0!</v>
      </c>
    </row>
    <row r="63" spans="2:10" ht="14.25" thickTop="1" thickBot="1">
      <c r="B63" s="90" t="s">
        <v>131</v>
      </c>
      <c r="C63" s="185">
        <v>61785502.860000007</v>
      </c>
      <c r="D63" s="92">
        <f t="shared" si="0"/>
        <v>1.8521419968700925</v>
      </c>
      <c r="E63" s="185">
        <v>101820500</v>
      </c>
      <c r="F63" s="92">
        <f t="shared" si="1"/>
        <v>2.8957894424501021</v>
      </c>
      <c r="G63" s="185">
        <v>101820500</v>
      </c>
      <c r="H63" s="92">
        <f t="shared" si="2"/>
        <v>2.8957894424501021</v>
      </c>
      <c r="I63" s="185">
        <f t="shared" si="5"/>
        <v>0</v>
      </c>
      <c r="J63" s="92">
        <f t="shared" si="4"/>
        <v>0</v>
      </c>
    </row>
    <row r="64" spans="2:10" ht="13.5" thickTop="1">
      <c r="B64" s="93" t="s">
        <v>111</v>
      </c>
      <c r="C64" s="170">
        <v>2752781.9799999995</v>
      </c>
      <c r="D64" s="96">
        <f t="shared" si="0"/>
        <v>8.2520055310353516E-2</v>
      </c>
      <c r="E64" s="170">
        <v>2140000</v>
      </c>
      <c r="F64" s="96">
        <f t="shared" si="1"/>
        <v>6.0861903122094448E-2</v>
      </c>
      <c r="G64" s="170">
        <v>2140000</v>
      </c>
      <c r="H64" s="96">
        <f t="shared" si="2"/>
        <v>6.0861903122094448E-2</v>
      </c>
      <c r="I64" s="170">
        <f t="shared" si="5"/>
        <v>0</v>
      </c>
      <c r="J64" s="96">
        <f t="shared" si="4"/>
        <v>0</v>
      </c>
    </row>
    <row r="65" spans="2:10" ht="13.5" thickBot="1">
      <c r="B65" s="93" t="s">
        <v>118</v>
      </c>
      <c r="C65" s="170">
        <v>14126844.789999999</v>
      </c>
      <c r="D65" s="96">
        <f t="shared" si="0"/>
        <v>0.42347996386970665</v>
      </c>
      <c r="E65" s="170">
        <v>8854649.7699999996</v>
      </c>
      <c r="F65" s="96">
        <f t="shared" si="1"/>
        <v>0.25182749368309154</v>
      </c>
      <c r="G65" s="170">
        <v>8854649.7699999996</v>
      </c>
      <c r="H65" s="96">
        <f t="shared" si="2"/>
        <v>0.25182749368309154</v>
      </c>
      <c r="I65" s="170">
        <f t="shared" si="5"/>
        <v>0</v>
      </c>
      <c r="J65" s="96">
        <f t="shared" si="4"/>
        <v>0</v>
      </c>
    </row>
    <row r="66" spans="2:10" ht="14.25" thickTop="1" thickBot="1">
      <c r="B66" s="163" t="s">
        <v>113</v>
      </c>
      <c r="C66" s="186">
        <v>107239350.92999999</v>
      </c>
      <c r="D66" s="165">
        <f t="shared" si="0"/>
        <v>3.2147105126683559</v>
      </c>
      <c r="E66" s="186">
        <v>0</v>
      </c>
      <c r="F66" s="165">
        <f t="shared" si="1"/>
        <v>0</v>
      </c>
      <c r="G66" s="186">
        <v>5153201.26</v>
      </c>
      <c r="H66" s="165">
        <f t="shared" si="2"/>
        <v>0.14655777376391357</v>
      </c>
      <c r="I66" s="186">
        <f t="shared" si="5"/>
        <v>5153201.26</v>
      </c>
      <c r="J66" s="165" t="e">
        <f t="shared" si="4"/>
        <v>#DIV/0!</v>
      </c>
    </row>
    <row r="67" spans="2:10" ht="14.25" thickTop="1" thickBot="1">
      <c r="B67" s="209" t="s">
        <v>152</v>
      </c>
      <c r="C67" s="170">
        <v>0</v>
      </c>
      <c r="D67" s="96">
        <f t="shared" si="0"/>
        <v>0</v>
      </c>
      <c r="E67" s="170">
        <v>0</v>
      </c>
      <c r="F67" s="96">
        <f t="shared" si="1"/>
        <v>0</v>
      </c>
      <c r="G67" s="170">
        <v>0</v>
      </c>
      <c r="H67" s="96">
        <f t="shared" si="2"/>
        <v>0</v>
      </c>
      <c r="I67" s="170">
        <f t="shared" si="5"/>
        <v>0</v>
      </c>
      <c r="J67" s="96" t="e">
        <f t="shared" si="4"/>
        <v>#DIV/0!</v>
      </c>
    </row>
    <row r="68" spans="2:10" ht="14.25" thickTop="1" thickBot="1">
      <c r="B68" s="90" t="s">
        <v>132</v>
      </c>
      <c r="C68" s="91">
        <f>+C8-C41</f>
        <v>-128320624.58291769</v>
      </c>
      <c r="D68" s="92">
        <f t="shared" si="0"/>
        <v>-3.8466631629292634</v>
      </c>
      <c r="E68" s="91">
        <f>+E8-E41</f>
        <v>-51045707.052829504</v>
      </c>
      <c r="F68" s="92">
        <f t="shared" si="1"/>
        <v>-1.4517471389944498</v>
      </c>
      <c r="G68" s="91">
        <f>+G8-G41</f>
        <v>-26424601.993229389</v>
      </c>
      <c r="H68" s="92">
        <f t="shared" si="2"/>
        <v>-0.75151942362235102</v>
      </c>
      <c r="I68" s="91">
        <f t="shared" si="5"/>
        <v>24621105.059600115</v>
      </c>
      <c r="J68" s="92">
        <f t="shared" si="4"/>
        <v>-48.23344896392291</v>
      </c>
    </row>
    <row r="69" spans="2:10" ht="14.25" thickTop="1" thickBot="1">
      <c r="B69" s="90" t="s">
        <v>133</v>
      </c>
      <c r="C69" s="91">
        <f>+C68+C49</f>
        <v>-60892893.792917699</v>
      </c>
      <c r="D69" s="92">
        <f t="shared" si="0"/>
        <v>-1.8253842840830612</v>
      </c>
      <c r="E69" s="91">
        <f>+E68+E49</f>
        <v>22270416.067170501</v>
      </c>
      <c r="F69" s="92">
        <f t="shared" si="1"/>
        <v>0.63337378746208728</v>
      </c>
      <c r="G69" s="91">
        <f>+G68+G49</f>
        <v>46891521.126770616</v>
      </c>
      <c r="H69" s="92">
        <f t="shared" si="2"/>
        <v>1.3336015028341861</v>
      </c>
      <c r="I69" s="91">
        <f t="shared" si="5"/>
        <v>24621105.059600115</v>
      </c>
      <c r="J69" s="92">
        <f t="shared" si="4"/>
        <v>110.55520914086037</v>
      </c>
    </row>
    <row r="70" spans="2:10" ht="14.25" thickTop="1" thickBot="1">
      <c r="B70" s="90" t="s">
        <v>0</v>
      </c>
      <c r="C70" s="91">
        <f>+SUM(C71:C73)</f>
        <v>241777428.00999996</v>
      </c>
      <c r="D70" s="92">
        <f t="shared" si="0"/>
        <v>7.2477540455928944</v>
      </c>
      <c r="E70" s="91">
        <f>+SUM(E71:E73)</f>
        <v>171426905.49000001</v>
      </c>
      <c r="F70" s="92">
        <f t="shared" si="1"/>
        <v>4.875405474043375</v>
      </c>
      <c r="G70" s="91">
        <f>+SUM(G71:G73)</f>
        <v>171426905.49000001</v>
      </c>
      <c r="H70" s="92">
        <f t="shared" si="2"/>
        <v>4.875405474043375</v>
      </c>
      <c r="I70" s="91">
        <f t="shared" si="5"/>
        <v>0</v>
      </c>
      <c r="J70" s="92">
        <f t="shared" si="4"/>
        <v>0</v>
      </c>
    </row>
    <row r="71" spans="2:10" ht="13.5" thickTop="1">
      <c r="B71" s="97" t="s">
        <v>135</v>
      </c>
      <c r="C71" s="172">
        <v>112695950.91</v>
      </c>
      <c r="D71" s="99">
        <f t="shared" si="0"/>
        <v>3.3782828316632929</v>
      </c>
      <c r="E71" s="172">
        <v>30008345.27</v>
      </c>
      <c r="F71" s="99">
        <f t="shared" si="1"/>
        <v>0.8534415900360286</v>
      </c>
      <c r="G71" s="172">
        <v>30008345.27</v>
      </c>
      <c r="H71" s="99">
        <f t="shared" si="2"/>
        <v>0.8534415900360286</v>
      </c>
      <c r="I71" s="172">
        <f t="shared" si="5"/>
        <v>0</v>
      </c>
      <c r="J71" s="99">
        <f t="shared" si="4"/>
        <v>0</v>
      </c>
    </row>
    <row r="72" spans="2:10">
      <c r="B72" s="97" t="s">
        <v>137</v>
      </c>
      <c r="C72" s="172">
        <v>68802905.489999995</v>
      </c>
      <c r="D72" s="99">
        <f t="shared" si="0"/>
        <v>2.0625024458158605</v>
      </c>
      <c r="E72" s="172">
        <v>108080400.25</v>
      </c>
      <c r="F72" s="99">
        <f t="shared" si="1"/>
        <v>3.073821892248922</v>
      </c>
      <c r="G72" s="172">
        <v>108080400.25</v>
      </c>
      <c r="H72" s="99">
        <f t="shared" si="2"/>
        <v>3.073821892248922</v>
      </c>
      <c r="I72" s="172">
        <f t="shared" si="5"/>
        <v>0</v>
      </c>
      <c r="J72" s="99">
        <f t="shared" si="4"/>
        <v>0</v>
      </c>
    </row>
    <row r="73" spans="2:10" ht="13.5" thickBot="1">
      <c r="B73" s="97" t="s">
        <v>116</v>
      </c>
      <c r="C73" s="172">
        <v>60278571.609999992</v>
      </c>
      <c r="D73" s="99">
        <f t="shared" ref="D73:D79" si="6">C73/C$3*100</f>
        <v>1.8069687681137414</v>
      </c>
      <c r="E73" s="172">
        <v>33338159.969999999</v>
      </c>
      <c r="F73" s="99">
        <f t="shared" si="1"/>
        <v>0.94814199175842395</v>
      </c>
      <c r="G73" s="172">
        <v>33338159.969999999</v>
      </c>
      <c r="H73" s="99">
        <f t="shared" ref="H73:H79" si="7">G73/E$3*100</f>
        <v>0.94814199175842395</v>
      </c>
      <c r="I73" s="172">
        <f t="shared" si="5"/>
        <v>0</v>
      </c>
      <c r="J73" s="99">
        <f t="shared" si="4"/>
        <v>0</v>
      </c>
    </row>
    <row r="74" spans="2:10" ht="14.25" thickTop="1" thickBot="1">
      <c r="B74" s="90" t="s">
        <v>141</v>
      </c>
      <c r="C74" s="91">
        <f>+C68-C70</f>
        <v>-370098052.59291768</v>
      </c>
      <c r="D74" s="92">
        <f t="shared" si="6"/>
        <v>-11.09441720852216</v>
      </c>
      <c r="E74" s="91">
        <f>+E68-E70</f>
        <v>-222472612.54282951</v>
      </c>
      <c r="F74" s="92">
        <f t="shared" ref="F74:F79" si="8">E74/E$3*100</f>
        <v>-6.3271526130378248</v>
      </c>
      <c r="G74" s="91">
        <v>-205851507.4832294</v>
      </c>
      <c r="H74" s="92">
        <f t="shared" si="7"/>
        <v>-5.8544460308324338</v>
      </c>
      <c r="I74" s="91">
        <f t="shared" ref="I74:I79" si="9">+G74-E74</f>
        <v>16621105.059600115</v>
      </c>
      <c r="J74" s="92">
        <f t="shared" ref="J74:J79" si="10">+G74/E74*100-100</f>
        <v>-7.4710791902083145</v>
      </c>
    </row>
    <row r="75" spans="2:10" ht="14.25" thickTop="1" thickBot="1">
      <c r="B75" s="90" t="s">
        <v>121</v>
      </c>
      <c r="C75" s="91">
        <f>+SUM(C76:C80)</f>
        <v>370098052.59291768</v>
      </c>
      <c r="D75" s="92">
        <f t="shared" si="6"/>
        <v>11.09441720852216</v>
      </c>
      <c r="E75" s="91">
        <f>+SUM(E76:E79)</f>
        <v>222472612.54282951</v>
      </c>
      <c r="F75" s="92">
        <f t="shared" si="8"/>
        <v>6.3271526130378248</v>
      </c>
      <c r="G75" s="91">
        <f>+SUM(G76:G79)</f>
        <v>205851507.4832294</v>
      </c>
      <c r="H75" s="92">
        <f t="shared" si="7"/>
        <v>5.8544460308324338</v>
      </c>
      <c r="I75" s="91">
        <f t="shared" si="9"/>
        <v>-16621105.059600115</v>
      </c>
      <c r="J75" s="92">
        <f t="shared" si="10"/>
        <v>-7.4710791902083145</v>
      </c>
    </row>
    <row r="76" spans="2:10" ht="13.5" thickTop="1">
      <c r="B76" s="97" t="s">
        <v>144</v>
      </c>
      <c r="C76" s="172">
        <v>102834751.84999999</v>
      </c>
      <c r="D76" s="99">
        <f t="shared" si="6"/>
        <v>3.0826739902186082</v>
      </c>
      <c r="E76" s="172">
        <v>0</v>
      </c>
      <c r="F76" s="99">
        <f t="shared" si="8"/>
        <v>0</v>
      </c>
      <c r="G76" s="211">
        <v>0</v>
      </c>
      <c r="H76" s="212">
        <f t="shared" si="7"/>
        <v>0</v>
      </c>
      <c r="I76" s="172">
        <f t="shared" si="9"/>
        <v>0</v>
      </c>
      <c r="J76" s="99" t="e">
        <f t="shared" si="10"/>
        <v>#DIV/0!</v>
      </c>
    </row>
    <row r="77" spans="2:10">
      <c r="B77" s="97" t="s">
        <v>122</v>
      </c>
      <c r="C77" s="172">
        <v>230537476.81999999</v>
      </c>
      <c r="D77" s="99">
        <f t="shared" si="6"/>
        <v>6.910814396676539</v>
      </c>
      <c r="E77" s="172">
        <v>227975575.86282945</v>
      </c>
      <c r="F77" s="99">
        <f t="shared" si="8"/>
        <v>6.4836576693304764</v>
      </c>
      <c r="G77" s="211">
        <v>227975575.86282945</v>
      </c>
      <c r="H77" s="212">
        <f t="shared" si="7"/>
        <v>6.4836576693304764</v>
      </c>
      <c r="I77" s="172">
        <f t="shared" si="9"/>
        <v>0</v>
      </c>
      <c r="J77" s="99">
        <f t="shared" si="10"/>
        <v>0</v>
      </c>
    </row>
    <row r="78" spans="2:10" ht="13.5" thickBot="1">
      <c r="B78" s="104" t="s">
        <v>329</v>
      </c>
      <c r="C78" s="172">
        <v>11948846.35</v>
      </c>
      <c r="D78" s="105">
        <f t="shared" si="6"/>
        <v>0.35819017592410862</v>
      </c>
      <c r="E78" s="172">
        <v>5000000</v>
      </c>
      <c r="F78" s="105">
        <f t="shared" si="8"/>
        <v>0.14220070822919265</v>
      </c>
      <c r="G78" s="211">
        <v>5000000</v>
      </c>
      <c r="H78" s="212">
        <f t="shared" si="7"/>
        <v>0.14220070822919265</v>
      </c>
      <c r="I78" s="172">
        <f t="shared" si="9"/>
        <v>0</v>
      </c>
      <c r="J78" s="105">
        <f t="shared" si="10"/>
        <v>0</v>
      </c>
    </row>
    <row r="79" spans="2:10" ht="14.25" thickTop="1" thickBot="1">
      <c r="B79" s="163" t="s">
        <v>125</v>
      </c>
      <c r="C79" s="164">
        <f>-C74-SUM(C76:C78)</f>
        <v>24776977.5729177</v>
      </c>
      <c r="D79" s="165">
        <f t="shared" si="6"/>
        <v>0.74273864570290371</v>
      </c>
      <c r="E79" s="164">
        <f>-E74-SUM(E76:E78)</f>
        <v>-10502963.319999933</v>
      </c>
      <c r="F79" s="165">
        <f t="shared" si="8"/>
        <v>-0.29870576452184461</v>
      </c>
      <c r="G79" s="213">
        <f>-G74-SUM(G76:G78)</f>
        <v>-27124068.379600048</v>
      </c>
      <c r="H79" s="214">
        <f t="shared" si="7"/>
        <v>-0.77141234672723535</v>
      </c>
      <c r="I79" s="164">
        <f t="shared" si="9"/>
        <v>-16621105.059600115</v>
      </c>
      <c r="J79" s="165">
        <f t="shared" si="10"/>
        <v>158.25157675215246</v>
      </c>
    </row>
    <row r="80" spans="2:10" ht="13.5" thickTop="1"/>
  </sheetData>
  <mergeCells count="6">
    <mergeCell ref="I6:J6"/>
    <mergeCell ref="E3:H3"/>
    <mergeCell ref="C6:D6"/>
    <mergeCell ref="C3:D3"/>
    <mergeCell ref="E6:F6"/>
    <mergeCell ref="G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1"/>
  <dimension ref="C4:G6"/>
  <sheetViews>
    <sheetView workbookViewId="0">
      <selection activeCell="N16" sqref="N16"/>
    </sheetView>
  </sheetViews>
  <sheetFormatPr defaultRowHeight="12.75"/>
  <cols>
    <col min="3" max="3" width="27.85546875" bestFit="1" customWidth="1"/>
    <col min="4" max="4" width="15.140625" bestFit="1" customWidth="1"/>
    <col min="5" max="7" width="16.140625" bestFit="1" customWidth="1"/>
  </cols>
  <sheetData>
    <row r="4" spans="3:7">
      <c r="D4" t="s">
        <v>446</v>
      </c>
      <c r="E4">
        <v>2015</v>
      </c>
      <c r="F4">
        <v>2016</v>
      </c>
      <c r="G4">
        <v>2017</v>
      </c>
    </row>
    <row r="5" spans="3:7">
      <c r="C5" t="s">
        <v>444</v>
      </c>
      <c r="D5" s="208">
        <v>-26424601.993229389</v>
      </c>
      <c r="E5" s="208">
        <v>-24569497.372829676</v>
      </c>
      <c r="F5" s="208">
        <v>33498994.005818129</v>
      </c>
      <c r="G5" s="208">
        <v>103834080.12588143</v>
      </c>
    </row>
    <row r="6" spans="3:7">
      <c r="C6" t="s">
        <v>445</v>
      </c>
      <c r="D6" s="208">
        <v>-51424601.993229389</v>
      </c>
      <c r="E6" s="208">
        <v>-149569497.37282968</v>
      </c>
      <c r="F6" s="208">
        <v>-191501005.99418187</v>
      </c>
      <c r="G6" s="208">
        <v>-221165919.87411857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Cental Budget</vt:lpstr>
      <vt:lpstr>Local Government</vt:lpstr>
      <vt:lpstr>Public Expenditure</vt:lpstr>
      <vt:lpstr>PRIMICI</vt:lpstr>
      <vt:lpstr>DEFICIT Tabela</vt:lpstr>
      <vt:lpstr>MasterSheet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iva.vukovic</cp:lastModifiedBy>
  <cp:lastPrinted>2014-03-31T14:20:27Z</cp:lastPrinted>
  <dcterms:created xsi:type="dcterms:W3CDTF">2008-03-17T08:49:23Z</dcterms:created>
  <dcterms:modified xsi:type="dcterms:W3CDTF">2014-05-29T09:17:07Z</dcterms:modified>
</cp:coreProperties>
</file>