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896yhX/qxAVoI2slohGxIAsJRVdENUxGrdg3TvXWCJdSMpgXoWXdSN/sdzXiLUsZ0rHauzy5ccKnx+veqg061A==" workbookSaltValue="rahv9tUcIS20UMnt5HH6pA==" workbookSpinCount="100000" lockStructure="1"/>
  <bookViews>
    <workbookView xWindow="5745" yWindow="3390" windowWidth="17280" windowHeight="8970" tabRatio="587" firstSheet="1" activeTab="2"/>
  </bookViews>
  <sheets>
    <sheet name="Analitika - 2014" sheetId="3" state="hidden" r:id="rId1"/>
    <sheet name="Pregled" sheetId="1" r:id="rId2"/>
    <sheet name="Analitka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81029"/>
</workbook>
</file>

<file path=xl/calcChain.xml><?xml version="1.0" encoding="utf-8"?>
<calcChain xmlns="http://schemas.openxmlformats.org/spreadsheetml/2006/main">
  <c r="O12" i="11" l="1"/>
  <c r="O13" i="11"/>
  <c r="O14" i="11"/>
  <c r="O15" i="11"/>
  <c r="O16" i="11"/>
  <c r="O17" i="11"/>
  <c r="O18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6" i="11"/>
  <c r="O57" i="11"/>
  <c r="O58" i="11"/>
  <c r="O61" i="11"/>
  <c r="O62" i="11"/>
  <c r="O63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G5" i="19" l="1"/>
  <c r="H5" i="19"/>
  <c r="I5" i="19"/>
  <c r="J5" i="19"/>
  <c r="K5" i="19"/>
  <c r="L5" i="19"/>
  <c r="M5" i="19"/>
  <c r="N5" i="19"/>
  <c r="O5" i="19"/>
  <c r="P5" i="19"/>
  <c r="Q5" i="19"/>
  <c r="R5" i="19"/>
  <c r="G5" i="22" l="1"/>
  <c r="H5" i="22"/>
  <c r="I5" i="22"/>
  <c r="J5" i="22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N19" i="11" s="1"/>
  <c r="M19" i="22"/>
  <c r="N19" i="22"/>
  <c r="O19" i="22"/>
  <c r="P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M129" i="22"/>
  <c r="L129" i="22"/>
  <c r="O55" i="11" s="1"/>
  <c r="K129" i="22"/>
  <c r="J129" i="22"/>
  <c r="I129" i="22"/>
  <c r="H129" i="22"/>
  <c r="A129" i="22"/>
  <c r="A128" i="22"/>
  <c r="A127" i="22"/>
  <c r="S126" i="22"/>
  <c r="H52" i="11" s="1"/>
  <c r="A126" i="22"/>
  <c r="S125" i="22"/>
  <c r="H51" i="11" s="1"/>
  <c r="A125" i="22"/>
  <c r="S124" i="22"/>
  <c r="H50" i="11" s="1"/>
  <c r="A124" i="22"/>
  <c r="S123" i="22"/>
  <c r="H49" i="11" s="1"/>
  <c r="A123" i="22"/>
  <c r="S122" i="22"/>
  <c r="H48" i="11" s="1"/>
  <c r="A122" i="22"/>
  <c r="S121" i="22"/>
  <c r="H47" i="11" s="1"/>
  <c r="A121" i="22"/>
  <c r="S120" i="22"/>
  <c r="H46" i="11" s="1"/>
  <c r="A120" i="22"/>
  <c r="S119" i="22"/>
  <c r="H45" i="11" s="1"/>
  <c r="A119" i="22"/>
  <c r="S118" i="22"/>
  <c r="H44" i="11" s="1"/>
  <c r="A118" i="22"/>
  <c r="S117" i="22"/>
  <c r="H43" i="11" s="1"/>
  <c r="A117" i="22"/>
  <c r="S116" i="22"/>
  <c r="H42" i="11" s="1"/>
  <c r="A116" i="22"/>
  <c r="S115" i="22"/>
  <c r="H41" i="11" s="1"/>
  <c r="A115" i="22"/>
  <c r="R114" i="22"/>
  <c r="Q114" i="22"/>
  <c r="P114" i="22"/>
  <c r="P103" i="22" s="1"/>
  <c r="O114" i="22"/>
  <c r="N114" i="22"/>
  <c r="M114" i="22"/>
  <c r="L114" i="22"/>
  <c r="O40" i="11" s="1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H36" i="11" s="1"/>
  <c r="A110" i="22"/>
  <c r="S109" i="22"/>
  <c r="A109" i="22"/>
  <c r="S108" i="22"/>
  <c r="H34" i="11" s="1"/>
  <c r="A108" i="22"/>
  <c r="S107" i="22"/>
  <c r="A107" i="22"/>
  <c r="S106" i="22"/>
  <c r="H32" i="11" s="1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M103" i="22"/>
  <c r="A103" i="22"/>
  <c r="S102" i="22"/>
  <c r="H28" i="11" s="1"/>
  <c r="A102" i="22"/>
  <c r="S101" i="22"/>
  <c r="A101" i="22"/>
  <c r="S100" i="22"/>
  <c r="H26" i="11" s="1"/>
  <c r="A100" i="22"/>
  <c r="S99" i="22"/>
  <c r="A99" i="22"/>
  <c r="S98" i="22"/>
  <c r="H24" i="11" s="1"/>
  <c r="A98" i="22"/>
  <c r="S97" i="22"/>
  <c r="A97" i="22"/>
  <c r="S96" i="22"/>
  <c r="H22" i="11" s="1"/>
  <c r="A96" i="22"/>
  <c r="S95" i="22"/>
  <c r="A95" i="22"/>
  <c r="S94" i="22"/>
  <c r="H20" i="11" s="1"/>
  <c r="A94" i="22"/>
  <c r="R93" i="22"/>
  <c r="Q93" i="22"/>
  <c r="P93" i="22"/>
  <c r="O93" i="22"/>
  <c r="N93" i="22"/>
  <c r="M93" i="22"/>
  <c r="L93" i="22"/>
  <c r="O19" i="11" s="1"/>
  <c r="K93" i="22"/>
  <c r="J93" i="22"/>
  <c r="I93" i="22"/>
  <c r="H93" i="22"/>
  <c r="G93" i="22"/>
  <c r="A93" i="22"/>
  <c r="S92" i="22"/>
  <c r="A92" i="22"/>
  <c r="S91" i="22"/>
  <c r="H17" i="11" s="1"/>
  <c r="A91" i="22"/>
  <c r="S90" i="22"/>
  <c r="A90" i="22"/>
  <c r="S89" i="22"/>
  <c r="H15" i="11" s="1"/>
  <c r="A89" i="22"/>
  <c r="S88" i="22"/>
  <c r="A88" i="22"/>
  <c r="S87" i="22"/>
  <c r="H13" i="11" s="1"/>
  <c r="A87" i="22"/>
  <c r="S86" i="22"/>
  <c r="A86" i="22"/>
  <c r="R85" i="22"/>
  <c r="Q85" i="22"/>
  <c r="P85" i="22"/>
  <c r="O85" i="22"/>
  <c r="N85" i="22"/>
  <c r="M85" i="22"/>
  <c r="L85" i="22"/>
  <c r="O11" i="11" s="1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N55" i="11" s="1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N40" i="11" s="1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L30" i="22"/>
  <c r="N30" i="11" s="1"/>
  <c r="J30" i="22"/>
  <c r="H30" i="22"/>
  <c r="S31" i="22"/>
  <c r="T31" i="22" s="1"/>
  <c r="Q30" i="22"/>
  <c r="O30" i="22"/>
  <c r="M30" i="22"/>
  <c r="K30" i="22"/>
  <c r="I30" i="22"/>
  <c r="G30" i="22"/>
  <c r="S26" i="22"/>
  <c r="T26" i="22" s="1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P10" i="22" s="1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O5" i="22"/>
  <c r="N5" i="22"/>
  <c r="M5" i="22"/>
  <c r="L5" i="22"/>
  <c r="K5" i="22"/>
  <c r="T135" i="22" l="1"/>
  <c r="H61" i="11"/>
  <c r="O10" i="22"/>
  <c r="O103" i="22"/>
  <c r="I10" i="22"/>
  <c r="Q10" i="22"/>
  <c r="L10" i="22"/>
  <c r="N10" i="11" s="1"/>
  <c r="N11" i="11"/>
  <c r="P11" i="11" s="1"/>
  <c r="Q103" i="22"/>
  <c r="L103" i="22"/>
  <c r="O29" i="11" s="1"/>
  <c r="O30" i="11"/>
  <c r="T132" i="22"/>
  <c r="H58" i="11"/>
  <c r="K103" i="22"/>
  <c r="T137" i="22"/>
  <c r="H63" i="11"/>
  <c r="T136" i="22"/>
  <c r="H62" i="11"/>
  <c r="T131" i="22"/>
  <c r="H57" i="11"/>
  <c r="T130" i="22"/>
  <c r="H56" i="11"/>
  <c r="T113" i="22"/>
  <c r="H39" i="11"/>
  <c r="T112" i="22"/>
  <c r="H38" i="11"/>
  <c r="T111" i="22"/>
  <c r="H37" i="11"/>
  <c r="T109" i="22"/>
  <c r="H35" i="11"/>
  <c r="T107" i="22"/>
  <c r="H33" i="11"/>
  <c r="T105" i="22"/>
  <c r="H31" i="11"/>
  <c r="I103" i="22"/>
  <c r="T101" i="22"/>
  <c r="H27" i="11"/>
  <c r="T99" i="22"/>
  <c r="H25" i="11"/>
  <c r="T95" i="22"/>
  <c r="H21" i="11"/>
  <c r="T97" i="22"/>
  <c r="H23" i="11"/>
  <c r="T86" i="22"/>
  <c r="H12" i="11"/>
  <c r="T88" i="22"/>
  <c r="H14" i="11"/>
  <c r="T90" i="22"/>
  <c r="H16" i="11"/>
  <c r="T92" i="22"/>
  <c r="H18" i="11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P53" i="22" s="1"/>
  <c r="P54" i="22" s="1"/>
  <c r="H29" i="22"/>
  <c r="J10" i="22"/>
  <c r="N10" i="22"/>
  <c r="R10" i="22"/>
  <c r="S129" i="22"/>
  <c r="L84" i="22"/>
  <c r="P84" i="22"/>
  <c r="I84" i="22"/>
  <c r="K84" i="22"/>
  <c r="M84" i="22"/>
  <c r="M127" i="22" s="1"/>
  <c r="M133" i="22" s="1"/>
  <c r="M138" i="22" s="1"/>
  <c r="M134" i="22" s="1"/>
  <c r="O84" i="22"/>
  <c r="O127" i="22" s="1"/>
  <c r="O128" i="22" s="1"/>
  <c r="Q84" i="22"/>
  <c r="Q127" i="22" s="1"/>
  <c r="Q133" i="22" s="1"/>
  <c r="Q138" i="22" s="1"/>
  <c r="Q134" i="22" s="1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6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P127" i="22"/>
  <c r="P133" i="22" s="1"/>
  <c r="P138" i="22" s="1"/>
  <c r="P134" i="22" s="1"/>
  <c r="S104" i="22"/>
  <c r="G84" i="22"/>
  <c r="I29" i="22"/>
  <c r="M29" i="22"/>
  <c r="Q29" i="22"/>
  <c r="Q53" i="22" s="1"/>
  <c r="Q54" i="22" s="1"/>
  <c r="J29" i="22"/>
  <c r="N29" i="22"/>
  <c r="R29" i="22"/>
  <c r="S40" i="22"/>
  <c r="T40" i="22" s="1"/>
  <c r="S19" i="22"/>
  <c r="T19" i="22" s="1"/>
  <c r="S30" i="22"/>
  <c r="T30" i="22" s="1"/>
  <c r="L127" i="22" l="1"/>
  <c r="O10" i="11"/>
  <c r="O53" i="22"/>
  <c r="O59" i="22" s="1"/>
  <c r="O64" i="22" s="1"/>
  <c r="O60" i="22" s="1"/>
  <c r="L53" i="22"/>
  <c r="N29" i="11"/>
  <c r="L133" i="22"/>
  <c r="O53" i="11"/>
  <c r="K127" i="22"/>
  <c r="K53" i="22"/>
  <c r="Q29" i="11"/>
  <c r="K54" i="22"/>
  <c r="J127" i="22"/>
  <c r="J128" i="22" s="1"/>
  <c r="I53" i="22"/>
  <c r="T129" i="22"/>
  <c r="H55" i="11"/>
  <c r="T114" i="22"/>
  <c r="H40" i="11"/>
  <c r="T104" i="22"/>
  <c r="H30" i="11"/>
  <c r="T93" i="22"/>
  <c r="H19" i="11"/>
  <c r="I127" i="22"/>
  <c r="I128" i="22" s="1"/>
  <c r="P10" i="11"/>
  <c r="T85" i="22"/>
  <c r="H11" i="11"/>
  <c r="H127" i="22"/>
  <c r="H133" i="22" s="1"/>
  <c r="Q10" i="11"/>
  <c r="H53" i="22"/>
  <c r="S10" i="22"/>
  <c r="T10" i="22" s="1"/>
  <c r="M53" i="22"/>
  <c r="M59" i="22" s="1"/>
  <c r="M64" i="22" s="1"/>
  <c r="M60" i="22" s="1"/>
  <c r="R127" i="22"/>
  <c r="R133" i="22" s="1"/>
  <c r="R138" i="22" s="1"/>
  <c r="R134" i="22" s="1"/>
  <c r="N127" i="22"/>
  <c r="N53" i="22"/>
  <c r="N59" i="22" s="1"/>
  <c r="N64" i="22" s="1"/>
  <c r="N60" i="22" s="1"/>
  <c r="S103" i="22"/>
  <c r="L59" i="22"/>
  <c r="R53" i="22"/>
  <c r="R54" i="22" s="1"/>
  <c r="I59" i="22"/>
  <c r="Q59" i="22"/>
  <c r="Q64" i="22" s="1"/>
  <c r="Q60" i="22" s="1"/>
  <c r="L128" i="22"/>
  <c r="O54" i="11" s="1"/>
  <c r="P128" i="22"/>
  <c r="O133" i="22"/>
  <c r="O138" i="22" s="1"/>
  <c r="O134" i="22" s="1"/>
  <c r="S84" i="22"/>
  <c r="M128" i="22"/>
  <c r="Q128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G128" i="22" s="1"/>
  <c r="P59" i="22"/>
  <c r="P64" i="22" s="1"/>
  <c r="P60" i="22" s="1"/>
  <c r="O54" i="22"/>
  <c r="J53" i="22"/>
  <c r="M54" i="22"/>
  <c r="N54" i="22"/>
  <c r="A145" i="19"/>
  <c r="A144" i="19"/>
  <c r="A151" i="19"/>
  <c r="A157" i="19"/>
  <c r="A152" i="19"/>
  <c r="A153" i="19"/>
  <c r="L64" i="22" l="1"/>
  <c r="N59" i="11"/>
  <c r="L54" i="22"/>
  <c r="N54" i="11" s="1"/>
  <c r="N53" i="11"/>
  <c r="L138" i="22"/>
  <c r="O59" i="11"/>
  <c r="K128" i="22"/>
  <c r="K133" i="22"/>
  <c r="K59" i="22"/>
  <c r="K64" i="22" s="1"/>
  <c r="J133" i="22"/>
  <c r="J138" i="22"/>
  <c r="I64" i="22"/>
  <c r="I54" i="22"/>
  <c r="T103" i="22"/>
  <c r="H29" i="11"/>
  <c r="T84" i="22"/>
  <c r="H10" i="11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G12" i="1" s="1"/>
  <c r="H12" i="1" s="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L60" i="22" l="1"/>
  <c r="N60" i="11" s="1"/>
  <c r="N64" i="11"/>
  <c r="L134" i="22"/>
  <c r="O60" i="11" s="1"/>
  <c r="O64" i="11"/>
  <c r="K138" i="22"/>
  <c r="K134" i="22"/>
  <c r="K60" i="22"/>
  <c r="J134" i="22"/>
  <c r="J64" i="22"/>
  <c r="I60" i="22"/>
  <c r="S54" i="22"/>
  <c r="T54" i="22" s="1"/>
  <c r="T127" i="22"/>
  <c r="H53" i="11"/>
  <c r="I138" i="22"/>
  <c r="Q59" i="11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54" i="11"/>
  <c r="G138" i="22"/>
  <c r="S133" i="22"/>
  <c r="Q54" i="11"/>
  <c r="S128" i="22"/>
  <c r="J60" i="22" l="1"/>
  <c r="Q64" i="11"/>
  <c r="T128" i="22"/>
  <c r="H54" i="11"/>
  <c r="I54" i="11" s="1"/>
  <c r="T133" i="22"/>
  <c r="H59" i="11"/>
  <c r="I134" i="22"/>
  <c r="H60" i="22"/>
  <c r="I53" i="11"/>
  <c r="G20" i="1"/>
  <c r="H20" i="1" s="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S60" i="22" l="1"/>
  <c r="T60" i="22" s="1"/>
  <c r="J54" i="11"/>
  <c r="T138" i="22"/>
  <c r="H64" i="11"/>
  <c r="G64" i="11"/>
  <c r="G60" i="11"/>
  <c r="J59" i="11"/>
  <c r="I59" i="11"/>
  <c r="S134" i="22"/>
  <c r="Q60" i="11"/>
  <c r="GB35" i="6"/>
  <c r="GB28" i="6"/>
  <c r="GB23" i="6"/>
  <c r="GB18" i="6"/>
  <c r="GB10" i="6"/>
  <c r="T134" i="22" l="1"/>
  <c r="H60" i="11"/>
  <c r="J60" i="11" s="1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H30" i="20" s="1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I30" i="20" l="1"/>
  <c r="P40" i="20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R48" i="11" s="1"/>
  <c r="T48" i="11" s="1"/>
  <c r="M48" i="19"/>
  <c r="N48" i="19"/>
  <c r="O48" i="19"/>
  <c r="P48" i="19"/>
  <c r="Q48" i="19"/>
  <c r="R48" i="19"/>
  <c r="H48" i="19"/>
  <c r="G48" i="19"/>
  <c r="K48" i="11" s="1"/>
  <c r="M48" i="11" l="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N57" i="21" l="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R63" i="11" s="1"/>
  <c r="K63" i="19"/>
  <c r="J63" i="19"/>
  <c r="I63" i="19"/>
  <c r="H63" i="19"/>
  <c r="G63" i="19"/>
  <c r="R62" i="19"/>
  <c r="Q62" i="19"/>
  <c r="P62" i="19"/>
  <c r="O62" i="19"/>
  <c r="N62" i="19"/>
  <c r="M62" i="19"/>
  <c r="L62" i="19"/>
  <c r="R62" i="11" s="1"/>
  <c r="K62" i="19"/>
  <c r="J62" i="19"/>
  <c r="I62" i="19"/>
  <c r="H62" i="19"/>
  <c r="G62" i="19"/>
  <c r="R61" i="19"/>
  <c r="Q61" i="19"/>
  <c r="P61" i="19"/>
  <c r="O61" i="19"/>
  <c r="N61" i="19"/>
  <c r="M61" i="19"/>
  <c r="L61" i="19"/>
  <c r="R61" i="11" s="1"/>
  <c r="K61" i="19"/>
  <c r="J61" i="19"/>
  <c r="I61" i="19"/>
  <c r="H61" i="19"/>
  <c r="G61" i="19"/>
  <c r="R58" i="19"/>
  <c r="Q58" i="19"/>
  <c r="P58" i="19"/>
  <c r="O58" i="19"/>
  <c r="N58" i="19"/>
  <c r="M58" i="19"/>
  <c r="L58" i="19"/>
  <c r="R58" i="11" s="1"/>
  <c r="K58" i="19"/>
  <c r="J58" i="19"/>
  <c r="I58" i="19"/>
  <c r="H58" i="19"/>
  <c r="G58" i="19"/>
  <c r="R57" i="19"/>
  <c r="Q57" i="19"/>
  <c r="P57" i="19"/>
  <c r="O57" i="19"/>
  <c r="N57" i="19"/>
  <c r="M57" i="19"/>
  <c r="L57" i="19"/>
  <c r="R57" i="11" s="1"/>
  <c r="K57" i="19"/>
  <c r="J57" i="19"/>
  <c r="I57" i="19"/>
  <c r="H57" i="19"/>
  <c r="G57" i="19"/>
  <c r="R56" i="19"/>
  <c r="Q56" i="19"/>
  <c r="P56" i="19"/>
  <c r="O56" i="19"/>
  <c r="N56" i="19"/>
  <c r="M56" i="19"/>
  <c r="L56" i="19"/>
  <c r="R56" i="11" s="1"/>
  <c r="K56" i="19"/>
  <c r="J56" i="19"/>
  <c r="I56" i="19"/>
  <c r="H56" i="19"/>
  <c r="G56" i="19"/>
  <c r="R52" i="19"/>
  <c r="Q52" i="19"/>
  <c r="P52" i="19"/>
  <c r="O52" i="19"/>
  <c r="N52" i="19"/>
  <c r="M52" i="19"/>
  <c r="L52" i="19"/>
  <c r="R52" i="11" s="1"/>
  <c r="K52" i="19"/>
  <c r="J52" i="19"/>
  <c r="I52" i="19"/>
  <c r="H52" i="19"/>
  <c r="G52" i="19"/>
  <c r="R51" i="19"/>
  <c r="Q51" i="19"/>
  <c r="P51" i="19"/>
  <c r="O51" i="19"/>
  <c r="N51" i="19"/>
  <c r="M51" i="19"/>
  <c r="L51" i="19"/>
  <c r="R51" i="11" s="1"/>
  <c r="K51" i="19"/>
  <c r="J51" i="19"/>
  <c r="I51" i="19"/>
  <c r="H51" i="19"/>
  <c r="G51" i="19"/>
  <c r="R50" i="19"/>
  <c r="Q50" i="19"/>
  <c r="P50" i="19"/>
  <c r="O50" i="19"/>
  <c r="N50" i="19"/>
  <c r="M50" i="19"/>
  <c r="L50" i="19"/>
  <c r="R50" i="11" s="1"/>
  <c r="K50" i="19"/>
  <c r="J50" i="19"/>
  <c r="I50" i="19"/>
  <c r="H50" i="19"/>
  <c r="G50" i="19"/>
  <c r="R49" i="19"/>
  <c r="Q49" i="19"/>
  <c r="P49" i="19"/>
  <c r="O49" i="19"/>
  <c r="N49" i="19"/>
  <c r="M49" i="19"/>
  <c r="L49" i="19"/>
  <c r="R49" i="11" s="1"/>
  <c r="K49" i="19"/>
  <c r="J49" i="19"/>
  <c r="I49" i="19"/>
  <c r="H49" i="19"/>
  <c r="G49" i="19"/>
  <c r="R47" i="19"/>
  <c r="Q47" i="19"/>
  <c r="P47" i="19"/>
  <c r="O47" i="19"/>
  <c r="N47" i="19"/>
  <c r="M47" i="19"/>
  <c r="L47" i="19"/>
  <c r="R47" i="11" s="1"/>
  <c r="K47" i="19"/>
  <c r="J47" i="19"/>
  <c r="I47" i="19"/>
  <c r="H47" i="19"/>
  <c r="G47" i="19"/>
  <c r="R46" i="19"/>
  <c r="Q46" i="19"/>
  <c r="P46" i="19"/>
  <c r="O46" i="19"/>
  <c r="N46" i="19"/>
  <c r="M46" i="19"/>
  <c r="L46" i="19"/>
  <c r="R46" i="11" s="1"/>
  <c r="K46" i="19"/>
  <c r="J46" i="19"/>
  <c r="I46" i="19"/>
  <c r="H46" i="19"/>
  <c r="G46" i="19"/>
  <c r="R45" i="19"/>
  <c r="Q45" i="19"/>
  <c r="P45" i="19"/>
  <c r="O45" i="19"/>
  <c r="N45" i="19"/>
  <c r="M45" i="19"/>
  <c r="L45" i="19"/>
  <c r="R45" i="11" s="1"/>
  <c r="K45" i="19"/>
  <c r="J45" i="19"/>
  <c r="I45" i="19"/>
  <c r="H45" i="19"/>
  <c r="G45" i="19"/>
  <c r="R44" i="19"/>
  <c r="Q44" i="19"/>
  <c r="P44" i="19"/>
  <c r="O44" i="19"/>
  <c r="N44" i="19"/>
  <c r="M44" i="19"/>
  <c r="L44" i="19"/>
  <c r="R44" i="11" s="1"/>
  <c r="K44" i="19"/>
  <c r="J44" i="19"/>
  <c r="I44" i="19"/>
  <c r="H44" i="19"/>
  <c r="G44" i="19"/>
  <c r="R43" i="19"/>
  <c r="Q43" i="19"/>
  <c r="P43" i="19"/>
  <c r="O43" i="19"/>
  <c r="N43" i="19"/>
  <c r="M43" i="19"/>
  <c r="L43" i="19"/>
  <c r="R43" i="11" s="1"/>
  <c r="K43" i="19"/>
  <c r="J43" i="19"/>
  <c r="I43" i="19"/>
  <c r="H43" i="19"/>
  <c r="G43" i="19"/>
  <c r="R42" i="19"/>
  <c r="Q42" i="19"/>
  <c r="P42" i="19"/>
  <c r="O42" i="19"/>
  <c r="N42" i="19"/>
  <c r="M42" i="19"/>
  <c r="L42" i="19"/>
  <c r="R42" i="11" s="1"/>
  <c r="K42" i="19"/>
  <c r="J42" i="19"/>
  <c r="I42" i="19"/>
  <c r="H42" i="19"/>
  <c r="G42" i="19"/>
  <c r="R41" i="19"/>
  <c r="Q41" i="19"/>
  <c r="P41" i="19"/>
  <c r="O41" i="19"/>
  <c r="N41" i="19"/>
  <c r="M41" i="19"/>
  <c r="L41" i="19"/>
  <c r="R41" i="11" s="1"/>
  <c r="K41" i="19"/>
  <c r="J41" i="19"/>
  <c r="I41" i="19"/>
  <c r="H41" i="19"/>
  <c r="G41" i="19"/>
  <c r="R39" i="19"/>
  <c r="Q39" i="19"/>
  <c r="P39" i="19"/>
  <c r="O39" i="19"/>
  <c r="N39" i="19"/>
  <c r="M39" i="19"/>
  <c r="L39" i="19"/>
  <c r="R39" i="11" s="1"/>
  <c r="K39" i="19"/>
  <c r="J39" i="19"/>
  <c r="I39" i="19"/>
  <c r="H39" i="19"/>
  <c r="G39" i="19"/>
  <c r="R38" i="19"/>
  <c r="Q38" i="19"/>
  <c r="P38" i="19"/>
  <c r="O38" i="19"/>
  <c r="N38" i="19"/>
  <c r="M38" i="19"/>
  <c r="L38" i="19"/>
  <c r="R38" i="11" s="1"/>
  <c r="K38" i="19"/>
  <c r="J38" i="19"/>
  <c r="I38" i="19"/>
  <c r="H38" i="19"/>
  <c r="G38" i="19"/>
  <c r="R37" i="19"/>
  <c r="Q37" i="19"/>
  <c r="P37" i="19"/>
  <c r="O37" i="19"/>
  <c r="N37" i="19"/>
  <c r="M37" i="19"/>
  <c r="L37" i="19"/>
  <c r="R37" i="11" s="1"/>
  <c r="K37" i="19"/>
  <c r="J37" i="19"/>
  <c r="I37" i="19"/>
  <c r="H37" i="19"/>
  <c r="G37" i="19"/>
  <c r="R36" i="19"/>
  <c r="Q36" i="19"/>
  <c r="P36" i="19"/>
  <c r="O36" i="19"/>
  <c r="N36" i="19"/>
  <c r="M36" i="19"/>
  <c r="L36" i="19"/>
  <c r="R36" i="11" s="1"/>
  <c r="K36" i="19"/>
  <c r="J36" i="19"/>
  <c r="I36" i="19"/>
  <c r="H36" i="19"/>
  <c r="G36" i="19"/>
  <c r="R35" i="19"/>
  <c r="Q35" i="19"/>
  <c r="P35" i="19"/>
  <c r="O35" i="19"/>
  <c r="N35" i="19"/>
  <c r="M35" i="19"/>
  <c r="L35" i="19"/>
  <c r="R35" i="11" s="1"/>
  <c r="K35" i="19"/>
  <c r="J35" i="19"/>
  <c r="I35" i="19"/>
  <c r="H35" i="19"/>
  <c r="G35" i="19"/>
  <c r="R34" i="19"/>
  <c r="Q34" i="19"/>
  <c r="P34" i="19"/>
  <c r="O34" i="19"/>
  <c r="N34" i="19"/>
  <c r="M34" i="19"/>
  <c r="L34" i="19"/>
  <c r="R34" i="11" s="1"/>
  <c r="K34" i="19"/>
  <c r="J34" i="19"/>
  <c r="I34" i="19"/>
  <c r="H34" i="19"/>
  <c r="G34" i="19"/>
  <c r="R33" i="19"/>
  <c r="Q33" i="19"/>
  <c r="P33" i="19"/>
  <c r="O33" i="19"/>
  <c r="N33" i="19"/>
  <c r="M33" i="19"/>
  <c r="L33" i="19"/>
  <c r="R33" i="11" s="1"/>
  <c r="K33" i="19"/>
  <c r="J33" i="19"/>
  <c r="I33" i="19"/>
  <c r="H33" i="19"/>
  <c r="G33" i="19"/>
  <c r="R32" i="19"/>
  <c r="Q32" i="19"/>
  <c r="P32" i="19"/>
  <c r="O32" i="19"/>
  <c r="N32" i="19"/>
  <c r="M32" i="19"/>
  <c r="L32" i="19"/>
  <c r="R32" i="11" s="1"/>
  <c r="K32" i="19"/>
  <c r="J32" i="19"/>
  <c r="I32" i="19"/>
  <c r="H32" i="19"/>
  <c r="G32" i="19"/>
  <c r="R31" i="19"/>
  <c r="Q31" i="19"/>
  <c r="P31" i="19"/>
  <c r="O31" i="19"/>
  <c r="N31" i="19"/>
  <c r="M31" i="19"/>
  <c r="L31" i="19"/>
  <c r="R31" i="11" s="1"/>
  <c r="K31" i="19"/>
  <c r="J31" i="19"/>
  <c r="I31" i="19"/>
  <c r="H31" i="19"/>
  <c r="G31" i="19"/>
  <c r="R28" i="19"/>
  <c r="Q28" i="19"/>
  <c r="P28" i="19"/>
  <c r="O28" i="19"/>
  <c r="N28" i="19"/>
  <c r="M28" i="19"/>
  <c r="L28" i="19"/>
  <c r="R28" i="11" s="1"/>
  <c r="K28" i="19"/>
  <c r="J28" i="19"/>
  <c r="I28" i="19"/>
  <c r="H28" i="19"/>
  <c r="G28" i="19"/>
  <c r="R27" i="19"/>
  <c r="Q27" i="19"/>
  <c r="P27" i="19"/>
  <c r="O27" i="19"/>
  <c r="N27" i="19"/>
  <c r="M27" i="19"/>
  <c r="L27" i="19"/>
  <c r="R27" i="11" s="1"/>
  <c r="K27" i="19"/>
  <c r="J27" i="19"/>
  <c r="I27" i="19"/>
  <c r="H27" i="19"/>
  <c r="G27" i="19"/>
  <c r="R26" i="19"/>
  <c r="Q26" i="19"/>
  <c r="P26" i="19"/>
  <c r="O26" i="19"/>
  <c r="N26" i="19"/>
  <c r="M26" i="19"/>
  <c r="L26" i="19"/>
  <c r="R26" i="11" s="1"/>
  <c r="K26" i="19"/>
  <c r="J26" i="19"/>
  <c r="I26" i="19"/>
  <c r="H26" i="19"/>
  <c r="G26" i="19"/>
  <c r="R25" i="19"/>
  <c r="Q25" i="19"/>
  <c r="P25" i="19"/>
  <c r="O25" i="19"/>
  <c r="N25" i="19"/>
  <c r="M25" i="19"/>
  <c r="L25" i="19"/>
  <c r="R25" i="11" s="1"/>
  <c r="K25" i="19"/>
  <c r="J25" i="19"/>
  <c r="I25" i="19"/>
  <c r="H25" i="19"/>
  <c r="G25" i="19"/>
  <c r="R24" i="19"/>
  <c r="Q24" i="19"/>
  <c r="P24" i="19"/>
  <c r="O24" i="19"/>
  <c r="N24" i="19"/>
  <c r="M24" i="19"/>
  <c r="L24" i="19"/>
  <c r="R24" i="11" s="1"/>
  <c r="K24" i="19"/>
  <c r="J24" i="19"/>
  <c r="I24" i="19"/>
  <c r="H24" i="19"/>
  <c r="G24" i="19"/>
  <c r="R23" i="19"/>
  <c r="Q23" i="19"/>
  <c r="P23" i="19"/>
  <c r="O23" i="19"/>
  <c r="N23" i="19"/>
  <c r="M23" i="19"/>
  <c r="L23" i="19"/>
  <c r="R23" i="11" s="1"/>
  <c r="K23" i="19"/>
  <c r="J23" i="19"/>
  <c r="I23" i="19"/>
  <c r="H23" i="19"/>
  <c r="G23" i="19"/>
  <c r="R22" i="19"/>
  <c r="Q22" i="19"/>
  <c r="P22" i="19"/>
  <c r="O22" i="19"/>
  <c r="N22" i="19"/>
  <c r="M22" i="19"/>
  <c r="L22" i="19"/>
  <c r="R22" i="11" s="1"/>
  <c r="K22" i="19"/>
  <c r="J22" i="19"/>
  <c r="I22" i="19"/>
  <c r="H22" i="19"/>
  <c r="G22" i="19"/>
  <c r="R21" i="19"/>
  <c r="Q21" i="19"/>
  <c r="P21" i="19"/>
  <c r="O21" i="19"/>
  <c r="N21" i="19"/>
  <c r="M21" i="19"/>
  <c r="L21" i="19"/>
  <c r="R21" i="11" s="1"/>
  <c r="K21" i="19"/>
  <c r="J21" i="19"/>
  <c r="I21" i="19"/>
  <c r="H21" i="19"/>
  <c r="G21" i="19"/>
  <c r="R20" i="19"/>
  <c r="Q20" i="19"/>
  <c r="P20" i="19"/>
  <c r="O20" i="19"/>
  <c r="N20" i="19"/>
  <c r="M20" i="19"/>
  <c r="L20" i="19"/>
  <c r="R20" i="11" s="1"/>
  <c r="K20" i="19"/>
  <c r="J20" i="19"/>
  <c r="I20" i="19"/>
  <c r="H20" i="19"/>
  <c r="G20" i="19"/>
  <c r="R19" i="19"/>
  <c r="Q19" i="19"/>
  <c r="P19" i="19"/>
  <c r="O19" i="19"/>
  <c r="N19" i="19"/>
  <c r="M19" i="19"/>
  <c r="L19" i="19"/>
  <c r="R19" i="11" s="1"/>
  <c r="K19" i="19"/>
  <c r="J19" i="19"/>
  <c r="I19" i="19"/>
  <c r="H19" i="19"/>
  <c r="G19" i="19"/>
  <c r="R18" i="19"/>
  <c r="Q18" i="19"/>
  <c r="P18" i="19"/>
  <c r="O18" i="19"/>
  <c r="N18" i="19"/>
  <c r="M18" i="19"/>
  <c r="L18" i="19"/>
  <c r="R18" i="11" s="1"/>
  <c r="K18" i="19"/>
  <c r="J18" i="19"/>
  <c r="I18" i="19"/>
  <c r="H18" i="19"/>
  <c r="G18" i="19"/>
  <c r="R17" i="19"/>
  <c r="Q17" i="19"/>
  <c r="P17" i="19"/>
  <c r="O17" i="19"/>
  <c r="N17" i="19"/>
  <c r="M17" i="19"/>
  <c r="L17" i="19"/>
  <c r="R17" i="11" s="1"/>
  <c r="K17" i="19"/>
  <c r="J17" i="19"/>
  <c r="I17" i="19"/>
  <c r="H17" i="19"/>
  <c r="G17" i="19"/>
  <c r="R16" i="19"/>
  <c r="Q16" i="19"/>
  <c r="P16" i="19"/>
  <c r="O16" i="19"/>
  <c r="N16" i="19"/>
  <c r="M16" i="19"/>
  <c r="L16" i="19"/>
  <c r="R16" i="11" s="1"/>
  <c r="K16" i="19"/>
  <c r="J16" i="19"/>
  <c r="I16" i="19"/>
  <c r="H16" i="19"/>
  <c r="G16" i="19"/>
  <c r="R15" i="19"/>
  <c r="Q15" i="19"/>
  <c r="P15" i="19"/>
  <c r="O15" i="19"/>
  <c r="N15" i="19"/>
  <c r="M15" i="19"/>
  <c r="L15" i="19"/>
  <c r="R15" i="11" s="1"/>
  <c r="K15" i="19"/>
  <c r="J15" i="19"/>
  <c r="I15" i="19"/>
  <c r="H15" i="19"/>
  <c r="G15" i="19"/>
  <c r="R14" i="19"/>
  <c r="Q14" i="19"/>
  <c r="P14" i="19"/>
  <c r="O14" i="19"/>
  <c r="N14" i="19"/>
  <c r="M14" i="19"/>
  <c r="L14" i="19"/>
  <c r="R14" i="11" s="1"/>
  <c r="K14" i="19"/>
  <c r="J14" i="19"/>
  <c r="I14" i="19"/>
  <c r="H14" i="19"/>
  <c r="G14" i="19"/>
  <c r="R13" i="19"/>
  <c r="Q13" i="19"/>
  <c r="P13" i="19"/>
  <c r="O13" i="19"/>
  <c r="N13" i="19"/>
  <c r="M13" i="19"/>
  <c r="L13" i="19"/>
  <c r="R13" i="11" s="1"/>
  <c r="K13" i="19"/>
  <c r="J13" i="19"/>
  <c r="I13" i="19"/>
  <c r="H13" i="19"/>
  <c r="G13" i="19"/>
  <c r="R12" i="19"/>
  <c r="Q12" i="19"/>
  <c r="P12" i="19"/>
  <c r="O12" i="19"/>
  <c r="N12" i="19"/>
  <c r="M12" i="19"/>
  <c r="L12" i="19"/>
  <c r="R12" i="11" s="1"/>
  <c r="K12" i="19"/>
  <c r="J12" i="19"/>
  <c r="I12" i="19"/>
  <c r="H12" i="19"/>
  <c r="G12" i="19"/>
  <c r="K12" i="11" l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9" i="11"/>
  <c r="K50" i="11"/>
  <c r="K51" i="11"/>
  <c r="K52" i="11"/>
  <c r="K56" i="11"/>
  <c r="K57" i="11"/>
  <c r="K58" i="11"/>
  <c r="K61" i="11"/>
  <c r="K62" i="11"/>
  <c r="K63" i="1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R11" i="11" s="1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R30" i="11" s="1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R40" i="11" s="1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R55" i="11" s="1"/>
  <c r="P55" i="19"/>
  <c r="K30" i="19"/>
  <c r="O30" i="19"/>
  <c r="K11" i="19"/>
  <c r="O11" i="19"/>
  <c r="J40" i="19"/>
  <c r="N40" i="19"/>
  <c r="R40" i="19"/>
  <c r="G30" i="19"/>
  <c r="G11" i="19"/>
  <c r="K11" i="11" s="1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30" i="11" l="1"/>
  <c r="K55" i="11"/>
  <c r="K40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R10" i="11" s="1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K10" i="11" s="1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R29" i="11" s="1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K29" i="11" l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R53" i="11" s="1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K53" i="11" l="1"/>
  <c r="G54" i="19"/>
  <c r="T53" i="11"/>
  <c r="M10" i="11"/>
  <c r="L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R59" i="11" s="1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R54" i="11" s="1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9" i="11" l="1"/>
  <c r="K54" i="11"/>
  <c r="L53" i="1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R64" i="11" s="1"/>
  <c r="K153" i="19"/>
  <c r="K64" i="19"/>
  <c r="J64" i="19"/>
  <c r="I64" i="19"/>
  <c r="H64" i="19"/>
  <c r="H153" i="19"/>
  <c r="S147" i="19"/>
  <c r="T147" i="19" s="1"/>
  <c r="G157" i="19"/>
  <c r="G64" i="19"/>
  <c r="K64" i="11" s="1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R60" i="11" s="1"/>
  <c r="K60" i="19"/>
  <c r="J60" i="19"/>
  <c r="I60" i="19"/>
  <c r="H60" i="19"/>
  <c r="G153" i="19"/>
  <c r="G60" i="19"/>
  <c r="S64" i="19"/>
  <c r="T64" i="19" s="1"/>
  <c r="I153" i="19"/>
  <c r="S157" i="19"/>
  <c r="T157" i="19" s="1"/>
  <c r="K60" i="11" l="1"/>
  <c r="T60" i="1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<sst xmlns="http://schemas.openxmlformats.org/spreadsheetml/2006/main" count="1728" uniqueCount="828">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</sst>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0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180975</xdr:rowOff>
    </xdr:from>
    <xdr:to>
      <xdr:col>16</xdr:col>
      <xdr:colOff>238125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5"/>
          <a:ext cx="3152774" cy="29622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jun 2021. godine iznosili su 787,6 mil. € ili 17,0%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za 14,2 mil. € ili 1,8% u odnosu na planirane. U odnosu na isti period prethodne godine prihodi su veći za 39,8 mil. € ili 5,3%. </a:t>
          </a:r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jun 2021. godine iznosili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948,2 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20,5% BDP-a i manji su za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14,0 mil. € ili 1,5% u odnosu na isti period prethodne godine. U odnosu na planirane, izdaci su manji za 86,1 mil. € ili 8,3%. U periodu januar - jun 2021. godine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160,6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3,5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BDP-a, što je za 100,3 mil. € ili 38,4% manje od planiranog.</a:t>
          </a:r>
        </a:p>
        <a:p>
          <a:pPr eaLnBrk="1" fontAlgn="auto" latinLnBrk="0" hangingPunct="1"/>
          <a:r>
            <a:rPr lang="en-GB" b="1">
              <a:effectLst/>
            </a:rPr>
            <a:t>Istovremeno, u junu je ostvaren suficit budžeta u iznosu od 3,0 mil. €. To je prvi zabilježen pozitivan budžetski rezultat još od septembra 2019. godine.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0</xdr:rowOff>
    </xdr:from>
    <xdr:to>
      <xdr:col>22</xdr:col>
      <xdr:colOff>323849</xdr:colOff>
      <xdr:row>22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077450" y="1343025"/>
          <a:ext cx="3657599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Ostale napomene: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Rješenjem o privremenom finansiranju budžeta za januar, februar, mart, april, maj i jun 2021. godine.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2021-06</v>
      </c>
      <c r="O6" s="143" t="str">
        <f>+CONCATENATE(N6,"p")</f>
        <v>2021-06p</v>
      </c>
      <c r="P6" s="130"/>
      <c r="Q6" s="130"/>
      <c r="R6" s="143" t="str">
        <f>+IF(Master!B3-10&gt;=0,CONCATENATE(Master!B4-1,"-",Master!B3),CONCATENATE(Master!B4-1,"-0",Master!B3))</f>
        <v>2020-06</v>
      </c>
      <c r="S6" s="130"/>
      <c r="T6" s="130"/>
    </row>
    <row r="7" spans="1:20">
      <c r="A7" s="144"/>
      <c r="B7" s="489" t="s">
        <v>692</v>
      </c>
      <c r="C7" s="490"/>
      <c r="D7" s="490"/>
      <c r="E7" s="490"/>
      <c r="F7" s="490"/>
      <c r="G7" s="498" t="s">
        <v>691</v>
      </c>
      <c r="H7" s="499"/>
      <c r="I7" s="499"/>
      <c r="J7" s="499"/>
      <c r="K7" s="499"/>
      <c r="L7" s="499"/>
      <c r="M7" s="500"/>
      <c r="N7" s="501" t="str">
        <f>+Master!G242</f>
        <v>Decembar</v>
      </c>
      <c r="O7" s="499"/>
      <c r="P7" s="499"/>
      <c r="Q7" s="499"/>
      <c r="R7" s="499"/>
      <c r="S7" s="499"/>
      <c r="T7" s="502"/>
    </row>
    <row r="8" spans="1:20">
      <c r="A8" s="144"/>
      <c r="B8" s="491"/>
      <c r="C8" s="492"/>
      <c r="D8" s="492"/>
      <c r="E8" s="492"/>
      <c r="F8" s="493"/>
      <c r="G8" s="145" t="str">
        <f>+Master!G25</f>
        <v>Ostvarenje</v>
      </c>
      <c r="H8" s="145" t="str">
        <f>+Master!G24</f>
        <v>Plan</v>
      </c>
      <c r="I8" s="485" t="str">
        <f>+Master!G260</f>
        <v>Odstupanje</v>
      </c>
      <c r="J8" s="485"/>
      <c r="K8" s="145" t="str">
        <f>+CONCATENATE(Master!G245," ",Master!B4-1)</f>
        <v>Jan - Jun 2020</v>
      </c>
      <c r="L8" s="485" t="str">
        <f>+I8</f>
        <v>Odstupanje</v>
      </c>
      <c r="M8" s="497"/>
      <c r="N8" s="146" t="str">
        <f>+G8</f>
        <v>Ostvarenje</v>
      </c>
      <c r="O8" s="145" t="str">
        <f>+H8</f>
        <v>Plan</v>
      </c>
      <c r="P8" s="485" t="str">
        <f>+I8</f>
        <v>Odstupanje</v>
      </c>
      <c r="Q8" s="485"/>
      <c r="R8" s="145" t="str">
        <f>+CONCATENATE(Master!G244," ",Master!B4-1)</f>
        <v>Jun 2020</v>
      </c>
      <c r="S8" s="485" t="str">
        <f>+P8</f>
        <v>Odstupanje</v>
      </c>
      <c r="T8" s="486"/>
    </row>
    <row r="9" spans="1:20" ht="15.7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31" t="str">
        <f>+VLOOKUP($A10,Master!$D$29:$G$225,4,FALSE)</f>
        <v>Prihodi budžeta</v>
      </c>
      <c r="C10" s="532"/>
      <c r="D10" s="532"/>
      <c r="E10" s="532"/>
      <c r="F10" s="532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33" t="str">
        <f>+VLOOKUP($A11,Master!$D$29:$G$225,4,FALSE)</f>
        <v>Porezi</v>
      </c>
      <c r="C11" s="534"/>
      <c r="D11" s="534"/>
      <c r="E11" s="534"/>
      <c r="F11" s="534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19" t="e">
        <f>+VLOOKUP($A18,Master!$D$29:$G$225,4,FALSE)</f>
        <v>#N/A</v>
      </c>
      <c r="C18" s="520"/>
      <c r="D18" s="520"/>
      <c r="E18" s="520"/>
      <c r="F18" s="520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19" t="str">
        <f>+VLOOKUP($A19,Master!$D$29:$G$225,4,FALSE)</f>
        <v>Ostali državni porezi</v>
      </c>
      <c r="C19" s="520"/>
      <c r="D19" s="520"/>
      <c r="E19" s="520"/>
      <c r="F19" s="520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29" t="str">
        <f>+VLOOKUP($A20,Master!$D$29:$G$225,4,FALSE)</f>
        <v>Doprinosi</v>
      </c>
      <c r="C20" s="530"/>
      <c r="D20" s="530"/>
      <c r="E20" s="530"/>
      <c r="F20" s="530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19" t="str">
        <f>+VLOOKUP($A21,Master!$D$29:$G$225,4,FALSE)</f>
        <v>Doprinosi za penzijsko i invalidsko osiguranje</v>
      </c>
      <c r="C21" s="520"/>
      <c r="D21" s="520"/>
      <c r="E21" s="520"/>
      <c r="F21" s="520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19" t="str">
        <f>+VLOOKUP($A22,Master!$D$29:$G$225,4,FALSE)</f>
        <v>Doprinosi za zdravstveno osiguranje</v>
      </c>
      <c r="C22" s="520"/>
      <c r="D22" s="520"/>
      <c r="E22" s="520"/>
      <c r="F22" s="520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19" t="str">
        <f>+VLOOKUP($A23,Master!$D$29:$G$225,4,FALSE)</f>
        <v>Doprinosi za osiguranje od nezaposlenosti</v>
      </c>
      <c r="C23" s="520"/>
      <c r="D23" s="520"/>
      <c r="E23" s="520"/>
      <c r="F23" s="520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19" t="str">
        <f>+VLOOKUP($A24,Master!$D$29:$G$225,4,FALSE)</f>
        <v>Ostali doprinosi</v>
      </c>
      <c r="C24" s="520"/>
      <c r="D24" s="520"/>
      <c r="E24" s="520"/>
      <c r="F24" s="520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21" t="str">
        <f>+VLOOKUP($A25,Master!$D$29:$G$225,4,FALSE)</f>
        <v>Takse</v>
      </c>
      <c r="C25" s="522"/>
      <c r="D25" s="522"/>
      <c r="E25" s="522"/>
      <c r="F25" s="522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21" t="str">
        <f>+VLOOKUP($A26,Master!$D$29:$G$225,4,FALSE)</f>
        <v>Naknade</v>
      </c>
      <c r="C26" s="522"/>
      <c r="D26" s="522"/>
      <c r="E26" s="522"/>
      <c r="F26" s="522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21" t="str">
        <f>+VLOOKUP($A27,Master!$D$29:$G$225,4,FALSE)</f>
        <v>Ostali prihodi</v>
      </c>
      <c r="C27" s="522"/>
      <c r="D27" s="522"/>
      <c r="E27" s="522"/>
      <c r="F27" s="522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21" t="str">
        <f>+VLOOKUP($A28,Master!$D$29:$G$225,4,FALSE)</f>
        <v>Primici od otplate kredita i sredstva prenesena iz prethodne godine</v>
      </c>
      <c r="C28" s="522"/>
      <c r="D28" s="522"/>
      <c r="E28" s="522"/>
      <c r="F28" s="522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23" t="str">
        <f>+VLOOKUP($A29,Master!$D$29:$G$225,4,FALSE)</f>
        <v>Donacije i transferi</v>
      </c>
      <c r="C29" s="524"/>
      <c r="D29" s="524"/>
      <c r="E29" s="524"/>
      <c r="F29" s="524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09" t="str">
        <f>+VLOOKUP($A30,Master!$D$29:$G$225,4,FALSE)</f>
        <v>Izdaci budžeta</v>
      </c>
      <c r="C30" s="510"/>
      <c r="D30" s="510"/>
      <c r="E30" s="510"/>
      <c r="F30" s="510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25" t="str">
        <f>+VLOOKUP($A31,Master!$D$29:$G$225,4,FALSE)</f>
        <v>Tekući izdaci</v>
      </c>
      <c r="C31" s="526"/>
      <c r="D31" s="526"/>
      <c r="E31" s="526"/>
      <c r="F31" s="526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27" t="str">
        <f>+VLOOKUP($A32,Master!$D$29:$G$225,4,FALSE)</f>
        <v>Tekuća budžetska potrošnja</v>
      </c>
      <c r="C32" s="528"/>
      <c r="D32" s="528"/>
      <c r="E32" s="528"/>
      <c r="F32" s="528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19" t="str">
        <f>+VLOOKUP($A33,Master!$D$29:$G$225,4,FALSE)</f>
        <v>Bruto zarade i doprinosi na teret poslodavca</v>
      </c>
      <c r="C33" s="520"/>
      <c r="D33" s="520"/>
      <c r="E33" s="520"/>
      <c r="F33" s="520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19" t="str">
        <f>+VLOOKUP($A34,Master!$D$29:$G$225,4,FALSE)</f>
        <v>Ostala lična primanja</v>
      </c>
      <c r="C34" s="520"/>
      <c r="D34" s="520"/>
      <c r="E34" s="520"/>
      <c r="F34" s="520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19" t="str">
        <f>+VLOOKUP($A35,Master!$D$29:$G$225,4,FALSE)</f>
        <v>Rashodi za materijal</v>
      </c>
      <c r="C35" s="520"/>
      <c r="D35" s="520"/>
      <c r="E35" s="520"/>
      <c r="F35" s="520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19" t="str">
        <f>+VLOOKUP($A36,Master!$D$29:$G$225,4,FALSE)</f>
        <v>Rashodi za usluge</v>
      </c>
      <c r="C36" s="520"/>
      <c r="D36" s="520"/>
      <c r="E36" s="520"/>
      <c r="F36" s="520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19" t="str">
        <f>+VLOOKUP($A37,Master!$D$29:$G$225,4,FALSE)</f>
        <v>Rashodi za tekuće održavanje</v>
      </c>
      <c r="C37" s="520"/>
      <c r="D37" s="520"/>
      <c r="E37" s="520"/>
      <c r="F37" s="520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19" t="str">
        <f>+VLOOKUP($A38,Master!$D$29:$G$225,4,FALSE)</f>
        <v>Kamate</v>
      </c>
      <c r="C38" s="520"/>
      <c r="D38" s="520"/>
      <c r="E38" s="520"/>
      <c r="F38" s="520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19" t="str">
        <f>+VLOOKUP($A39,Master!$D$29:$G$225,4,FALSE)</f>
        <v>Renta</v>
      </c>
      <c r="C39" s="520"/>
      <c r="D39" s="520"/>
      <c r="E39" s="520"/>
      <c r="F39" s="520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19" t="str">
        <f>+VLOOKUP($A40,Master!$D$29:$G$225,4,FALSE)</f>
        <v>Subvencije</v>
      </c>
      <c r="C40" s="520"/>
      <c r="D40" s="520"/>
      <c r="E40" s="520"/>
      <c r="F40" s="520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19" t="str">
        <f>+VLOOKUP($A41,Master!$D$29:$G$225,4,FALSE)</f>
        <v>Ostali izdaci</v>
      </c>
      <c r="C41" s="520"/>
      <c r="D41" s="520"/>
      <c r="E41" s="520"/>
      <c r="F41" s="520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19" t="e">
        <f>+VLOOKUP($A42,Master!$D$29:$G$225,4,FALSE)</f>
        <v>#N/A</v>
      </c>
      <c r="C42" s="520"/>
      <c r="D42" s="520"/>
      <c r="E42" s="520"/>
      <c r="F42" s="520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15" t="str">
        <f>+VLOOKUP($A43,Master!$D$29:$G$225,4,FALSE)</f>
        <v>Transferi za socijalnu zaštitu</v>
      </c>
      <c r="C43" s="516"/>
      <c r="D43" s="516"/>
      <c r="E43" s="516"/>
      <c r="F43" s="516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19" t="str">
        <f>+VLOOKUP($A44,Master!$D$29:$G$225,4,FALSE)</f>
        <v>Prava iz oblasti socijalne zaštite</v>
      </c>
      <c r="C44" s="520"/>
      <c r="D44" s="520"/>
      <c r="E44" s="520"/>
      <c r="F44" s="520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19" t="str">
        <f>+VLOOKUP($A45,Master!$D$29:$G$225,4,FALSE)</f>
        <v>Sredstva za tehnološke viškove</v>
      </c>
      <c r="C45" s="520"/>
      <c r="D45" s="520"/>
      <c r="E45" s="520"/>
      <c r="F45" s="520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19" t="str">
        <f>+VLOOKUP($A46,Master!$D$29:$G$225,4,FALSE)</f>
        <v>Prava iz oblasti penzijskog i invalidskog osiguranja</v>
      </c>
      <c r="C46" s="520"/>
      <c r="D46" s="520"/>
      <c r="E46" s="520"/>
      <c r="F46" s="520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19" t="str">
        <f>+VLOOKUP($A47,Master!$D$29:$G$225,4,FALSE)</f>
        <v>Ostala prava iz oblasti zdravstvene zaštite</v>
      </c>
      <c r="C47" s="520"/>
      <c r="D47" s="520"/>
      <c r="E47" s="520"/>
      <c r="F47" s="520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19" t="str">
        <f>+VLOOKUP($A48,Master!$D$29:$G$225,4,FALSE)</f>
        <v>Ostala prava iz zdravstvenog osiguranja</v>
      </c>
      <c r="C48" s="520"/>
      <c r="D48" s="520"/>
      <c r="E48" s="520"/>
      <c r="F48" s="520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17" t="str">
        <f>+VLOOKUP($A49,Master!$D$29:$G$225,4,FALSE)</f>
        <v xml:space="preserve">Transferi institucijama, pojedincima, nevladinom i javnom sektoru </v>
      </c>
      <c r="C49" s="518"/>
      <c r="D49" s="518"/>
      <c r="E49" s="518"/>
      <c r="F49" s="518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17" t="str">
        <f>+VLOOKUP($A50,Master!$D$29:$G$225,4,FALSE)</f>
        <v>Kapitalni izdaci</v>
      </c>
      <c r="C50" s="518"/>
      <c r="D50" s="518"/>
      <c r="E50" s="518"/>
      <c r="F50" s="518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487" t="str">
        <f>+VLOOKUP($A51,Master!$D$29:$G$225,4,FALSE)</f>
        <v>Pozajmice i krediti</v>
      </c>
      <c r="C51" s="488"/>
      <c r="D51" s="488"/>
      <c r="E51" s="488"/>
      <c r="F51" s="488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487" t="str">
        <f>+VLOOKUP($A52,Master!$D$29:$G$225,4,FALSE)</f>
        <v>Rezerve</v>
      </c>
      <c r="C52" s="488"/>
      <c r="D52" s="488"/>
      <c r="E52" s="488"/>
      <c r="F52" s="488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05" t="str">
        <f>+VLOOKUP($A53,Master!$D$29:$G$225,4,FALSE)</f>
        <v>Otplata garancija</v>
      </c>
      <c r="C53" s="506"/>
      <c r="D53" s="506"/>
      <c r="E53" s="506"/>
      <c r="F53" s="506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05" t="str">
        <f>+VLOOKUP($A54,Master!$D$29:$G$225,4,FALSE)</f>
        <v>Otplata obaveza iz prethodnog perioda</v>
      </c>
      <c r="C54" s="506"/>
      <c r="D54" s="506"/>
      <c r="E54" s="506"/>
      <c r="F54" s="506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05" t="str">
        <f>+VLOOKUP($A55,Master!$D$29:$G$227,4,FALSE)</f>
        <v>Neto povećanje obaveza</v>
      </c>
      <c r="C55" s="506"/>
      <c r="D55" s="506"/>
      <c r="E55" s="506"/>
      <c r="F55" s="506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11" t="str">
        <f>+VLOOKUP($A56,Master!$D$29:$G$225,4,FALSE)</f>
        <v>Suficit / deficit</v>
      </c>
      <c r="C56" s="512"/>
      <c r="D56" s="512"/>
      <c r="E56" s="512"/>
      <c r="F56" s="512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13" t="str">
        <f>+VLOOKUP($A57,Master!$D$29:$G$225,4,FALSE)</f>
        <v>Primarni suficit/deficit</v>
      </c>
      <c r="C57" s="514"/>
      <c r="D57" s="514"/>
      <c r="E57" s="514"/>
      <c r="F57" s="514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15" t="str">
        <f>+VLOOKUP($A58,Master!$D$29:$G$225,4,FALSE)</f>
        <v>Otplata dugova</v>
      </c>
      <c r="C58" s="516"/>
      <c r="D58" s="516"/>
      <c r="E58" s="516"/>
      <c r="F58" s="516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03" t="str">
        <f>+VLOOKUP($A59,Master!$D$29:$G$225,4,FALSE)</f>
        <v>Otplata hartija od vrijednosti i kredita rezidentima</v>
      </c>
      <c r="C59" s="504"/>
      <c r="D59" s="504"/>
      <c r="E59" s="504"/>
      <c r="F59" s="504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487" t="str">
        <f>+VLOOKUP($A60,Master!$D$29:$G$225,4,FALSE)</f>
        <v>Otplata hartija od vrijednosti i kredita nerezidentima</v>
      </c>
      <c r="C60" s="488"/>
      <c r="D60" s="488"/>
      <c r="E60" s="488"/>
      <c r="F60" s="488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07" t="str">
        <f>+VLOOKUP($A62,Master!$D$29:$G$225,4,FALSE)</f>
        <v>Nedostajuća sredstva</v>
      </c>
      <c r="C62" s="508"/>
      <c r="D62" s="508"/>
      <c r="E62" s="508"/>
      <c r="F62" s="508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09" t="str">
        <f>+VLOOKUP($A63,Master!$D$29:$G$225,4,FALSE)</f>
        <v>Finansiranje</v>
      </c>
      <c r="C63" s="510"/>
      <c r="D63" s="510"/>
      <c r="E63" s="510"/>
      <c r="F63" s="510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03" t="str">
        <f>+VLOOKUP($A64,Master!$D$29:$G$225,4,FALSE)</f>
        <v>Pozajmice i krediti od domaćih izvora</v>
      </c>
      <c r="C64" s="504"/>
      <c r="D64" s="504"/>
      <c r="E64" s="504"/>
      <c r="F64" s="504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487" t="str">
        <f>+VLOOKUP($A65,Master!$D$29:$G$225,4,FALSE)</f>
        <v>Pozajmice i krediti od inostranih izvora</v>
      </c>
      <c r="C65" s="488"/>
      <c r="D65" s="488"/>
      <c r="E65" s="488"/>
      <c r="F65" s="488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487" t="str">
        <f>+VLOOKUP($A66,Master!$D$29:$G$225,4,FALSE)</f>
        <v>Primici od prodaje imovine</v>
      </c>
      <c r="C66" s="488"/>
      <c r="D66" s="488"/>
      <c r="E66" s="488"/>
      <c r="F66" s="488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H12" sqref="H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Crna Gora</v>
      </c>
      <c r="I2" s="129"/>
    </row>
    <row r="3" spans="3:11" s="126" customFormat="1">
      <c r="E3" s="129" t="str">
        <f>+Master!G7</f>
        <v>Ministarstvo finansija i socijalnog staranja</v>
      </c>
    </row>
    <row r="4" spans="3:11" s="126" customFormat="1">
      <c r="E4" s="129" t="str">
        <f>+Master!G8</f>
        <v>Direktorat za državni budžet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Jun</v>
      </c>
      <c r="E11" s="135"/>
      <c r="F11" s="135"/>
      <c r="G11" s="137" t="str">
        <f>+Master!G273</f>
        <v>Prihodi za period Januar - Jun</v>
      </c>
      <c r="H11" s="135"/>
      <c r="I11" s="135"/>
      <c r="J11" s="135"/>
      <c r="K11" s="136"/>
    </row>
    <row r="12" spans="3:11">
      <c r="C12" s="134"/>
      <c r="D12" s="138">
        <f>+'Analitka - 2021'!N10</f>
        <v>158947740.94</v>
      </c>
      <c r="E12" s="456">
        <f>+D12/'2021'!T7</f>
        <v>3.4281098421256956E-2</v>
      </c>
      <c r="F12" s="135"/>
      <c r="G12" s="138">
        <f>+'Analitka - 2021'!G10</f>
        <v>787597666.91000009</v>
      </c>
      <c r="H12" s="456">
        <f>+G12/'2021'!T7</f>
        <v>0.16986534678643836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Jun</v>
      </c>
      <c r="E15" s="135"/>
      <c r="F15" s="135"/>
      <c r="G15" s="137" t="str">
        <f>+Master!G274</f>
        <v>Rashodi za period Januar - Jun</v>
      </c>
      <c r="H15" s="135"/>
      <c r="I15" s="135"/>
      <c r="J15" s="135"/>
      <c r="K15" s="136"/>
    </row>
    <row r="16" spans="3:11">
      <c r="C16" s="134"/>
      <c r="D16" s="138">
        <f>+'Analitka - 2021'!N29</f>
        <v>155973616.70000002</v>
      </c>
      <c r="E16" s="456">
        <f>+D16/'2021'!T7</f>
        <v>3.3639653345123588E-2</v>
      </c>
      <c r="F16" s="135"/>
      <c r="G16" s="138">
        <f>+'Analitka - 2021'!G29</f>
        <v>948223060.45000005</v>
      </c>
      <c r="H16" s="456">
        <f>+G16/'2021'!T7</f>
        <v>0.20450827340076783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Jun</v>
      </c>
      <c r="E19" s="135"/>
      <c r="F19" s="135"/>
      <c r="G19" s="137" t="str">
        <f>+Master!G275</f>
        <v>Suficit/Deficit za period Januar - Jun</v>
      </c>
      <c r="H19" s="135"/>
      <c r="I19" s="135"/>
      <c r="J19" s="135"/>
      <c r="K19" s="136"/>
    </row>
    <row r="20" spans="3:12">
      <c r="C20" s="134"/>
      <c r="D20" s="138">
        <f>+'Analitka - 2021'!N53</f>
        <v>2974124.2399999797</v>
      </c>
      <c r="E20" s="456">
        <f>+D20/'2021'!T7</f>
        <v>6.4144507613336918E-4</v>
      </c>
      <c r="F20" s="135"/>
      <c r="G20" s="138">
        <f>+'Analitka - 2021'!G53</f>
        <v>-160625393.54000002</v>
      </c>
      <c r="H20" s="456">
        <f>+G20/'2021'!T7</f>
        <v>-3.4642926614329467E-2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SDCePK1MMvNZLPsjT8QuDVubsRnG9O6GEtTl2RRJ988CZvEi9cMvSQh6CUl0ZKv04Snqn2rSXeFMHIhBZRJvaw==" saltValue="kpwypiMKEu2Y0t4Xo088Z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W69"/>
  <sheetViews>
    <sheetView tabSelected="1" zoomScale="110" zoomScaleNormal="110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Crna Gora</v>
      </c>
      <c r="G2" s="356"/>
      <c r="I2" s="4"/>
    </row>
    <row r="3" spans="1:20" s="1" customFormat="1">
      <c r="B3" s="163"/>
      <c r="E3" s="4" t="str">
        <f>+Master!G7</f>
        <v>Ministarstvo finansija i socijalnog staranja</v>
      </c>
      <c r="G3" s="356"/>
    </row>
    <row r="4" spans="1:20" s="1" customFormat="1">
      <c r="E4" s="4" t="str">
        <f>+Master!G8</f>
        <v>Direktorat za državni budžet</v>
      </c>
      <c r="G4" s="356"/>
      <c r="H4" s="364"/>
      <c r="I4" s="364"/>
      <c r="J4" s="364"/>
    </row>
    <row r="5" spans="1:20" s="1" customFormat="1">
      <c r="G5" s="356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2021-06</v>
      </c>
      <c r="O6" s="143" t="str">
        <f>+CONCATENATE(N6,"p")</f>
        <v>2021-06p</v>
      </c>
      <c r="P6" s="130"/>
      <c r="Q6" s="130"/>
      <c r="R6" s="143" t="str">
        <f>+IF(Master!B3-10&gt;=0,CONCATENATE(Master!B4-1,"-",Master!B3),CONCATENATE(Master!B4-1,"-0",Master!B3))</f>
        <v>2020-06</v>
      </c>
      <c r="S6" s="130"/>
      <c r="T6" s="130"/>
    </row>
    <row r="7" spans="1:20">
      <c r="A7" s="144"/>
      <c r="B7" s="489" t="str">
        <f>+Master!G253</f>
        <v>Analitika za period Jan - Jun</v>
      </c>
      <c r="C7" s="490"/>
      <c r="D7" s="490"/>
      <c r="E7" s="490"/>
      <c r="F7" s="490"/>
      <c r="G7" s="498" t="str">
        <f>+Master!G245</f>
        <v>Jan - Jun</v>
      </c>
      <c r="H7" s="499"/>
      <c r="I7" s="499"/>
      <c r="J7" s="499"/>
      <c r="K7" s="499"/>
      <c r="L7" s="499"/>
      <c r="M7" s="500"/>
      <c r="N7" s="501" t="str">
        <f>+Master!G244</f>
        <v>Jun</v>
      </c>
      <c r="O7" s="499"/>
      <c r="P7" s="499"/>
      <c r="Q7" s="499"/>
      <c r="R7" s="499"/>
      <c r="S7" s="499"/>
      <c r="T7" s="502"/>
    </row>
    <row r="8" spans="1:20">
      <c r="A8" s="144"/>
      <c r="B8" s="491"/>
      <c r="C8" s="492"/>
      <c r="D8" s="492"/>
      <c r="E8" s="492"/>
      <c r="F8" s="493"/>
      <c r="G8" s="358" t="str">
        <f>+Master!G25</f>
        <v>Ostvarenje</v>
      </c>
      <c r="H8" s="145" t="str">
        <f>+Master!G24</f>
        <v>Plan</v>
      </c>
      <c r="I8" s="485" t="str">
        <f>+Master!G260</f>
        <v>Odstupanje</v>
      </c>
      <c r="J8" s="485"/>
      <c r="K8" s="145" t="str">
        <f>+CONCATENATE(Master!G245," ",Master!B4-1)</f>
        <v>Jan - Jun 2020</v>
      </c>
      <c r="L8" s="485" t="str">
        <f>+I8</f>
        <v>Odstupanje</v>
      </c>
      <c r="M8" s="497"/>
      <c r="N8" s="146" t="str">
        <f>+G8</f>
        <v>Ostvarenje</v>
      </c>
      <c r="O8" s="145" t="str">
        <f>+H8</f>
        <v>Plan</v>
      </c>
      <c r="P8" s="485" t="str">
        <f>+I8</f>
        <v>Odstupanje</v>
      </c>
      <c r="Q8" s="485"/>
      <c r="R8" s="145" t="str">
        <f>+CONCATENATE(Master!G244," ",Master!B4-1)</f>
        <v>Jun 2020</v>
      </c>
      <c r="S8" s="485" t="str">
        <f>+P8</f>
        <v>Odstupanje</v>
      </c>
      <c r="T8" s="486"/>
    </row>
    <row r="9" spans="1:20" ht="15.75" thickBot="1">
      <c r="A9" s="144"/>
      <c r="B9" s="494"/>
      <c r="C9" s="495"/>
      <c r="D9" s="495"/>
      <c r="E9" s="495"/>
      <c r="F9" s="496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09" t="str">
        <f>+VLOOKUP($A10,Master!$D$29:$G$225,4,FALSE)</f>
        <v>Prihodi budžeta</v>
      </c>
      <c r="C10" s="510"/>
      <c r="D10" s="510"/>
      <c r="E10" s="510"/>
      <c r="F10" s="510"/>
      <c r="G10" s="151">
        <f>'2021'!S10</f>
        <v>787597666.91000009</v>
      </c>
      <c r="H10" s="151">
        <f>'2021'!S84</f>
        <v>773378245.42187905</v>
      </c>
      <c r="I10" s="152">
        <f>+G10-H10</f>
        <v>14219421.488121033</v>
      </c>
      <c r="J10" s="154">
        <f>IF(+IF(ISERROR(G10/H10),"…",G10/H10-1)&gt;200%,"...",IF(ISERROR(G10/H10),"…",G10/H10-1))</f>
        <v>1.8386115167183581E-2</v>
      </c>
      <c r="K10" s="151">
        <f>SUM('2020'!G10:L10)</f>
        <v>747821341.45000005</v>
      </c>
      <c r="L10" s="152">
        <f>+G10-K10</f>
        <v>39776325.460000038</v>
      </c>
      <c r="M10" s="154">
        <f>IF(+IF(ISERROR(G10/K10),"…",G10/K10-1)&gt;200%,"...",IF(ISERROR(G10/K10),"…",G10/K10-1))</f>
        <v>5.3189609944636063E-2</v>
      </c>
      <c r="N10" s="151">
        <f>'2021'!L10</f>
        <v>158947740.94</v>
      </c>
      <c r="O10" s="151">
        <f>'2021'!L84</f>
        <v>144135301.14752704</v>
      </c>
      <c r="P10" s="152">
        <f>+N10-O10</f>
        <v>14812439.792472959</v>
      </c>
      <c r="Q10" s="154">
        <f>IF(+IF(ISERROR(N10/O10),"…",N10/O10-1)&gt;200%,"...",IF(ISERROR(N10/O10),"…",N10/O10-1))</f>
        <v>0.10276760567705723</v>
      </c>
      <c r="R10" s="151">
        <f>'2020'!L10</f>
        <v>132188779.61</v>
      </c>
      <c r="S10" s="152">
        <f>+N10-R10</f>
        <v>26758961.329999998</v>
      </c>
      <c r="T10" s="154">
        <f>IF(+IF(ISERROR(N10/R10),"…",N10/R10-1)&gt;200%,"...",IF(ISERROR(N10/R10),"…",N10/R10-1))</f>
        <v>0.2024298991862068</v>
      </c>
    </row>
    <row r="11" spans="1:20">
      <c r="A11" s="150">
        <v>711</v>
      </c>
      <c r="B11" s="533" t="str">
        <f>+VLOOKUP($A11,Master!$D$29:$G$225,4,FALSE)</f>
        <v>Porezi</v>
      </c>
      <c r="C11" s="534"/>
      <c r="D11" s="534"/>
      <c r="E11" s="534"/>
      <c r="F11" s="534"/>
      <c r="G11" s="277">
        <f>'2021'!S11</f>
        <v>504352177.59000003</v>
      </c>
      <c r="H11" s="277">
        <f>'2021'!S85</f>
        <v>475532627.96251106</v>
      </c>
      <c r="I11" s="158">
        <f t="shared" ref="I11:I57" si="0">+G11-H11</f>
        <v>28819549.627488971</v>
      </c>
      <c r="J11" s="160">
        <f t="shared" ref="J11:J64" si="1">IF(+IF(ISERROR(G11/H11-1),"…",G11/H11-1)&gt;200%,"...",IF(ISERROR(G11/H11-1),"…",G11/H11-1))</f>
        <v>6.0604778584743002E-2</v>
      </c>
      <c r="K11" s="277">
        <f>SUM('2020'!G11:L11)</f>
        <v>481852713.23000002</v>
      </c>
      <c r="L11" s="158">
        <f>+G11-K11</f>
        <v>22499464.360000014</v>
      </c>
      <c r="M11" s="160">
        <f t="shared" ref="M11:M64" si="2">IF(+IF(ISERROR(G11/K11),"…",G11/K11-1)&gt;200%,"...",IF(ISERROR(G11/K11),"…",G11/K11-1))</f>
        <v>4.6693655015823232E-2</v>
      </c>
      <c r="N11" s="277">
        <f>'2021'!L11</f>
        <v>99847003.469999999</v>
      </c>
      <c r="O11" s="277">
        <f>'2021'!L85</f>
        <v>84057492.147784621</v>
      </c>
      <c r="P11" s="158">
        <f>+N11-O11</f>
        <v>15789511.322215378</v>
      </c>
      <c r="Q11" s="160">
        <f t="shared" ref="Q11:Q64" si="3">IF(+IF(ISERROR(N11/O11),"…",N11/O11-1)&gt;200%,"...",IF(ISERROR(N11/O11),"…",N11/O11-1))</f>
        <v>0.18784180825256191</v>
      </c>
      <c r="R11" s="277">
        <f>'2020'!L11</f>
        <v>79960950.920000002</v>
      </c>
      <c r="S11" s="158">
        <f t="shared" ref="S11:S57" si="4">+N11-R11</f>
        <v>19886052.549999997</v>
      </c>
      <c r="T11" s="160">
        <f t="shared" ref="T11:T64" si="5">IF(+IF(ISERROR(N11/R11),"…",N11/R11-1)&gt;200%,"...",IF(ISERROR(N11/R11),"…",N11/R11-1))</f>
        <v>0.24869704926215497</v>
      </c>
    </row>
    <row r="12" spans="1:20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f>'2021'!S12</f>
        <v>52939159.909999996</v>
      </c>
      <c r="H12" s="163">
        <f>'2021'!S86</f>
        <v>56171696.976659417</v>
      </c>
      <c r="I12" s="164">
        <f t="shared" si="0"/>
        <v>-3232537.0666594207</v>
      </c>
      <c r="J12" s="166">
        <f t="shared" si="1"/>
        <v>-5.7547434751750726E-2</v>
      </c>
      <c r="K12" s="163">
        <f>SUM('2020'!G12:L12)</f>
        <v>51122438.960000001</v>
      </c>
      <c r="L12" s="164">
        <f>+G12-K12</f>
        <v>1816720.9499999955</v>
      </c>
      <c r="M12" s="166">
        <f t="shared" si="2"/>
        <v>3.5536664270291674E-2</v>
      </c>
      <c r="N12" s="163">
        <f>'2021'!L12</f>
        <v>10833911.470000001</v>
      </c>
      <c r="O12" s="163">
        <f>'2021'!L86</f>
        <v>11197084.330843059</v>
      </c>
      <c r="P12" s="164">
        <f t="shared" ref="P12:P57" si="6">+N12-O12</f>
        <v>-363172.86084305868</v>
      </c>
      <c r="Q12" s="166">
        <f t="shared" si="3"/>
        <v>-3.2434591909134447E-2</v>
      </c>
      <c r="R12" s="163">
        <f>'2020'!L12</f>
        <v>10236771.470000001</v>
      </c>
      <c r="S12" s="164">
        <f t="shared" si="4"/>
        <v>597140</v>
      </c>
      <c r="T12" s="166">
        <f t="shared" si="5"/>
        <v>5.8332844662009498E-2</v>
      </c>
    </row>
    <row r="13" spans="1:20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f>'2021'!S13</f>
        <v>56759780.129999995</v>
      </c>
      <c r="H13" s="163">
        <f>'2021'!S87</f>
        <v>42688161.927233599</v>
      </c>
      <c r="I13" s="164">
        <f t="shared" si="0"/>
        <v>14071618.202766396</v>
      </c>
      <c r="J13" s="166">
        <f t="shared" si="1"/>
        <v>0.32963748185627972</v>
      </c>
      <c r="K13" s="163">
        <f>SUM('2020'!G13:L13)</f>
        <v>59697131.339999996</v>
      </c>
      <c r="L13" s="164">
        <f t="shared" ref="L13:L57" si="7">+G13-K13</f>
        <v>-2937351.2100000009</v>
      </c>
      <c r="M13" s="166">
        <f t="shared" si="2"/>
        <v>-4.9204227138998746E-2</v>
      </c>
      <c r="N13" s="163">
        <f>'2021'!L13</f>
        <v>3910959.72</v>
      </c>
      <c r="O13" s="163">
        <f>'2021'!L87</f>
        <v>3175296.5849943897</v>
      </c>
      <c r="P13" s="164">
        <f t="shared" si="6"/>
        <v>735663.13500561053</v>
      </c>
      <c r="Q13" s="166">
        <f t="shared" si="3"/>
        <v>0.23168328227421631</v>
      </c>
      <c r="R13" s="163">
        <f>'2020'!L13</f>
        <v>6326893.6900000004</v>
      </c>
      <c r="S13" s="164">
        <f t="shared" si="4"/>
        <v>-2415933.9700000002</v>
      </c>
      <c r="T13" s="166">
        <f t="shared" si="5"/>
        <v>-0.38185151961989106</v>
      </c>
    </row>
    <row r="14" spans="1:20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f>'2021'!S14</f>
        <v>733785.71</v>
      </c>
      <c r="H14" s="163">
        <f>'2021'!S88</f>
        <v>782677.38459635503</v>
      </c>
      <c r="I14" s="164">
        <f t="shared" si="0"/>
        <v>-48891.674596355064</v>
      </c>
      <c r="J14" s="166">
        <f t="shared" si="1"/>
        <v>-6.246721261988375E-2</v>
      </c>
      <c r="K14" s="163">
        <f>SUM('2020'!G14:L14)</f>
        <v>742944.66999999993</v>
      </c>
      <c r="L14" s="164">
        <f t="shared" si="7"/>
        <v>-9158.9599999999627</v>
      </c>
      <c r="M14" s="166">
        <f t="shared" si="2"/>
        <v>-1.2327916693984697E-2</v>
      </c>
      <c r="N14" s="163">
        <f>'2021'!L14</f>
        <v>131529.14000000001</v>
      </c>
      <c r="O14" s="163">
        <f>'2021'!L88</f>
        <v>119656.43469982115</v>
      </c>
      <c r="P14" s="164">
        <f t="shared" si="6"/>
        <v>11872.705300178859</v>
      </c>
      <c r="Q14" s="166">
        <f t="shared" si="3"/>
        <v>9.9223291500900812E-2</v>
      </c>
      <c r="R14" s="163">
        <f>'2020'!L14</f>
        <v>117335.46</v>
      </c>
      <c r="S14" s="164">
        <f t="shared" si="4"/>
        <v>14193.680000000008</v>
      </c>
      <c r="T14" s="166">
        <f t="shared" si="5"/>
        <v>0.12096667111544979</v>
      </c>
    </row>
    <row r="15" spans="1:20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f>'2021'!S15</f>
        <v>279066381.57999998</v>
      </c>
      <c r="H15" s="163">
        <f>'2021'!S89</f>
        <v>267927239.95003656</v>
      </c>
      <c r="I15" s="164">
        <f t="shared" si="0"/>
        <v>11139141.629963428</v>
      </c>
      <c r="J15" s="166">
        <f t="shared" si="1"/>
        <v>4.1575248683339172E-2</v>
      </c>
      <c r="K15" s="163">
        <f>SUM('2020'!G15:L15)</f>
        <v>259138186.48000002</v>
      </c>
      <c r="L15" s="164">
        <f t="shared" si="7"/>
        <v>19928195.099999964</v>
      </c>
      <c r="M15" s="166">
        <f t="shared" si="2"/>
        <v>7.6901808146048856E-2</v>
      </c>
      <c r="N15" s="163">
        <f>'2021'!L15</f>
        <v>60277408.149999999</v>
      </c>
      <c r="O15" s="163">
        <f>'2021'!L89</f>
        <v>48592045.171046801</v>
      </c>
      <c r="P15" s="164">
        <f t="shared" si="6"/>
        <v>11685362.978953198</v>
      </c>
      <c r="Q15" s="166">
        <f t="shared" si="3"/>
        <v>0.24047892896501977</v>
      </c>
      <c r="R15" s="163">
        <f>'2020'!L15</f>
        <v>42474174.049999997</v>
      </c>
      <c r="S15" s="164">
        <f t="shared" si="4"/>
        <v>17803234.100000001</v>
      </c>
      <c r="T15" s="166">
        <f t="shared" si="5"/>
        <v>0.41915433314941652</v>
      </c>
    </row>
    <row r="16" spans="1:20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f>'2021'!S16</f>
        <v>97499049.179999992</v>
      </c>
      <c r="H16" s="163">
        <f>'2021'!S90</f>
        <v>91300203.205084443</v>
      </c>
      <c r="I16" s="164">
        <f t="shared" si="0"/>
        <v>6198845.9749155492</v>
      </c>
      <c r="J16" s="166">
        <f t="shared" si="1"/>
        <v>6.7895204581213342E-2</v>
      </c>
      <c r="K16" s="163">
        <f>SUM('2020'!G16:L16)</f>
        <v>95298740.900000006</v>
      </c>
      <c r="L16" s="164">
        <f t="shared" si="7"/>
        <v>2200308.2799999863</v>
      </c>
      <c r="M16" s="166">
        <f t="shared" si="2"/>
        <v>2.3088534635613334E-2</v>
      </c>
      <c r="N16" s="163">
        <f>'2021'!L16</f>
        <v>20986549.629999999</v>
      </c>
      <c r="O16" s="163">
        <f>'2021'!L90</f>
        <v>17910267.301327348</v>
      </c>
      <c r="P16" s="164">
        <f t="shared" si="6"/>
        <v>3076282.3286726512</v>
      </c>
      <c r="Q16" s="166">
        <f t="shared" si="3"/>
        <v>0.17176082729064945</v>
      </c>
      <c r="R16" s="163">
        <f>'2020'!L16</f>
        <v>17821548.199999999</v>
      </c>
      <c r="S16" s="164">
        <f t="shared" si="4"/>
        <v>3165001.4299999997</v>
      </c>
      <c r="T16" s="166">
        <f t="shared" si="5"/>
        <v>0.17759407849874687</v>
      </c>
    </row>
    <row r="17" spans="1:20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f>'2021'!S17</f>
        <v>12170753.529999999</v>
      </c>
      <c r="H17" s="163">
        <f>'2021'!S91</f>
        <v>11604623.076196456</v>
      </c>
      <c r="I17" s="164">
        <f t="shared" si="0"/>
        <v>566130.453803543</v>
      </c>
      <c r="J17" s="166">
        <f t="shared" si="1"/>
        <v>4.8784906677821871E-2</v>
      </c>
      <c r="K17" s="163">
        <f>SUM('2020'!G17:L17)</f>
        <v>11212379.719999999</v>
      </c>
      <c r="L17" s="164">
        <f t="shared" si="7"/>
        <v>958373.81000000052</v>
      </c>
      <c r="M17" s="166">
        <f t="shared" si="2"/>
        <v>8.5474612342151479E-2</v>
      </c>
      <c r="N17" s="163">
        <f>'2021'!L17</f>
        <v>2642568.09</v>
      </c>
      <c r="O17" s="163">
        <f>'2021'!L91</f>
        <v>2129291.6553579406</v>
      </c>
      <c r="P17" s="164">
        <f t="shared" si="6"/>
        <v>513276.43464205926</v>
      </c>
      <c r="Q17" s="166">
        <f t="shared" si="3"/>
        <v>0.24105501627759662</v>
      </c>
      <c r="R17" s="163">
        <f>'2020'!L17</f>
        <v>2074453.34</v>
      </c>
      <c r="S17" s="164">
        <f t="shared" si="4"/>
        <v>568114.74999999977</v>
      </c>
      <c r="T17" s="166">
        <f t="shared" si="5"/>
        <v>0.27386239017552438</v>
      </c>
    </row>
    <row r="18" spans="1:20">
      <c r="A18" s="150">
        <v>7118</v>
      </c>
      <c r="B18" s="519" t="str">
        <f>+VLOOKUP($A18,Master!$D$29:$G$225,4,FALSE)</f>
        <v>Ostali državni porezi</v>
      </c>
      <c r="C18" s="520"/>
      <c r="D18" s="520"/>
      <c r="E18" s="520"/>
      <c r="F18" s="520"/>
      <c r="G18" s="163">
        <f>'2021'!S18</f>
        <v>5183267.5500000007</v>
      </c>
      <c r="H18" s="163">
        <f>'2021'!S92</f>
        <v>5058025.4427043004</v>
      </c>
      <c r="I18" s="164">
        <f t="shared" si="0"/>
        <v>125242.10729570035</v>
      </c>
      <c r="J18" s="166">
        <f t="shared" si="1"/>
        <v>2.4761067083272525E-2</v>
      </c>
      <c r="K18" s="163">
        <f>SUM('2020'!G18:L18)</f>
        <v>4640891.16</v>
      </c>
      <c r="L18" s="164">
        <f t="shared" si="7"/>
        <v>542376.3900000006</v>
      </c>
      <c r="M18" s="166">
        <f t="shared" si="2"/>
        <v>0.11686901745827649</v>
      </c>
      <c r="N18" s="163">
        <f>'2021'!L18</f>
        <v>1064077.27</v>
      </c>
      <c r="O18" s="163">
        <f>'2021'!L92</f>
        <v>933850.66951527272</v>
      </c>
      <c r="P18" s="164">
        <f t="shared" si="6"/>
        <v>130226.6004847273</v>
      </c>
      <c r="Q18" s="166">
        <f t="shared" si="3"/>
        <v>0.13945120428336044</v>
      </c>
      <c r="R18" s="163">
        <f>'2020'!L18</f>
        <v>909774.71</v>
      </c>
      <c r="S18" s="164">
        <f t="shared" si="4"/>
        <v>154302.56000000006</v>
      </c>
      <c r="T18" s="166">
        <f t="shared" si="5"/>
        <v>0.16960524215934747</v>
      </c>
    </row>
    <row r="19" spans="1:20">
      <c r="A19" s="150">
        <v>712</v>
      </c>
      <c r="B19" s="521" t="str">
        <f>+VLOOKUP($A19,Master!$D$29:$G$225,4,FALSE)</f>
        <v>Doprinosi</v>
      </c>
      <c r="C19" s="522"/>
      <c r="D19" s="522"/>
      <c r="E19" s="522"/>
      <c r="F19" s="522"/>
      <c r="G19" s="169">
        <f>'2021'!S19</f>
        <v>236530929.43000001</v>
      </c>
      <c r="H19" s="169">
        <f>'2021'!S93</f>
        <v>243243712.55037749</v>
      </c>
      <c r="I19" s="170">
        <f t="shared" si="0"/>
        <v>-6712783.120377481</v>
      </c>
      <c r="J19" s="172">
        <f t="shared" si="1"/>
        <v>-2.7596944027842962E-2</v>
      </c>
      <c r="K19" s="169">
        <f>SUM('2020'!G19:L19)</f>
        <v>220406123.72</v>
      </c>
      <c r="L19" s="170">
        <f t="shared" si="7"/>
        <v>16124805.710000008</v>
      </c>
      <c r="M19" s="172">
        <f t="shared" si="2"/>
        <v>7.3159517702351406E-2</v>
      </c>
      <c r="N19" s="169">
        <f>'2021'!L19</f>
        <v>48669027.800000004</v>
      </c>
      <c r="O19" s="169">
        <f>'2021'!L93</f>
        <v>49074866.128309995</v>
      </c>
      <c r="P19" s="170">
        <f t="shared" si="6"/>
        <v>-405838.32830999047</v>
      </c>
      <c r="Q19" s="172">
        <f t="shared" si="3"/>
        <v>-8.2697796311638205E-3</v>
      </c>
      <c r="R19" s="169">
        <f>'2020'!L19</f>
        <v>42892419.090000004</v>
      </c>
      <c r="S19" s="170">
        <f t="shared" si="4"/>
        <v>5776608.7100000009</v>
      </c>
      <c r="T19" s="172">
        <f t="shared" si="5"/>
        <v>0.13467668255966392</v>
      </c>
    </row>
    <row r="20" spans="1:20">
      <c r="A20" s="150">
        <v>7121</v>
      </c>
      <c r="B20" s="519" t="str">
        <f>+VLOOKUP($A20,Master!$D$29:$G$225,4,FALSE)</f>
        <v>Doprinosi za penzijsko i invalidsko osiguranje</v>
      </c>
      <c r="C20" s="520"/>
      <c r="D20" s="520"/>
      <c r="E20" s="520"/>
      <c r="F20" s="520"/>
      <c r="G20" s="163">
        <f>'2021'!S20</f>
        <v>145681644.56</v>
      </c>
      <c r="H20" s="163">
        <f>'2021'!S94</f>
        <v>148175885.65141374</v>
      </c>
      <c r="I20" s="164">
        <f t="shared" si="0"/>
        <v>-2494241.0914137363</v>
      </c>
      <c r="J20" s="166">
        <f t="shared" si="1"/>
        <v>-1.6832975760181945E-2</v>
      </c>
      <c r="K20" s="163">
        <f>SUM('2020'!G20:L20)</f>
        <v>137177449.53999999</v>
      </c>
      <c r="L20" s="164">
        <f t="shared" si="7"/>
        <v>8504195.0200000107</v>
      </c>
      <c r="M20" s="166">
        <f t="shared" si="2"/>
        <v>6.199411819156353E-2</v>
      </c>
      <c r="N20" s="163">
        <f>'2021'!L20</f>
        <v>29842404.879999999</v>
      </c>
      <c r="O20" s="163">
        <f>'2021'!L94</f>
        <v>30221430.409749798</v>
      </c>
      <c r="P20" s="164">
        <f t="shared" si="6"/>
        <v>-379025.52974979952</v>
      </c>
      <c r="Q20" s="166">
        <f t="shared" si="3"/>
        <v>-1.254161449709279E-2</v>
      </c>
      <c r="R20" s="163">
        <f>'2020'!L20</f>
        <v>26475281.460000001</v>
      </c>
      <c r="S20" s="164">
        <f t="shared" si="4"/>
        <v>3367123.4199999981</v>
      </c>
      <c r="T20" s="166">
        <f t="shared" si="5"/>
        <v>0.1271798913672435</v>
      </c>
    </row>
    <row r="21" spans="1:20">
      <c r="A21" s="150">
        <v>7122</v>
      </c>
      <c r="B21" s="519" t="str">
        <f>+VLOOKUP($A21,Master!$D$29:$G$225,4,FALSE)</f>
        <v>Doprinosi za zdravstveno osiguranje</v>
      </c>
      <c r="C21" s="520"/>
      <c r="D21" s="520"/>
      <c r="E21" s="520"/>
      <c r="F21" s="520"/>
      <c r="G21" s="163">
        <f>'2021'!S21</f>
        <v>77833791.310000002</v>
      </c>
      <c r="H21" s="163">
        <f>'2021'!S95</f>
        <v>81395778.600063726</v>
      </c>
      <c r="I21" s="164">
        <f t="shared" si="0"/>
        <v>-3561987.2900637239</v>
      </c>
      <c r="J21" s="166">
        <f t="shared" si="1"/>
        <v>-4.3761327077728063E-2</v>
      </c>
      <c r="K21" s="163">
        <f>SUM('2020'!G21:L21)</f>
        <v>71193228.030000001</v>
      </c>
      <c r="L21" s="164">
        <f t="shared" si="7"/>
        <v>6640563.2800000012</v>
      </c>
      <c r="M21" s="166">
        <f t="shared" si="2"/>
        <v>9.3275209788236335E-2</v>
      </c>
      <c r="N21" s="163">
        <f>'2021'!L21</f>
        <v>16061038.619999999</v>
      </c>
      <c r="O21" s="163">
        <f>'2021'!L95</f>
        <v>16219799.806630883</v>
      </c>
      <c r="P21" s="164">
        <f t="shared" si="6"/>
        <v>-158761.18663088419</v>
      </c>
      <c r="Q21" s="166">
        <f t="shared" si="3"/>
        <v>-9.7881101199522869E-3</v>
      </c>
      <c r="R21" s="163">
        <f>'2020'!L21</f>
        <v>14129608.4</v>
      </c>
      <c r="S21" s="164">
        <f t="shared" si="4"/>
        <v>1931430.2199999988</v>
      </c>
      <c r="T21" s="166">
        <f t="shared" si="5"/>
        <v>0.13669382514521766</v>
      </c>
    </row>
    <row r="22" spans="1:20">
      <c r="A22" s="150">
        <v>7123</v>
      </c>
      <c r="B22" s="519" t="str">
        <f>+VLOOKUP($A22,Master!$D$29:$G$225,4,FALSE)</f>
        <v>Doprinosi za osiguranje od nezaposlenosti</v>
      </c>
      <c r="C22" s="520"/>
      <c r="D22" s="520"/>
      <c r="E22" s="520"/>
      <c r="F22" s="520"/>
      <c r="G22" s="163">
        <f>'2021'!S22</f>
        <v>7086426.5200000005</v>
      </c>
      <c r="H22" s="163">
        <f>'2021'!S96</f>
        <v>7282787.217410475</v>
      </c>
      <c r="I22" s="164">
        <f t="shared" si="0"/>
        <v>-196360.69741047453</v>
      </c>
      <c r="J22" s="166">
        <f t="shared" si="1"/>
        <v>-2.6962300496854885E-2</v>
      </c>
      <c r="K22" s="163">
        <f>SUM('2020'!G22:L22)</f>
        <v>6585384.0600000005</v>
      </c>
      <c r="L22" s="164">
        <f t="shared" si="7"/>
        <v>501042.45999999996</v>
      </c>
      <c r="M22" s="166">
        <f t="shared" si="2"/>
        <v>7.6084015060467136E-2</v>
      </c>
      <c r="N22" s="163">
        <f>'2021'!L22</f>
        <v>1443808.88</v>
      </c>
      <c r="O22" s="163">
        <f>'2021'!L96</f>
        <v>1442932.9122096128</v>
      </c>
      <c r="P22" s="164">
        <f t="shared" si="6"/>
        <v>875.9677903871052</v>
      </c>
      <c r="Q22" s="166">
        <f t="shared" si="3"/>
        <v>6.0707450982300237E-4</v>
      </c>
      <c r="R22" s="163">
        <f>'2020'!L22</f>
        <v>1233975.8400000001</v>
      </c>
      <c r="S22" s="164">
        <f t="shared" si="4"/>
        <v>209833.0399999998</v>
      </c>
      <c r="T22" s="166">
        <f t="shared" si="5"/>
        <v>0.17004631144155935</v>
      </c>
    </row>
    <row r="23" spans="1:20">
      <c r="A23" s="150">
        <v>7124</v>
      </c>
      <c r="B23" s="519" t="str">
        <f>+VLOOKUP($A23,Master!$D$29:$G$225,4,FALSE)</f>
        <v>Ostali doprinosi</v>
      </c>
      <c r="C23" s="520"/>
      <c r="D23" s="520"/>
      <c r="E23" s="520"/>
      <c r="F23" s="520"/>
      <c r="G23" s="163">
        <f>'2021'!S23</f>
        <v>5929067.04</v>
      </c>
      <c r="H23" s="163">
        <f>'2021'!S97</f>
        <v>6389261.0814895649</v>
      </c>
      <c r="I23" s="164">
        <f t="shared" si="0"/>
        <v>-460194.04148956481</v>
      </c>
      <c r="J23" s="166">
        <f t="shared" si="1"/>
        <v>-7.2026175737723519E-2</v>
      </c>
      <c r="K23" s="163">
        <f>SUM('2020'!G23:L23)</f>
        <v>5450062.0899999999</v>
      </c>
      <c r="L23" s="164">
        <f t="shared" si="7"/>
        <v>479004.95000000019</v>
      </c>
      <c r="M23" s="166">
        <f t="shared" si="2"/>
        <v>8.7889815214931E-2</v>
      </c>
      <c r="N23" s="163">
        <f>'2021'!L23</f>
        <v>1321775.42</v>
      </c>
      <c r="O23" s="163">
        <f>'2021'!L97</f>
        <v>1190702.9997196905</v>
      </c>
      <c r="P23" s="164">
        <f t="shared" si="6"/>
        <v>131072.42028030939</v>
      </c>
      <c r="Q23" s="166">
        <f t="shared" si="3"/>
        <v>0.11007986064632891</v>
      </c>
      <c r="R23" s="163">
        <f>'2020'!L23</f>
        <v>1053553.3899999999</v>
      </c>
      <c r="S23" s="164">
        <f t="shared" si="4"/>
        <v>268222.03000000003</v>
      </c>
      <c r="T23" s="166">
        <f t="shared" si="5"/>
        <v>0.25458798058634691</v>
      </c>
    </row>
    <row r="24" spans="1:20">
      <c r="A24" s="150">
        <v>713</v>
      </c>
      <c r="B24" s="521" t="str">
        <f>+VLOOKUP($A24,Master!$D$29:$G$225,4,FALSE)</f>
        <v>Takse</v>
      </c>
      <c r="C24" s="522"/>
      <c r="D24" s="522"/>
      <c r="E24" s="522"/>
      <c r="F24" s="522"/>
      <c r="G24" s="175">
        <f>'2021'!S24</f>
        <v>4924242.4800000004</v>
      </c>
      <c r="H24" s="175">
        <f>'2021'!S98</f>
        <v>5586349.0751029821</v>
      </c>
      <c r="I24" s="176">
        <f t="shared" si="0"/>
        <v>-662106.59510298166</v>
      </c>
      <c r="J24" s="178">
        <f t="shared" si="1"/>
        <v>-0.11852223808458939</v>
      </c>
      <c r="K24" s="175">
        <f>SUM('2020'!G24:L24)</f>
        <v>4255666.51</v>
      </c>
      <c r="L24" s="176">
        <f t="shared" si="7"/>
        <v>668575.97000000067</v>
      </c>
      <c r="M24" s="178">
        <f t="shared" si="2"/>
        <v>0.15710252869414831</v>
      </c>
      <c r="N24" s="175">
        <f>'2021'!L24</f>
        <v>1102631.99</v>
      </c>
      <c r="O24" s="175">
        <f>'2021'!L98</f>
        <v>1017281.4650079145</v>
      </c>
      <c r="P24" s="176">
        <f t="shared" si="6"/>
        <v>85350.524992085528</v>
      </c>
      <c r="Q24" s="178">
        <f t="shared" si="3"/>
        <v>8.3900599713985224E-2</v>
      </c>
      <c r="R24" s="175">
        <f>'2020'!L24</f>
        <v>1094710.17</v>
      </c>
      <c r="S24" s="176">
        <f t="shared" si="4"/>
        <v>7921.8200000000652</v>
      </c>
      <c r="T24" s="178">
        <f t="shared" si="5"/>
        <v>7.2364541931679849E-3</v>
      </c>
    </row>
    <row r="25" spans="1:20">
      <c r="A25" s="150">
        <v>714</v>
      </c>
      <c r="B25" s="521" t="str">
        <f>+VLOOKUP($A25,Master!$D$29:$G$225,4,FALSE)</f>
        <v>Naknade</v>
      </c>
      <c r="C25" s="522"/>
      <c r="D25" s="522"/>
      <c r="E25" s="522"/>
      <c r="F25" s="522"/>
      <c r="G25" s="175">
        <f>'2021'!S25</f>
        <v>17102066.899999999</v>
      </c>
      <c r="H25" s="175">
        <f>'2021'!S99</f>
        <v>14502330.810648357</v>
      </c>
      <c r="I25" s="176">
        <f t="shared" si="0"/>
        <v>2599736.089351641</v>
      </c>
      <c r="J25" s="178">
        <f t="shared" si="1"/>
        <v>0.17926332830876968</v>
      </c>
      <c r="K25" s="175">
        <f>SUM('2020'!G25:L25)</f>
        <v>11769561.41</v>
      </c>
      <c r="L25" s="176">
        <f t="shared" si="7"/>
        <v>5332505.4899999984</v>
      </c>
      <c r="M25" s="178">
        <f t="shared" si="2"/>
        <v>0.45307597320230131</v>
      </c>
      <c r="N25" s="175">
        <f>'2021'!L25</f>
        <v>3324411.04</v>
      </c>
      <c r="O25" s="175">
        <f>'2021'!L99</f>
        <v>2512218.7250152403</v>
      </c>
      <c r="P25" s="176">
        <f t="shared" si="6"/>
        <v>812192.31498475978</v>
      </c>
      <c r="Q25" s="178">
        <f t="shared" si="3"/>
        <v>0.32329681603652283</v>
      </c>
      <c r="R25" s="175">
        <f>'2020'!L25</f>
        <v>2752546.6799999997</v>
      </c>
      <c r="S25" s="176">
        <f t="shared" si="4"/>
        <v>571864.36000000034</v>
      </c>
      <c r="T25" s="178">
        <f t="shared" si="5"/>
        <v>0.20775827859893026</v>
      </c>
    </row>
    <row r="26" spans="1:20">
      <c r="A26" s="150">
        <v>715</v>
      </c>
      <c r="B26" s="521" t="str">
        <f>+VLOOKUP($A26,Master!$D$29:$G$225,4,FALSE)</f>
        <v>Ostali prihodi</v>
      </c>
      <c r="C26" s="522"/>
      <c r="D26" s="522"/>
      <c r="E26" s="522"/>
      <c r="F26" s="522"/>
      <c r="G26" s="175">
        <f>'2021'!S26</f>
        <v>11938674.180000002</v>
      </c>
      <c r="H26" s="175">
        <f>'2021'!S100</f>
        <v>14597924.510101624</v>
      </c>
      <c r="I26" s="176">
        <f t="shared" si="0"/>
        <v>-2659250.3301016223</v>
      </c>
      <c r="J26" s="178">
        <f t="shared" si="1"/>
        <v>-0.18216632975882607</v>
      </c>
      <c r="K26" s="175">
        <f>SUM('2020'!G26:L26)</f>
        <v>13131285.869999999</v>
      </c>
      <c r="L26" s="176">
        <f t="shared" si="7"/>
        <v>-1192611.6899999976</v>
      </c>
      <c r="M26" s="178">
        <f t="shared" si="2"/>
        <v>-9.082215571322394E-2</v>
      </c>
      <c r="N26" s="175">
        <f>'2021'!L26</f>
        <v>2267147.4000000004</v>
      </c>
      <c r="O26" s="175">
        <f>'2021'!L100</f>
        <v>3403834.2267417526</v>
      </c>
      <c r="P26" s="176">
        <f t="shared" si="6"/>
        <v>-1136686.8267417522</v>
      </c>
      <c r="Q26" s="178">
        <f t="shared" si="3"/>
        <v>-0.33394306274128438</v>
      </c>
      <c r="R26" s="175">
        <f>'2020'!L26</f>
        <v>1931121.2500000002</v>
      </c>
      <c r="S26" s="176">
        <f t="shared" si="4"/>
        <v>336026.15000000014</v>
      </c>
      <c r="T26" s="178">
        <f t="shared" si="5"/>
        <v>0.17400572335890363</v>
      </c>
    </row>
    <row r="27" spans="1:20">
      <c r="A27" s="150">
        <v>73</v>
      </c>
      <c r="B27" s="521" t="str">
        <f>+VLOOKUP($A27,Master!$D$29:$G$225,4,FALSE)</f>
        <v>Primici od otplate kredita i sredstva prenesena iz prethodne godine</v>
      </c>
      <c r="C27" s="522"/>
      <c r="D27" s="522"/>
      <c r="E27" s="522"/>
      <c r="F27" s="522"/>
      <c r="G27" s="175">
        <f>'2021'!S27</f>
        <v>4636824.5</v>
      </c>
      <c r="H27" s="175">
        <f>'2021'!S101</f>
        <v>3526090.3097397257</v>
      </c>
      <c r="I27" s="176">
        <f t="shared" si="0"/>
        <v>1110734.1902602743</v>
      </c>
      <c r="J27" s="178">
        <f t="shared" si="1"/>
        <v>0.31500446463104392</v>
      </c>
      <c r="K27" s="175">
        <f>SUM('2020'!G27:L27)</f>
        <v>4124580.9200000004</v>
      </c>
      <c r="L27" s="176">
        <f t="shared" si="7"/>
        <v>512243.57999999961</v>
      </c>
      <c r="M27" s="178">
        <f t="shared" si="2"/>
        <v>0.12419287921256239</v>
      </c>
      <c r="N27" s="175">
        <f>'2021'!L27</f>
        <v>1262111.45</v>
      </c>
      <c r="O27" s="175">
        <f>'2021'!L101</f>
        <v>1496223.6587379598</v>
      </c>
      <c r="P27" s="176">
        <f t="shared" si="6"/>
        <v>-234112.20873795985</v>
      </c>
      <c r="Q27" s="178">
        <f t="shared" si="3"/>
        <v>-0.1564687253611734</v>
      </c>
      <c r="R27" s="175">
        <f>'2020'!L27</f>
        <v>977750.68</v>
      </c>
      <c r="S27" s="176">
        <f t="shared" si="4"/>
        <v>284360.7699999999</v>
      </c>
      <c r="T27" s="178">
        <f t="shared" si="5"/>
        <v>0.29083157477323351</v>
      </c>
    </row>
    <row r="28" spans="1:20" ht="15.75" thickBot="1">
      <c r="A28" s="150">
        <v>74</v>
      </c>
      <c r="B28" s="523" t="str">
        <f>+VLOOKUP($A28,Master!$D$29:$G$225,4,FALSE)</f>
        <v>Donacije i transferi</v>
      </c>
      <c r="C28" s="524"/>
      <c r="D28" s="524"/>
      <c r="E28" s="524"/>
      <c r="F28" s="524"/>
      <c r="G28" s="175">
        <f>'2021'!S28</f>
        <v>8112751.830000001</v>
      </c>
      <c r="H28" s="175">
        <f>'2021'!S102</f>
        <v>16389210.203397758</v>
      </c>
      <c r="I28" s="176">
        <f t="shared" si="0"/>
        <v>-8276458.3733977573</v>
      </c>
      <c r="J28" s="178">
        <f t="shared" si="1"/>
        <v>-0.50499433900005197</v>
      </c>
      <c r="K28" s="175">
        <f>SUM('2020'!G28:L28)</f>
        <v>12281409.790000001</v>
      </c>
      <c r="L28" s="176">
        <f t="shared" si="7"/>
        <v>-4168657.96</v>
      </c>
      <c r="M28" s="178">
        <f t="shared" si="2"/>
        <v>-0.33942829294681487</v>
      </c>
      <c r="N28" s="175">
        <f>'2021'!L28</f>
        <v>2475407.79</v>
      </c>
      <c r="O28" s="175">
        <f>'2021'!L102</f>
        <v>2573384.7959295483</v>
      </c>
      <c r="P28" s="176">
        <f t="shared" si="6"/>
        <v>-97977.005929548293</v>
      </c>
      <c r="Q28" s="178">
        <f t="shared" si="3"/>
        <v>-3.8073204630929447E-2</v>
      </c>
      <c r="R28" s="175">
        <f>'2020'!L28</f>
        <v>2579280.8199999998</v>
      </c>
      <c r="S28" s="176">
        <f t="shared" si="4"/>
        <v>-103873.0299999998</v>
      </c>
      <c r="T28" s="178">
        <f t="shared" si="5"/>
        <v>-4.0272090264293015E-2</v>
      </c>
    </row>
    <row r="29" spans="1:20" ht="15.75" thickBot="1">
      <c r="A29" s="150">
        <v>4</v>
      </c>
      <c r="B29" s="509" t="str">
        <f>+VLOOKUP($A29,Master!$D$29:$G$225,4,FALSE)</f>
        <v>Izdaci budžeta</v>
      </c>
      <c r="C29" s="510"/>
      <c r="D29" s="510"/>
      <c r="E29" s="510"/>
      <c r="F29" s="510"/>
      <c r="G29" s="151">
        <f>'2021'!S29</f>
        <v>948223060.45000005</v>
      </c>
      <c r="H29" s="151">
        <f>'2021'!S103</f>
        <v>1034296933.6409</v>
      </c>
      <c r="I29" s="152">
        <f t="shared" si="0"/>
        <v>-86073873.190899968</v>
      </c>
      <c r="J29" s="154">
        <f t="shared" si="1"/>
        <v>-8.3219692905697196E-2</v>
      </c>
      <c r="K29" s="151">
        <f>SUM('2020'!G29:L29)</f>
        <v>962177139.41400003</v>
      </c>
      <c r="L29" s="152">
        <f t="shared" si="7"/>
        <v>-13954078.963999987</v>
      </c>
      <c r="M29" s="154">
        <f t="shared" si="2"/>
        <v>-1.4502609127149402E-2</v>
      </c>
      <c r="N29" s="151">
        <f>'2021'!L29</f>
        <v>155973616.70000002</v>
      </c>
      <c r="O29" s="151">
        <f>'2021'!L103</f>
        <v>160395189.78650001</v>
      </c>
      <c r="P29" s="152">
        <f t="shared" si="6"/>
        <v>-4421573.086499989</v>
      </c>
      <c r="Q29" s="154">
        <f t="shared" si="3"/>
        <v>-2.7566743693408058E-2</v>
      </c>
      <c r="R29" s="151">
        <f>'2020'!L29</f>
        <v>179437127.39399999</v>
      </c>
      <c r="S29" s="152">
        <f t="shared" si="4"/>
        <v>-23463510.693999976</v>
      </c>
      <c r="T29" s="154">
        <f t="shared" si="5"/>
        <v>-0.13076173830224025</v>
      </c>
    </row>
    <row r="30" spans="1:20">
      <c r="A30" s="150">
        <v>41</v>
      </c>
      <c r="B30" s="527" t="str">
        <f>+VLOOKUP($A30,Master!$D$29:$G$225,4,FALSE)</f>
        <v>Tekući izdaci</v>
      </c>
      <c r="C30" s="528"/>
      <c r="D30" s="528"/>
      <c r="E30" s="528"/>
      <c r="F30" s="528"/>
      <c r="G30" s="313">
        <f>'2021'!S30</f>
        <v>414850924.66000003</v>
      </c>
      <c r="H30" s="313">
        <f>'2021'!S104</f>
        <v>454312695.10230005</v>
      </c>
      <c r="I30" s="188">
        <f t="shared" si="0"/>
        <v>-39461770.442300022</v>
      </c>
      <c r="J30" s="190">
        <f t="shared" si="1"/>
        <v>-8.6860373631897247E-2</v>
      </c>
      <c r="K30" s="313">
        <f>SUM('2020'!G30:L30)</f>
        <v>420348507.89999998</v>
      </c>
      <c r="L30" s="188">
        <f t="shared" si="7"/>
        <v>-5497583.2399999499</v>
      </c>
      <c r="M30" s="190">
        <f t="shared" si="2"/>
        <v>-1.3078631508566696E-2</v>
      </c>
      <c r="N30" s="313">
        <f>'2021'!L30</f>
        <v>67098932.450000003</v>
      </c>
      <c r="O30" s="313">
        <f>'2021'!L104</f>
        <v>72995416.337500006</v>
      </c>
      <c r="P30" s="188">
        <f t="shared" si="6"/>
        <v>-5896483.887500003</v>
      </c>
      <c r="Q30" s="190">
        <f t="shared" si="3"/>
        <v>-8.077882397762004E-2</v>
      </c>
      <c r="R30" s="313">
        <f>'2020'!L30</f>
        <v>69508562.390000001</v>
      </c>
      <c r="S30" s="188">
        <f t="shared" si="4"/>
        <v>-2409629.9399999976</v>
      </c>
      <c r="T30" s="190">
        <f t="shared" si="5"/>
        <v>-3.4666663460538816E-2</v>
      </c>
    </row>
    <row r="31" spans="1:20">
      <c r="A31" s="150">
        <v>411</v>
      </c>
      <c r="B31" s="519" t="str">
        <f>+VLOOKUP($A31,Master!$D$29:$G$225,4,FALSE)</f>
        <v>Bruto zarade i doprinosi na teret poslodavca</v>
      </c>
      <c r="C31" s="520"/>
      <c r="D31" s="520"/>
      <c r="E31" s="520"/>
      <c r="F31" s="520"/>
      <c r="G31" s="163">
        <f>'2021'!S31</f>
        <v>271240464.42000002</v>
      </c>
      <c r="H31" s="163">
        <f>'2021'!S105</f>
        <v>271823463.34920001</v>
      </c>
      <c r="I31" s="164">
        <f t="shared" si="0"/>
        <v>-582998.92919999361</v>
      </c>
      <c r="J31" s="166">
        <f t="shared" si="1"/>
        <v>-2.1447704404053969E-3</v>
      </c>
      <c r="K31" s="163">
        <f>SUM('2020'!G31:L31)</f>
        <v>249231293.86999997</v>
      </c>
      <c r="L31" s="164">
        <f t="shared" si="7"/>
        <v>22009170.550000042</v>
      </c>
      <c r="M31" s="166">
        <f t="shared" si="2"/>
        <v>8.8308214463148849E-2</v>
      </c>
      <c r="N31" s="163">
        <f>'2021'!L31</f>
        <v>44231501.740000002</v>
      </c>
      <c r="O31" s="163">
        <f>'2021'!L105</f>
        <v>46000000</v>
      </c>
      <c r="P31" s="164">
        <f>+N31-O31</f>
        <v>-1768498.2599999979</v>
      </c>
      <c r="Q31" s="166">
        <f>IF(+IF(ISERROR(N31/O31),"…",N31/O31-1)&gt;200%,"...",IF(ISERROR(N31/O31),"…",N31/O31-1))</f>
        <v>-3.8445614347826007E-2</v>
      </c>
      <c r="R31" s="163">
        <f>'2020'!L31</f>
        <v>43040867.280000001</v>
      </c>
      <c r="S31" s="164">
        <f t="shared" si="4"/>
        <v>1190634.4600000009</v>
      </c>
      <c r="T31" s="166">
        <f t="shared" si="5"/>
        <v>2.7662882633251673E-2</v>
      </c>
    </row>
    <row r="32" spans="1:20">
      <c r="A32" s="150">
        <v>412</v>
      </c>
      <c r="B32" s="519" t="str">
        <f>+VLOOKUP($A32,Master!$D$29:$G$225,4,FALSE)</f>
        <v>Ostala lična primanja</v>
      </c>
      <c r="C32" s="520"/>
      <c r="D32" s="520"/>
      <c r="E32" s="520"/>
      <c r="F32" s="520"/>
      <c r="G32" s="163">
        <f>'2021'!S32</f>
        <v>4618214.0999999996</v>
      </c>
      <c r="H32" s="163">
        <f>'2021'!S106</f>
        <v>6546887.083999997</v>
      </c>
      <c r="I32" s="164">
        <f t="shared" si="0"/>
        <v>-1928672.9839999974</v>
      </c>
      <c r="J32" s="166">
        <f t="shared" si="1"/>
        <v>-0.29459389771873423</v>
      </c>
      <c r="K32" s="163">
        <f>SUM('2020'!G32:L32)</f>
        <v>4991268.26</v>
      </c>
      <c r="L32" s="164">
        <f t="shared" si="7"/>
        <v>-373054.16000000015</v>
      </c>
      <c r="M32" s="166">
        <f t="shared" si="2"/>
        <v>-7.4741356418298377E-2</v>
      </c>
      <c r="N32" s="163">
        <f>'2021'!L32</f>
        <v>813914.56</v>
      </c>
      <c r="O32" s="163">
        <f>'2021'!L106</f>
        <v>1098574.5599999991</v>
      </c>
      <c r="P32" s="164">
        <f t="shared" si="6"/>
        <v>-284659.99999999907</v>
      </c>
      <c r="Q32" s="166">
        <f t="shared" si="3"/>
        <v>-0.25911759689756453</v>
      </c>
      <c r="R32" s="163">
        <f>'2020'!L32</f>
        <v>1295023.8</v>
      </c>
      <c r="S32" s="164">
        <f t="shared" si="4"/>
        <v>-481109.24</v>
      </c>
      <c r="T32" s="166">
        <f t="shared" si="5"/>
        <v>-0.37150609896127007</v>
      </c>
    </row>
    <row r="33" spans="1:20">
      <c r="A33" s="150">
        <v>413</v>
      </c>
      <c r="B33" s="519" t="str">
        <f>+VLOOKUP($A33,Master!$D$29:$G$225,4,FALSE)</f>
        <v>Rashodi za materijal</v>
      </c>
      <c r="C33" s="520"/>
      <c r="D33" s="520"/>
      <c r="E33" s="520"/>
      <c r="F33" s="520"/>
      <c r="G33" s="163">
        <f>'2021'!S33</f>
        <v>13792871.530000001</v>
      </c>
      <c r="H33" s="163">
        <f>'2021'!S107</f>
        <v>19731244.275299992</v>
      </c>
      <c r="I33" s="164">
        <f t="shared" si="0"/>
        <v>-5938372.7452999912</v>
      </c>
      <c r="J33" s="166">
        <f t="shared" si="1"/>
        <v>-0.30096291254848928</v>
      </c>
      <c r="K33" s="163">
        <f>SUM('2020'!G33:L33)</f>
        <v>14431666.750000002</v>
      </c>
      <c r="L33" s="164">
        <f t="shared" si="7"/>
        <v>-638795.22000000067</v>
      </c>
      <c r="M33" s="166">
        <f t="shared" si="2"/>
        <v>-4.4263440326461345E-2</v>
      </c>
      <c r="N33" s="163">
        <f>'2021'!L33</f>
        <v>3282627.05</v>
      </c>
      <c r="O33" s="163">
        <f>'2021'!L107</f>
        <v>3917319.4131999998</v>
      </c>
      <c r="P33" s="164">
        <f t="shared" si="6"/>
        <v>-634692.36320000002</v>
      </c>
      <c r="Q33" s="166">
        <f t="shared" si="3"/>
        <v>-0.1620221116157412</v>
      </c>
      <c r="R33" s="163">
        <f>'2020'!L33</f>
        <v>2089784.74</v>
      </c>
      <c r="S33" s="164">
        <f t="shared" si="4"/>
        <v>1192842.3099999998</v>
      </c>
      <c r="T33" s="166">
        <f t="shared" si="5"/>
        <v>0.57079673670121633</v>
      </c>
    </row>
    <row r="34" spans="1:20">
      <c r="A34" s="150">
        <v>414</v>
      </c>
      <c r="B34" s="519" t="str">
        <f>+VLOOKUP($A34,Master!$D$29:$G$225,4,FALSE)</f>
        <v>Rashodi za usluge</v>
      </c>
      <c r="C34" s="520"/>
      <c r="D34" s="520"/>
      <c r="E34" s="520"/>
      <c r="F34" s="520"/>
      <c r="G34" s="163">
        <f>'2021'!S34</f>
        <v>22088686.800000001</v>
      </c>
      <c r="H34" s="163">
        <f>'2021'!S108</f>
        <v>36107639.061700001</v>
      </c>
      <c r="I34" s="164">
        <f t="shared" si="0"/>
        <v>-14018952.261700001</v>
      </c>
      <c r="J34" s="166">
        <f t="shared" si="1"/>
        <v>-0.3882544698573257</v>
      </c>
      <c r="K34" s="163">
        <f>SUM('2020'!G34:L34)</f>
        <v>36074890.899999999</v>
      </c>
      <c r="L34" s="164">
        <f t="shared" si="7"/>
        <v>-13986204.099999998</v>
      </c>
      <c r="M34" s="166">
        <f t="shared" si="2"/>
        <v>-0.38769913785103083</v>
      </c>
      <c r="N34" s="163">
        <f>'2021'!L34</f>
        <v>3880471.86</v>
      </c>
      <c r="O34" s="163">
        <f>'2021'!L108</f>
        <v>6077559.1976999994</v>
      </c>
      <c r="P34" s="164">
        <f t="shared" si="6"/>
        <v>-2197087.3376999996</v>
      </c>
      <c r="Q34" s="166">
        <f t="shared" si="3"/>
        <v>-0.36150817560633031</v>
      </c>
      <c r="R34" s="163">
        <f>'2020'!L34</f>
        <v>5881001.1799999997</v>
      </c>
      <c r="S34" s="164">
        <f t="shared" si="4"/>
        <v>-2000529.3199999998</v>
      </c>
      <c r="T34" s="166">
        <f t="shared" si="5"/>
        <v>-0.34016815483788088</v>
      </c>
    </row>
    <row r="35" spans="1:20">
      <c r="A35" s="150">
        <v>415</v>
      </c>
      <c r="B35" s="519" t="str">
        <f>+VLOOKUP($A35,Master!$D$29:$G$225,4,FALSE)</f>
        <v>Rashodi za tekuće održavanje</v>
      </c>
      <c r="C35" s="520"/>
      <c r="D35" s="520"/>
      <c r="E35" s="520"/>
      <c r="F35" s="520"/>
      <c r="G35" s="163">
        <f>'2021'!S35</f>
        <v>8612395.8599999994</v>
      </c>
      <c r="H35" s="163">
        <f>'2021'!S109</f>
        <v>10869674.567299999</v>
      </c>
      <c r="I35" s="164">
        <f t="shared" si="0"/>
        <v>-2257278.7072999999</v>
      </c>
      <c r="J35" s="166">
        <f t="shared" si="1"/>
        <v>-0.20766755189623887</v>
      </c>
      <c r="K35" s="163">
        <f>SUM('2020'!G35:L35)</f>
        <v>9841380.370000001</v>
      </c>
      <c r="L35" s="164">
        <f t="shared" si="7"/>
        <v>-1228984.5100000016</v>
      </c>
      <c r="M35" s="166">
        <f t="shared" si="2"/>
        <v>-0.12487928154330663</v>
      </c>
      <c r="N35" s="163">
        <f>'2021'!L35</f>
        <v>1668289.12</v>
      </c>
      <c r="O35" s="163">
        <f>'2021'!L109</f>
        <v>2098569.1472</v>
      </c>
      <c r="P35" s="164">
        <f t="shared" si="6"/>
        <v>-430280.02719999989</v>
      </c>
      <c r="Q35" s="166">
        <f t="shared" si="3"/>
        <v>-0.20503495335099997</v>
      </c>
      <c r="R35" s="163">
        <f>'2020'!L35</f>
        <v>1791066.21</v>
      </c>
      <c r="S35" s="164">
        <f t="shared" si="4"/>
        <v>-122777.08999999985</v>
      </c>
      <c r="T35" s="166">
        <f t="shared" si="5"/>
        <v>-6.8549721565011157E-2</v>
      </c>
    </row>
    <row r="36" spans="1:20">
      <c r="A36" s="150">
        <v>416</v>
      </c>
      <c r="B36" s="519" t="str">
        <f>+VLOOKUP($A36,Master!$D$29:$G$225,4,FALSE)</f>
        <v>Kamate</v>
      </c>
      <c r="C36" s="520"/>
      <c r="D36" s="520"/>
      <c r="E36" s="520"/>
      <c r="F36" s="520"/>
      <c r="G36" s="163">
        <f>'2021'!S36</f>
        <v>59088525.250000007</v>
      </c>
      <c r="H36" s="163">
        <f>'2021'!S110</f>
        <v>59452168.151100017</v>
      </c>
      <c r="I36" s="164">
        <f t="shared" si="0"/>
        <v>-363642.90110000968</v>
      </c>
      <c r="J36" s="166">
        <f t="shared" si="1"/>
        <v>-6.11656248054393E-3</v>
      </c>
      <c r="K36" s="163">
        <f>SUM('2020'!G36:L36)</f>
        <v>66596400.310000002</v>
      </c>
      <c r="L36" s="164">
        <f t="shared" si="7"/>
        <v>-7507875.0599999949</v>
      </c>
      <c r="M36" s="166">
        <f t="shared" si="2"/>
        <v>-0.11273695012120089</v>
      </c>
      <c r="N36" s="163">
        <f>'2021'!L36</f>
        <v>5290054.43</v>
      </c>
      <c r="O36" s="163">
        <f>'2021'!L110</f>
        <v>5371993.0329</v>
      </c>
      <c r="P36" s="164">
        <f t="shared" si="6"/>
        <v>-81938.602900000289</v>
      </c>
      <c r="Q36" s="166">
        <f t="shared" si="3"/>
        <v>-1.525292426817737E-2</v>
      </c>
      <c r="R36" s="163">
        <f>'2020'!L36</f>
        <v>5341737.45</v>
      </c>
      <c r="S36" s="164">
        <f t="shared" si="4"/>
        <v>-51683.020000000484</v>
      </c>
      <c r="T36" s="166">
        <f t="shared" si="5"/>
        <v>-9.6753201526219579E-3</v>
      </c>
    </row>
    <row r="37" spans="1:20">
      <c r="A37" s="150">
        <v>417</v>
      </c>
      <c r="B37" s="519" t="str">
        <f>+VLOOKUP($A37,Master!$D$29:$G$225,4,FALSE)</f>
        <v>Renta</v>
      </c>
      <c r="C37" s="520"/>
      <c r="D37" s="520"/>
      <c r="E37" s="520"/>
      <c r="F37" s="520"/>
      <c r="G37" s="163">
        <f>'2021'!S37</f>
        <v>4230504.8800000008</v>
      </c>
      <c r="H37" s="163">
        <f>'2021'!S111</f>
        <v>4889021.0427000001</v>
      </c>
      <c r="I37" s="164">
        <f t="shared" si="0"/>
        <v>-658516.16269999929</v>
      </c>
      <c r="J37" s="166">
        <f t="shared" si="1"/>
        <v>-0.13469284688051342</v>
      </c>
      <c r="K37" s="163">
        <f>SUM('2020'!G37:L37)</f>
        <v>4791018.18</v>
      </c>
      <c r="L37" s="164">
        <f t="shared" si="7"/>
        <v>-560513.29999999888</v>
      </c>
      <c r="M37" s="166">
        <f t="shared" si="2"/>
        <v>-0.11699252203630728</v>
      </c>
      <c r="N37" s="163">
        <f>'2021'!L37</f>
        <v>989320.52</v>
      </c>
      <c r="O37" s="163">
        <f>'2021'!L111</f>
        <v>604609.61849999998</v>
      </c>
      <c r="P37" s="164">
        <f t="shared" si="6"/>
        <v>384710.90150000004</v>
      </c>
      <c r="Q37" s="166">
        <f t="shared" si="3"/>
        <v>0.63629636335333961</v>
      </c>
      <c r="R37" s="163">
        <f>'2020'!L37</f>
        <v>795087.54</v>
      </c>
      <c r="S37" s="164">
        <f t="shared" si="4"/>
        <v>194232.97999999998</v>
      </c>
      <c r="T37" s="166">
        <f t="shared" si="5"/>
        <v>0.24429131413630256</v>
      </c>
    </row>
    <row r="38" spans="1:20">
      <c r="A38" s="150">
        <v>418</v>
      </c>
      <c r="B38" s="519" t="str">
        <f>+VLOOKUP($A38,Master!$D$29:$G$225,4,FALSE)</f>
        <v>Subvencije</v>
      </c>
      <c r="C38" s="520"/>
      <c r="D38" s="520"/>
      <c r="E38" s="520"/>
      <c r="F38" s="520"/>
      <c r="G38" s="163">
        <f>'2021'!S38</f>
        <v>16556557.139999999</v>
      </c>
      <c r="H38" s="163">
        <f>'2021'!S112</f>
        <v>22935970.364799999</v>
      </c>
      <c r="I38" s="164">
        <f t="shared" si="0"/>
        <v>-6379413.2248</v>
      </c>
      <c r="J38" s="166">
        <f t="shared" si="1"/>
        <v>-0.27814010583962612</v>
      </c>
      <c r="K38" s="163">
        <f>SUM('2020'!G38:L38)</f>
        <v>12203377.130000001</v>
      </c>
      <c r="L38" s="164">
        <f t="shared" si="7"/>
        <v>4353180.0099999979</v>
      </c>
      <c r="M38" s="166">
        <f t="shared" si="2"/>
        <v>0.35671928873675629</v>
      </c>
      <c r="N38" s="163">
        <f>'2021'!L38</f>
        <v>4169288.28</v>
      </c>
      <c r="O38" s="163">
        <f>'2021'!L112</f>
        <v>4064450.67</v>
      </c>
      <c r="P38" s="164">
        <f t="shared" si="6"/>
        <v>104837.60999999987</v>
      </c>
      <c r="Q38" s="166">
        <f t="shared" si="3"/>
        <v>2.57937956471741E-2</v>
      </c>
      <c r="R38" s="163">
        <f>'2020'!L38</f>
        <v>2801785.17</v>
      </c>
      <c r="S38" s="164">
        <f t="shared" si="4"/>
        <v>1367503.1099999999</v>
      </c>
      <c r="T38" s="166">
        <f t="shared" si="5"/>
        <v>0.48808278544782224</v>
      </c>
    </row>
    <row r="39" spans="1:20">
      <c r="A39" s="150">
        <v>419</v>
      </c>
      <c r="B39" s="519" t="str">
        <f>+VLOOKUP($A39,Master!$D$29:$G$225,4,FALSE)</f>
        <v>Ostali izdaci</v>
      </c>
      <c r="C39" s="520"/>
      <c r="D39" s="520"/>
      <c r="E39" s="520"/>
      <c r="F39" s="520"/>
      <c r="G39" s="163">
        <f>'2021'!S39</f>
        <v>14622704.68</v>
      </c>
      <c r="H39" s="163">
        <f>'2021'!S113</f>
        <v>21956627.206199996</v>
      </c>
      <c r="I39" s="164">
        <f t="shared" si="0"/>
        <v>-7333922.5261999965</v>
      </c>
      <c r="J39" s="166">
        <f t="shared" si="1"/>
        <v>-0.33401862942451754</v>
      </c>
      <c r="K39" s="163">
        <f>SUM('2020'!G39:L39)</f>
        <v>22187212.129999999</v>
      </c>
      <c r="L39" s="164">
        <f t="shared" si="7"/>
        <v>-7564507.4499999993</v>
      </c>
      <c r="M39" s="166">
        <f t="shared" si="2"/>
        <v>-0.3409399705414905</v>
      </c>
      <c r="N39" s="163">
        <f>'2021'!L39</f>
        <v>2773464.89</v>
      </c>
      <c r="O39" s="163">
        <f>'2021'!L113</f>
        <v>3762340.6980000003</v>
      </c>
      <c r="P39" s="164">
        <f t="shared" si="6"/>
        <v>-988875.80800000019</v>
      </c>
      <c r="Q39" s="166">
        <f t="shared" si="3"/>
        <v>-0.26283526330448237</v>
      </c>
      <c r="R39" s="163">
        <f>'2020'!L39</f>
        <v>6472209.0199999996</v>
      </c>
      <c r="S39" s="164">
        <f t="shared" si="4"/>
        <v>-3698744.1299999994</v>
      </c>
      <c r="T39" s="166">
        <f t="shared" si="5"/>
        <v>-0.57148094546550965</v>
      </c>
    </row>
    <row r="40" spans="1:20">
      <c r="A40" s="150">
        <v>42</v>
      </c>
      <c r="B40" s="515" t="str">
        <f>+VLOOKUP($A40,Master!$D$29:$G$225,4,FALSE)</f>
        <v>Transferi za socijalnu zaštitu</v>
      </c>
      <c r="C40" s="516"/>
      <c r="D40" s="516"/>
      <c r="E40" s="516"/>
      <c r="F40" s="516"/>
      <c r="G40" s="193">
        <f>'2021'!S40</f>
        <v>279980096.79999995</v>
      </c>
      <c r="H40" s="193">
        <f>'2021'!S114</f>
        <v>281821348.34069997</v>
      </c>
      <c r="I40" s="194">
        <f t="shared" si="0"/>
        <v>-1841251.5407000184</v>
      </c>
      <c r="J40" s="196">
        <f t="shared" si="1"/>
        <v>-6.5333997993440862E-3</v>
      </c>
      <c r="K40" s="193">
        <f>SUM('2020'!G40:L40)</f>
        <v>275480495.24399996</v>
      </c>
      <c r="L40" s="194">
        <f t="shared" si="7"/>
        <v>4499601.5559999943</v>
      </c>
      <c r="M40" s="196">
        <f t="shared" si="2"/>
        <v>1.633364842042484E-2</v>
      </c>
      <c r="N40" s="193">
        <f>'2021'!L40</f>
        <v>47719015.670000009</v>
      </c>
      <c r="O40" s="193">
        <f>'2021'!L114</f>
        <v>46644336.441699997</v>
      </c>
      <c r="P40" s="194">
        <f t="shared" si="6"/>
        <v>1074679.2283000126</v>
      </c>
      <c r="Q40" s="196">
        <f t="shared" si="3"/>
        <v>2.303986529304014E-2</v>
      </c>
      <c r="R40" s="193">
        <f>'2020'!L40</f>
        <v>45893631.064000003</v>
      </c>
      <c r="S40" s="194">
        <f t="shared" si="4"/>
        <v>1825384.6060000062</v>
      </c>
      <c r="T40" s="196">
        <f t="shared" si="5"/>
        <v>3.9774246745794661E-2</v>
      </c>
    </row>
    <row r="41" spans="1:20">
      <c r="A41" s="150">
        <v>421</v>
      </c>
      <c r="B41" s="519" t="str">
        <f>+VLOOKUP($A41,Master!$D$29:$G$225,4,FALSE)</f>
        <v>Prava iz oblasti socijalne zaštite</v>
      </c>
      <c r="C41" s="520"/>
      <c r="D41" s="520"/>
      <c r="E41" s="520"/>
      <c r="F41" s="520"/>
      <c r="G41" s="163">
        <f>'2021'!S41</f>
        <v>40013765.259999998</v>
      </c>
      <c r="H41" s="163">
        <f>'2021'!S115</f>
        <v>40185440.640000001</v>
      </c>
      <c r="I41" s="164">
        <f t="shared" si="0"/>
        <v>-171675.38000000268</v>
      </c>
      <c r="J41" s="166">
        <f t="shared" si="1"/>
        <v>-4.272079073064039E-3</v>
      </c>
      <c r="K41" s="163">
        <f>SUM('2020'!G41:L41)</f>
        <v>38914988.219999999</v>
      </c>
      <c r="L41" s="164">
        <f t="shared" si="7"/>
        <v>1098777.0399999991</v>
      </c>
      <c r="M41" s="166">
        <f t="shared" si="2"/>
        <v>2.8235317296981588E-2</v>
      </c>
      <c r="N41" s="163">
        <f>'2021'!L41</f>
        <v>6972648.9400000004</v>
      </c>
      <c r="O41" s="163">
        <f>'2021'!L115</f>
        <v>6298300</v>
      </c>
      <c r="P41" s="164">
        <f t="shared" si="6"/>
        <v>674348.94000000041</v>
      </c>
      <c r="Q41" s="166">
        <f t="shared" si="3"/>
        <v>0.10706840576028465</v>
      </c>
      <c r="R41" s="163">
        <f>'2020'!L41</f>
        <v>6185136.4800000004</v>
      </c>
      <c r="S41" s="164">
        <f t="shared" si="4"/>
        <v>787512.46</v>
      </c>
      <c r="T41" s="166">
        <f t="shared" si="5"/>
        <v>0.12732337637923874</v>
      </c>
    </row>
    <row r="42" spans="1:20">
      <c r="A42" s="150">
        <v>422</v>
      </c>
      <c r="B42" s="519" t="str">
        <f>+VLOOKUP($A42,Master!$D$29:$G$225,4,FALSE)</f>
        <v>Sredstva za tehnološke viškove</v>
      </c>
      <c r="C42" s="520"/>
      <c r="D42" s="520"/>
      <c r="E42" s="520"/>
      <c r="F42" s="520"/>
      <c r="G42" s="163">
        <f>'2021'!S42</f>
        <v>10151094.299999999</v>
      </c>
      <c r="H42" s="163">
        <f>'2021'!S116</f>
        <v>10572284.891999999</v>
      </c>
      <c r="I42" s="164">
        <f t="shared" si="0"/>
        <v>-421190.59200000018</v>
      </c>
      <c r="J42" s="166">
        <f t="shared" si="1"/>
        <v>-3.9839126196713925E-2</v>
      </c>
      <c r="K42" s="163">
        <f>SUM('2020'!G42:L42)</f>
        <v>7631990.9199999999</v>
      </c>
      <c r="L42" s="164">
        <f t="shared" si="7"/>
        <v>2519103.379999999</v>
      </c>
      <c r="M42" s="166">
        <f t="shared" si="2"/>
        <v>0.3300715902843343</v>
      </c>
      <c r="N42" s="163">
        <f>'2021'!L42</f>
        <v>2394445.0099999998</v>
      </c>
      <c r="O42" s="163">
        <f>'2021'!L116</f>
        <v>2209300.0836999998</v>
      </c>
      <c r="P42" s="164">
        <f t="shared" si="6"/>
        <v>185144.92629999993</v>
      </c>
      <c r="Q42" s="166">
        <f t="shared" si="3"/>
        <v>8.3802525363567026E-2</v>
      </c>
      <c r="R42" s="163">
        <f>'2020'!L42</f>
        <v>1505135.2</v>
      </c>
      <c r="S42" s="164">
        <f t="shared" si="4"/>
        <v>889309.80999999982</v>
      </c>
      <c r="T42" s="166">
        <f t="shared" si="5"/>
        <v>0.5908504498466316</v>
      </c>
    </row>
    <row r="43" spans="1:20">
      <c r="A43" s="150">
        <v>423</v>
      </c>
      <c r="B43" s="519" t="str">
        <f>+VLOOKUP($A43,Master!$D$29:$G$225,4,FALSE)</f>
        <v>Prava iz oblasti penzijskog i invalidskog osiguranja</v>
      </c>
      <c r="C43" s="520"/>
      <c r="D43" s="520"/>
      <c r="E43" s="520"/>
      <c r="F43" s="520"/>
      <c r="G43" s="163">
        <f>'2021'!S43</f>
        <v>216303299.15000001</v>
      </c>
      <c r="H43" s="163">
        <f>'2021'!S117</f>
        <v>216714564.36389995</v>
      </c>
      <c r="I43" s="164">
        <f t="shared" si="0"/>
        <v>-411265.21389994025</v>
      </c>
      <c r="J43" s="166">
        <f t="shared" si="1"/>
        <v>-1.8977276174634294E-3</v>
      </c>
      <c r="K43" s="163">
        <f>SUM('2020'!G43:L43)</f>
        <v>213811980.90399998</v>
      </c>
      <c r="L43" s="164">
        <f t="shared" si="7"/>
        <v>2491318.2460000217</v>
      </c>
      <c r="M43" s="166">
        <f t="shared" si="2"/>
        <v>1.1651911345036403E-2</v>
      </c>
      <c r="N43" s="163">
        <f>'2021'!L43</f>
        <v>35696766.840000004</v>
      </c>
      <c r="O43" s="163">
        <f>'2021'!L117</f>
        <v>35372543.857999995</v>
      </c>
      <c r="P43" s="164">
        <f t="shared" si="6"/>
        <v>324222.98200000823</v>
      </c>
      <c r="Q43" s="166">
        <f t="shared" si="3"/>
        <v>9.1659503851793112E-3</v>
      </c>
      <c r="R43" s="163">
        <f>'2020'!L43</f>
        <v>35558037.473999999</v>
      </c>
      <c r="S43" s="164">
        <f t="shared" si="4"/>
        <v>138729.36600000411</v>
      </c>
      <c r="T43" s="166">
        <f t="shared" si="5"/>
        <v>3.9014910792374291E-3</v>
      </c>
    </row>
    <row r="44" spans="1:20">
      <c r="A44" s="150">
        <v>424</v>
      </c>
      <c r="B44" s="519" t="str">
        <f>+VLOOKUP($A44,Master!$D$29:$G$225,4,FALSE)</f>
        <v>Ostala prava iz oblasti zdravstvene zaštite</v>
      </c>
      <c r="C44" s="520"/>
      <c r="D44" s="520"/>
      <c r="E44" s="520"/>
      <c r="F44" s="520"/>
      <c r="G44" s="163">
        <f>'2021'!S44</f>
        <v>8425594.3599999994</v>
      </c>
      <c r="H44" s="163">
        <f>'2021'!S118</f>
        <v>9086229.6173999999</v>
      </c>
      <c r="I44" s="164">
        <f t="shared" si="0"/>
        <v>-660635.25740000047</v>
      </c>
      <c r="J44" s="166">
        <f t="shared" si="1"/>
        <v>-7.2707303823237424E-2</v>
      </c>
      <c r="K44" s="163">
        <f>SUM('2020'!G44:L44)</f>
        <v>10563109.669999998</v>
      </c>
      <c r="L44" s="164">
        <f t="shared" si="7"/>
        <v>-2137515.3099999987</v>
      </c>
      <c r="M44" s="166">
        <f t="shared" si="2"/>
        <v>-0.20235663330001186</v>
      </c>
      <c r="N44" s="163">
        <f>'2021'!L44</f>
        <v>1598295.14</v>
      </c>
      <c r="O44" s="163">
        <f>'2021'!L118</f>
        <v>1757700</v>
      </c>
      <c r="P44" s="164">
        <f t="shared" si="6"/>
        <v>-159404.8600000001</v>
      </c>
      <c r="Q44" s="166">
        <f t="shared" si="3"/>
        <v>-9.0689457814189023E-2</v>
      </c>
      <c r="R44" s="163">
        <f>'2020'!L44</f>
        <v>1963797.13</v>
      </c>
      <c r="S44" s="164">
        <f t="shared" si="4"/>
        <v>-365501.99</v>
      </c>
      <c r="T44" s="166">
        <f t="shared" si="5"/>
        <v>-0.18612003471051008</v>
      </c>
    </row>
    <row r="45" spans="1:20">
      <c r="A45" s="150">
        <v>425</v>
      </c>
      <c r="B45" s="519" t="str">
        <f>+VLOOKUP($A45,Master!$D$29:$G$225,4,FALSE)</f>
        <v>Ostala prava iz zdravstvenog osiguranja</v>
      </c>
      <c r="C45" s="520"/>
      <c r="D45" s="520"/>
      <c r="E45" s="520"/>
      <c r="F45" s="520"/>
      <c r="G45" s="163">
        <f>'2021'!S45</f>
        <v>5086343.7300000004</v>
      </c>
      <c r="H45" s="163">
        <f>'2021'!S119</f>
        <v>5262828.8273999998</v>
      </c>
      <c r="I45" s="164">
        <f t="shared" si="0"/>
        <v>-176485.09739999939</v>
      </c>
      <c r="J45" s="166">
        <f t="shared" si="1"/>
        <v>-3.353426516195257E-2</v>
      </c>
      <c r="K45" s="163">
        <f>SUM('2020'!G45:L45)</f>
        <v>4558425.53</v>
      </c>
      <c r="L45" s="164">
        <f t="shared" si="7"/>
        <v>527918.20000000019</v>
      </c>
      <c r="M45" s="166">
        <f t="shared" si="2"/>
        <v>0.11581152231744363</v>
      </c>
      <c r="N45" s="163">
        <f>'2021'!L45</f>
        <v>1056859.74</v>
      </c>
      <c r="O45" s="163">
        <f>'2021'!L119</f>
        <v>1006492.5</v>
      </c>
      <c r="P45" s="164">
        <f t="shared" si="6"/>
        <v>50367.239999999991</v>
      </c>
      <c r="Q45" s="166">
        <f t="shared" si="3"/>
        <v>5.0042340106856154E-2</v>
      </c>
      <c r="R45" s="163">
        <f>'2020'!L45</f>
        <v>681524.78</v>
      </c>
      <c r="S45" s="164">
        <f t="shared" si="4"/>
        <v>375334.95999999996</v>
      </c>
      <c r="T45" s="166">
        <f t="shared" si="5"/>
        <v>0.55072826552249499</v>
      </c>
    </row>
    <row r="46" spans="1:20">
      <c r="A46" s="150">
        <v>43</v>
      </c>
      <c r="B46" s="517" t="str">
        <f>+VLOOKUP($A46,Master!$D$29:$G$225,4,FALSE)</f>
        <v xml:space="preserve">Transferi institucijama, pojedincima, nevladinom i javnom sektoru </v>
      </c>
      <c r="C46" s="518"/>
      <c r="D46" s="518"/>
      <c r="E46" s="518"/>
      <c r="F46" s="518"/>
      <c r="G46" s="175">
        <f>'2021'!S46</f>
        <v>118636929.27</v>
      </c>
      <c r="H46" s="175">
        <f>'2021'!S120</f>
        <v>134291475.43370003</v>
      </c>
      <c r="I46" s="176">
        <f t="shared" si="0"/>
        <v>-15654546.163700029</v>
      </c>
      <c r="J46" s="178">
        <f t="shared" si="1"/>
        <v>-0.116571406436209</v>
      </c>
      <c r="K46" s="175">
        <f>SUM('2020'!G46:L46)</f>
        <v>131225282.38</v>
      </c>
      <c r="L46" s="176">
        <f t="shared" si="7"/>
        <v>-12588353.109999999</v>
      </c>
      <c r="M46" s="178">
        <f t="shared" si="2"/>
        <v>-9.5929327654611929E-2</v>
      </c>
      <c r="N46" s="175">
        <f>'2021'!L46</f>
        <v>24268005.550000001</v>
      </c>
      <c r="O46" s="175">
        <f>'2021'!L120</f>
        <v>23341210.3836</v>
      </c>
      <c r="P46" s="176">
        <f t="shared" si="6"/>
        <v>926795.16640000045</v>
      </c>
      <c r="Q46" s="178">
        <f t="shared" si="3"/>
        <v>3.9706388450668539E-2</v>
      </c>
      <c r="R46" s="175">
        <f>'2020'!L46</f>
        <v>18901990.300000001</v>
      </c>
      <c r="S46" s="176">
        <f t="shared" si="4"/>
        <v>5366015.25</v>
      </c>
      <c r="T46" s="178">
        <f t="shared" si="5"/>
        <v>0.28388625561827729</v>
      </c>
    </row>
    <row r="47" spans="1:20">
      <c r="A47" s="150">
        <v>44</v>
      </c>
      <c r="B47" s="517" t="str">
        <f>+VLOOKUP($A47,Master!$D$29:$G$225,4,FALSE)</f>
        <v>Kapitalni izdaci</v>
      </c>
      <c r="C47" s="518"/>
      <c r="D47" s="518"/>
      <c r="E47" s="518"/>
      <c r="F47" s="518"/>
      <c r="G47" s="175">
        <f>'2021'!S47</f>
        <v>62491682.150000006</v>
      </c>
      <c r="H47" s="175">
        <f>'2021'!S121</f>
        <v>91116023.7544</v>
      </c>
      <c r="I47" s="176">
        <f t="shared" si="0"/>
        <v>-28624341.604399994</v>
      </c>
      <c r="J47" s="178">
        <f t="shared" si="1"/>
        <v>-0.3141526640973259</v>
      </c>
      <c r="K47" s="175">
        <f>SUM('2020'!G47:L47)</f>
        <v>84405765.219999999</v>
      </c>
      <c r="L47" s="176">
        <f t="shared" si="7"/>
        <v>-21914083.069999993</v>
      </c>
      <c r="M47" s="178">
        <f t="shared" si="2"/>
        <v>-0.25962779927273782</v>
      </c>
      <c r="N47" s="175">
        <f>'2021'!L47</f>
        <v>11935338.039999999</v>
      </c>
      <c r="O47" s="175">
        <f>'2021'!L121</f>
        <v>12505699.966799999</v>
      </c>
      <c r="P47" s="176">
        <f t="shared" si="6"/>
        <v>-570361.92679999955</v>
      </c>
      <c r="Q47" s="178">
        <f t="shared" si="3"/>
        <v>-4.5608156945568079E-2</v>
      </c>
      <c r="R47" s="175">
        <f>'2020'!L47</f>
        <v>24497607.260000002</v>
      </c>
      <c r="S47" s="176">
        <f t="shared" si="4"/>
        <v>-12562269.220000003</v>
      </c>
      <c r="T47" s="178">
        <f t="shared" si="5"/>
        <v>-0.51279576354837852</v>
      </c>
    </row>
    <row r="48" spans="1:20">
      <c r="A48" s="150">
        <v>451</v>
      </c>
      <c r="B48" s="487" t="str">
        <f>+VLOOKUP($A48,Master!$D$29:$G$225,4,FALSE)</f>
        <v>Pozajmice i krediti</v>
      </c>
      <c r="C48" s="488"/>
      <c r="D48" s="488"/>
      <c r="E48" s="488"/>
      <c r="F48" s="488"/>
      <c r="G48" s="163">
        <f>'2021'!S48</f>
        <v>828780</v>
      </c>
      <c r="H48" s="163">
        <f>'2021'!S122</f>
        <v>1021281.6696000001</v>
      </c>
      <c r="I48" s="164">
        <f>G48-H48</f>
        <v>-192501.66960000014</v>
      </c>
      <c r="J48" s="282">
        <f t="shared" si="1"/>
        <v>-0.1884902817020071</v>
      </c>
      <c r="K48" s="163">
        <f>SUM('2020'!G48:L48)</f>
        <v>820494</v>
      </c>
      <c r="L48" s="279">
        <f t="shared" si="7"/>
        <v>8286</v>
      </c>
      <c r="M48" s="282">
        <f t="shared" si="2"/>
        <v>1.0098794141090606E-2</v>
      </c>
      <c r="N48" s="163">
        <f>'2021'!L48</f>
        <v>276662</v>
      </c>
      <c r="O48" s="163">
        <f>'2021'!L122</f>
        <v>253881.16740000001</v>
      </c>
      <c r="P48" s="164">
        <f t="shared" si="6"/>
        <v>22780.832599999994</v>
      </c>
      <c r="Q48" s="282">
        <f t="shared" si="3"/>
        <v>8.9730297183122198E-2</v>
      </c>
      <c r="R48" s="163">
        <f>'2020'!L48</f>
        <v>269846</v>
      </c>
      <c r="S48" s="279">
        <f t="shared" si="4"/>
        <v>6816</v>
      </c>
      <c r="T48" s="282">
        <f t="shared" si="5"/>
        <v>2.5258851344841071E-2</v>
      </c>
    </row>
    <row r="49" spans="1:23">
      <c r="A49" s="150">
        <v>47</v>
      </c>
      <c r="B49" s="487" t="str">
        <f>+VLOOKUP($A49,Master!$D$29:$G$225,4,FALSE)</f>
        <v>Rezerve</v>
      </c>
      <c r="C49" s="488"/>
      <c r="D49" s="488"/>
      <c r="E49" s="488"/>
      <c r="F49" s="488"/>
      <c r="G49" s="163">
        <f>'2021'!S49</f>
        <v>49654378.669999994</v>
      </c>
      <c r="H49" s="163">
        <f>'2021'!S123</f>
        <v>52964273.220000006</v>
      </c>
      <c r="I49" s="164">
        <f t="shared" ref="I49:I50" si="8">G49-H49</f>
        <v>-3309894.5500000119</v>
      </c>
      <c r="J49" s="283">
        <f t="shared" si="1"/>
        <v>-6.2492966461591193E-2</v>
      </c>
      <c r="K49" s="163">
        <f>SUM('2020'!G49:L49)</f>
        <v>41123373.740000002</v>
      </c>
      <c r="L49" s="280">
        <f t="shared" si="7"/>
        <v>8531004.9299999923</v>
      </c>
      <c r="M49" s="283">
        <f t="shared" si="2"/>
        <v>0.20744905279262227</v>
      </c>
      <c r="N49" s="163">
        <f>'2021'!L49</f>
        <v>3382486.47</v>
      </c>
      <c r="O49" s="163">
        <f>'2021'!L123</f>
        <v>2002459.2</v>
      </c>
      <c r="P49" s="164">
        <f t="shared" si="6"/>
        <v>1380027.2700000003</v>
      </c>
      <c r="Q49" s="283">
        <f t="shared" si="3"/>
        <v>0.68916623619597361</v>
      </c>
      <c r="R49" s="163">
        <f>'2020'!L49</f>
        <v>18264699.84</v>
      </c>
      <c r="S49" s="280">
        <f t="shared" si="4"/>
        <v>-14882213.369999999</v>
      </c>
      <c r="T49" s="283">
        <f t="shared" si="5"/>
        <v>-0.81480744279233663</v>
      </c>
      <c r="W49" s="345"/>
    </row>
    <row r="50" spans="1:23" ht="15.75" thickBot="1">
      <c r="A50" s="150">
        <v>462</v>
      </c>
      <c r="B50" s="505" t="str">
        <f>+VLOOKUP($A50,Master!$D$29:$G$225,4,FALSE)</f>
        <v>Otplata garancija</v>
      </c>
      <c r="C50" s="506"/>
      <c r="D50" s="506"/>
      <c r="E50" s="506"/>
      <c r="F50" s="506"/>
      <c r="G50" s="163">
        <f>'2021'!S50</f>
        <v>3831496.4</v>
      </c>
      <c r="H50" s="163">
        <f>'2021'!S124</f>
        <v>3876366.14</v>
      </c>
      <c r="I50" s="164">
        <f t="shared" si="8"/>
        <v>-44869.740000000224</v>
      </c>
      <c r="J50" s="284">
        <f t="shared" si="1"/>
        <v>-1.157520687661362E-2</v>
      </c>
      <c r="K50" s="163">
        <f>SUM('2020'!G50:L50)</f>
        <v>0</v>
      </c>
      <c r="L50" s="280">
        <f t="shared" si="7"/>
        <v>3831496.4</v>
      </c>
      <c r="M50" s="284" t="str">
        <f t="shared" si="2"/>
        <v>...</v>
      </c>
      <c r="N50" s="163">
        <f>'2021'!L50</f>
        <v>0</v>
      </c>
      <c r="O50" s="163">
        <f>'2021'!L124</f>
        <v>0</v>
      </c>
      <c r="P50" s="164">
        <f t="shared" si="6"/>
        <v>0</v>
      </c>
      <c r="Q50" s="284" t="str">
        <f t="shared" si="3"/>
        <v>...</v>
      </c>
      <c r="R50" s="163">
        <f>'2020'!L50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05" t="str">
        <f>+VLOOKUP($A51,Master!$D$29:$G$225,4,FALSE)</f>
        <v>Otplata obaveza iz prethodnog perioda</v>
      </c>
      <c r="C51" s="506"/>
      <c r="D51" s="506"/>
      <c r="E51" s="506"/>
      <c r="F51" s="506"/>
      <c r="G51" s="314">
        <f>'2021'!S51</f>
        <v>17948772.5</v>
      </c>
      <c r="H51" s="314">
        <f>'2021'!S125</f>
        <v>14893469.980199976</v>
      </c>
      <c r="I51" s="281">
        <f>G51-H51</f>
        <v>3055302.5198000241</v>
      </c>
      <c r="J51" s="285">
        <f t="shared" si="1"/>
        <v>0.20514376594990114</v>
      </c>
      <c r="K51" s="314">
        <f>SUM('2020'!G51:L51)</f>
        <v>8773220.9299999997</v>
      </c>
      <c r="L51" s="287">
        <f t="shared" si="7"/>
        <v>9175551.5700000003</v>
      </c>
      <c r="M51" s="285">
        <f t="shared" si="2"/>
        <v>1.0458589431646743</v>
      </c>
      <c r="N51" s="314">
        <f>'2021'!L51</f>
        <v>1293176.52</v>
      </c>
      <c r="O51" s="314">
        <f>'2021'!L125</f>
        <v>2652186.2894999958</v>
      </c>
      <c r="P51" s="281">
        <f>N51-O51</f>
        <v>-1359009.7694999957</v>
      </c>
      <c r="Q51" s="285">
        <f t="shared" si="3"/>
        <v>-0.51241112846420878</v>
      </c>
      <c r="R51" s="314">
        <f>'2020'!L51</f>
        <v>2100790.54</v>
      </c>
      <c r="S51" s="287">
        <f>+N51-R51</f>
        <v>-807614.02</v>
      </c>
      <c r="T51" s="285">
        <f t="shared" si="5"/>
        <v>-0.38443338572916463</v>
      </c>
    </row>
    <row r="52" spans="1:23" ht="15.75" thickBot="1">
      <c r="A52" s="144">
        <v>1005</v>
      </c>
      <c r="B52" s="505" t="str">
        <f>+VLOOKUP($A52,Master!$D$29:$G$227,4,FALSE)</f>
        <v>Neto povećanje obaveza</v>
      </c>
      <c r="C52" s="506"/>
      <c r="D52" s="506"/>
      <c r="E52" s="506"/>
      <c r="F52" s="506"/>
      <c r="G52" s="163">
        <f>'2021'!S52</f>
        <v>0</v>
      </c>
      <c r="H52" s="163">
        <f>'2021'!S126</f>
        <v>0</v>
      </c>
      <c r="I52" s="281">
        <f>G52-H52</f>
        <v>0</v>
      </c>
      <c r="J52" s="285" t="str">
        <f t="shared" si="1"/>
        <v>...</v>
      </c>
      <c r="K52" s="163">
        <f>SUM('2020'!G52:L52)</f>
        <v>0</v>
      </c>
      <c r="L52" s="287">
        <f t="shared" si="7"/>
        <v>0</v>
      </c>
      <c r="M52" s="285" t="str">
        <f t="shared" si="2"/>
        <v>...</v>
      </c>
      <c r="N52" s="163">
        <f>'2021'!L52</f>
        <v>0</v>
      </c>
      <c r="O52" s="163">
        <f>'2021'!L126</f>
        <v>0</v>
      </c>
      <c r="P52" s="281">
        <f>N52-O52</f>
        <v>0</v>
      </c>
      <c r="Q52" s="285" t="str">
        <f t="shared" si="3"/>
        <v>...</v>
      </c>
      <c r="R52" s="163">
        <f>'2020'!L52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>'2021'!S53</f>
        <v>-160625393.54000002</v>
      </c>
      <c r="H53" s="151">
        <f>'2021'!S127</f>
        <v>-260918688.21902093</v>
      </c>
      <c r="I53" s="321">
        <f>+G53-H53</f>
        <v>100293294.67902091</v>
      </c>
      <c r="J53" s="286">
        <f t="shared" si="1"/>
        <v>-0.38438524800045171</v>
      </c>
      <c r="K53" s="151">
        <f>SUM('2020'!G53:L53)</f>
        <v>-214355797.96399999</v>
      </c>
      <c r="L53" s="288">
        <f t="shared" si="7"/>
        <v>53730404.423999965</v>
      </c>
      <c r="M53" s="286">
        <f t="shared" si="2"/>
        <v>-0.25065990719329045</v>
      </c>
      <c r="N53" s="151">
        <f>'2021'!L53</f>
        <v>2974124.2399999797</v>
      </c>
      <c r="O53" s="151">
        <f>'2021'!L127</f>
        <v>-16259888.638972968</v>
      </c>
      <c r="P53" s="321">
        <f>N53-O53</f>
        <v>19234012.878972948</v>
      </c>
      <c r="Q53" s="286">
        <f t="shared" si="3"/>
        <v>-1.1829117225853176</v>
      </c>
      <c r="R53" s="151">
        <f>'2020'!L53</f>
        <v>-47248347.783999994</v>
      </c>
      <c r="S53" s="288">
        <f t="shared" si="4"/>
        <v>50222472.023999974</v>
      </c>
      <c r="T53" s="286">
        <f t="shared" si="5"/>
        <v>-1.0629466294482179</v>
      </c>
    </row>
    <row r="54" spans="1:23" ht="15.7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151">
        <f>'2021'!S54</f>
        <v>-101536868.28999999</v>
      </c>
      <c r="H54" s="151">
        <f>'2021'!S128</f>
        <v>-201466520.06792092</v>
      </c>
      <c r="I54" s="206">
        <f t="shared" si="0"/>
        <v>99929651.777920932</v>
      </c>
      <c r="J54" s="208">
        <f t="shared" si="1"/>
        <v>-0.49601120694511125</v>
      </c>
      <c r="K54" s="151">
        <f>SUM('2020'!G54:L54)</f>
        <v>-147759397.65399998</v>
      </c>
      <c r="L54" s="206">
        <f t="shared" si="7"/>
        <v>46222529.363999993</v>
      </c>
      <c r="M54" s="208">
        <f t="shared" si="2"/>
        <v>-0.31282294119956233</v>
      </c>
      <c r="N54" s="151">
        <f>'2021'!L54</f>
        <v>8264178.6699999794</v>
      </c>
      <c r="O54" s="151">
        <f>'2021'!L128</f>
        <v>-10887895.606072968</v>
      </c>
      <c r="P54" s="206">
        <f t="shared" si="6"/>
        <v>19152074.276072949</v>
      </c>
      <c r="Q54" s="208">
        <f t="shared" si="3"/>
        <v>-1.7590244220738531</v>
      </c>
      <c r="R54" s="151">
        <f>'2020'!L54</f>
        <v>-41906610.333999991</v>
      </c>
      <c r="S54" s="206">
        <f t="shared" si="4"/>
        <v>50170789.003999971</v>
      </c>
      <c r="T54" s="208">
        <f t="shared" si="5"/>
        <v>-1.1972046558796721</v>
      </c>
    </row>
    <row r="55" spans="1:23">
      <c r="A55" s="144">
        <v>46</v>
      </c>
      <c r="B55" s="515" t="str">
        <f>+VLOOKUP($A55,Master!$D$29:$G$225,4,FALSE)</f>
        <v>Otplata dugova</v>
      </c>
      <c r="C55" s="516"/>
      <c r="D55" s="516"/>
      <c r="E55" s="516"/>
      <c r="F55" s="516"/>
      <c r="G55" s="157">
        <f>'2021'!S55</f>
        <v>350558736.19000006</v>
      </c>
      <c r="H55" s="157">
        <f>'2021'!S129</f>
        <v>369236550.82999998</v>
      </c>
      <c r="I55" s="194">
        <f t="shared" si="0"/>
        <v>-18677814.639999926</v>
      </c>
      <c r="J55" s="196">
        <f t="shared" si="1"/>
        <v>-5.0584955898906547E-2</v>
      </c>
      <c r="K55" s="157">
        <f>SUM('2020'!G55:L55)</f>
        <v>462607520.80999994</v>
      </c>
      <c r="L55" s="194">
        <f t="shared" si="7"/>
        <v>-112048784.61999989</v>
      </c>
      <c r="M55" s="196">
        <f t="shared" si="2"/>
        <v>-0.24221133375395354</v>
      </c>
      <c r="N55" s="157">
        <f>'2021'!L55</f>
        <v>15052883.600000001</v>
      </c>
      <c r="O55" s="157">
        <f>'2021'!L129</f>
        <v>19460021.140000001</v>
      </c>
      <c r="P55" s="194">
        <f t="shared" si="6"/>
        <v>-4407137.5399999991</v>
      </c>
      <c r="Q55" s="196">
        <f t="shared" si="3"/>
        <v>-0.22647136446019289</v>
      </c>
      <c r="R55" s="157">
        <f>'2020'!L55</f>
        <v>12046882.029999999</v>
      </c>
      <c r="S55" s="194">
        <f t="shared" si="4"/>
        <v>3006001.5700000022</v>
      </c>
      <c r="T55" s="196">
        <f t="shared" si="5"/>
        <v>0.24952527654161827</v>
      </c>
    </row>
    <row r="56" spans="1:23">
      <c r="A56" s="144">
        <v>4611</v>
      </c>
      <c r="B56" s="503" t="str">
        <f>+VLOOKUP($A56,Master!$D$29:$G$225,4,FALSE)</f>
        <v>Otplata hartija od vrijednosti i kredita rezidentima</v>
      </c>
      <c r="C56" s="504"/>
      <c r="D56" s="504"/>
      <c r="E56" s="504"/>
      <c r="F56" s="504"/>
      <c r="G56" s="163">
        <f>'2021'!S56</f>
        <v>65871478.150000006</v>
      </c>
      <c r="H56" s="163">
        <f>'2021'!S130</f>
        <v>71274824.340000004</v>
      </c>
      <c r="I56" s="212">
        <f t="shared" si="0"/>
        <v>-5403346.1899999976</v>
      </c>
      <c r="J56" s="214">
        <f t="shared" si="1"/>
        <v>-7.581002464803821E-2</v>
      </c>
      <c r="K56" s="163">
        <f>SUM('2020'!G56:L56)</f>
        <v>85340641.379999995</v>
      </c>
      <c r="L56" s="212">
        <f t="shared" si="7"/>
        <v>-19469163.229999989</v>
      </c>
      <c r="M56" s="214">
        <f t="shared" si="2"/>
        <v>-0.22813471887689241</v>
      </c>
      <c r="N56" s="163">
        <f>'2021'!L56</f>
        <v>3255507.63</v>
      </c>
      <c r="O56" s="163">
        <f>'2021'!L130</f>
        <v>8658853.8200000003</v>
      </c>
      <c r="P56" s="212">
        <f t="shared" si="6"/>
        <v>-5403346.1900000004</v>
      </c>
      <c r="Q56" s="214">
        <f t="shared" si="3"/>
        <v>-0.62402556993392</v>
      </c>
      <c r="R56" s="163">
        <f>'2020'!L56</f>
        <v>2108350.36</v>
      </c>
      <c r="S56" s="212">
        <f t="shared" si="4"/>
        <v>1147157.27</v>
      </c>
      <c r="T56" s="214">
        <f t="shared" si="5"/>
        <v>0.54410182091367409</v>
      </c>
    </row>
    <row r="57" spans="1:23">
      <c r="A57" s="144">
        <v>4612</v>
      </c>
      <c r="B57" s="487" t="str">
        <f>+VLOOKUP($A57,Master!$D$29:$G$225,4,FALSE)</f>
        <v>Otplata hartija od vrijednosti i kredita nerezidentima</v>
      </c>
      <c r="C57" s="488"/>
      <c r="D57" s="488"/>
      <c r="E57" s="488"/>
      <c r="F57" s="488"/>
      <c r="G57" s="163">
        <f>'2021'!S57</f>
        <v>284687258.04000002</v>
      </c>
      <c r="H57" s="163">
        <f>'2021'!S131</f>
        <v>297961726.48999995</v>
      </c>
      <c r="I57" s="212">
        <f t="shared" si="0"/>
        <v>-13274468.449999928</v>
      </c>
      <c r="J57" s="214">
        <f t="shared" si="1"/>
        <v>-4.4550918020155317E-2</v>
      </c>
      <c r="K57" s="163">
        <f>SUM('2020'!G57:L57)</f>
        <v>377266879.43000001</v>
      </c>
      <c r="L57" s="212">
        <f t="shared" si="7"/>
        <v>-92579621.389999986</v>
      </c>
      <c r="M57" s="214">
        <f t="shared" si="2"/>
        <v>-0.24539557124621025</v>
      </c>
      <c r="N57" s="163">
        <f>'2021'!L57</f>
        <v>11797375.970000001</v>
      </c>
      <c r="O57" s="163">
        <f>'2021'!L131</f>
        <v>10801167.32</v>
      </c>
      <c r="P57" s="212">
        <f t="shared" si="6"/>
        <v>996208.65000000037</v>
      </c>
      <c r="Q57" s="214">
        <f t="shared" si="3"/>
        <v>9.2231572800040684E-2</v>
      </c>
      <c r="R57" s="163">
        <f>'2020'!L57</f>
        <v>9938531.6699999999</v>
      </c>
      <c r="S57" s="212">
        <f t="shared" si="4"/>
        <v>1858844.3000000007</v>
      </c>
      <c r="T57" s="214">
        <f t="shared" si="5"/>
        <v>0.18703409736178878</v>
      </c>
    </row>
    <row r="58" spans="1:23" ht="15.75" thickBot="1">
      <c r="A58" s="144">
        <v>4418</v>
      </c>
      <c r="B58" s="515" t="str">
        <f>+VLOOKUP($A58,Master!$D$29:$G$225,4,FALSE)</f>
        <v>Izdaci za kupovinu hartija od vrijednosti</v>
      </c>
      <c r="C58" s="516"/>
      <c r="D58" s="516"/>
      <c r="E58" s="516"/>
      <c r="F58" s="516"/>
      <c r="G58" s="336">
        <f>'2021'!S58</f>
        <v>0</v>
      </c>
      <c r="H58" s="336">
        <f>'2021'!S132</f>
        <v>563568</v>
      </c>
      <c r="I58" s="337">
        <f t="shared" ref="I58:I64" si="9">+G58-H58</f>
        <v>-563568</v>
      </c>
      <c r="J58" s="338">
        <f t="shared" si="1"/>
        <v>-1</v>
      </c>
      <c r="K58" s="336">
        <f>SUM('2020'!G58:L58)</f>
        <v>0</v>
      </c>
      <c r="L58" s="337">
        <f t="shared" ref="L58:L64" si="10">+G58-K58</f>
        <v>0</v>
      </c>
      <c r="M58" s="338" t="str">
        <f t="shared" si="2"/>
        <v>...</v>
      </c>
      <c r="N58" s="336">
        <f>'2021'!L58</f>
        <v>0</v>
      </c>
      <c r="O58" s="336">
        <f>'2021'!L132</f>
        <v>13392</v>
      </c>
      <c r="P58" s="337">
        <f t="shared" ref="P58:P64" si="11">+N58-O58</f>
        <v>-13392</v>
      </c>
      <c r="Q58" s="338">
        <f t="shared" si="3"/>
        <v>-1</v>
      </c>
      <c r="R58" s="336">
        <f>'2020'!L58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07" t="str">
        <f>+VLOOKUP($A59,Master!$D$29:$G$225,4,FALSE)</f>
        <v>Nedostajuća sredstva</v>
      </c>
      <c r="C59" s="508"/>
      <c r="D59" s="508"/>
      <c r="E59" s="508"/>
      <c r="F59" s="508"/>
      <c r="G59" s="320">
        <f>'2021'!S59</f>
        <v>-511184129.73000008</v>
      </c>
      <c r="H59" s="320">
        <f>'2021'!S133</f>
        <v>-630718807.04902101</v>
      </c>
      <c r="I59" s="322">
        <f t="shared" si="9"/>
        <v>119534677.31902093</v>
      </c>
      <c r="J59" s="323">
        <f t="shared" si="1"/>
        <v>-0.18952134609445759</v>
      </c>
      <c r="K59" s="320">
        <f>SUM('2020'!G59:L59)</f>
        <v>-676963318.77400005</v>
      </c>
      <c r="L59" s="322">
        <f t="shared" si="10"/>
        <v>165779189.04399997</v>
      </c>
      <c r="M59" s="323">
        <f t="shared" si="2"/>
        <v>-0.24488651666419803</v>
      </c>
      <c r="N59" s="320">
        <f>'2021'!L59</f>
        <v>-12078759.360000022</v>
      </c>
      <c r="O59" s="320">
        <f>'2021'!L133</f>
        <v>-35733301.778972968</v>
      </c>
      <c r="P59" s="322">
        <f t="shared" si="11"/>
        <v>23654542.418972947</v>
      </c>
      <c r="Q59" s="323">
        <f t="shared" si="3"/>
        <v>-0.66197471941684127</v>
      </c>
      <c r="R59" s="320">
        <f>'2020'!L59</f>
        <v>-59295229.813999996</v>
      </c>
      <c r="S59" s="322">
        <f t="shared" si="12"/>
        <v>47216470.453999974</v>
      </c>
      <c r="T59" s="323">
        <f t="shared" si="5"/>
        <v>-0.79629458562030653</v>
      </c>
    </row>
    <row r="60" spans="1:23" ht="15.75" thickBot="1">
      <c r="A60" s="144">
        <v>1003</v>
      </c>
      <c r="B60" s="509" t="str">
        <f>+VLOOKUP($A60,Master!$D$29:$G$225,4,FALSE)</f>
        <v>Finansiranje</v>
      </c>
      <c r="C60" s="510"/>
      <c r="D60" s="510"/>
      <c r="E60" s="510"/>
      <c r="F60" s="510"/>
      <c r="G60" s="151">
        <f>'2021'!S60</f>
        <v>511184129.73000008</v>
      </c>
      <c r="H60" s="151">
        <f>'2021'!S134</f>
        <v>630718807.04902101</v>
      </c>
      <c r="I60" s="321">
        <f t="shared" si="9"/>
        <v>-119534677.31902093</v>
      </c>
      <c r="J60" s="324">
        <f t="shared" si="1"/>
        <v>-0.18952134609445759</v>
      </c>
      <c r="K60" s="151">
        <f>SUM('2020'!G60:L60)</f>
        <v>676963318.77400005</v>
      </c>
      <c r="L60" s="321">
        <f t="shared" si="10"/>
        <v>-165779189.04399997</v>
      </c>
      <c r="M60" s="324">
        <f t="shared" si="2"/>
        <v>-0.24488651666419803</v>
      </c>
      <c r="N60" s="151">
        <f>'2021'!L60</f>
        <v>12078759.360000022</v>
      </c>
      <c r="O60" s="151">
        <f>'2021'!L134</f>
        <v>35733301.778972968</v>
      </c>
      <c r="P60" s="321">
        <f t="shared" si="11"/>
        <v>-23654542.418972947</v>
      </c>
      <c r="Q60" s="324">
        <f t="shared" si="3"/>
        <v>-0.66197471941684127</v>
      </c>
      <c r="R60" s="151">
        <f>'2020'!L60</f>
        <v>59295229.813999996</v>
      </c>
      <c r="S60" s="321">
        <f t="shared" si="12"/>
        <v>-47216470.453999974</v>
      </c>
      <c r="T60" s="324">
        <f t="shared" si="5"/>
        <v>-0.79629458562030653</v>
      </c>
    </row>
    <row r="61" spans="1:23">
      <c r="A61" s="144">
        <v>7511</v>
      </c>
      <c r="B61" s="503" t="str">
        <f>+VLOOKUP($A61,Master!$D$29:$G$225,4,FALSE)</f>
        <v>Pozajmice i krediti od domaćih izvora</v>
      </c>
      <c r="C61" s="504"/>
      <c r="D61" s="504"/>
      <c r="E61" s="504"/>
      <c r="F61" s="504"/>
      <c r="G61" s="484">
        <f>'2021'!S61</f>
        <v>0</v>
      </c>
      <c r="H61" s="163">
        <f>'2021'!S135</f>
        <v>0</v>
      </c>
      <c r="I61" s="212">
        <f t="shared" si="9"/>
        <v>0</v>
      </c>
      <c r="J61" s="214" t="str">
        <f t="shared" si="1"/>
        <v>...</v>
      </c>
      <c r="K61" s="212">
        <f>SUM('2020'!G61:L61)</f>
        <v>67832059.129999995</v>
      </c>
      <c r="L61" s="212">
        <f t="shared" si="10"/>
        <v>-67832059.129999995</v>
      </c>
      <c r="M61" s="214">
        <f t="shared" si="2"/>
        <v>-1</v>
      </c>
      <c r="N61" s="163">
        <f>'2021'!L61</f>
        <v>0</v>
      </c>
      <c r="O61" s="163">
        <f>'2021'!L135</f>
        <v>0</v>
      </c>
      <c r="P61" s="212">
        <f t="shared" si="11"/>
        <v>0</v>
      </c>
      <c r="Q61" s="214" t="str">
        <f t="shared" si="3"/>
        <v>...</v>
      </c>
      <c r="R61" s="163">
        <f>'2020'!L61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487" t="str">
        <f>+VLOOKUP($A62,Master!$D$29:$G$225,4,FALSE)</f>
        <v>Pozajmice i krediti od inostranih izvora</v>
      </c>
      <c r="C62" s="488"/>
      <c r="D62" s="488"/>
      <c r="E62" s="488"/>
      <c r="F62" s="488"/>
      <c r="G62" s="163">
        <f>'2021'!S62</f>
        <v>57496710.409999996</v>
      </c>
      <c r="H62" s="163">
        <f>'2021'!S136</f>
        <v>51600000</v>
      </c>
      <c r="I62" s="212">
        <f t="shared" si="9"/>
        <v>5896710.4099999964</v>
      </c>
      <c r="J62" s="214">
        <f t="shared" si="1"/>
        <v>0.11427733352713165</v>
      </c>
      <c r="K62" s="163">
        <f>SUM('2020'!G62:L62)</f>
        <v>343761107.31999999</v>
      </c>
      <c r="L62" s="212">
        <f t="shared" si="10"/>
        <v>-286264396.90999997</v>
      </c>
      <c r="M62" s="214">
        <f t="shared" si="2"/>
        <v>-0.83274224691021392</v>
      </c>
      <c r="N62" s="163">
        <f>'2021'!L62</f>
        <v>32783536.34</v>
      </c>
      <c r="O62" s="163">
        <f>'2021'!L136</f>
        <v>33000000</v>
      </c>
      <c r="P62" s="212">
        <f t="shared" si="11"/>
        <v>-216463.66000000015</v>
      </c>
      <c r="Q62" s="214">
        <f t="shared" si="3"/>
        <v>-6.5595048484848872E-3</v>
      </c>
      <c r="R62" s="163">
        <f>'2020'!L62</f>
        <v>83297964.459999993</v>
      </c>
      <c r="S62" s="212">
        <f t="shared" si="12"/>
        <v>-50514428.11999999</v>
      </c>
      <c r="T62" s="214">
        <f t="shared" si="5"/>
        <v>-0.60643052261207675</v>
      </c>
    </row>
    <row r="63" spans="1:23">
      <c r="A63" s="144">
        <v>72</v>
      </c>
      <c r="B63" s="487" t="str">
        <f>+VLOOKUP($A63,Master!$D$29:$G$225,4,FALSE)</f>
        <v>Primici od prodaje imovine</v>
      </c>
      <c r="C63" s="488"/>
      <c r="D63" s="488"/>
      <c r="E63" s="488"/>
      <c r="F63" s="488"/>
      <c r="G63" s="163">
        <f>'2021'!S63</f>
        <v>669564.07000000007</v>
      </c>
      <c r="H63" s="163">
        <f>'2021'!S137</f>
        <v>802782.51</v>
      </c>
      <c r="I63" s="212">
        <f t="shared" si="9"/>
        <v>-133218.43999999994</v>
      </c>
      <c r="J63" s="214">
        <f t="shared" si="1"/>
        <v>-0.16594586745543316</v>
      </c>
      <c r="K63" s="163">
        <f>SUM('2020'!G63:L63)</f>
        <v>1786909.7100000002</v>
      </c>
      <c r="L63" s="212">
        <f t="shared" si="10"/>
        <v>-1117345.6400000001</v>
      </c>
      <c r="M63" s="214">
        <f t="shared" si="2"/>
        <v>-0.62529496244105132</v>
      </c>
      <c r="N63" s="163">
        <f>'2021'!L63</f>
        <v>216679.2</v>
      </c>
      <c r="O63" s="163">
        <f>'2021'!L137</f>
        <v>300000</v>
      </c>
      <c r="P63" s="212">
        <f t="shared" si="11"/>
        <v>-83320.799999999988</v>
      </c>
      <c r="Q63" s="214">
        <f t="shared" si="3"/>
        <v>-0.27773599999999998</v>
      </c>
      <c r="R63" s="163">
        <f>'2020'!L63</f>
        <v>213993.31</v>
      </c>
      <c r="S63" s="212">
        <f t="shared" si="12"/>
        <v>2685.890000000014</v>
      </c>
      <c r="T63" s="214">
        <f t="shared" si="5"/>
        <v>1.2551280224601502E-2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8">
        <f>'2021'!S64</f>
        <v>453017855.25</v>
      </c>
      <c r="H64" s="318">
        <f>'2021'!S138</f>
        <v>578316024.53902102</v>
      </c>
      <c r="I64" s="226">
        <f t="shared" si="9"/>
        <v>-125298169.28902102</v>
      </c>
      <c r="J64" s="228">
        <f t="shared" si="1"/>
        <v>-0.21666037939878446</v>
      </c>
      <c r="K64" s="318">
        <f>SUM('2020'!G64:L64)</f>
        <v>263583242.61399993</v>
      </c>
      <c r="L64" s="226">
        <f t="shared" si="10"/>
        <v>189434612.63600007</v>
      </c>
      <c r="M64" s="228">
        <f t="shared" si="2"/>
        <v>0.71868989377831727</v>
      </c>
      <c r="N64" s="318">
        <f>'2021'!L64</f>
        <v>-20921456.179999977</v>
      </c>
      <c r="O64" s="318">
        <f>'2021'!L138</f>
        <v>2433301.7789729685</v>
      </c>
      <c r="P64" s="226">
        <f t="shared" si="11"/>
        <v>-23354757.958972946</v>
      </c>
      <c r="Q64" s="228">
        <f t="shared" si="3"/>
        <v>-9.5979701986780963</v>
      </c>
      <c r="R64" s="318">
        <f>'2020'!L64</f>
        <v>-24216727.956</v>
      </c>
      <c r="S64" s="226">
        <f t="shared" si="12"/>
        <v>3295271.7760000229</v>
      </c>
      <c r="T64" s="228">
        <f t="shared" si="5"/>
        <v>-0.13607419557205613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U//3RxI5cnzyMKFLyYxR0Ab98LR9uqc49zcZXKJDC7vxjH9qgy2YmtUEZMW0dYzD+5OV5hsSEJHBDmzigMrDoA==" saltValue="f4jdykPJVwJl2GDOAO8pNA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8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590" t="str">
        <f>+Master!G251</f>
        <v>Ostvarenje budžeta</v>
      </c>
      <c r="C7" s="490"/>
      <c r="D7" s="490"/>
      <c r="E7" s="490"/>
      <c r="F7" s="490"/>
      <c r="G7" s="498">
        <v>2021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tr">
        <f>+Master!G248</f>
        <v>BDP</v>
      </c>
      <c r="T7" s="236">
        <v>4636600000</v>
      </c>
    </row>
    <row r="8" spans="1:20" ht="16.5" customHeight="1">
      <c r="A8" s="144"/>
      <c r="B8" s="491"/>
      <c r="C8" s="492"/>
      <c r="D8" s="492"/>
      <c r="E8" s="492"/>
      <c r="F8" s="493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498" t="str">
        <f>+Master!G246</f>
        <v>Jan - Dec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31" t="str">
        <f>+VLOOKUP($A10,Master!$D$29:$G$225,4,FALSE)</f>
        <v>Prihodi budžeta</v>
      </c>
      <c r="C10" s="532"/>
      <c r="D10" s="532"/>
      <c r="E10" s="532"/>
      <c r="F10" s="532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154177434.69999999</v>
      </c>
      <c r="J10" s="151">
        <f t="shared" si="1"/>
        <v>144095628.60000002</v>
      </c>
      <c r="K10" s="151">
        <f t="shared" si="1"/>
        <v>136129376.07999998</v>
      </c>
      <c r="L10" s="151">
        <f t="shared" si="1"/>
        <v>158947740.94</v>
      </c>
      <c r="M10" s="151">
        <f t="shared" si="1"/>
        <v>0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787597666.91000009</v>
      </c>
      <c r="T10" s="463">
        <f>+S10/$T$7*100</f>
        <v>16.986534678643835</v>
      </c>
    </row>
    <row r="11" spans="1:20">
      <c r="A11" s="150">
        <v>711</v>
      </c>
      <c r="B11" s="533" t="str">
        <f>+VLOOKUP($A11,Master!$D$29:$G$225,4,FALSE)</f>
        <v>Porezi</v>
      </c>
      <c r="C11" s="534"/>
      <c r="D11" s="534"/>
      <c r="E11" s="534"/>
      <c r="F11" s="534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0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504352177.59000003</v>
      </c>
      <c r="T11" s="464">
        <f t="shared" ref="T11:T64" si="3">+S11/$T$7*100</f>
        <v>10.877629676702757</v>
      </c>
    </row>
    <row r="12" spans="1:20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52939159.909999996</v>
      </c>
      <c r="T12" s="465">
        <f t="shared" si="3"/>
        <v>1.1417668099469438</v>
      </c>
    </row>
    <row r="13" spans="1:20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56759780.129999995</v>
      </c>
      <c r="T13" s="465">
        <f t="shared" si="3"/>
        <v>1.2241681432515203</v>
      </c>
    </row>
    <row r="14" spans="1:20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733785.71</v>
      </c>
      <c r="T14" s="465">
        <f t="shared" si="3"/>
        <v>1.5825943795022213E-2</v>
      </c>
    </row>
    <row r="15" spans="1:20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279066381.57999998</v>
      </c>
      <c r="T15" s="465">
        <f t="shared" si="3"/>
        <v>6.0187719790363623</v>
      </c>
    </row>
    <row r="16" spans="1:20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97499049.179999992</v>
      </c>
      <c r="T16" s="465">
        <f t="shared" si="3"/>
        <v>2.1028134663330889</v>
      </c>
    </row>
    <row r="17" spans="1:23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12170753.529999999</v>
      </c>
      <c r="T17" s="465">
        <f t="shared" si="3"/>
        <v>0.26249306668679634</v>
      </c>
    </row>
    <row r="18" spans="1:23">
      <c r="A18" s="150">
        <v>7118</v>
      </c>
      <c r="B18" s="519" t="str">
        <f>+VLOOKUP($A18,Master!$D$29:$G$225,4,FALSE)</f>
        <v>Ostali državni porezi</v>
      </c>
      <c r="C18" s="520"/>
      <c r="D18" s="520"/>
      <c r="E18" s="520"/>
      <c r="F18" s="520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5183267.5500000007</v>
      </c>
      <c r="T18" s="465">
        <f t="shared" si="3"/>
        <v>0.11179026765302162</v>
      </c>
    </row>
    <row r="19" spans="1:23">
      <c r="A19" s="150">
        <v>712</v>
      </c>
      <c r="B19" s="529" t="str">
        <f>+VLOOKUP($A19,Master!$D$29:$G$225,4,FALSE)</f>
        <v>Doprinosi</v>
      </c>
      <c r="C19" s="530"/>
      <c r="D19" s="530"/>
      <c r="E19" s="530"/>
      <c r="F19" s="530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0</v>
      </c>
      <c r="N19" s="169">
        <f t="shared" si="5"/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236530929.43000001</v>
      </c>
      <c r="T19" s="466">
        <f t="shared" si="3"/>
        <v>5.1013874267782429</v>
      </c>
    </row>
    <row r="20" spans="1:23">
      <c r="A20" s="150">
        <v>7121</v>
      </c>
      <c r="B20" s="519" t="str">
        <f>+VLOOKUP($A20,Master!$D$29:$G$225,4,FALSE)</f>
        <v>Doprinosi za penzijsko i invalidsko osiguranje</v>
      </c>
      <c r="C20" s="520"/>
      <c r="D20" s="520"/>
      <c r="E20" s="520"/>
      <c r="F20" s="520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145681644.56</v>
      </c>
      <c r="T20" s="465">
        <f t="shared" si="3"/>
        <v>3.1419929379286544</v>
      </c>
    </row>
    <row r="21" spans="1:23">
      <c r="A21" s="150">
        <v>7122</v>
      </c>
      <c r="B21" s="519" t="str">
        <f>+VLOOKUP($A21,Master!$D$29:$G$225,4,FALSE)</f>
        <v>Doprinosi za zdravstveno osiguranje</v>
      </c>
      <c r="C21" s="520"/>
      <c r="D21" s="520"/>
      <c r="E21" s="520"/>
      <c r="F21" s="520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77833791.310000002</v>
      </c>
      <c r="T21" s="465">
        <f t="shared" si="3"/>
        <v>1.6786824679722212</v>
      </c>
    </row>
    <row r="22" spans="1:23">
      <c r="A22" s="150">
        <v>7123</v>
      </c>
      <c r="B22" s="519" t="str">
        <f>+VLOOKUP($A22,Master!$D$29:$G$225,4,FALSE)</f>
        <v>Doprinosi za osiguranje od nezaposlenosti</v>
      </c>
      <c r="C22" s="520"/>
      <c r="D22" s="520"/>
      <c r="E22" s="520"/>
      <c r="F22" s="520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7086426.5200000005</v>
      </c>
      <c r="T22" s="465">
        <f t="shared" si="3"/>
        <v>0.15283670189362897</v>
      </c>
    </row>
    <row r="23" spans="1:23">
      <c r="A23" s="150">
        <v>7124</v>
      </c>
      <c r="B23" s="519" t="str">
        <f>+VLOOKUP($A23,Master!$D$29:$G$225,4,FALSE)</f>
        <v>Ostali doprinosi</v>
      </c>
      <c r="C23" s="520"/>
      <c r="D23" s="520"/>
      <c r="E23" s="520"/>
      <c r="F23" s="520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5929067.04</v>
      </c>
      <c r="T23" s="465">
        <f t="shared" si="3"/>
        <v>0.12787531898373811</v>
      </c>
      <c r="W23" s="305"/>
    </row>
    <row r="24" spans="1:23">
      <c r="A24" s="150">
        <v>713</v>
      </c>
      <c r="B24" s="521" t="str">
        <f>+VLOOKUP($A24,Master!$D$29:$G$225,4,FALSE)</f>
        <v>Takse</v>
      </c>
      <c r="C24" s="522"/>
      <c r="D24" s="522"/>
      <c r="E24" s="522"/>
      <c r="F24" s="522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4924242.4800000004</v>
      </c>
      <c r="T24" s="466">
        <f t="shared" si="3"/>
        <v>0.1062037372212397</v>
      </c>
      <c r="W24" s="305"/>
    </row>
    <row r="25" spans="1:23">
      <c r="A25" s="150">
        <v>714</v>
      </c>
      <c r="B25" s="521" t="str">
        <f>+VLOOKUP($A25,Master!$D$29:$G$225,4,FALSE)</f>
        <v>Naknade</v>
      </c>
      <c r="C25" s="522"/>
      <c r="D25" s="522"/>
      <c r="E25" s="522"/>
      <c r="F25" s="522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17102066.899999999</v>
      </c>
      <c r="T25" s="466">
        <f t="shared" si="3"/>
        <v>0.36884930552560063</v>
      </c>
    </row>
    <row r="26" spans="1:23">
      <c r="A26" s="150">
        <v>715</v>
      </c>
      <c r="B26" s="521" t="str">
        <f>+VLOOKUP($A26,Master!$D$29:$G$225,4,FALSE)</f>
        <v>Ostali prihodi</v>
      </c>
      <c r="C26" s="522"/>
      <c r="D26" s="522"/>
      <c r="E26" s="522"/>
      <c r="F26" s="522"/>
      <c r="G26" s="175">
        <v>1525776.04</v>
      </c>
      <c r="H26" s="175">
        <v>1791757.35</v>
      </c>
      <c r="I26" s="175">
        <v>1695243.19</v>
      </c>
      <c r="J26" s="175">
        <v>1359110.1400000001</v>
      </c>
      <c r="K26" s="175">
        <v>3299640.06</v>
      </c>
      <c r="L26" s="175">
        <v>2267147.4000000004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11938674.180000002</v>
      </c>
      <c r="T26" s="466">
        <f t="shared" si="3"/>
        <v>0.25748768882370704</v>
      </c>
    </row>
    <row r="27" spans="1:23">
      <c r="A27" s="150">
        <v>73</v>
      </c>
      <c r="B27" s="521" t="str">
        <f>+VLOOKUP($A27,Master!$D$29:$G$225,4,FALSE)</f>
        <v>Primici od otplate kredita i sredstva prenesena iz prethodne godine</v>
      </c>
      <c r="C27" s="522"/>
      <c r="D27" s="522"/>
      <c r="E27" s="522"/>
      <c r="F27" s="522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4636824.5</v>
      </c>
      <c r="T27" s="466">
        <f t="shared" si="3"/>
        <v>0.10000484191002028</v>
      </c>
    </row>
    <row r="28" spans="1:23" ht="13.5" thickBot="1">
      <c r="A28" s="150">
        <v>74</v>
      </c>
      <c r="B28" s="523" t="str">
        <f>+VLOOKUP($A28,Master!$D$29:$G$225,4,FALSE)</f>
        <v>Donacije i transferi</v>
      </c>
      <c r="C28" s="524"/>
      <c r="D28" s="524"/>
      <c r="E28" s="524"/>
      <c r="F28" s="524"/>
      <c r="G28" s="175">
        <v>196070.01</v>
      </c>
      <c r="H28" s="175">
        <v>1359247.78</v>
      </c>
      <c r="I28" s="175">
        <v>1506140.11</v>
      </c>
      <c r="J28" s="175">
        <v>1551438.49</v>
      </c>
      <c r="K28" s="175">
        <v>1024447.65</v>
      </c>
      <c r="L28" s="175">
        <v>2475407.79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8112751.830000001</v>
      </c>
      <c r="T28" s="467">
        <f t="shared" si="3"/>
        <v>0.1749720016822672</v>
      </c>
    </row>
    <row r="29" spans="1:23" ht="13.5" thickBot="1">
      <c r="A29" s="150">
        <v>4</v>
      </c>
      <c r="B29" s="509" t="str">
        <f>+VLOOKUP($A29,Master!$D$29:$G$225,4,FALSE)</f>
        <v>Izdaci budžeta</v>
      </c>
      <c r="C29" s="510"/>
      <c r="D29" s="510"/>
      <c r="E29" s="510"/>
      <c r="F29" s="510"/>
      <c r="G29" s="151">
        <f>+G30+G40+G46+SUM(G47:G51)</f>
        <v>127396828.25</v>
      </c>
      <c r="H29" s="151">
        <f t="shared" ref="H29:R29" si="6">+H30+H40+H46+SUM(H47:H51)</f>
        <v>159900252.53</v>
      </c>
      <c r="I29" s="151">
        <f t="shared" si="6"/>
        <v>164547073.56</v>
      </c>
      <c r="J29" s="151">
        <f t="shared" si="6"/>
        <v>184233665.84999999</v>
      </c>
      <c r="K29" s="151">
        <f t="shared" si="6"/>
        <v>156171623.56</v>
      </c>
      <c r="L29" s="151">
        <f t="shared" si="6"/>
        <v>155973616.70000002</v>
      </c>
      <c r="M29" s="151">
        <f t="shared" si="6"/>
        <v>0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948223060.45000005</v>
      </c>
      <c r="T29" s="468">
        <f t="shared" si="3"/>
        <v>20.450827340076781</v>
      </c>
    </row>
    <row r="30" spans="1:23">
      <c r="A30" s="150">
        <v>41</v>
      </c>
      <c r="B30" s="527" t="str">
        <f>+VLOOKUP($A30,Master!$D$29:$G$225,4,FALSE)</f>
        <v>Tekući izdaci</v>
      </c>
      <c r="C30" s="528"/>
      <c r="D30" s="528"/>
      <c r="E30" s="528"/>
      <c r="F30" s="528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74936494.010000005</v>
      </c>
      <c r="J30" s="187">
        <f t="shared" si="7"/>
        <v>90501253.180000007</v>
      </c>
      <c r="K30" s="187">
        <f t="shared" si="7"/>
        <v>68135737.74000001</v>
      </c>
      <c r="L30" s="187">
        <f t="shared" si="7"/>
        <v>67098932.450000003</v>
      </c>
      <c r="M30" s="187">
        <f t="shared" si="7"/>
        <v>0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414850924.66000003</v>
      </c>
      <c r="T30" s="464">
        <f t="shared" si="3"/>
        <v>8.9473089043695815</v>
      </c>
      <c r="U30" s="242"/>
    </row>
    <row r="31" spans="1:23">
      <c r="A31" s="150">
        <v>411</v>
      </c>
      <c r="B31" s="519" t="str">
        <f>+VLOOKUP($A31,Master!$D$29:$G$225,4,FALSE)</f>
        <v>Bruto zarade i doprinosi na teret poslodavca</v>
      </c>
      <c r="C31" s="520"/>
      <c r="D31" s="520"/>
      <c r="E31" s="520"/>
      <c r="F31" s="520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271240464.42000002</v>
      </c>
      <c r="T31" s="465">
        <f t="shared" si="3"/>
        <v>5.8499862921105992</v>
      </c>
    </row>
    <row r="32" spans="1:23">
      <c r="A32" s="150">
        <v>412</v>
      </c>
      <c r="B32" s="519" t="str">
        <f>+VLOOKUP($A32,Master!$D$29:$G$225,4,FALSE)</f>
        <v>Ostala lična primanja</v>
      </c>
      <c r="C32" s="520"/>
      <c r="D32" s="520"/>
      <c r="E32" s="520"/>
      <c r="F32" s="520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847955.01</v>
      </c>
      <c r="L32" s="163">
        <v>813914.56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4618214.0999999996</v>
      </c>
      <c r="T32" s="465">
        <f t="shared" si="3"/>
        <v>9.9603461588232758E-2</v>
      </c>
      <c r="U32" s="458"/>
    </row>
    <row r="33" spans="1:21">
      <c r="A33" s="150">
        <v>413</v>
      </c>
      <c r="B33" s="519" t="str">
        <f>+VLOOKUP($A33,Master!$D$29:$G$225,4,FALSE)</f>
        <v>Rashodi za materijal</v>
      </c>
      <c r="C33" s="520"/>
      <c r="D33" s="520"/>
      <c r="E33" s="520"/>
      <c r="F33" s="520"/>
      <c r="G33" s="163">
        <v>596838.26</v>
      </c>
      <c r="H33" s="163">
        <v>1661848.94</v>
      </c>
      <c r="I33" s="163">
        <v>2846615.59</v>
      </c>
      <c r="J33" s="163">
        <v>2297097.17</v>
      </c>
      <c r="K33" s="163">
        <v>3107844.52</v>
      </c>
      <c r="L33" s="163">
        <v>3282627.05</v>
      </c>
      <c r="M33" s="163">
        <v>0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13792871.530000001</v>
      </c>
      <c r="T33" s="465">
        <f t="shared" si="3"/>
        <v>0.29747814195746886</v>
      </c>
      <c r="U33" s="458"/>
    </row>
    <row r="34" spans="1:21" s="362" customFormat="1">
      <c r="A34" s="361">
        <v>414</v>
      </c>
      <c r="B34" s="588" t="str">
        <f>+VLOOKUP($A34,Master!$D$29:$G$225,4,FALSE)</f>
        <v>Rashodi za usluge</v>
      </c>
      <c r="C34" s="589"/>
      <c r="D34" s="589"/>
      <c r="E34" s="589"/>
      <c r="F34" s="589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5020178.45</v>
      </c>
      <c r="L34" s="163">
        <v>3880471.86</v>
      </c>
      <c r="M34" s="163">
        <v>0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22088686.800000001</v>
      </c>
      <c r="T34" s="465">
        <f t="shared" si="3"/>
        <v>0.47639836949488851</v>
      </c>
      <c r="U34" s="458"/>
    </row>
    <row r="35" spans="1:21">
      <c r="A35" s="150">
        <v>415</v>
      </c>
      <c r="B35" s="519" t="str">
        <f>+VLOOKUP($A35,Master!$D$29:$G$225,4,FALSE)</f>
        <v>Rashodi za tekuće održavanje</v>
      </c>
      <c r="C35" s="520"/>
      <c r="D35" s="520"/>
      <c r="E35" s="520"/>
      <c r="F35" s="520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1668289.12</v>
      </c>
      <c r="M35" s="163">
        <v>0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8612395.8599999994</v>
      </c>
      <c r="T35" s="465">
        <f t="shared" si="3"/>
        <v>0.18574808825432429</v>
      </c>
      <c r="U35" s="458"/>
    </row>
    <row r="36" spans="1:21">
      <c r="A36" s="150">
        <v>416</v>
      </c>
      <c r="B36" s="519" t="str">
        <f>+VLOOKUP($A36,Master!$D$29:$G$225,4,FALSE)</f>
        <v>Kamate</v>
      </c>
      <c r="C36" s="520"/>
      <c r="D36" s="520"/>
      <c r="E36" s="520"/>
      <c r="F36" s="520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0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59088525.250000007</v>
      </c>
      <c r="T36" s="465">
        <f t="shared" si="3"/>
        <v>1.2743934186688524</v>
      </c>
      <c r="U36" s="458"/>
    </row>
    <row r="37" spans="1:21">
      <c r="A37" s="150">
        <v>417</v>
      </c>
      <c r="B37" s="519" t="str">
        <f>+VLOOKUP($A37,Master!$D$29:$G$225,4,FALSE)</f>
        <v>Renta</v>
      </c>
      <c r="C37" s="520"/>
      <c r="D37" s="520"/>
      <c r="E37" s="520"/>
      <c r="F37" s="520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989320.52</v>
      </c>
      <c r="M37" s="163">
        <v>0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4230504.8800000008</v>
      </c>
      <c r="T37" s="465">
        <f t="shared" si="3"/>
        <v>9.1241532157184155E-2</v>
      </c>
      <c r="U37" s="458"/>
    </row>
    <row r="38" spans="1:21">
      <c r="A38" s="150">
        <v>418</v>
      </c>
      <c r="B38" s="519" t="str">
        <f>+VLOOKUP($A38,Master!$D$29:$G$225,4,FALSE)</f>
        <v>Subvencije</v>
      </c>
      <c r="C38" s="520"/>
      <c r="D38" s="520"/>
      <c r="E38" s="520"/>
      <c r="F38" s="520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0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16556557.139999999</v>
      </c>
      <c r="T38" s="465">
        <f t="shared" si="3"/>
        <v>0.35708400854074102</v>
      </c>
      <c r="U38" s="458"/>
    </row>
    <row r="39" spans="1:21" s="362" customFormat="1">
      <c r="A39" s="361">
        <v>419</v>
      </c>
      <c r="B39" s="588" t="str">
        <f>+VLOOKUP($A39,Master!$D$29:$G$225,4,FALSE)</f>
        <v>Ostali izdaci</v>
      </c>
      <c r="C39" s="589"/>
      <c r="D39" s="589"/>
      <c r="E39" s="589"/>
      <c r="F39" s="589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2773464.89</v>
      </c>
      <c r="M39" s="163">
        <v>0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14622704.68</v>
      </c>
      <c r="T39" s="465">
        <f t="shared" si="3"/>
        <v>0.31537559159729112</v>
      </c>
      <c r="U39" s="458"/>
    </row>
    <row r="40" spans="1:21">
      <c r="A40" s="150">
        <v>42</v>
      </c>
      <c r="B40" s="515" t="str">
        <f>+VLOOKUP($A40,Master!$D$29:$G$225,4,FALSE)</f>
        <v>Transferi za socijalnu zaštitu</v>
      </c>
      <c r="C40" s="516"/>
      <c r="D40" s="516"/>
      <c r="E40" s="516"/>
      <c r="F40" s="516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75">
        <f t="shared" si="8"/>
        <v>47454391.899999991</v>
      </c>
      <c r="K40" s="193">
        <f t="shared" si="8"/>
        <v>47582478.649999999</v>
      </c>
      <c r="L40" s="193">
        <f t="shared" si="8"/>
        <v>47719015.670000009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243">
        <f t="shared" si="4"/>
        <v>279980096.79999995</v>
      </c>
      <c r="T40" s="466">
        <f t="shared" si="3"/>
        <v>6.0384785575637316</v>
      </c>
      <c r="U40" s="242"/>
    </row>
    <row r="41" spans="1:21">
      <c r="A41" s="150">
        <v>421</v>
      </c>
      <c r="B41" s="519" t="str">
        <f>+VLOOKUP($A41,Master!$D$29:$G$225,4,FALSE)</f>
        <v>Prava iz oblasti socijalne zaštite</v>
      </c>
      <c r="C41" s="520"/>
      <c r="D41" s="520"/>
      <c r="E41" s="520"/>
      <c r="F41" s="520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0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40013765.259999998</v>
      </c>
      <c r="T41" s="465">
        <f t="shared" si="3"/>
        <v>0.86299799982745973</v>
      </c>
      <c r="U41" s="458"/>
    </row>
    <row r="42" spans="1:21">
      <c r="A42" s="150">
        <v>422</v>
      </c>
      <c r="B42" s="519" t="str">
        <f>+VLOOKUP($A42,Master!$D$29:$G$225,4,FALSE)</f>
        <v>Sredstva za tehnološke viškove</v>
      </c>
      <c r="C42" s="520"/>
      <c r="D42" s="520"/>
      <c r="E42" s="520"/>
      <c r="F42" s="520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10151094.299999999</v>
      </c>
      <c r="T42" s="465">
        <f t="shared" si="3"/>
        <v>0.21893400983479272</v>
      </c>
      <c r="U42" s="458"/>
    </row>
    <row r="43" spans="1:21">
      <c r="A43" s="150">
        <v>423</v>
      </c>
      <c r="B43" s="519" t="str">
        <f>+VLOOKUP($A43,Master!$D$29:$G$225,4,FALSE)</f>
        <v>Prava iz oblasti penzijskog i invalidskog osiguranja</v>
      </c>
      <c r="C43" s="520"/>
      <c r="D43" s="520"/>
      <c r="E43" s="520"/>
      <c r="F43" s="520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35696766.840000004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216303299.15000001</v>
      </c>
      <c r="T43" s="465">
        <f t="shared" si="3"/>
        <v>4.6651274457576672</v>
      </c>
      <c r="U43" s="458"/>
    </row>
    <row r="44" spans="1:21">
      <c r="A44" s="150">
        <v>424</v>
      </c>
      <c r="B44" s="519" t="str">
        <f>+VLOOKUP($A44,Master!$D$29:$G$225,4,FALSE)</f>
        <v>Ostala prava iz oblasti zdravstvene zaštite</v>
      </c>
      <c r="C44" s="520"/>
      <c r="D44" s="520"/>
      <c r="E44" s="520"/>
      <c r="F44" s="520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8425594.3599999994</v>
      </c>
      <c r="T44" s="465">
        <f t="shared" si="3"/>
        <v>0.18171924168571796</v>
      </c>
      <c r="U44" s="458"/>
    </row>
    <row r="45" spans="1:21" s="362" customFormat="1">
      <c r="A45" s="361">
        <v>425</v>
      </c>
      <c r="B45" s="584" t="str">
        <f>+VLOOKUP($A45,Master!$D$29:$G$225,4,FALSE)</f>
        <v>Ostala prava iz zdravstvenog osiguranja</v>
      </c>
      <c r="C45" s="585"/>
      <c r="D45" s="585"/>
      <c r="E45" s="585"/>
      <c r="F45" s="585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5086343.7300000004</v>
      </c>
      <c r="T45" s="465">
        <f t="shared" si="3"/>
        <v>0.10969986045809431</v>
      </c>
      <c r="U45" s="458"/>
    </row>
    <row r="46" spans="1:21">
      <c r="A46" s="150">
        <v>43</v>
      </c>
      <c r="B46" s="517" t="str">
        <f>+VLOOKUP($A46,Master!$D$29:$G$225,4,FALSE)</f>
        <v xml:space="preserve">Transferi institucijama, pojedincima, nevladinom i javnom sektoru </v>
      </c>
      <c r="C46" s="518"/>
      <c r="D46" s="518"/>
      <c r="E46" s="518"/>
      <c r="F46" s="518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0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118636929.27</v>
      </c>
      <c r="T46" s="466">
        <f t="shared" si="3"/>
        <v>2.5587052855540695</v>
      </c>
      <c r="U46" s="482"/>
    </row>
    <row r="47" spans="1:21">
      <c r="A47" s="150">
        <v>44</v>
      </c>
      <c r="B47" s="517" t="str">
        <f>+VLOOKUP($A47,Master!$D$29:$G$225,4,FALSE)</f>
        <v>Kapitalni izdaci</v>
      </c>
      <c r="C47" s="518"/>
      <c r="D47" s="518"/>
      <c r="E47" s="518"/>
      <c r="F47" s="518"/>
      <c r="G47" s="175">
        <v>11603510.130000001</v>
      </c>
      <c r="H47" s="175">
        <v>7242535.6100000003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62491682.150000006</v>
      </c>
      <c r="T47" s="466">
        <f t="shared" si="3"/>
        <v>1.3477911001595999</v>
      </c>
      <c r="U47" s="482"/>
    </row>
    <row r="48" spans="1:21">
      <c r="A48" s="150">
        <v>451</v>
      </c>
      <c r="B48" s="586" t="str">
        <f>+VLOOKUP($A48,Master!$D$29:$G$225,4,FALSE)</f>
        <v>Pozajmice i krediti</v>
      </c>
      <c r="C48" s="587"/>
      <c r="D48" s="587"/>
      <c r="E48" s="587"/>
      <c r="F48" s="587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828780</v>
      </c>
      <c r="T48" s="465">
        <f t="shared" si="3"/>
        <v>1.7874735797782856E-2</v>
      </c>
      <c r="U48" s="482"/>
    </row>
    <row r="49" spans="1:21" s="362" customFormat="1">
      <c r="A49" s="361">
        <v>47</v>
      </c>
      <c r="B49" s="578" t="str">
        <f>+VLOOKUP($A49,Master!$D$29:$G$225,4,FALSE)</f>
        <v>Rezerve</v>
      </c>
      <c r="C49" s="579"/>
      <c r="D49" s="579"/>
      <c r="E49" s="579"/>
      <c r="F49" s="579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0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49654378.669999994</v>
      </c>
      <c r="T49" s="465">
        <f t="shared" si="3"/>
        <v>1.0709221988094724</v>
      </c>
      <c r="U49" s="482"/>
    </row>
    <row r="50" spans="1:21" ht="13.5" thickBot="1">
      <c r="A50" s="150">
        <v>462</v>
      </c>
      <c r="B50" s="505" t="str">
        <f>+VLOOKUP($A50,Master!$D$29:$G$225,4,FALSE)</f>
        <v>Otplata garancija</v>
      </c>
      <c r="C50" s="506"/>
      <c r="D50" s="506"/>
      <c r="E50" s="506"/>
      <c r="F50" s="506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3831496.4</v>
      </c>
      <c r="T50" s="465">
        <f t="shared" si="3"/>
        <v>8.2635905620497774E-2</v>
      </c>
      <c r="U50" s="482"/>
    </row>
    <row r="51" spans="1:21" ht="13.5" thickBot="1">
      <c r="A51" s="144">
        <v>4630</v>
      </c>
      <c r="B51" s="580" t="str">
        <f>+VLOOKUP($A51,Master!$D$29:$G$225,4,TRUE)</f>
        <v>Otplata obaveza iz prethodnog perioda</v>
      </c>
      <c r="C51" s="581"/>
      <c r="D51" s="581"/>
      <c r="E51" s="581"/>
      <c r="F51" s="581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1293176.52</v>
      </c>
      <c r="M51" s="459">
        <v>0</v>
      </c>
      <c r="N51" s="459">
        <v>0</v>
      </c>
      <c r="O51" s="459">
        <v>0</v>
      </c>
      <c r="P51" s="459">
        <v>0</v>
      </c>
      <c r="Q51" s="459">
        <v>0</v>
      </c>
      <c r="R51" s="460">
        <v>0</v>
      </c>
      <c r="S51" s="426">
        <f>+SUM(G51:R51)</f>
        <v>17948772.5</v>
      </c>
      <c r="T51" s="469">
        <f t="shared" si="3"/>
        <v>0.3871106522020446</v>
      </c>
      <c r="U51" s="482"/>
    </row>
    <row r="52" spans="1:21" ht="13.5" thickBot="1">
      <c r="A52" s="70">
        <v>1005</v>
      </c>
      <c r="B52" s="582" t="str">
        <f>+VLOOKUP($A52,Master!$D$29:$G$227,4,FALSE)</f>
        <v>Neto povećanje obaveza</v>
      </c>
      <c r="C52" s="583"/>
      <c r="D52" s="583"/>
      <c r="E52" s="583"/>
      <c r="F52" s="583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 t="shared" ref="G53:R53" si="9">+G10-G29</f>
        <v>-38751394.929999992</v>
      </c>
      <c r="H53" s="151">
        <f t="shared" si="9"/>
        <v>-54298199.260000005</v>
      </c>
      <c r="I53" s="151">
        <f t="shared" si="9"/>
        <v>-10369638.860000014</v>
      </c>
      <c r="J53" s="151">
        <f t="shared" si="9"/>
        <v>-40138037.24999997</v>
      </c>
      <c r="K53" s="151">
        <f t="shared" si="9"/>
        <v>-20042247.480000019</v>
      </c>
      <c r="L53" s="151">
        <f t="shared" si="9"/>
        <v>2974124.2399999797</v>
      </c>
      <c r="M53" s="151">
        <f t="shared" si="9"/>
        <v>0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-160625393.54000002</v>
      </c>
      <c r="T53" s="471">
        <f t="shared" si="3"/>
        <v>-3.4642926614329466</v>
      </c>
    </row>
    <row r="54" spans="1:21" ht="13.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205">
        <f t="shared" ref="G54:R54" si="10">+G53+G36</f>
        <v>-31173909.859999992</v>
      </c>
      <c r="H54" s="205">
        <f t="shared" si="10"/>
        <v>-52334008.880000003</v>
      </c>
      <c r="I54" s="205">
        <f t="shared" si="10"/>
        <v>4418343.709999986</v>
      </c>
      <c r="J54" s="205">
        <f t="shared" si="10"/>
        <v>-17369525.289999969</v>
      </c>
      <c r="K54" s="205">
        <f t="shared" si="10"/>
        <v>-13341946.640000019</v>
      </c>
      <c r="L54" s="205">
        <f t="shared" si="10"/>
        <v>8264178.6699999794</v>
      </c>
      <c r="M54" s="205">
        <f t="shared" si="10"/>
        <v>0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-101536868.28999999</v>
      </c>
      <c r="T54" s="471">
        <f t="shared" si="3"/>
        <v>-2.1898992427640942</v>
      </c>
    </row>
    <row r="55" spans="1:21">
      <c r="A55" s="144">
        <v>46</v>
      </c>
      <c r="B55" s="576" t="str">
        <f>+VLOOKUP($A55,Master!$D$29:$G$225,4,FALSE)</f>
        <v>Otplata dugova</v>
      </c>
      <c r="C55" s="577"/>
      <c r="D55" s="577"/>
      <c r="E55" s="577"/>
      <c r="F55" s="577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0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350558736.19000006</v>
      </c>
      <c r="T55" s="472">
        <f t="shared" si="3"/>
        <v>7.560685333865333</v>
      </c>
    </row>
    <row r="56" spans="1:21">
      <c r="A56" s="144">
        <v>4611</v>
      </c>
      <c r="B56" s="503" t="str">
        <f>+VLOOKUP($A56,Master!$D$29:$G$225,4,FALSE)</f>
        <v>Otplata hartija od vrijednosti i kredita rezidentima</v>
      </c>
      <c r="C56" s="504"/>
      <c r="D56" s="504"/>
      <c r="E56" s="504"/>
      <c r="F56" s="504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65871478.150000006</v>
      </c>
      <c r="T56" s="473">
        <f t="shared" si="3"/>
        <v>1.4206849447871286</v>
      </c>
    </row>
    <row r="57" spans="1:21" ht="13.5" thickBot="1">
      <c r="A57" s="144">
        <v>4612</v>
      </c>
      <c r="B57" s="487" t="str">
        <f>+VLOOKUP($A57,Master!$D$29:$G$225,4,FALSE)</f>
        <v>Otplata hartija od vrijednosti i kredita nerezidentima</v>
      </c>
      <c r="C57" s="488"/>
      <c r="D57" s="488"/>
      <c r="E57" s="488"/>
      <c r="F57" s="488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284687258.04000002</v>
      </c>
      <c r="T57" s="473">
        <f t="shared" si="3"/>
        <v>6.140000389078204</v>
      </c>
    </row>
    <row r="58" spans="1:21" ht="13.5" thickBot="1">
      <c r="A58" s="144">
        <v>4418</v>
      </c>
      <c r="B58" s="525" t="str">
        <f>+VLOOKUP($A58,Master!$D$29:$G$225,4,FALSE)</f>
        <v>Izdaci za kupovinu hartija od vrijednosti</v>
      </c>
      <c r="C58" s="526"/>
      <c r="D58" s="526"/>
      <c r="E58" s="526"/>
      <c r="F58" s="526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07" t="str">
        <f>+VLOOKUP($A59,Master!$D$29:$G$225,4,FALSE)</f>
        <v>Nedostajuća sredstva</v>
      </c>
      <c r="C59" s="508"/>
      <c r="D59" s="508"/>
      <c r="E59" s="508"/>
      <c r="F59" s="508"/>
      <c r="G59" s="217">
        <f>+G53-G55-G58</f>
        <v>-62082163.749999993</v>
      </c>
      <c r="H59" s="217">
        <f t="shared" ref="H59:R59" si="12">+H53-H55-H58</f>
        <v>-78553220.610000014</v>
      </c>
      <c r="I59" s="217">
        <f t="shared" si="12"/>
        <v>-249153410.10000002</v>
      </c>
      <c r="J59" s="217">
        <f t="shared" si="12"/>
        <v>-72991500.509999961</v>
      </c>
      <c r="K59" s="217">
        <f t="shared" si="12"/>
        <v>-36325075.400000021</v>
      </c>
      <c r="L59" s="217">
        <f t="shared" si="12"/>
        <v>-12078759.360000022</v>
      </c>
      <c r="M59" s="217">
        <f t="shared" si="12"/>
        <v>0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-511184129.73000008</v>
      </c>
      <c r="T59" s="475">
        <f t="shared" si="3"/>
        <v>-11.024977995298281</v>
      </c>
    </row>
    <row r="60" spans="1:21" ht="13.5" thickBot="1">
      <c r="A60" s="144">
        <v>1003</v>
      </c>
      <c r="B60" s="509" t="str">
        <f>+VLOOKUP($A60,Master!$D$29:$G$225,4,FALSE)</f>
        <v>Finansiranje</v>
      </c>
      <c r="C60" s="510"/>
      <c r="D60" s="510"/>
      <c r="E60" s="510"/>
      <c r="F60" s="510"/>
      <c r="G60" s="151">
        <f>+SUM(G61:G64)</f>
        <v>62082163.749999993</v>
      </c>
      <c r="H60" s="151">
        <f t="shared" ref="H60:R60" si="13">+SUM(H61:H64)</f>
        <v>78553220.610000014</v>
      </c>
      <c r="I60" s="151">
        <f t="shared" si="13"/>
        <v>249153410.10000002</v>
      </c>
      <c r="J60" s="151">
        <f t="shared" si="13"/>
        <v>72991500.509999961</v>
      </c>
      <c r="K60" s="151">
        <f t="shared" si="13"/>
        <v>36325075.400000021</v>
      </c>
      <c r="L60" s="151">
        <f t="shared" si="13"/>
        <v>12078759.360000022</v>
      </c>
      <c r="M60" s="151">
        <f t="shared" si="13"/>
        <v>0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511184129.73000008</v>
      </c>
      <c r="T60" s="476">
        <f t="shared" si="3"/>
        <v>11.024977995298281</v>
      </c>
    </row>
    <row r="61" spans="1:21">
      <c r="A61" s="144">
        <v>7511</v>
      </c>
      <c r="B61" s="503" t="str">
        <f>+VLOOKUP($A61,Master!$D$29:$G$225,4,FALSE)</f>
        <v>Pozajmice i krediti od domaćih izvora</v>
      </c>
      <c r="C61" s="504"/>
      <c r="D61" s="504"/>
      <c r="E61" s="504"/>
      <c r="F61" s="504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487" t="str">
        <f>+VLOOKUP($A62,Master!$D$29:$G$225,4,FALSE)</f>
        <v>Pozajmice i krediti od inostranih izvora</v>
      </c>
      <c r="C62" s="488"/>
      <c r="D62" s="488"/>
      <c r="E62" s="488"/>
      <c r="F62" s="488"/>
      <c r="G62" s="211">
        <v>7426147.9800000004</v>
      </c>
      <c r="H62" s="211">
        <v>2794027.91</v>
      </c>
      <c r="I62" s="211">
        <v>392627.11</v>
      </c>
      <c r="J62" s="211">
        <v>12943736.949999999</v>
      </c>
      <c r="K62" s="211">
        <v>1156634.1200000001</v>
      </c>
      <c r="L62" s="211">
        <v>32783536.34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57496710.409999996</v>
      </c>
      <c r="T62" s="473">
        <f t="shared" si="3"/>
        <v>1.2400619076478454</v>
      </c>
    </row>
    <row r="63" spans="1:21">
      <c r="A63" s="144">
        <v>72</v>
      </c>
      <c r="B63" s="487" t="str">
        <f>+VLOOKUP($A63,Master!$D$29:$G$225,4,FALSE)</f>
        <v>Primici od prodaje imovine</v>
      </c>
      <c r="C63" s="488"/>
      <c r="D63" s="488"/>
      <c r="E63" s="488"/>
      <c r="F63" s="488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669564.07000000007</v>
      </c>
      <c r="T63" s="473">
        <f t="shared" si="3"/>
        <v>1.4440841780615107E-2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54621267.159999989</v>
      </c>
      <c r="H64" s="225">
        <f t="shared" ref="H64:R64" si="14">-H59-SUM(H61:H63)</f>
        <v>75729624.37000002</v>
      </c>
      <c r="I64" s="225">
        <f t="shared" si="14"/>
        <v>248708618.60000002</v>
      </c>
      <c r="J64" s="225">
        <f t="shared" si="14"/>
        <v>60008511.589999959</v>
      </c>
      <c r="K64" s="225">
        <f t="shared" si="14"/>
        <v>34871289.710000023</v>
      </c>
      <c r="L64" s="225">
        <f t="shared" si="14"/>
        <v>-20921456.179999977</v>
      </c>
      <c r="M64" s="225">
        <f t="shared" si="14"/>
        <v>0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453017855.25</v>
      </c>
      <c r="T64" s="477">
        <f t="shared" si="3"/>
        <v>9.7704752458698181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65" t="str">
        <f>+Master!G252</f>
        <v>Plan ostvarenja budžeta</v>
      </c>
      <c r="C81" s="566"/>
      <c r="D81" s="566"/>
      <c r="E81" s="566"/>
      <c r="F81" s="566"/>
      <c r="G81" s="573">
        <v>2021</v>
      </c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5"/>
      <c r="S81" s="107" t="str">
        <f>+S7</f>
        <v>BDP</v>
      </c>
      <c r="T81" s="108">
        <v>4636600000</v>
      </c>
    </row>
    <row r="82" spans="1:21" ht="15.75" customHeight="1">
      <c r="B82" s="567"/>
      <c r="C82" s="568"/>
      <c r="D82" s="568"/>
      <c r="E82" s="568"/>
      <c r="F82" s="569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73" t="str">
        <f>+Master!G246</f>
        <v>Jan - Dec</v>
      </c>
      <c r="T82" s="575">
        <f>+T8</f>
        <v>0</v>
      </c>
    </row>
    <row r="83" spans="1:21" ht="13.5" thickBot="1">
      <c r="B83" s="570"/>
      <c r="C83" s="571"/>
      <c r="D83" s="571"/>
      <c r="E83" s="571"/>
      <c r="F83" s="572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61" t="str">
        <f>+VLOOKUP(LEFT($A84,LEN(A84)-1)*1,Master!$D$29:$G$225,4,FALSE)</f>
        <v>Prihodi budžeta</v>
      </c>
      <c r="C84" s="562"/>
      <c r="D84" s="562"/>
      <c r="E84" s="562"/>
      <c r="F84" s="562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0</v>
      </c>
      <c r="N84" s="93">
        <f t="shared" si="18"/>
        <v>0</v>
      </c>
      <c r="O84" s="93">
        <f t="shared" si="18"/>
        <v>0</v>
      </c>
      <c r="P84" s="93">
        <f t="shared" si="18"/>
        <v>0</v>
      </c>
      <c r="Q84" s="93">
        <f t="shared" si="18"/>
        <v>0</v>
      </c>
      <c r="R84" s="93">
        <f t="shared" si="18"/>
        <v>0</v>
      </c>
      <c r="S84" s="454">
        <f>+SUM(G84:R84)</f>
        <v>773378245.42187905</v>
      </c>
      <c r="T84" s="478">
        <f>+S84/$T$81*100</f>
        <v>16.679856908551074</v>
      </c>
    </row>
    <row r="85" spans="1:21">
      <c r="A85" s="116" t="str">
        <f t="shared" si="17"/>
        <v>711p</v>
      </c>
      <c r="B85" s="563" t="str">
        <f>+VLOOKUP(LEFT($A85,LEN(A85)-1)*1,Master!$D$29:$G$225,4,FALSE)</f>
        <v>Porezi</v>
      </c>
      <c r="C85" s="564"/>
      <c r="D85" s="564"/>
      <c r="E85" s="564"/>
      <c r="F85" s="564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0</v>
      </c>
      <c r="N85" s="79">
        <f t="shared" si="19"/>
        <v>0</v>
      </c>
      <c r="O85" s="79">
        <f t="shared" si="19"/>
        <v>0</v>
      </c>
      <c r="P85" s="79">
        <f t="shared" si="19"/>
        <v>0</v>
      </c>
      <c r="Q85" s="79">
        <f t="shared" si="19"/>
        <v>0</v>
      </c>
      <c r="R85" s="80">
        <f t="shared" si="19"/>
        <v>0</v>
      </c>
      <c r="S85" s="111">
        <f t="shared" ref="S85:S138" si="20">+SUM(G85:R85)</f>
        <v>475532627.96251106</v>
      </c>
      <c r="T85" s="464">
        <f t="shared" ref="T85:T138" si="21">+S85/$T$81*100</f>
        <v>10.256063235183346</v>
      </c>
      <c r="U85" s="257"/>
    </row>
    <row r="86" spans="1:21">
      <c r="A86" s="116" t="str">
        <f t="shared" si="17"/>
        <v>7111p</v>
      </c>
      <c r="B86" s="551" t="str">
        <f>+VLOOKUP(LEFT($A86,LEN(A86)-1)*1,Master!$D$29:$G$228,4,FALSE)</f>
        <v>Porez na dohodak fizičkih lica</v>
      </c>
      <c r="C86" s="552"/>
      <c r="D86" s="552"/>
      <c r="E86" s="552"/>
      <c r="F86" s="552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112">
        <f t="shared" si="20"/>
        <v>56171696.976659417</v>
      </c>
      <c r="T86" s="465">
        <f t="shared" si="21"/>
        <v>1.2114846434167152</v>
      </c>
    </row>
    <row r="87" spans="1:21">
      <c r="A87" s="116" t="str">
        <f t="shared" si="17"/>
        <v>7112p</v>
      </c>
      <c r="B87" s="551" t="str">
        <f>+VLOOKUP(LEFT($A87,LEN(A87)-1)*1,Master!$D$29:$G$228,4,FALSE)</f>
        <v>Porez na dobit pravnih lica</v>
      </c>
      <c r="C87" s="552"/>
      <c r="D87" s="552"/>
      <c r="E87" s="552"/>
      <c r="F87" s="552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112">
        <f t="shared" si="20"/>
        <v>42688161.927233599</v>
      </c>
      <c r="T87" s="465">
        <f t="shared" si="21"/>
        <v>0.92067812464378207</v>
      </c>
    </row>
    <row r="88" spans="1:21">
      <c r="A88" s="116" t="str">
        <f t="shared" si="17"/>
        <v>7113p</v>
      </c>
      <c r="B88" s="551" t="str">
        <f>+VLOOKUP(LEFT($A88,LEN(A88)-1)*1,Master!$D$29:$G$228,4,FALSE)</f>
        <v>Porez na promet nepokretnosti</v>
      </c>
      <c r="C88" s="552"/>
      <c r="D88" s="552"/>
      <c r="E88" s="552"/>
      <c r="F88" s="552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112">
        <f t="shared" si="20"/>
        <v>782677.38459635503</v>
      </c>
      <c r="T88" s="465">
        <f t="shared" si="21"/>
        <v>1.6880416352421063E-2</v>
      </c>
    </row>
    <row r="89" spans="1:21">
      <c r="A89" s="116" t="str">
        <f t="shared" si="17"/>
        <v>7114p</v>
      </c>
      <c r="B89" s="551" t="str">
        <f>+VLOOKUP(LEFT($A89,LEN(A89)-1)*1,Master!$D$29:$G$228,4,FALSE)</f>
        <v>Porez na dodatu vrijednost</v>
      </c>
      <c r="C89" s="552"/>
      <c r="D89" s="552"/>
      <c r="E89" s="552"/>
      <c r="F89" s="552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112">
        <f t="shared" si="20"/>
        <v>267927239.95003656</v>
      </c>
      <c r="T89" s="465">
        <f t="shared" si="21"/>
        <v>5.7785282308164723</v>
      </c>
    </row>
    <row r="90" spans="1:21">
      <c r="A90" s="116" t="str">
        <f t="shared" si="17"/>
        <v>7115p</v>
      </c>
      <c r="B90" s="551" t="str">
        <f>+VLOOKUP(LEFT($A90,LEN(A90)-1)*1,Master!$D$29:$G$228,4,FALSE)</f>
        <v>Akcize</v>
      </c>
      <c r="C90" s="552"/>
      <c r="D90" s="552"/>
      <c r="E90" s="552"/>
      <c r="F90" s="552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112">
        <f t="shared" si="20"/>
        <v>91300203.205084443</v>
      </c>
      <c r="T90" s="465">
        <f t="shared" si="21"/>
        <v>1.9691196826356476</v>
      </c>
    </row>
    <row r="91" spans="1:21">
      <c r="A91" s="116" t="str">
        <f t="shared" si="17"/>
        <v>7116p</v>
      </c>
      <c r="B91" s="551" t="str">
        <f>+VLOOKUP(LEFT($A91,LEN(A91)-1)*1,Master!$D$29:$G$228,4,FALSE)</f>
        <v>Porez na međunarodnu trgovinu i transakcije</v>
      </c>
      <c r="C91" s="552"/>
      <c r="D91" s="552"/>
      <c r="E91" s="552"/>
      <c r="F91" s="552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112">
        <f t="shared" si="20"/>
        <v>11604623.076196456</v>
      </c>
      <c r="T91" s="465">
        <f t="shared" si="21"/>
        <v>0.2502830323123939</v>
      </c>
    </row>
    <row r="92" spans="1:21">
      <c r="A92" s="116" t="str">
        <f t="shared" si="17"/>
        <v>7118p</v>
      </c>
      <c r="B92" s="551" t="str">
        <f>+VLOOKUP(LEFT($A92,LEN(A92)-1)*1,Master!$D$29:$G$228,4,FALSE)</f>
        <v>Ostali državni porezi</v>
      </c>
      <c r="C92" s="552"/>
      <c r="D92" s="552"/>
      <c r="E92" s="552"/>
      <c r="F92" s="552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112">
        <f t="shared" si="20"/>
        <v>5058025.4427043004</v>
      </c>
      <c r="T92" s="465">
        <f t="shared" si="21"/>
        <v>0.10908910500591598</v>
      </c>
    </row>
    <row r="93" spans="1:21">
      <c r="A93" s="116" t="str">
        <f t="shared" si="17"/>
        <v>712p</v>
      </c>
      <c r="B93" s="559" t="str">
        <f>+VLOOKUP(LEFT($A93,LEN(A93)-1)*1,Master!$D$29:$G$228,4,FALSE)</f>
        <v>Doprinosi</v>
      </c>
      <c r="C93" s="560"/>
      <c r="D93" s="560"/>
      <c r="E93" s="560"/>
      <c r="F93" s="560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0</v>
      </c>
      <c r="N93" s="81">
        <f t="shared" si="22"/>
        <v>0</v>
      </c>
      <c r="O93" s="81">
        <f t="shared" si="22"/>
        <v>0</v>
      </c>
      <c r="P93" s="81">
        <f t="shared" si="22"/>
        <v>0</v>
      </c>
      <c r="Q93" s="81">
        <f t="shared" si="22"/>
        <v>0</v>
      </c>
      <c r="R93" s="82">
        <f t="shared" si="22"/>
        <v>0</v>
      </c>
      <c r="S93" s="113">
        <f t="shared" si="20"/>
        <v>243243712.55037749</v>
      </c>
      <c r="T93" s="466">
        <f t="shared" si="21"/>
        <v>5.2461655642146718</v>
      </c>
    </row>
    <row r="94" spans="1:21">
      <c r="A94" s="116" t="str">
        <f t="shared" si="17"/>
        <v>7121p</v>
      </c>
      <c r="B94" s="551" t="str">
        <f>+VLOOKUP(LEFT($A94,LEN(A94)-1)*1,Master!$D$29:$G$228,4,FALSE)</f>
        <v>Doprinosi za penzijsko i invalidsko osiguranje</v>
      </c>
      <c r="C94" s="552"/>
      <c r="D94" s="552"/>
      <c r="E94" s="552"/>
      <c r="F94" s="552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112">
        <f t="shared" si="20"/>
        <v>148175885.65141374</v>
      </c>
      <c r="T94" s="465">
        <f t="shared" si="21"/>
        <v>3.1957875523317463</v>
      </c>
    </row>
    <row r="95" spans="1:21">
      <c r="A95" s="116" t="str">
        <f t="shared" si="17"/>
        <v>7122p</v>
      </c>
      <c r="B95" s="551" t="str">
        <f>+VLOOKUP(LEFT($A95,LEN(A95)-1)*1,Master!$D$29:$G$228,4,FALSE)</f>
        <v>Doprinosi za zdravstveno osiguranje</v>
      </c>
      <c r="C95" s="552"/>
      <c r="D95" s="552"/>
      <c r="E95" s="552"/>
      <c r="F95" s="552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112">
        <f t="shared" si="20"/>
        <v>81395778.600063726</v>
      </c>
      <c r="T95" s="465">
        <f t="shared" si="21"/>
        <v>1.7555057283367925</v>
      </c>
    </row>
    <row r="96" spans="1:21">
      <c r="A96" s="116" t="str">
        <f t="shared" si="17"/>
        <v>7123p</v>
      </c>
      <c r="B96" s="551" t="str">
        <f>+VLOOKUP(LEFT($A96,LEN(A96)-1)*1,Master!$D$29:$G$228,4,FALSE)</f>
        <v>Doprinosi za osiguranje od nezaposlenosti</v>
      </c>
      <c r="C96" s="552"/>
      <c r="D96" s="552"/>
      <c r="E96" s="552"/>
      <c r="F96" s="552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112">
        <f t="shared" si="20"/>
        <v>7282787.217410475</v>
      </c>
      <c r="T96" s="465">
        <f t="shared" si="21"/>
        <v>0.15707171671937359</v>
      </c>
    </row>
    <row r="97" spans="1:20">
      <c r="A97" s="116" t="str">
        <f t="shared" si="17"/>
        <v>7124p</v>
      </c>
      <c r="B97" s="551" t="str">
        <f>+VLOOKUP(LEFT($A97,LEN(A97)-1)*1,Master!$D$29:$G$228,4,FALSE)</f>
        <v>Ostali doprinosi</v>
      </c>
      <c r="C97" s="552"/>
      <c r="D97" s="552"/>
      <c r="E97" s="552"/>
      <c r="F97" s="552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0</v>
      </c>
      <c r="N97" s="87">
        <v>0</v>
      </c>
      <c r="O97" s="87">
        <v>0</v>
      </c>
      <c r="P97" s="87">
        <v>0</v>
      </c>
      <c r="Q97" s="87">
        <v>0</v>
      </c>
      <c r="R97" s="87">
        <v>0</v>
      </c>
      <c r="S97" s="112">
        <f t="shared" si="20"/>
        <v>6389261.0814895649</v>
      </c>
      <c r="T97" s="465">
        <f t="shared" si="21"/>
        <v>0.13780056682676023</v>
      </c>
    </row>
    <row r="98" spans="1:20">
      <c r="A98" s="116" t="str">
        <f t="shared" si="17"/>
        <v>713p</v>
      </c>
      <c r="B98" s="557" t="str">
        <f>+VLOOKUP(LEFT($A98,LEN(A98)-1)*1,Master!$D$29:$G$228,4,FALSE)</f>
        <v>Takse</v>
      </c>
      <c r="C98" s="558"/>
      <c r="D98" s="558"/>
      <c r="E98" s="558"/>
      <c r="F98" s="558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83">
        <v>0</v>
      </c>
      <c r="S98" s="113">
        <f t="shared" si="20"/>
        <v>5586349.0751029821</v>
      </c>
      <c r="T98" s="466">
        <f t="shared" si="21"/>
        <v>0.12048373970372649</v>
      </c>
    </row>
    <row r="99" spans="1:20">
      <c r="A99" s="116" t="str">
        <f t="shared" si="17"/>
        <v>714p</v>
      </c>
      <c r="B99" s="557" t="str">
        <f>+VLOOKUP(LEFT($A99,LEN(A99)-1)*1,Master!$D$29:$G$228,4,FALSE)</f>
        <v>Naknade</v>
      </c>
      <c r="C99" s="558"/>
      <c r="D99" s="558"/>
      <c r="E99" s="558"/>
      <c r="F99" s="558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113">
        <f t="shared" si="20"/>
        <v>14502330.810648357</v>
      </c>
      <c r="T99" s="466">
        <f t="shared" si="21"/>
        <v>0.31277942480801357</v>
      </c>
    </row>
    <row r="100" spans="1:20">
      <c r="A100" s="116" t="str">
        <f t="shared" si="17"/>
        <v>715p</v>
      </c>
      <c r="B100" s="557" t="str">
        <f>+VLOOKUP(LEFT($A100,LEN(A100)-1)*1,Master!$D$29:$G$228,4,FALSE)</f>
        <v>Ostali prihodi</v>
      </c>
      <c r="C100" s="558"/>
      <c r="D100" s="558"/>
      <c r="E100" s="558"/>
      <c r="F100" s="558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113">
        <f t="shared" si="20"/>
        <v>14597924.510101624</v>
      </c>
      <c r="T100" s="466">
        <f t="shared" si="21"/>
        <v>0.31484114459089901</v>
      </c>
    </row>
    <row r="101" spans="1:20">
      <c r="A101" s="116" t="str">
        <f t="shared" si="17"/>
        <v>73p</v>
      </c>
      <c r="B101" s="557" t="str">
        <f>+VLOOKUP(LEFT($A101,LEN(A101)-1)*1,Master!$D$29:$G$228,4,FALSE)</f>
        <v>Primici od otplate kredita i sredstva prenesena iz prethodne godine</v>
      </c>
      <c r="C101" s="558"/>
      <c r="D101" s="558"/>
      <c r="E101" s="558"/>
      <c r="F101" s="558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113">
        <f t="shared" si="20"/>
        <v>3526090.3097397257</v>
      </c>
      <c r="T101" s="466">
        <f t="shared" si="21"/>
        <v>7.604905123883289E-2</v>
      </c>
    </row>
    <row r="102" spans="1:20" ht="13.5" thickBot="1">
      <c r="A102" s="116" t="str">
        <f t="shared" si="17"/>
        <v>74p</v>
      </c>
      <c r="B102" s="553" t="str">
        <f>+VLOOKUP(LEFT($A102,LEN(A102)-1)*1,Master!$D$29:$G$228,4,FALSE)</f>
        <v>Donacije i transferi</v>
      </c>
      <c r="C102" s="554"/>
      <c r="D102" s="554"/>
      <c r="E102" s="554"/>
      <c r="F102" s="554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114">
        <f t="shared" si="20"/>
        <v>16389210.203397758</v>
      </c>
      <c r="T102" s="467">
        <f t="shared" si="21"/>
        <v>0.35347474881158086</v>
      </c>
    </row>
    <row r="103" spans="1:20" ht="13.5" thickBot="1">
      <c r="A103" s="116" t="str">
        <f t="shared" si="17"/>
        <v>4p</v>
      </c>
      <c r="B103" s="535" t="str">
        <f>+VLOOKUP(LEFT($A103,LEN(A103)-1)*1,Master!$D$29:$G$228,4,FALSE)</f>
        <v>Izdaci budžeta</v>
      </c>
      <c r="C103" s="536"/>
      <c r="D103" s="536"/>
      <c r="E103" s="536"/>
      <c r="F103" s="536"/>
      <c r="G103" s="93">
        <f t="shared" ref="G103:R103" si="23">+G104+G114+G120+SUM(G121:G125)</f>
        <v>187305793.07270002</v>
      </c>
      <c r="H103" s="93">
        <f t="shared" si="23"/>
        <v>171688751.44849998</v>
      </c>
      <c r="I103" s="93">
        <f t="shared" si="23"/>
        <v>170392955.61309999</v>
      </c>
      <c r="J103" s="93">
        <f t="shared" si="23"/>
        <v>164798207.99250004</v>
      </c>
      <c r="K103" s="93">
        <f t="shared" si="23"/>
        <v>179716035.72759998</v>
      </c>
      <c r="L103" s="93">
        <f t="shared" si="23"/>
        <v>160395189.78650001</v>
      </c>
      <c r="M103" s="93">
        <f t="shared" si="23"/>
        <v>0</v>
      </c>
      <c r="N103" s="93">
        <f t="shared" si="23"/>
        <v>0</v>
      </c>
      <c r="O103" s="93">
        <f t="shared" si="23"/>
        <v>0</v>
      </c>
      <c r="P103" s="93">
        <f t="shared" si="23"/>
        <v>0</v>
      </c>
      <c r="Q103" s="93">
        <f t="shared" si="23"/>
        <v>0</v>
      </c>
      <c r="R103" s="93">
        <f t="shared" si="23"/>
        <v>0</v>
      </c>
      <c r="S103" s="452">
        <f>+SUM(G103:R103)</f>
        <v>1034296933.6409</v>
      </c>
      <c r="T103" s="479">
        <f t="shared" si="21"/>
        <v>22.307228004160375</v>
      </c>
    </row>
    <row r="104" spans="1:20">
      <c r="A104" s="116" t="str">
        <f t="shared" si="17"/>
        <v>41p</v>
      </c>
      <c r="B104" s="555" t="str">
        <f>+VLOOKUP(LEFT($A104,LEN(A104)-1)*1,Master!$D$29:$G$228,4,FALSE)</f>
        <v>Tekući izdaci</v>
      </c>
      <c r="C104" s="556"/>
      <c r="D104" s="556"/>
      <c r="E104" s="556"/>
      <c r="F104" s="556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0</v>
      </c>
      <c r="N104" s="85">
        <f t="shared" si="24"/>
        <v>0</v>
      </c>
      <c r="O104" s="85">
        <f t="shared" si="24"/>
        <v>0</v>
      </c>
      <c r="P104" s="85">
        <f t="shared" si="24"/>
        <v>0</v>
      </c>
      <c r="Q104" s="85">
        <f t="shared" si="24"/>
        <v>0</v>
      </c>
      <c r="R104" s="86">
        <f t="shared" si="24"/>
        <v>0</v>
      </c>
      <c r="S104" s="111">
        <f t="shared" si="20"/>
        <v>454312695.10230005</v>
      </c>
      <c r="T104" s="464">
        <f t="shared" si="21"/>
        <v>9.7984017405491102</v>
      </c>
    </row>
    <row r="105" spans="1:20">
      <c r="A105" s="116" t="str">
        <f t="shared" si="17"/>
        <v>411p</v>
      </c>
      <c r="B105" s="551" t="str">
        <f>+VLOOKUP(LEFT($A105,LEN(A105)-1)*1,Master!$D$29:$G$228,4,FALSE)</f>
        <v>Bruto zarade i doprinosi na teret poslodavca</v>
      </c>
      <c r="C105" s="552"/>
      <c r="D105" s="552"/>
      <c r="E105" s="552"/>
      <c r="F105" s="552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112">
        <f t="shared" si="20"/>
        <v>271823463.34920001</v>
      </c>
      <c r="T105" s="465">
        <f t="shared" si="21"/>
        <v>5.8625601377992496</v>
      </c>
    </row>
    <row r="106" spans="1:20">
      <c r="A106" s="116" t="str">
        <f t="shared" si="17"/>
        <v>412p</v>
      </c>
      <c r="B106" s="551" t="str">
        <f>+VLOOKUP(LEFT($A106,LEN(A106)-1)*1,Master!$D$29:$G$228,4,FALSE)</f>
        <v>Ostala lična primanja</v>
      </c>
      <c r="C106" s="552"/>
      <c r="D106" s="552"/>
      <c r="E106" s="552"/>
      <c r="F106" s="552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112">
        <f t="shared" si="20"/>
        <v>6546887.083999997</v>
      </c>
      <c r="T106" s="465">
        <f t="shared" si="21"/>
        <v>0.14120017003839014</v>
      </c>
    </row>
    <row r="107" spans="1:20">
      <c r="A107" s="116" t="str">
        <f t="shared" si="17"/>
        <v>413p</v>
      </c>
      <c r="B107" s="551" t="str">
        <f>+VLOOKUP(LEFT($A107,LEN(A107)-1)*1,Master!$D$29:$G$228,4,FALSE)</f>
        <v>Rashodi za materijal</v>
      </c>
      <c r="C107" s="552"/>
      <c r="D107" s="552"/>
      <c r="E107" s="552"/>
      <c r="F107" s="552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112">
        <f t="shared" si="20"/>
        <v>19731244.275299992</v>
      </c>
      <c r="T107" s="465">
        <f t="shared" si="21"/>
        <v>0.42555416200017232</v>
      </c>
    </row>
    <row r="108" spans="1:20">
      <c r="A108" s="116" t="str">
        <f t="shared" si="17"/>
        <v>414p</v>
      </c>
      <c r="B108" s="551" t="str">
        <f>+VLOOKUP(LEFT($A108,LEN(A108)-1)*1,Master!$D$29:$G$228,4,FALSE)</f>
        <v>Rashodi za usluge</v>
      </c>
      <c r="C108" s="552"/>
      <c r="D108" s="552"/>
      <c r="E108" s="552"/>
      <c r="F108" s="552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112">
        <f t="shared" si="20"/>
        <v>36107639.061700001</v>
      </c>
      <c r="T108" s="465">
        <f t="shared" si="21"/>
        <v>0.77875251394772027</v>
      </c>
    </row>
    <row r="109" spans="1:20">
      <c r="A109" s="116" t="str">
        <f t="shared" si="17"/>
        <v>415p</v>
      </c>
      <c r="B109" s="551" t="str">
        <f>+VLOOKUP(LEFT($A109,LEN(A109)-1)*1,Master!$D$29:$G$228,4,FALSE)</f>
        <v>Rashodi za tekuće održavanje</v>
      </c>
      <c r="C109" s="552"/>
      <c r="D109" s="552"/>
      <c r="E109" s="552"/>
      <c r="F109" s="552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112">
        <f t="shared" si="20"/>
        <v>10869674.567299999</v>
      </c>
      <c r="T109" s="465">
        <f t="shared" si="21"/>
        <v>0.23443200981969545</v>
      </c>
    </row>
    <row r="110" spans="1:20">
      <c r="A110" s="116" t="str">
        <f t="shared" si="17"/>
        <v>416p</v>
      </c>
      <c r="B110" s="551" t="str">
        <f>+VLOOKUP(LEFT($A110,LEN(A110)-1)*1,Master!$D$29:$G$228,4,FALSE)</f>
        <v>Kamate</v>
      </c>
      <c r="C110" s="552"/>
      <c r="D110" s="552"/>
      <c r="E110" s="552"/>
      <c r="F110" s="552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112">
        <f t="shared" si="20"/>
        <v>59452168.151100017</v>
      </c>
      <c r="T110" s="465">
        <f t="shared" si="21"/>
        <v>1.2822362970948544</v>
      </c>
    </row>
    <row r="111" spans="1:20">
      <c r="A111" s="116" t="str">
        <f t="shared" si="17"/>
        <v>417p</v>
      </c>
      <c r="B111" s="551" t="str">
        <f>+VLOOKUP(LEFT($A111,LEN(A111)-1)*1,Master!$D$29:$G$228,4,FALSE)</f>
        <v>Renta</v>
      </c>
      <c r="C111" s="552"/>
      <c r="D111" s="552"/>
      <c r="E111" s="552"/>
      <c r="F111" s="552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112">
        <f t="shared" si="20"/>
        <v>4889021.0427000001</v>
      </c>
      <c r="T111" s="465">
        <f t="shared" si="21"/>
        <v>0.10544409788853901</v>
      </c>
    </row>
    <row r="112" spans="1:20">
      <c r="A112" s="116" t="str">
        <f t="shared" si="17"/>
        <v>418p</v>
      </c>
      <c r="B112" s="551" t="str">
        <f>+VLOOKUP(LEFT($A112,LEN(A112)-1)*1,Master!$D$29:$G$228,4,FALSE)</f>
        <v>Subvencije</v>
      </c>
      <c r="C112" s="552"/>
      <c r="D112" s="552"/>
      <c r="E112" s="552"/>
      <c r="F112" s="552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112">
        <f t="shared" si="20"/>
        <v>22935970.364799999</v>
      </c>
      <c r="T112" s="465">
        <f t="shared" si="21"/>
        <v>0.49467218144329894</v>
      </c>
    </row>
    <row r="113" spans="1:20">
      <c r="A113" s="116" t="str">
        <f t="shared" si="17"/>
        <v>419p</v>
      </c>
      <c r="B113" s="551" t="str">
        <f>+VLOOKUP(LEFT($A113,LEN(A113)-1)*1,Master!$D$29:$G$228,4,FALSE)</f>
        <v>Ostali izdaci</v>
      </c>
      <c r="C113" s="552"/>
      <c r="D113" s="552"/>
      <c r="E113" s="552"/>
      <c r="F113" s="552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0</v>
      </c>
      <c r="N113" s="87">
        <v>0</v>
      </c>
      <c r="O113" s="87">
        <v>0</v>
      </c>
      <c r="P113" s="87">
        <v>0</v>
      </c>
      <c r="Q113" s="87">
        <v>0</v>
      </c>
      <c r="R113" s="87">
        <v>0</v>
      </c>
      <c r="S113" s="112">
        <f t="shared" si="20"/>
        <v>21956627.206199996</v>
      </c>
      <c r="T113" s="465">
        <f t="shared" si="21"/>
        <v>0.47355017051718928</v>
      </c>
    </row>
    <row r="114" spans="1:20">
      <c r="A114" s="116" t="str">
        <f t="shared" si="17"/>
        <v>42p</v>
      </c>
      <c r="B114" s="547" t="str">
        <f>+VLOOKUP(LEFT($A114,LEN(A114)-1)*1,Master!$D$29:$G$228,4,FALSE)</f>
        <v>Transferi za socijalnu zaštitu</v>
      </c>
      <c r="C114" s="548"/>
      <c r="D114" s="548"/>
      <c r="E114" s="548"/>
      <c r="F114" s="548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0</v>
      </c>
      <c r="N114" s="84">
        <f t="shared" si="25"/>
        <v>0</v>
      </c>
      <c r="O114" s="84">
        <f t="shared" si="25"/>
        <v>0</v>
      </c>
      <c r="P114" s="84">
        <f t="shared" si="25"/>
        <v>0</v>
      </c>
      <c r="Q114" s="84">
        <f t="shared" si="25"/>
        <v>0</v>
      </c>
      <c r="R114" s="84">
        <f t="shared" si="25"/>
        <v>0</v>
      </c>
      <c r="S114" s="113">
        <f t="shared" si="20"/>
        <v>281821348.34069997</v>
      </c>
      <c r="T114" s="466">
        <f t="shared" si="21"/>
        <v>6.0781898015938394</v>
      </c>
    </row>
    <row r="115" spans="1:20">
      <c r="A115" s="116" t="str">
        <f t="shared" si="17"/>
        <v>421p</v>
      </c>
      <c r="B115" s="551" t="str">
        <f>+VLOOKUP(LEFT($A115,LEN(A115)-1)*1,Master!$D$29:$G$228,4,FALSE)</f>
        <v>Prava iz oblasti socijalne zaštite</v>
      </c>
      <c r="C115" s="552"/>
      <c r="D115" s="552"/>
      <c r="E115" s="552"/>
      <c r="F115" s="552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0</v>
      </c>
      <c r="N115" s="87">
        <v>0</v>
      </c>
      <c r="O115" s="87">
        <v>0</v>
      </c>
      <c r="P115" s="87">
        <v>0</v>
      </c>
      <c r="Q115" s="87">
        <v>0</v>
      </c>
      <c r="R115" s="87">
        <v>0</v>
      </c>
      <c r="S115" s="112">
        <f t="shared" si="20"/>
        <v>40185440.640000001</v>
      </c>
      <c r="T115" s="465">
        <f t="shared" si="21"/>
        <v>0.86670061338049442</v>
      </c>
    </row>
    <row r="116" spans="1:20">
      <c r="A116" s="116" t="str">
        <f t="shared" ref="A116:A138" si="26">+CONCATENATE(A42,"p")</f>
        <v>422p</v>
      </c>
      <c r="B116" s="551" t="str">
        <f>+VLOOKUP(LEFT($A116,LEN(A116)-1)*1,Master!$D$29:$G$228,4,FALSE)</f>
        <v>Sredstva za tehnološke viškove</v>
      </c>
      <c r="C116" s="552"/>
      <c r="D116" s="552"/>
      <c r="E116" s="552"/>
      <c r="F116" s="552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112">
        <f t="shared" si="20"/>
        <v>10572284.891999999</v>
      </c>
      <c r="T116" s="465">
        <f t="shared" si="21"/>
        <v>0.22801804969158432</v>
      </c>
    </row>
    <row r="117" spans="1:20">
      <c r="A117" s="116" t="str">
        <f t="shared" si="26"/>
        <v>423p</v>
      </c>
      <c r="B117" s="551" t="str">
        <f>+VLOOKUP(LEFT($A117,LEN(A117)-1)*1,Master!$D$29:$G$228,4,FALSE)</f>
        <v>Prava iz oblasti penzijskog i invalidskog osiguranja</v>
      </c>
      <c r="C117" s="552"/>
      <c r="D117" s="552"/>
      <c r="E117" s="552"/>
      <c r="F117" s="552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112">
        <f t="shared" si="20"/>
        <v>216714564.36389995</v>
      </c>
      <c r="T117" s="465">
        <f t="shared" si="21"/>
        <v>4.6739974197450707</v>
      </c>
    </row>
    <row r="118" spans="1:20">
      <c r="A118" s="116" t="str">
        <f t="shared" si="26"/>
        <v>424p</v>
      </c>
      <c r="B118" s="551" t="str">
        <f>+VLOOKUP(LEFT($A118,LEN(A118)-1)*1,Master!$D$29:$G$228,4,FALSE)</f>
        <v>Ostala prava iz oblasti zdravstvene zaštite</v>
      </c>
      <c r="C118" s="552"/>
      <c r="D118" s="552"/>
      <c r="E118" s="552"/>
      <c r="F118" s="552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0</v>
      </c>
      <c r="N118" s="87">
        <v>0</v>
      </c>
      <c r="O118" s="87">
        <v>0</v>
      </c>
      <c r="P118" s="87">
        <v>0</v>
      </c>
      <c r="Q118" s="87">
        <v>0</v>
      </c>
      <c r="R118" s="87">
        <v>0</v>
      </c>
      <c r="S118" s="112">
        <f t="shared" si="20"/>
        <v>9086229.6173999999</v>
      </c>
      <c r="T118" s="465">
        <f t="shared" si="21"/>
        <v>0.19596751105120133</v>
      </c>
    </row>
    <row r="119" spans="1:20">
      <c r="A119" s="116" t="str">
        <f t="shared" si="26"/>
        <v>425p</v>
      </c>
      <c r="B119" s="551" t="str">
        <f>+VLOOKUP(LEFT($A119,LEN(A119)-1)*1,Master!$D$29:$G$228,4,FALSE)</f>
        <v>Ostala prava iz zdravstvenog osiguranja</v>
      </c>
      <c r="C119" s="552"/>
      <c r="D119" s="552"/>
      <c r="E119" s="552"/>
      <c r="F119" s="552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0</v>
      </c>
      <c r="N119" s="87">
        <v>0</v>
      </c>
      <c r="O119" s="87">
        <v>0</v>
      </c>
      <c r="P119" s="87">
        <v>0</v>
      </c>
      <c r="Q119" s="87">
        <v>0</v>
      </c>
      <c r="R119" s="87">
        <v>0</v>
      </c>
      <c r="S119" s="112">
        <f t="shared" si="20"/>
        <v>5262828.8273999998</v>
      </c>
      <c r="T119" s="465">
        <f t="shared" si="21"/>
        <v>0.1135062077254885</v>
      </c>
    </row>
    <row r="120" spans="1:20">
      <c r="A120" s="116" t="str">
        <f t="shared" si="26"/>
        <v>43p</v>
      </c>
      <c r="B120" s="549" t="str">
        <f>+VLOOKUP(LEFT($A120,LEN(A120)-1)*1,Master!$D$29:$G$228,4,FALSE)</f>
        <v xml:space="preserve">Transferi institucijama, pojedincima, nevladinom i javnom sektoru </v>
      </c>
      <c r="C120" s="550"/>
      <c r="D120" s="550"/>
      <c r="E120" s="550"/>
      <c r="F120" s="550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113">
        <f>+SUM(G120:R120)</f>
        <v>134291475.43370003</v>
      </c>
      <c r="T120" s="466">
        <f t="shared" si="21"/>
        <v>2.8963351471703409</v>
      </c>
    </row>
    <row r="121" spans="1:20">
      <c r="A121" s="116" t="str">
        <f t="shared" si="26"/>
        <v>44p</v>
      </c>
      <c r="B121" s="549" t="str">
        <f>+VLOOKUP(LEFT($A121,LEN(A121)-1)*1,Master!$D$29:$G$228,4,FALSE)</f>
        <v>Kapitalni izdaci</v>
      </c>
      <c r="C121" s="550"/>
      <c r="D121" s="550"/>
      <c r="E121" s="550"/>
      <c r="F121" s="550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113">
        <f t="shared" si="20"/>
        <v>91116023.7544</v>
      </c>
      <c r="T121" s="466">
        <f t="shared" si="21"/>
        <v>1.9651473871888883</v>
      </c>
    </row>
    <row r="122" spans="1:20">
      <c r="A122" s="116" t="str">
        <f t="shared" si="26"/>
        <v>451p</v>
      </c>
      <c r="B122" s="541" t="str">
        <f>+VLOOKUP(LEFT($A122,LEN(A122)-1)*1,Master!$D$29:$G$228,4,FALSE)</f>
        <v>Pozajmice i krediti</v>
      </c>
      <c r="C122" s="542"/>
      <c r="D122" s="542"/>
      <c r="E122" s="542"/>
      <c r="F122" s="542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87">
        <v>0</v>
      </c>
      <c r="S122" s="112">
        <f t="shared" si="20"/>
        <v>1021281.6696000001</v>
      </c>
      <c r="T122" s="465">
        <f t="shared" si="21"/>
        <v>2.2026520933442612E-2</v>
      </c>
    </row>
    <row r="123" spans="1:20">
      <c r="A123" s="116" t="str">
        <f t="shared" si="26"/>
        <v>47p</v>
      </c>
      <c r="B123" s="541" t="str">
        <f>+VLOOKUP(LEFT($A123,LEN(A123)-1)*1,Master!$D$29:$G$228,4,FALSE)</f>
        <v>Rezerve</v>
      </c>
      <c r="C123" s="542"/>
      <c r="D123" s="542"/>
      <c r="E123" s="542"/>
      <c r="F123" s="542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112">
        <f t="shared" si="20"/>
        <v>52964273.220000006</v>
      </c>
      <c r="T123" s="465">
        <f t="shared" si="21"/>
        <v>1.1423084419617824</v>
      </c>
    </row>
    <row r="124" spans="1:20">
      <c r="A124" s="116" t="str">
        <f t="shared" si="26"/>
        <v>462p</v>
      </c>
      <c r="B124" s="541" t="str">
        <f>+VLOOKUP(LEFT($A124,LEN(A124)-1)*1,Master!$D$29:$G$228,4,FALSE)</f>
        <v>Otplata garancija</v>
      </c>
      <c r="C124" s="542"/>
      <c r="D124" s="542"/>
      <c r="E124" s="542"/>
      <c r="F124" s="542"/>
      <c r="G124" s="87">
        <v>3836366.14</v>
      </c>
      <c r="H124" s="87">
        <v>20000</v>
      </c>
      <c r="I124" s="87">
        <v>20000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3876366.14</v>
      </c>
      <c r="T124" s="465">
        <f t="shared" si="21"/>
        <v>8.3603634991157319E-2</v>
      </c>
    </row>
    <row r="125" spans="1:20">
      <c r="A125" s="117" t="str">
        <f t="shared" si="26"/>
        <v>4630p</v>
      </c>
      <c r="B125" s="541" t="str">
        <f>+VLOOKUP(LEFT($A125,LEN(A125)-1)*1,Master!$D$29:$G$228,4,FALSE)</f>
        <v>Otplata obaveza iz prethodnog perioda</v>
      </c>
      <c r="C125" s="542"/>
      <c r="D125" s="542"/>
      <c r="E125" s="542"/>
      <c r="F125" s="542"/>
      <c r="G125" s="96">
        <v>1590076.06</v>
      </c>
      <c r="H125" s="87">
        <v>2656778.3092999929</v>
      </c>
      <c r="I125" s="87">
        <v>2677062.2602999979</v>
      </c>
      <c r="J125" s="87">
        <v>2665179.0145999948</v>
      </c>
      <c r="K125" s="87">
        <v>2652188.0464999946</v>
      </c>
      <c r="L125" s="87">
        <v>2652186.2894999958</v>
      </c>
      <c r="M125" s="87">
        <v>0</v>
      </c>
      <c r="N125" s="87">
        <v>0</v>
      </c>
      <c r="O125" s="87">
        <v>0</v>
      </c>
      <c r="P125" s="87">
        <v>0</v>
      </c>
      <c r="Q125" s="87">
        <v>0</v>
      </c>
      <c r="R125" s="87">
        <v>0</v>
      </c>
      <c r="S125" s="103">
        <f>+SUM(G125:R125)</f>
        <v>14893469.980199976</v>
      </c>
      <c r="T125" s="473">
        <f t="shared" si="21"/>
        <v>0.32121532977181499</v>
      </c>
    </row>
    <row r="126" spans="1:20" ht="13.5" thickBot="1">
      <c r="A126" s="116" t="str">
        <f t="shared" si="26"/>
        <v>1005p</v>
      </c>
      <c r="B126" s="541" t="str">
        <f>+VLOOKUP(LEFT($A126,LEN(A126)-1)*1,Master!$D$29:$G$228,4,FALSE)</f>
        <v>Neto povećanje obaveza</v>
      </c>
      <c r="C126" s="542"/>
      <c r="D126" s="542"/>
      <c r="E126" s="542"/>
      <c r="F126" s="542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0" ht="13.5" thickBot="1">
      <c r="A127" s="117" t="str">
        <f t="shared" si="26"/>
        <v>1000p</v>
      </c>
      <c r="B127" s="543" t="str">
        <f>+VLOOKUP(LEFT($A127,LEN(A127)-1)*1,Master!$D$29:$G$225,4,FALSE)</f>
        <v>Suficit / deficit</v>
      </c>
      <c r="C127" s="544"/>
      <c r="D127" s="544"/>
      <c r="E127" s="544"/>
      <c r="F127" s="544"/>
      <c r="G127" s="93">
        <f t="shared" ref="G127:R127" si="27">+G84-G103</f>
        <v>-98727574.791282132</v>
      </c>
      <c r="H127" s="93">
        <f t="shared" si="27"/>
        <v>-62778309.733188093</v>
      </c>
      <c r="I127" s="93">
        <f t="shared" si="27"/>
        <v>-35412575.629021287</v>
      </c>
      <c r="J127" s="93">
        <f t="shared" si="27"/>
        <v>-8960368.1709368229</v>
      </c>
      <c r="K127" s="93">
        <f t="shared" si="27"/>
        <v>-38779971.255619645</v>
      </c>
      <c r="L127" s="93">
        <f t="shared" si="27"/>
        <v>-16259888.638972968</v>
      </c>
      <c r="M127" s="93">
        <f t="shared" si="27"/>
        <v>0</v>
      </c>
      <c r="N127" s="93">
        <f t="shared" si="27"/>
        <v>0</v>
      </c>
      <c r="O127" s="93">
        <f t="shared" si="27"/>
        <v>0</v>
      </c>
      <c r="P127" s="93">
        <f t="shared" si="27"/>
        <v>0</v>
      </c>
      <c r="Q127" s="93">
        <f t="shared" si="27"/>
        <v>0</v>
      </c>
      <c r="R127" s="93">
        <f t="shared" si="27"/>
        <v>0</v>
      </c>
      <c r="S127" s="106">
        <f t="shared" si="20"/>
        <v>-260918688.21902093</v>
      </c>
      <c r="T127" s="471">
        <f t="shared" si="21"/>
        <v>-5.6273710956093028</v>
      </c>
    </row>
    <row r="128" spans="1:20" ht="13.5" thickBot="1">
      <c r="A128" s="117" t="str">
        <f t="shared" si="26"/>
        <v>1001p</v>
      </c>
      <c r="B128" s="545" t="str">
        <f>+VLOOKUP(LEFT($A128,LEN(A128)-1)*1,Master!$D$29:$G$225,4,FALSE)</f>
        <v>Primarni suficit/deficit</v>
      </c>
      <c r="C128" s="546"/>
      <c r="D128" s="546"/>
      <c r="E128" s="546"/>
      <c r="F128" s="546"/>
      <c r="G128" s="94">
        <f>+G127+G110</f>
        <v>-90839170.986682132</v>
      </c>
      <c r="H128" s="94">
        <f t="shared" ref="H128:R128" si="28">+H127+H110</f>
        <v>-61599552.579688095</v>
      </c>
      <c r="I128" s="94">
        <f t="shared" si="28"/>
        <v>-19813957.642021287</v>
      </c>
      <c r="J128" s="94">
        <f t="shared" si="28"/>
        <v>13527529.667463187</v>
      </c>
      <c r="K128" s="94">
        <f t="shared" si="28"/>
        <v>-31853472.920919642</v>
      </c>
      <c r="L128" s="94">
        <f t="shared" si="28"/>
        <v>-10887895.606072968</v>
      </c>
      <c r="M128" s="94">
        <f t="shared" si="28"/>
        <v>0</v>
      </c>
      <c r="N128" s="94">
        <f t="shared" si="28"/>
        <v>0</v>
      </c>
      <c r="O128" s="94">
        <f t="shared" si="28"/>
        <v>0</v>
      </c>
      <c r="P128" s="94">
        <f t="shared" si="28"/>
        <v>0</v>
      </c>
      <c r="Q128" s="94">
        <f t="shared" si="28"/>
        <v>0</v>
      </c>
      <c r="R128" s="94">
        <f t="shared" si="28"/>
        <v>0</v>
      </c>
      <c r="S128" s="106">
        <f t="shared" si="20"/>
        <v>-201466520.06792092</v>
      </c>
      <c r="T128" s="471">
        <f t="shared" si="21"/>
        <v>-4.3451347985144491</v>
      </c>
    </row>
    <row r="129" spans="1:20">
      <c r="A129" s="117" t="str">
        <f t="shared" si="26"/>
        <v>46p</v>
      </c>
      <c r="B129" s="547" t="str">
        <f>+VLOOKUP(LEFT($A129,LEN(A129)-1)*1,Master!$D$29:$G$225,4,FALSE)</f>
        <v>Otplata dugova</v>
      </c>
      <c r="C129" s="548"/>
      <c r="D129" s="548"/>
      <c r="E129" s="548"/>
      <c r="F129" s="548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84">
        <f t="shared" si="29"/>
        <v>0</v>
      </c>
      <c r="N129" s="84">
        <f t="shared" si="29"/>
        <v>0</v>
      </c>
      <c r="O129" s="84">
        <f t="shared" si="29"/>
        <v>0</v>
      </c>
      <c r="P129" s="84">
        <f t="shared" si="29"/>
        <v>0</v>
      </c>
      <c r="Q129" s="84">
        <f t="shared" si="29"/>
        <v>0</v>
      </c>
      <c r="R129" s="84">
        <f t="shared" si="29"/>
        <v>0</v>
      </c>
      <c r="S129" s="104">
        <f t="shared" si="20"/>
        <v>369236550.82999998</v>
      </c>
      <c r="T129" s="472">
        <f t="shared" si="21"/>
        <v>7.9635196227839362</v>
      </c>
    </row>
    <row r="130" spans="1:20">
      <c r="A130" s="117" t="str">
        <f t="shared" si="26"/>
        <v>4611p</v>
      </c>
      <c r="B130" s="539" t="str">
        <f>+VLOOKUP(LEFT($A130,LEN(A130)-1)*1,Master!$D$29:$G$225,4,FALSE)</f>
        <v>Otplata hartija od vrijednosti i kredita rezidentima</v>
      </c>
      <c r="C130" s="540"/>
      <c r="D130" s="540"/>
      <c r="E130" s="540"/>
      <c r="F130" s="540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103">
        <f t="shared" si="20"/>
        <v>71274824.340000004</v>
      </c>
      <c r="T130" s="473">
        <f t="shared" si="21"/>
        <v>1.5372217646551354</v>
      </c>
    </row>
    <row r="131" spans="1:20" ht="13.5" thickBot="1">
      <c r="A131" s="117" t="str">
        <f t="shared" si="26"/>
        <v>4612p</v>
      </c>
      <c r="B131" s="541" t="str">
        <f>+VLOOKUP(LEFT($A131,LEN(A131)-1)*1,Master!$D$29:$G$225,4,FALSE)</f>
        <v>Otplata hartija od vrijednosti i kredita nerezidentima</v>
      </c>
      <c r="C131" s="542"/>
      <c r="D131" s="542"/>
      <c r="E131" s="542"/>
      <c r="F131" s="542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103">
        <f t="shared" si="20"/>
        <v>297961726.48999995</v>
      </c>
      <c r="T131" s="473">
        <f t="shared" si="21"/>
        <v>6.4262978581287999</v>
      </c>
    </row>
    <row r="132" spans="1:20" ht="13.5" thickBot="1">
      <c r="A132" s="117" t="str">
        <f t="shared" si="26"/>
        <v>4418p</v>
      </c>
      <c r="B132" s="535" t="str">
        <f>+VLOOKUP(LEFT($A132,LEN(A132)-1)*1,Master!$D$29:$G$225,4,FALSE)</f>
        <v>Izdaci za kupovinu hartija od vrijednosti</v>
      </c>
      <c r="C132" s="536"/>
      <c r="D132" s="536"/>
      <c r="E132" s="536"/>
      <c r="F132" s="536"/>
      <c r="G132" s="93">
        <v>523392</v>
      </c>
      <c r="H132" s="93">
        <v>13392</v>
      </c>
      <c r="I132" s="93">
        <v>0</v>
      </c>
      <c r="J132" s="93">
        <v>0</v>
      </c>
      <c r="K132" s="93">
        <v>13392</v>
      </c>
      <c r="L132" s="93">
        <v>13392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0</v>
      </c>
      <c r="S132" s="450">
        <f t="shared" si="20"/>
        <v>563568</v>
      </c>
      <c r="T132" s="480">
        <f t="shared" si="21"/>
        <v>1.2154768580425312E-2</v>
      </c>
    </row>
    <row r="133" spans="1:20" ht="13.5" thickBot="1">
      <c r="A133" s="117" t="str">
        <f t="shared" si="26"/>
        <v>1002p</v>
      </c>
      <c r="B133" s="537" t="str">
        <f>+VLOOKUP(LEFT($A133,LEN(A133)-1)*1,Master!$D$29:$G$225,4,FALSE)</f>
        <v>Nedostajuća sredstva</v>
      </c>
      <c r="C133" s="538"/>
      <c r="D133" s="538"/>
      <c r="E133" s="538"/>
      <c r="F133" s="538"/>
      <c r="G133" s="77">
        <f t="shared" ref="G133:R133" si="30">+G127-G129-G132</f>
        <v>-116366469.79128213</v>
      </c>
      <c r="H133" s="77">
        <f t="shared" si="30"/>
        <v>-78899134.733188093</v>
      </c>
      <c r="I133" s="77">
        <f t="shared" si="30"/>
        <v>-302601019.62902129</v>
      </c>
      <c r="J133" s="77">
        <f t="shared" si="30"/>
        <v>-41871087.030936822</v>
      </c>
      <c r="K133" s="77">
        <f t="shared" si="30"/>
        <v>-55247794.085619643</v>
      </c>
      <c r="L133" s="77">
        <f t="shared" si="30"/>
        <v>-35733301.778972968</v>
      </c>
      <c r="M133" s="77">
        <f t="shared" si="30"/>
        <v>0</v>
      </c>
      <c r="N133" s="77">
        <f t="shared" si="30"/>
        <v>0</v>
      </c>
      <c r="O133" s="77">
        <f t="shared" si="30"/>
        <v>0</v>
      </c>
      <c r="P133" s="77">
        <f t="shared" si="30"/>
        <v>0</v>
      </c>
      <c r="Q133" s="77">
        <f t="shared" si="30"/>
        <v>0</v>
      </c>
      <c r="R133" s="77">
        <f t="shared" si="30"/>
        <v>0</v>
      </c>
      <c r="S133" s="109">
        <f t="shared" si="20"/>
        <v>-630718807.04902101</v>
      </c>
      <c r="T133" s="475">
        <f t="shared" si="21"/>
        <v>-13.603045486973667</v>
      </c>
    </row>
    <row r="134" spans="1:20" ht="13.5" thickBot="1">
      <c r="A134" s="117" t="str">
        <f t="shared" si="26"/>
        <v>1003p</v>
      </c>
      <c r="B134" s="535" t="str">
        <f>+VLOOKUP(LEFT($A134,LEN(A134)-1)*1,Master!$D$29:$G$225,4,FALSE)</f>
        <v>Finansiranje</v>
      </c>
      <c r="C134" s="536"/>
      <c r="D134" s="536"/>
      <c r="E134" s="536"/>
      <c r="F134" s="536"/>
      <c r="G134" s="93">
        <f t="shared" ref="G134:R134" si="31">+SUM(G135:G138)</f>
        <v>116366469.79128213</v>
      </c>
      <c r="H134" s="93">
        <f t="shared" si="31"/>
        <v>78899134.733188093</v>
      </c>
      <c r="I134" s="93">
        <f t="shared" si="31"/>
        <v>302601019.62902129</v>
      </c>
      <c r="J134" s="93">
        <f t="shared" si="31"/>
        <v>41871087.030936822</v>
      </c>
      <c r="K134" s="93">
        <f t="shared" si="31"/>
        <v>55247794.085619643</v>
      </c>
      <c r="L134" s="93">
        <f t="shared" si="31"/>
        <v>35733301.778972968</v>
      </c>
      <c r="M134" s="93">
        <f t="shared" si="31"/>
        <v>0</v>
      </c>
      <c r="N134" s="93">
        <f t="shared" si="31"/>
        <v>0</v>
      </c>
      <c r="O134" s="93">
        <f t="shared" si="31"/>
        <v>0</v>
      </c>
      <c r="P134" s="93">
        <f t="shared" si="31"/>
        <v>0</v>
      </c>
      <c r="Q134" s="93">
        <f t="shared" si="31"/>
        <v>0</v>
      </c>
      <c r="R134" s="93">
        <f t="shared" si="31"/>
        <v>0</v>
      </c>
      <c r="S134" s="110">
        <f t="shared" si="20"/>
        <v>630718807.04902101</v>
      </c>
      <c r="T134" s="476">
        <f t="shared" si="21"/>
        <v>13.603045486973667</v>
      </c>
    </row>
    <row r="135" spans="1:20">
      <c r="A135" s="117" t="str">
        <f t="shared" si="26"/>
        <v>7511p</v>
      </c>
      <c r="B135" s="539" t="str">
        <f>+VLOOKUP(LEFT($A135,LEN(A135)-1)*1,Master!$D$29:$G$225,4,FALSE)</f>
        <v>Pozajmice i krediti od domaćih izvora</v>
      </c>
      <c r="C135" s="540"/>
      <c r="D135" s="540"/>
      <c r="E135" s="540"/>
      <c r="F135" s="540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0">
      <c r="A136" s="117" t="str">
        <f t="shared" si="26"/>
        <v>7512p</v>
      </c>
      <c r="B136" s="541" t="str">
        <f>+VLOOKUP(LEFT($A136,LEN(A136)-1)*1,Master!$D$29:$G$225,4,FALSE)</f>
        <v>Pozajmice i krediti od inostranih izvora</v>
      </c>
      <c r="C136" s="542"/>
      <c r="D136" s="542"/>
      <c r="E136" s="542"/>
      <c r="F136" s="542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0</v>
      </c>
      <c r="N136" s="96">
        <v>0</v>
      </c>
      <c r="O136" s="96">
        <v>0</v>
      </c>
      <c r="P136" s="96">
        <v>0</v>
      </c>
      <c r="Q136" s="96">
        <v>0</v>
      </c>
      <c r="R136" s="96">
        <v>0</v>
      </c>
      <c r="S136" s="103">
        <f t="shared" si="20"/>
        <v>51600000</v>
      </c>
      <c r="T136" s="473">
        <f t="shared" si="21"/>
        <v>1.1128844411853513</v>
      </c>
    </row>
    <row r="137" spans="1:20">
      <c r="A137" s="117" t="str">
        <f t="shared" si="26"/>
        <v>72p</v>
      </c>
      <c r="B137" s="541" t="str">
        <f>+VLOOKUP(LEFT($A137,LEN(A137)-1)*1,Master!$D$29:$G$225,4,FALSE)</f>
        <v>Primici od prodaje imovine</v>
      </c>
      <c r="C137" s="542"/>
      <c r="D137" s="542"/>
      <c r="E137" s="542"/>
      <c r="F137" s="542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0</v>
      </c>
      <c r="N137" s="96">
        <v>0</v>
      </c>
      <c r="O137" s="96">
        <v>0</v>
      </c>
      <c r="P137" s="96">
        <v>0</v>
      </c>
      <c r="Q137" s="96">
        <v>0</v>
      </c>
      <c r="R137" s="96">
        <v>0</v>
      </c>
      <c r="S137" s="103">
        <f t="shared" si="20"/>
        <v>802782.51</v>
      </c>
      <c r="T137" s="473">
        <f t="shared" si="21"/>
        <v>1.7314034206099296E-2</v>
      </c>
    </row>
    <row r="138" spans="1:20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2">-G133-SUM(G135:G137)</f>
        <v>109303687.28128213</v>
      </c>
      <c r="H138" s="97">
        <f t="shared" si="32"/>
        <v>78669134.733188093</v>
      </c>
      <c r="I138" s="97">
        <f t="shared" si="32"/>
        <v>302131019.62902129</v>
      </c>
      <c r="J138" s="97">
        <f t="shared" si="32"/>
        <v>31831087.030936822</v>
      </c>
      <c r="K138" s="97">
        <f t="shared" si="32"/>
        <v>53947794.085619643</v>
      </c>
      <c r="L138" s="97">
        <f t="shared" si="32"/>
        <v>2433301.7789729685</v>
      </c>
      <c r="M138" s="97">
        <f t="shared" si="32"/>
        <v>0</v>
      </c>
      <c r="N138" s="97">
        <f t="shared" si="32"/>
        <v>0</v>
      </c>
      <c r="O138" s="97">
        <f t="shared" si="32"/>
        <v>0</v>
      </c>
      <c r="P138" s="97">
        <f t="shared" si="32"/>
        <v>0</v>
      </c>
      <c r="Q138" s="97">
        <f t="shared" si="32"/>
        <v>0</v>
      </c>
      <c r="R138" s="97">
        <f t="shared" si="32"/>
        <v>0</v>
      </c>
      <c r="S138" s="105">
        <f t="shared" si="20"/>
        <v>578316024.53902102</v>
      </c>
      <c r="T138" s="477">
        <f t="shared" si="21"/>
        <v>12.472847011582216</v>
      </c>
    </row>
  </sheetData>
  <sheetProtection algorithmName="SHA-512" hashValue="Fa4xifA4lLi3ajVd4psX5E0A0hImzYqEfpz7biPlWSr/JWRT5ZErMppFW74RTKnm988/IIP1Ji9lGiw/IJCQZQ==" saltValue="N49vh4D79WPGVdf0IpoOIA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zoomScaleNormal="100" workbookViewId="0">
      <pane ySplit="1" topLeftCell="A2" activePane="bottomLeft" state="frozen"/>
      <selection pane="bottomLeft" activeCell="A15" sqref="A1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90" t="str">
        <f>+Master!G251</f>
        <v>Ostvarenje budžeta</v>
      </c>
      <c r="C7" s="490"/>
      <c r="D7" s="490"/>
      <c r="E7" s="490"/>
      <c r="F7" s="490"/>
      <c r="G7" s="498">
        <v>2020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tr">
        <f>+Master!G248</f>
        <v>BDP</v>
      </c>
      <c r="T7" s="236">
        <v>4193200000</v>
      </c>
    </row>
    <row r="8" spans="1:20" ht="16.5" customHeight="1">
      <c r="A8" s="144"/>
      <c r="B8" s="491"/>
      <c r="C8" s="492"/>
      <c r="D8" s="492"/>
      <c r="E8" s="492"/>
      <c r="F8" s="493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498" t="str">
        <f>+Master!G246</f>
        <v>Jan - Dec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31" t="str">
        <f>+VLOOKUP($A10,Master!$D$29:$G$225,4,FALSE)</f>
        <v>Prihodi budžeta</v>
      </c>
      <c r="C10" s="532"/>
      <c r="D10" s="532"/>
      <c r="E10" s="532"/>
      <c r="F10" s="532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39.07586188567204</v>
      </c>
    </row>
    <row r="11" spans="1:20">
      <c r="A11" s="150">
        <v>711</v>
      </c>
      <c r="B11" s="533" t="str">
        <f>+VLOOKUP($A11,Master!$D$29:$G$225,4,FALSE)</f>
        <v>Porezi</v>
      </c>
      <c r="C11" s="534"/>
      <c r="D11" s="534"/>
      <c r="E11" s="534"/>
      <c r="F11" s="534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23.03977473719355</v>
      </c>
    </row>
    <row r="12" spans="1:20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2.822236689878852</v>
      </c>
    </row>
    <row r="13" spans="1:20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1.8702984978059716</v>
      </c>
    </row>
    <row r="14" spans="1:20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3.6808421253457985E-2</v>
      </c>
    </row>
    <row r="15" spans="1:20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12.634274825670133</v>
      </c>
    </row>
    <row r="16" spans="1:20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4.8982304151960321</v>
      </c>
    </row>
    <row r="17" spans="1:25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0.53987197534102827</v>
      </c>
    </row>
    <row r="18" spans="1:25">
      <c r="A18" s="150">
        <v>7118</v>
      </c>
      <c r="B18" s="519" t="str">
        <f>+VLOOKUP($A18,Master!$D$29:$G$225,4,FALSE)</f>
        <v>Ostali državni porezi</v>
      </c>
      <c r="C18" s="520"/>
      <c r="D18" s="520"/>
      <c r="E18" s="520"/>
      <c r="F18" s="520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0.23805391204807785</v>
      </c>
    </row>
    <row r="19" spans="1:25">
      <c r="A19" s="150">
        <v>712</v>
      </c>
      <c r="B19" s="529" t="str">
        <f>+VLOOKUP($A19,Master!$D$29:$G$225,4,FALSE)</f>
        <v>Doprinosi</v>
      </c>
      <c r="C19" s="530"/>
      <c r="D19" s="530"/>
      <c r="E19" s="530"/>
      <c r="F19" s="530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12.663850314556901</v>
      </c>
    </row>
    <row r="20" spans="1:25">
      <c r="A20" s="150">
        <v>7121</v>
      </c>
      <c r="B20" s="519" t="str">
        <f>+VLOOKUP($A20,Master!$D$29:$G$225,4,FALSE)</f>
        <v>Doprinosi za penzijsko i invalidsko osiguranje</v>
      </c>
      <c r="C20" s="520"/>
      <c r="D20" s="520"/>
      <c r="E20" s="520"/>
      <c r="F20" s="520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7.8891372670037203</v>
      </c>
    </row>
    <row r="21" spans="1:25">
      <c r="A21" s="150">
        <v>7122</v>
      </c>
      <c r="B21" s="519" t="str">
        <f>+VLOOKUP($A21,Master!$D$29:$G$225,4,FALSE)</f>
        <v>Doprinosi za zdravstveno osiguranje</v>
      </c>
      <c r="C21" s="520"/>
      <c r="D21" s="520"/>
      <c r="E21" s="520"/>
      <c r="F21" s="520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4.0914253806162346</v>
      </c>
    </row>
    <row r="22" spans="1:25">
      <c r="A22" s="150">
        <v>7123</v>
      </c>
      <c r="B22" s="519" t="str">
        <f>+VLOOKUP($A22,Master!$D$29:$G$225,4,FALSE)</f>
        <v>Doprinosi za osiguranje od nezaposlenosti</v>
      </c>
      <c r="C22" s="520"/>
      <c r="D22" s="520"/>
      <c r="E22" s="520"/>
      <c r="F22" s="520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0.36772938471811512</v>
      </c>
    </row>
    <row r="23" spans="1:25">
      <c r="A23" s="150">
        <v>7124</v>
      </c>
      <c r="B23" s="519" t="str">
        <f>+VLOOKUP($A23,Master!$D$29:$G$225,4,FALSE)</f>
        <v>Ostali doprinosi</v>
      </c>
      <c r="C23" s="520"/>
      <c r="D23" s="520"/>
      <c r="E23" s="520"/>
      <c r="F23" s="520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0.31555828221883048</v>
      </c>
      <c r="Y23" s="305"/>
    </row>
    <row r="24" spans="1:25">
      <c r="A24" s="150">
        <v>713</v>
      </c>
      <c r="B24" s="521" t="str">
        <f>+VLOOKUP($A24,Master!$D$29:$G$225,4,FALSE)</f>
        <v>Takse</v>
      </c>
      <c r="C24" s="522"/>
      <c r="D24" s="522"/>
      <c r="E24" s="522"/>
      <c r="F24" s="522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0.25365932581322143</v>
      </c>
      <c r="Y24" s="305"/>
    </row>
    <row r="25" spans="1:25">
      <c r="A25" s="150">
        <v>714</v>
      </c>
      <c r="B25" s="521" t="str">
        <f>+VLOOKUP($A25,Master!$D$29:$G$225,4,FALSE)</f>
        <v>Naknade</v>
      </c>
      <c r="C25" s="522"/>
      <c r="D25" s="522"/>
      <c r="E25" s="522"/>
      <c r="F25" s="522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0.66342614375655828</v>
      </c>
      <c r="W25" s="292"/>
    </row>
    <row r="26" spans="1:25">
      <c r="A26" s="150">
        <v>715</v>
      </c>
      <c r="B26" s="521" t="str">
        <f>+VLOOKUP($A26,Master!$D$29:$G$225,4,FALSE)</f>
        <v>Ostali prihodi</v>
      </c>
      <c r="C26" s="522"/>
      <c r="D26" s="522"/>
      <c r="E26" s="522"/>
      <c r="F26" s="522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0.89706214323189915</v>
      </c>
      <c r="W26" s="311"/>
    </row>
    <row r="27" spans="1:25">
      <c r="A27" s="150">
        <v>73</v>
      </c>
      <c r="B27" s="521" t="str">
        <f>+VLOOKUP($A27,Master!$D$29:$G$225,4,FALSE)</f>
        <v>Primici od otplate kredita i sredstva prenesena iz prethodne godine</v>
      </c>
      <c r="C27" s="522"/>
      <c r="D27" s="522"/>
      <c r="E27" s="522"/>
      <c r="F27" s="522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0.17683188853381665</v>
      </c>
    </row>
    <row r="28" spans="1:25" ht="13.5" thickBot="1">
      <c r="A28" s="150">
        <v>74</v>
      </c>
      <c r="B28" s="523" t="str">
        <f>+VLOOKUP($A28,Master!$D$29:$G$225,4,FALSE)</f>
        <v>Donacije i transferi</v>
      </c>
      <c r="C28" s="524"/>
      <c r="D28" s="524"/>
      <c r="E28" s="524"/>
      <c r="F28" s="524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1.3812573325860917</v>
      </c>
    </row>
    <row r="29" spans="1:25" ht="13.5" thickBot="1">
      <c r="A29" s="150">
        <v>4</v>
      </c>
      <c r="B29" s="509" t="str">
        <f>+VLOOKUP($A29,Master!$D$29:$G$225,4,FALSE)</f>
        <v>Izdaci budžeta</v>
      </c>
      <c r="C29" s="510"/>
      <c r="D29" s="510"/>
      <c r="E29" s="510"/>
      <c r="F29" s="510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40">
        <f t="shared" si="4"/>
        <v>49.238798802346651</v>
      </c>
    </row>
    <row r="30" spans="1:25">
      <c r="A30" s="150">
        <v>41</v>
      </c>
      <c r="B30" s="527" t="str">
        <f>+VLOOKUP($A30,Master!$D$29:$G$225,4,FALSE)</f>
        <v>Tekući izdaci</v>
      </c>
      <c r="C30" s="528"/>
      <c r="D30" s="528"/>
      <c r="E30" s="528"/>
      <c r="F30" s="528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858015865.80999994</v>
      </c>
      <c r="T30" s="436">
        <f t="shared" si="4"/>
        <v>20.462078265048174</v>
      </c>
    </row>
    <row r="31" spans="1:25">
      <c r="A31" s="150">
        <v>411</v>
      </c>
      <c r="B31" s="519" t="str">
        <f>+VLOOKUP($A31,Master!$D$29:$G$225,4,FALSE)</f>
        <v>Bruto zarade i doprinosi na teret poslodavca</v>
      </c>
      <c r="C31" s="520"/>
      <c r="D31" s="520"/>
      <c r="E31" s="520"/>
      <c r="F31" s="520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7">
        <f t="shared" si="4"/>
        <v>11.903724365639606</v>
      </c>
    </row>
    <row r="32" spans="1:25">
      <c r="A32" s="150">
        <v>412</v>
      </c>
      <c r="B32" s="519" t="str">
        <f>+VLOOKUP($A32,Master!$D$29:$G$225,4,FALSE)</f>
        <v>Ostala lična primanja</v>
      </c>
      <c r="C32" s="520"/>
      <c r="D32" s="520"/>
      <c r="E32" s="520"/>
      <c r="F32" s="520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0.30810947557950968</v>
      </c>
    </row>
    <row r="33" spans="1:23">
      <c r="A33" s="150">
        <v>413</v>
      </c>
      <c r="B33" s="519" t="str">
        <f>+VLOOKUP($A33,Master!$D$29:$G$225,4,FALSE)</f>
        <v>Rashodi za materijal</v>
      </c>
      <c r="C33" s="520"/>
      <c r="D33" s="520"/>
      <c r="E33" s="520"/>
      <c r="F33" s="520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0.95222477153486618</v>
      </c>
      <c r="V33" s="291"/>
    </row>
    <row r="34" spans="1:23" s="362" customFormat="1">
      <c r="A34" s="361">
        <v>414</v>
      </c>
      <c r="B34" s="588" t="str">
        <f>+VLOOKUP($A34,Master!$D$29:$G$225,4,FALSE)</f>
        <v>Rashodi za usluge</v>
      </c>
      <c r="C34" s="589"/>
      <c r="D34" s="589"/>
      <c r="E34" s="589"/>
      <c r="F34" s="589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1.7706275705904797</v>
      </c>
      <c r="U34" s="258"/>
    </row>
    <row r="35" spans="1:23">
      <c r="A35" s="150">
        <v>415</v>
      </c>
      <c r="B35" s="519" t="str">
        <f>+VLOOKUP($A35,Master!$D$29:$G$225,4,FALSE)</f>
        <v>Rashodi za tekuće održavanje</v>
      </c>
      <c r="C35" s="520"/>
      <c r="D35" s="520"/>
      <c r="E35" s="520"/>
      <c r="F35" s="520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0.58102842196890214</v>
      </c>
    </row>
    <row r="36" spans="1:23">
      <c r="A36" s="150">
        <v>416</v>
      </c>
      <c r="B36" s="519" t="str">
        <f>+VLOOKUP($A36,Master!$D$29:$G$225,4,FALSE)</f>
        <v>Kamate</v>
      </c>
      <c r="C36" s="520"/>
      <c r="D36" s="520"/>
      <c r="E36" s="520"/>
      <c r="F36" s="520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2.6497402544596014</v>
      </c>
    </row>
    <row r="37" spans="1:23">
      <c r="A37" s="150">
        <v>417</v>
      </c>
      <c r="B37" s="519" t="str">
        <f>+VLOOKUP($A37,Master!$D$29:$G$225,4,FALSE)</f>
        <v>Renta</v>
      </c>
      <c r="C37" s="520"/>
      <c r="D37" s="520"/>
      <c r="E37" s="520"/>
      <c r="F37" s="520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0.27114387102928555</v>
      </c>
    </row>
    <row r="38" spans="1:23">
      <c r="A38" s="150">
        <v>418</v>
      </c>
      <c r="B38" s="519" t="str">
        <f>+VLOOKUP($A38,Master!$D$29:$G$225,4,FALSE)</f>
        <v>Subvencije</v>
      </c>
      <c r="C38" s="520"/>
      <c r="D38" s="520"/>
      <c r="E38" s="520"/>
      <c r="F38" s="520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0.866265675856148</v>
      </c>
    </row>
    <row r="39" spans="1:23" s="362" customFormat="1">
      <c r="A39" s="361">
        <v>419</v>
      </c>
      <c r="B39" s="588" t="str">
        <f>+VLOOKUP($A39,Master!$D$29:$G$225,4,FALSE)</f>
        <v>Ostali izdaci</v>
      </c>
      <c r="C39" s="589"/>
      <c r="D39" s="589"/>
      <c r="E39" s="589"/>
      <c r="F39" s="589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1.1592138583897742</v>
      </c>
      <c r="U39" s="258"/>
    </row>
    <row r="40" spans="1:23">
      <c r="A40" s="150">
        <v>42</v>
      </c>
      <c r="B40" s="515" t="str">
        <f>+VLOOKUP($A40,Master!$D$29:$G$225,4,FALSE)</f>
        <v>Transferi za socijalnu zaštitu</v>
      </c>
      <c r="C40" s="516"/>
      <c r="D40" s="516"/>
      <c r="E40" s="516"/>
      <c r="F40" s="516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13.323451504817324</v>
      </c>
      <c r="U40" s="242"/>
      <c r="W40" s="309"/>
    </row>
    <row r="41" spans="1:23">
      <c r="A41" s="150">
        <v>421</v>
      </c>
      <c r="B41" s="519" t="str">
        <f>+VLOOKUP($A41,Master!$D$29:$G$225,4,FALSE)</f>
        <v>Prava iz oblasti socijalne zaštite</v>
      </c>
      <c r="C41" s="520"/>
      <c r="D41" s="520"/>
      <c r="E41" s="520"/>
      <c r="F41" s="520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1.9192809205380139</v>
      </c>
      <c r="U41" s="242"/>
    </row>
    <row r="42" spans="1:23">
      <c r="A42" s="150">
        <v>422</v>
      </c>
      <c r="B42" s="519" t="str">
        <f>+VLOOKUP($A42,Master!$D$29:$G$225,4,FALSE)</f>
        <v>Sredstva za tehnološke viškove</v>
      </c>
      <c r="C42" s="520"/>
      <c r="D42" s="520"/>
      <c r="E42" s="520"/>
      <c r="F42" s="520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0.47931132786416103</v>
      </c>
      <c r="U42" s="242"/>
    </row>
    <row r="43" spans="1:23">
      <c r="A43" s="150">
        <v>423</v>
      </c>
      <c r="B43" s="519" t="str">
        <f>+VLOOKUP($A43,Master!$D$29:$G$225,4,FALSE)</f>
        <v>Prava iz oblasti penzijskog i invalidskog osiguranja</v>
      </c>
      <c r="C43" s="520"/>
      <c r="D43" s="520"/>
      <c r="E43" s="520"/>
      <c r="F43" s="520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10.208709002194031</v>
      </c>
      <c r="U43" s="242"/>
    </row>
    <row r="44" spans="1:23">
      <c r="A44" s="150">
        <v>424</v>
      </c>
      <c r="B44" s="519" t="str">
        <f>+VLOOKUP($A44,Master!$D$29:$G$225,4,FALSE)</f>
        <v>Ostala prava iz oblasti zdravstvene zaštite</v>
      </c>
      <c r="C44" s="520"/>
      <c r="D44" s="520"/>
      <c r="E44" s="520"/>
      <c r="F44" s="520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0.48224239244491068</v>
      </c>
      <c r="U44" s="242"/>
    </row>
    <row r="45" spans="1:23" s="362" customFormat="1">
      <c r="A45" s="361">
        <v>425</v>
      </c>
      <c r="B45" s="584" t="str">
        <f>+VLOOKUP($A45,Master!$D$29:$G$225,4,FALSE)</f>
        <v>Ostala prava iz zdravstvenog osiguranja</v>
      </c>
      <c r="C45" s="585"/>
      <c r="D45" s="585"/>
      <c r="E45" s="585"/>
      <c r="F45" s="585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0.23390786177620906</v>
      </c>
      <c r="U45" s="242"/>
    </row>
    <row r="46" spans="1:23">
      <c r="A46" s="150">
        <v>43</v>
      </c>
      <c r="B46" s="517" t="str">
        <f>+VLOOKUP($A46,Master!$D$29:$G$225,4,FALSE)</f>
        <v xml:space="preserve">Transferi institucijama, pojedincima, nevladinom i javnom sektoru </v>
      </c>
      <c r="C46" s="518"/>
      <c r="D46" s="518"/>
      <c r="E46" s="518"/>
      <c r="F46" s="518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6.7072618167509299</v>
      </c>
      <c r="U46" s="242"/>
    </row>
    <row r="47" spans="1:23">
      <c r="A47" s="150">
        <v>44</v>
      </c>
      <c r="B47" s="517" t="str">
        <f>+VLOOKUP($A47,Master!$D$29:$G$225,4,FALSE)</f>
        <v>Kapitalni izdaci</v>
      </c>
      <c r="C47" s="518"/>
      <c r="D47" s="518"/>
      <c r="E47" s="518"/>
      <c r="F47" s="518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8">
        <f t="shared" si="4"/>
        <v>5.4835665761232475</v>
      </c>
      <c r="U47" s="242"/>
    </row>
    <row r="48" spans="1:23">
      <c r="A48" s="150">
        <v>451</v>
      </c>
      <c r="B48" s="586" t="str">
        <f>+VLOOKUP($A48,Master!$D$29:$G$225,4,FALSE)</f>
        <v>Pozajmice i krediti</v>
      </c>
      <c r="C48" s="587"/>
      <c r="D48" s="587"/>
      <c r="E48" s="587"/>
      <c r="F48" s="587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3.8430482686253938E-2</v>
      </c>
      <c r="U48" s="242"/>
    </row>
    <row r="49" spans="1:22" s="362" customFormat="1">
      <c r="A49" s="361">
        <v>47</v>
      </c>
      <c r="B49" s="578" t="str">
        <f>+VLOOKUP($A49,Master!$D$29:$G$225,4,FALSE)</f>
        <v>Rezerve</v>
      </c>
      <c r="C49" s="579"/>
      <c r="D49" s="579"/>
      <c r="E49" s="579"/>
      <c r="F49" s="579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2.7762498616808164</v>
      </c>
      <c r="U49" s="242"/>
    </row>
    <row r="50" spans="1:22" ht="13.5" thickBot="1">
      <c r="A50" s="150">
        <v>462</v>
      </c>
      <c r="B50" s="505" t="str">
        <f>+VLOOKUP($A50,Master!$D$29:$G$225,4,FALSE)</f>
        <v>Otplata garancija</v>
      </c>
      <c r="C50" s="506"/>
      <c r="D50" s="506"/>
      <c r="E50" s="506"/>
      <c r="F50" s="506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80" t="str">
        <f>+VLOOKUP($A51,Master!$D$29:$G$225,4,TRUE)</f>
        <v>Otplata obaveza iz prethodnog perioda</v>
      </c>
      <c r="C51" s="581"/>
      <c r="D51" s="581"/>
      <c r="E51" s="581"/>
      <c r="F51" s="581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0.44776029523991229</v>
      </c>
      <c r="U51" s="242"/>
    </row>
    <row r="52" spans="1:22" ht="13.5" thickBot="1">
      <c r="A52" s="70">
        <v>1005</v>
      </c>
      <c r="B52" s="582" t="str">
        <f>+VLOOKUP($A52,Master!$D$29:$G$227,4,FALSE)</f>
        <v>Neto povećanje obaveza</v>
      </c>
      <c r="C52" s="583"/>
      <c r="D52" s="583"/>
      <c r="E52" s="583"/>
      <c r="F52" s="583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11" t="str">
        <f>+VLOOKUP($A53,Master!$D$29:$G$225,4,FALSE)</f>
        <v>Suficit / deficit</v>
      </c>
      <c r="C53" s="512"/>
      <c r="D53" s="512"/>
      <c r="E53" s="512"/>
      <c r="F53" s="512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3">
        <f t="shared" si="4"/>
        <v>-10.162936916674619</v>
      </c>
    </row>
    <row r="54" spans="1:22" ht="13.5" thickBot="1">
      <c r="A54" s="144">
        <v>1001</v>
      </c>
      <c r="B54" s="513" t="str">
        <f>+VLOOKUP($A54,Master!$D$29:$G$225,4,FALSE)</f>
        <v>Primarni suficit/deficit</v>
      </c>
      <c r="C54" s="514"/>
      <c r="D54" s="514"/>
      <c r="E54" s="514"/>
      <c r="F54" s="514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3">
        <f t="shared" si="4"/>
        <v>-7.5131966622150141</v>
      </c>
    </row>
    <row r="55" spans="1:22">
      <c r="A55" s="144">
        <v>46</v>
      </c>
      <c r="B55" s="576" t="str">
        <f>+VLOOKUP($A55,Master!$D$29:$G$225,4,FALSE)</f>
        <v>Otplata dugova</v>
      </c>
      <c r="C55" s="577"/>
      <c r="D55" s="577"/>
      <c r="E55" s="577"/>
      <c r="F55" s="577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15.87918605432605</v>
      </c>
      <c r="V55" s="309"/>
    </row>
    <row r="56" spans="1:22">
      <c r="A56" s="144">
        <v>4611</v>
      </c>
      <c r="B56" s="503" t="str">
        <f>+VLOOKUP($A56,Master!$D$29:$G$225,4,FALSE)</f>
        <v>Otplata hartija od vrijednosti i kredita rezidentima</v>
      </c>
      <c r="C56" s="504"/>
      <c r="D56" s="504"/>
      <c r="E56" s="504"/>
      <c r="F56" s="504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5.8235766405132114</v>
      </c>
      <c r="V56" s="354"/>
    </row>
    <row r="57" spans="1:22" ht="13.5" thickBot="1">
      <c r="A57" s="144">
        <v>4612</v>
      </c>
      <c r="B57" s="487" t="str">
        <f>+VLOOKUP($A57,Master!$D$29:$G$225,4,FALSE)</f>
        <v>Otplata hartija od vrijednosti i kredita nerezidentima</v>
      </c>
      <c r="C57" s="488"/>
      <c r="D57" s="488"/>
      <c r="E57" s="488"/>
      <c r="F57" s="488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10.05560941381284</v>
      </c>
      <c r="V57" s="319"/>
    </row>
    <row r="58" spans="1:22" ht="13.5" thickBot="1">
      <c r="A58" s="144">
        <v>4418</v>
      </c>
      <c r="B58" s="576" t="str">
        <f>+VLOOKUP($A58,Master!$D$29:$G$225,4,FALSE)</f>
        <v>Izdaci za kupovinu hartija od vrijednosti</v>
      </c>
      <c r="C58" s="577"/>
      <c r="D58" s="577"/>
      <c r="E58" s="577"/>
      <c r="F58" s="577"/>
      <c r="G58" s="193">
        <f>+INDEX(DataEx!$1:$1048576,MATCH('2020'!$A58,DataEx!$D:$D,0),MATCH('2020'!G$6,DataEx!$7:$7,0))</f>
        <v>0</v>
      </c>
      <c r="H58" s="193">
        <f>+INDEX(DataEx!$1:$1048576,MATCH('2020'!$A58,DataEx!$D:$D,0),MATCH('2020'!H$6,DataEx!$7:$7,0))</f>
        <v>0</v>
      </c>
      <c r="I58" s="193">
        <f>+INDEX(DataEx!$1:$1048576,MATCH('2020'!$A58,DataEx!$D:$D,0),MATCH('2020'!I$6,DataEx!$7:$7,0))</f>
        <v>0</v>
      </c>
      <c r="J58" s="193">
        <f>+INDEX(DataEx!$1:$1048576,MATCH('2020'!$A58,DataEx!$D:$D,0),MATCH('2020'!J$6,DataEx!$7:$7,0))</f>
        <v>0</v>
      </c>
      <c r="K58" s="193">
        <f>+INDEX(DataEx!$1:$1048576,MATCH('2020'!$A58,DataEx!$D:$D,0),MATCH('2020'!K$6,DataEx!$7:$7,0))</f>
        <v>0</v>
      </c>
      <c r="L58" s="193">
        <f>+INDEX(DataEx!$1:$1048576,MATCH('2020'!$A58,DataEx!$D:$D,0),MATCH('2020'!L$6,DataEx!$7:$7,0))</f>
        <v>0</v>
      </c>
      <c r="M58" s="193">
        <f>+INDEX(DataEx!$1:$1048576,MATCH('2020'!$A58,DataEx!$D:$D,0),MATCH('2020'!M$6,DataEx!$7:$7,0))</f>
        <v>0</v>
      </c>
      <c r="N58" s="193">
        <f>+INDEX(DataEx!$1:$1048576,MATCH('2020'!$A58,DataEx!$D:$D,0),MATCH('2020'!N$6,DataEx!$7:$7,0))</f>
        <v>0</v>
      </c>
      <c r="O58" s="193">
        <f>+INDEX(DataEx!$1:$1048576,MATCH('2020'!$A58,DataEx!$D:$D,0),MATCH('2020'!O$6,DataEx!$7:$7,0))</f>
        <v>940769.61</v>
      </c>
      <c r="P58" s="193">
        <f>+INDEX(DataEx!$1:$1048576,MATCH('2020'!$A58,DataEx!$D:$D,0),MATCH('2020'!P$6,DataEx!$7:$7,0))</f>
        <v>0</v>
      </c>
      <c r="Q58" s="193">
        <f>+INDEX(DataEx!$1:$1048576,MATCH('2020'!$A58,DataEx!$D:$D,0),MATCH('2020'!Q$6,DataEx!$7:$7,0))</f>
        <v>0</v>
      </c>
      <c r="R58" s="193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2.2435600734522561E-2</v>
      </c>
      <c r="V58" s="319"/>
    </row>
    <row r="59" spans="1:22" ht="13.5" thickBot="1">
      <c r="A59" s="144">
        <v>1002</v>
      </c>
      <c r="B59" s="507" t="str">
        <f>+VLOOKUP($A59,Master!$D$29:$G$225,4,FALSE)</f>
        <v>Nedostajuća sredstva</v>
      </c>
      <c r="C59" s="508"/>
      <c r="D59" s="508"/>
      <c r="E59" s="508"/>
      <c r="F59" s="508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7">
        <f t="shared" si="4"/>
        <v>-26.064558571735191</v>
      </c>
    </row>
    <row r="60" spans="1:22" ht="13.5" thickBot="1">
      <c r="A60" s="144">
        <v>1003</v>
      </c>
      <c r="B60" s="509" t="str">
        <f>+VLOOKUP($A60,Master!$D$29:$G$225,4,FALSE)</f>
        <v>Finansiranje</v>
      </c>
      <c r="C60" s="510"/>
      <c r="D60" s="510"/>
      <c r="E60" s="510"/>
      <c r="F60" s="510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8">
        <f t="shared" si="4"/>
        <v>26.064558571735191</v>
      </c>
    </row>
    <row r="61" spans="1:22">
      <c r="A61" s="144">
        <v>7511</v>
      </c>
      <c r="B61" s="503" t="str">
        <f>+VLOOKUP($A61,Master!$D$29:$G$225,4,FALSE)</f>
        <v>Pozajmice i krediti od domaćih izvora</v>
      </c>
      <c r="C61" s="504"/>
      <c r="D61" s="504"/>
      <c r="E61" s="504"/>
      <c r="F61" s="504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3.9953271756653628</v>
      </c>
    </row>
    <row r="62" spans="1:22">
      <c r="A62" s="144">
        <v>7512</v>
      </c>
      <c r="B62" s="487" t="str">
        <f>+VLOOKUP($A62,Master!$D$29:$G$225,4,FALSE)</f>
        <v>Pozajmice i krediti od inostranih izvora</v>
      </c>
      <c r="C62" s="488"/>
      <c r="D62" s="488"/>
      <c r="E62" s="488"/>
      <c r="F62" s="488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28.27780343937804</v>
      </c>
    </row>
    <row r="63" spans="1:22">
      <c r="A63" s="144">
        <v>72</v>
      </c>
      <c r="B63" s="487" t="str">
        <f>+VLOOKUP($A63,Master!$D$29:$G$225,4,FALSE)</f>
        <v>Primici od prodaje imovine</v>
      </c>
      <c r="C63" s="488"/>
      <c r="D63" s="488"/>
      <c r="E63" s="488"/>
      <c r="F63" s="488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0.20383599542115807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9">
        <f t="shared" si="4"/>
        <v>-6.4124080387293736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65" t="str">
        <f>+Master!G252</f>
        <v>Plan ostvarenja budžeta</v>
      </c>
      <c r="C100" s="566"/>
      <c r="D100" s="566"/>
      <c r="E100" s="566"/>
      <c r="F100" s="566"/>
      <c r="G100" s="573">
        <v>2020</v>
      </c>
      <c r="H100" s="574"/>
      <c r="I100" s="574"/>
      <c r="J100" s="574"/>
      <c r="K100" s="574"/>
      <c r="L100" s="574"/>
      <c r="M100" s="574"/>
      <c r="N100" s="574"/>
      <c r="O100" s="574"/>
      <c r="P100" s="574"/>
      <c r="Q100" s="574"/>
      <c r="R100" s="575"/>
      <c r="S100" s="107" t="str">
        <f>+S7</f>
        <v>BDP</v>
      </c>
      <c r="T100" s="108">
        <v>4607300000</v>
      </c>
    </row>
    <row r="101" spans="1:21" ht="15.75" customHeight="1">
      <c r="B101" s="567"/>
      <c r="C101" s="568"/>
      <c r="D101" s="568"/>
      <c r="E101" s="568"/>
      <c r="F101" s="56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73" t="str">
        <f>+Master!G246</f>
        <v>Jan - Dec</v>
      </c>
      <c r="T101" s="575">
        <f>+T8</f>
        <v>0</v>
      </c>
    </row>
    <row r="102" spans="1:21" ht="13.5" thickBot="1">
      <c r="B102" s="570"/>
      <c r="C102" s="571"/>
      <c r="D102" s="571"/>
      <c r="E102" s="571"/>
      <c r="F102" s="57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61" t="str">
        <f>+VLOOKUP(LEFT($A103,LEN(A103)-1)*1,Master!$D$29:$G$225,4,FALSE)</f>
        <v>Prihodi budžeta</v>
      </c>
      <c r="C103" s="562"/>
      <c r="D103" s="562"/>
      <c r="E103" s="562"/>
      <c r="F103" s="562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63" t="str">
        <f>+VLOOKUP(LEFT($A104,LEN(A104)-1)*1,Master!$D$29:$G$225,4,FALSE)</f>
        <v>Porezi</v>
      </c>
      <c r="C104" s="564"/>
      <c r="D104" s="564"/>
      <c r="E104" s="564"/>
      <c r="F104" s="564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51" t="str">
        <f>+VLOOKUP(LEFT($A105,LEN(A105)-1)*1,Master!$D$29:$G$228,4,FALSE)</f>
        <v>Porez na dohodak fizičkih lica</v>
      </c>
      <c r="C105" s="552"/>
      <c r="D105" s="552"/>
      <c r="E105" s="552"/>
      <c r="F105" s="552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51" t="str">
        <f>+VLOOKUP(LEFT($A106,LEN(A106)-1)*1,Master!$D$29:$G$228,4,FALSE)</f>
        <v>Porez na dobit pravnih lica</v>
      </c>
      <c r="C106" s="552"/>
      <c r="D106" s="552"/>
      <c r="E106" s="552"/>
      <c r="F106" s="552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51" t="str">
        <f>+VLOOKUP(LEFT($A107,LEN(A107)-1)*1,Master!$D$29:$G$228,4,FALSE)</f>
        <v>Porez na promet nepokretnosti</v>
      </c>
      <c r="C107" s="552"/>
      <c r="D107" s="552"/>
      <c r="E107" s="552"/>
      <c r="F107" s="552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51" t="str">
        <f>+VLOOKUP(LEFT($A108,LEN(A108)-1)*1,Master!$D$29:$G$228,4,FALSE)</f>
        <v>Porez na dodatu vrijednost</v>
      </c>
      <c r="C108" s="552"/>
      <c r="D108" s="552"/>
      <c r="E108" s="552"/>
      <c r="F108" s="552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51" t="str">
        <f>+VLOOKUP(LEFT($A109,LEN(A109)-1)*1,Master!$D$29:$G$228,4,FALSE)</f>
        <v>Akcize</v>
      </c>
      <c r="C109" s="552"/>
      <c r="D109" s="552"/>
      <c r="E109" s="552"/>
      <c r="F109" s="552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51" t="str">
        <f>+VLOOKUP(LEFT($A110,LEN(A110)-1)*1,Master!$D$29:$G$228,4,FALSE)</f>
        <v>Porez na međunarodnu trgovinu i transakcije</v>
      </c>
      <c r="C110" s="552"/>
      <c r="D110" s="552"/>
      <c r="E110" s="552"/>
      <c r="F110" s="552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51" t="str">
        <f>+VLOOKUP(LEFT($A111,LEN(A111)-1)*1,Master!$D$29:$G$228,4,FALSE)</f>
        <v>Ostali državni porezi</v>
      </c>
      <c r="C111" s="552"/>
      <c r="D111" s="552"/>
      <c r="E111" s="552"/>
      <c r="F111" s="552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59" t="str">
        <f>+VLOOKUP(LEFT($A112,LEN(A112)-1)*1,Master!$D$29:$G$228,4,FALSE)</f>
        <v>Doprinosi</v>
      </c>
      <c r="C112" s="560"/>
      <c r="D112" s="560"/>
      <c r="E112" s="560"/>
      <c r="F112" s="560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51" t="str">
        <f>+VLOOKUP(LEFT($A113,LEN(A113)-1)*1,Master!$D$29:$G$228,4,FALSE)</f>
        <v>Doprinosi za penzijsko i invalidsko osiguranje</v>
      </c>
      <c r="C113" s="552"/>
      <c r="D113" s="552"/>
      <c r="E113" s="552"/>
      <c r="F113" s="552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51" t="str">
        <f>+VLOOKUP(LEFT($A114,LEN(A114)-1)*1,Master!$D$29:$G$228,4,FALSE)</f>
        <v>Doprinosi za zdravstveno osiguranje</v>
      </c>
      <c r="C114" s="552"/>
      <c r="D114" s="552"/>
      <c r="E114" s="552"/>
      <c r="F114" s="552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51" t="str">
        <f>+VLOOKUP(LEFT($A115,LEN(A115)-1)*1,Master!$D$29:$G$228,4,FALSE)</f>
        <v>Doprinosi za osiguranje od nezaposlenosti</v>
      </c>
      <c r="C115" s="552"/>
      <c r="D115" s="552"/>
      <c r="E115" s="552"/>
      <c r="F115" s="552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51" t="str">
        <f>+VLOOKUP(LEFT($A116,LEN(A116)-1)*1,Master!$D$29:$G$228,4,FALSE)</f>
        <v>Ostali doprinosi</v>
      </c>
      <c r="C116" s="552"/>
      <c r="D116" s="552"/>
      <c r="E116" s="552"/>
      <c r="F116" s="552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57" t="str">
        <f>+VLOOKUP(LEFT($A117,LEN(A117)-1)*1,Master!$D$29:$G$228,4,FALSE)</f>
        <v>Takse</v>
      </c>
      <c r="C117" s="558"/>
      <c r="D117" s="558"/>
      <c r="E117" s="558"/>
      <c r="F117" s="558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57" t="str">
        <f>+VLOOKUP(LEFT($A118,LEN(A118)-1)*1,Master!$D$29:$G$228,4,FALSE)</f>
        <v>Naknade</v>
      </c>
      <c r="C118" s="558"/>
      <c r="D118" s="558"/>
      <c r="E118" s="558"/>
      <c r="F118" s="558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57" t="str">
        <f>+VLOOKUP(LEFT($A119,LEN(A119)-1)*1,Master!$D$29:$G$228,4,FALSE)</f>
        <v>Ostali prihodi</v>
      </c>
      <c r="C119" s="558"/>
      <c r="D119" s="558"/>
      <c r="E119" s="558"/>
      <c r="F119" s="558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57" t="str">
        <f>+VLOOKUP(LEFT($A120,LEN(A120)-1)*1,Master!$D$29:$G$228,4,FALSE)</f>
        <v>Primici od otplate kredita i sredstva prenesena iz prethodne godine</v>
      </c>
      <c r="C120" s="558"/>
      <c r="D120" s="558"/>
      <c r="E120" s="558"/>
      <c r="F120" s="558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53" t="str">
        <f>+VLOOKUP(LEFT($A121,LEN(A121)-1)*1,Master!$D$29:$G$228,4,FALSE)</f>
        <v>Donacije i transferi</v>
      </c>
      <c r="C121" s="554"/>
      <c r="D121" s="554"/>
      <c r="E121" s="554"/>
      <c r="F121" s="554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35" t="str">
        <f>+VLOOKUP(LEFT($A122,LEN(A122)-1)*1,Master!$D$29:$G$228,4,FALSE)</f>
        <v>Izdaci budžeta</v>
      </c>
      <c r="C122" s="536"/>
      <c r="D122" s="536"/>
      <c r="E122" s="536"/>
      <c r="F122" s="536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55" t="str">
        <f>+VLOOKUP(LEFT($A123,LEN(A123)-1)*1,Master!$D$29:$G$228,4,FALSE)</f>
        <v>Tekući izdaci</v>
      </c>
      <c r="C123" s="556"/>
      <c r="D123" s="556"/>
      <c r="E123" s="556"/>
      <c r="F123" s="556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51" t="str">
        <f>+VLOOKUP(LEFT($A124,LEN(A124)-1)*1,Master!$D$29:$G$228,4,FALSE)</f>
        <v>Bruto zarade i doprinosi na teret poslodavca</v>
      </c>
      <c r="C124" s="552"/>
      <c r="D124" s="552"/>
      <c r="E124" s="552"/>
      <c r="F124" s="552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51" t="str">
        <f>+VLOOKUP(LEFT($A125,LEN(A125)-1)*1,Master!$D$29:$G$228,4,FALSE)</f>
        <v>Ostala lična primanja</v>
      </c>
      <c r="C125" s="552"/>
      <c r="D125" s="552"/>
      <c r="E125" s="552"/>
      <c r="F125" s="552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51" t="str">
        <f>+VLOOKUP(LEFT($A126,LEN(A126)-1)*1,Master!$D$29:$G$228,4,FALSE)</f>
        <v>Rashodi za materijal</v>
      </c>
      <c r="C126" s="552"/>
      <c r="D126" s="552"/>
      <c r="E126" s="552"/>
      <c r="F126" s="552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51" t="str">
        <f>+VLOOKUP(LEFT($A127,LEN(A127)-1)*1,Master!$D$29:$G$228,4,FALSE)</f>
        <v>Rashodi za usluge</v>
      </c>
      <c r="C127" s="552"/>
      <c r="D127" s="552"/>
      <c r="E127" s="552"/>
      <c r="F127" s="552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51" t="str">
        <f>+VLOOKUP(LEFT($A128,LEN(A128)-1)*1,Master!$D$29:$G$228,4,FALSE)</f>
        <v>Rashodi za tekuće održavanje</v>
      </c>
      <c r="C128" s="552"/>
      <c r="D128" s="552"/>
      <c r="E128" s="552"/>
      <c r="F128" s="552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51" t="str">
        <f>+VLOOKUP(LEFT($A129,LEN(A129)-1)*1,Master!$D$29:$G$228,4,FALSE)</f>
        <v>Kamate</v>
      </c>
      <c r="C129" s="552"/>
      <c r="D129" s="552"/>
      <c r="E129" s="552"/>
      <c r="F129" s="552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51" t="str">
        <f>+VLOOKUP(LEFT($A130,LEN(A130)-1)*1,Master!$D$29:$G$228,4,FALSE)</f>
        <v>Renta</v>
      </c>
      <c r="C130" s="552"/>
      <c r="D130" s="552"/>
      <c r="E130" s="552"/>
      <c r="F130" s="552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51" t="str">
        <f>+VLOOKUP(LEFT($A131,LEN(A131)-1)*1,Master!$D$29:$G$228,4,FALSE)</f>
        <v>Subvencije</v>
      </c>
      <c r="C131" s="552"/>
      <c r="D131" s="552"/>
      <c r="E131" s="552"/>
      <c r="F131" s="552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51" t="str">
        <f>+VLOOKUP(LEFT($A132,LEN(A132)-1)*1,Master!$D$29:$G$228,4,FALSE)</f>
        <v>Ostali izdaci</v>
      </c>
      <c r="C132" s="552"/>
      <c r="D132" s="552"/>
      <c r="E132" s="552"/>
      <c r="F132" s="552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47" t="str">
        <f>+VLOOKUP(LEFT($A133,LEN(A133)-1)*1,Master!$D$29:$G$228,4,FALSE)</f>
        <v>Transferi za socijalnu zaštitu</v>
      </c>
      <c r="C133" s="548"/>
      <c r="D133" s="548"/>
      <c r="E133" s="548"/>
      <c r="F133" s="548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51" t="str">
        <f>+VLOOKUP(LEFT($A134,LEN(A134)-1)*1,Master!$D$29:$G$228,4,FALSE)</f>
        <v>Prava iz oblasti socijalne zaštite</v>
      </c>
      <c r="C134" s="552"/>
      <c r="D134" s="552"/>
      <c r="E134" s="552"/>
      <c r="F134" s="552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51" t="str">
        <f>+VLOOKUP(LEFT($A135,LEN(A135)-1)*1,Master!$D$29:$G$228,4,FALSE)</f>
        <v>Sredstva za tehnološke viškove</v>
      </c>
      <c r="C135" s="552"/>
      <c r="D135" s="552"/>
      <c r="E135" s="552"/>
      <c r="F135" s="552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51" t="str">
        <f>+VLOOKUP(LEFT($A136,LEN(A136)-1)*1,Master!$D$29:$G$228,4,FALSE)</f>
        <v>Prava iz oblasti penzijskog i invalidskog osiguranja</v>
      </c>
      <c r="C136" s="552"/>
      <c r="D136" s="552"/>
      <c r="E136" s="552"/>
      <c r="F136" s="552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51" t="str">
        <f>+VLOOKUP(LEFT($A137,LEN(A137)-1)*1,Master!$D$29:$G$228,4,FALSE)</f>
        <v>Ostala prava iz oblasti zdravstvene zaštite</v>
      </c>
      <c r="C137" s="552"/>
      <c r="D137" s="552"/>
      <c r="E137" s="552"/>
      <c r="F137" s="552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51" t="str">
        <f>+VLOOKUP(LEFT($A138,LEN(A138)-1)*1,Master!$D$29:$G$228,4,FALSE)</f>
        <v>Ostala prava iz zdravstvenog osiguranja</v>
      </c>
      <c r="C138" s="552"/>
      <c r="D138" s="552"/>
      <c r="E138" s="552"/>
      <c r="F138" s="552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49" t="str">
        <f>+VLOOKUP(LEFT($A139,LEN(A139)-1)*1,Master!$D$29:$G$228,4,FALSE)</f>
        <v xml:space="preserve">Transferi institucijama, pojedincima, nevladinom i javnom sektoru </v>
      </c>
      <c r="C139" s="550"/>
      <c r="D139" s="550"/>
      <c r="E139" s="550"/>
      <c r="F139" s="550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49" t="str">
        <f>+VLOOKUP(LEFT($A140,LEN(A140)-1)*1,Master!$D$29:$G$228,4,FALSE)</f>
        <v>Kapitalni izdaci</v>
      </c>
      <c r="C140" s="550"/>
      <c r="D140" s="550"/>
      <c r="E140" s="550"/>
      <c r="F140" s="550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41" t="str">
        <f>+VLOOKUP(LEFT($A141,LEN(A141)-1)*1,Master!$D$29:$G$228,4,FALSE)</f>
        <v>Pozajmice i krediti</v>
      </c>
      <c r="C141" s="542"/>
      <c r="D141" s="542"/>
      <c r="E141" s="542"/>
      <c r="F141" s="542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41" t="str">
        <f>+VLOOKUP(LEFT($A142,LEN(A142)-1)*1,Master!$D$29:$G$228,4,FALSE)</f>
        <v>Rezerve</v>
      </c>
      <c r="C142" s="542"/>
      <c r="D142" s="542"/>
      <c r="E142" s="542"/>
      <c r="F142" s="542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41" t="str">
        <f>+VLOOKUP(LEFT($A143,LEN(A143)-1)*1,Master!$D$29:$G$228,4,FALSE)</f>
        <v>Otplata garancija</v>
      </c>
      <c r="C143" s="542"/>
      <c r="D143" s="542"/>
      <c r="E143" s="542"/>
      <c r="F143" s="542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41" t="str">
        <f>+VLOOKUP(LEFT($A144,LEN(A144)-1)*1,Master!$D$29:$G$228,4,FALSE)</f>
        <v>Otplata obaveza iz prethodnog perioda</v>
      </c>
      <c r="C144" s="542"/>
      <c r="D144" s="542"/>
      <c r="E144" s="542"/>
      <c r="F144" s="542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41" t="str">
        <f>+VLOOKUP(LEFT($A145,LEN(A145)-1)*1,Master!$D$29:$G$228,4,FALSE)</f>
        <v>Neto povećanje obaveza</v>
      </c>
      <c r="C145" s="542"/>
      <c r="D145" s="542"/>
      <c r="E145" s="542"/>
      <c r="F145" s="542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543" t="str">
        <f>+VLOOKUP(LEFT($A146,LEN(A146)-1)*1,Master!$D$29:$G$225,4,FALSE)</f>
        <v>Suficit / deficit</v>
      </c>
      <c r="C146" s="544"/>
      <c r="D146" s="544"/>
      <c r="E146" s="544"/>
      <c r="F146" s="544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45" t="str">
        <f>+VLOOKUP(LEFT($A147,LEN(A147)-1)*1,Master!$D$29:$G$225,4,FALSE)</f>
        <v>Primarni suficit/deficit</v>
      </c>
      <c r="C147" s="546"/>
      <c r="D147" s="546"/>
      <c r="E147" s="546"/>
      <c r="F147" s="546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47" t="str">
        <f>+VLOOKUP(LEFT($A148,LEN(A148)-1)*1,Master!$D$29:$G$225,4,FALSE)</f>
        <v>Otplata dugova</v>
      </c>
      <c r="C148" s="548"/>
      <c r="D148" s="548"/>
      <c r="E148" s="548"/>
      <c r="F148" s="548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39" t="str">
        <f>+VLOOKUP(LEFT($A149,LEN(A149)-1)*1,Master!$D$29:$G$225,4,FALSE)</f>
        <v>Otplata hartija od vrijednosti i kredita rezidentima</v>
      </c>
      <c r="C149" s="540"/>
      <c r="D149" s="540"/>
      <c r="E149" s="540"/>
      <c r="F149" s="540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41" t="str">
        <f>+VLOOKUP(LEFT($A150,LEN(A150)-1)*1,Master!$D$29:$G$225,4,FALSE)</f>
        <v>Otplata hartija od vrijednosti i kredita nerezidentima</v>
      </c>
      <c r="C150" s="542"/>
      <c r="D150" s="542"/>
      <c r="E150" s="542"/>
      <c r="F150" s="542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35" t="str">
        <f>+VLOOKUP(LEFT($A151,LEN(A151)-1)*1,Master!$D$29:$G$225,4,FALSE)</f>
        <v>Izdaci za kupovinu hartija od vrijednosti</v>
      </c>
      <c r="C151" s="536"/>
      <c r="D151" s="536"/>
      <c r="E151" s="536"/>
      <c r="F151" s="536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37" t="str">
        <f>+VLOOKUP(LEFT($A152,LEN(A152)-1)*1,Master!$D$29:$G$225,4,FALSE)</f>
        <v>Nedostajuća sredstva</v>
      </c>
      <c r="C152" s="538"/>
      <c r="D152" s="538"/>
      <c r="E152" s="538"/>
      <c r="F152" s="538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35" t="str">
        <f>+VLOOKUP(LEFT($A153,LEN(A153)-1)*1,Master!$D$29:$G$225,4,FALSE)</f>
        <v>Finansiranje</v>
      </c>
      <c r="C153" s="536"/>
      <c r="D153" s="536"/>
      <c r="E153" s="536"/>
      <c r="F153" s="536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39" t="str">
        <f>+VLOOKUP(LEFT($A154,LEN(A154)-1)*1,Master!$D$29:$G$225,4,FALSE)</f>
        <v>Pozajmice i krediti od domaćih izvora</v>
      </c>
      <c r="C154" s="540"/>
      <c r="D154" s="540"/>
      <c r="E154" s="540"/>
      <c r="F154" s="540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41" t="str">
        <f>+VLOOKUP(LEFT($A155,LEN(A155)-1)*1,Master!$D$29:$G$225,4,FALSE)</f>
        <v>Pozajmice i krediti od inostranih izvora</v>
      </c>
      <c r="C155" s="542"/>
      <c r="D155" s="542"/>
      <c r="E155" s="542"/>
      <c r="F155" s="542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41" t="str">
        <f>+VLOOKUP(LEFT($A156,LEN(A156)-1)*1,Master!$D$29:$G$225,4,FALSE)</f>
        <v>Primici od prodaje imovine</v>
      </c>
      <c r="C156" s="542"/>
      <c r="D156" s="542"/>
      <c r="E156" s="542"/>
      <c r="F156" s="542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topLeftCell="D1" zoomScaleNormal="100" workbookViewId="0">
      <pane ySplit="1" topLeftCell="A2" activePane="bottomLeft" state="frozen"/>
      <selection pane="bottomLeft" activeCell="L15" sqref="L1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90" t="s">
        <v>554</v>
      </c>
      <c r="C7" s="490"/>
      <c r="D7" s="490"/>
      <c r="E7" s="490"/>
      <c r="F7" s="490"/>
      <c r="G7" s="498">
        <v>2019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">
        <v>419</v>
      </c>
      <c r="T7" s="236">
        <v>4951000000</v>
      </c>
    </row>
    <row r="8" spans="1:20" ht="16.5" customHeight="1">
      <c r="A8" s="144"/>
      <c r="B8" s="491"/>
      <c r="C8" s="492"/>
      <c r="D8" s="492"/>
      <c r="E8" s="492"/>
      <c r="F8" s="493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498" t="s">
        <v>809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09" t="s">
        <v>681</v>
      </c>
      <c r="C10" s="510"/>
      <c r="D10" s="510"/>
      <c r="E10" s="510"/>
      <c r="F10" s="510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33" t="s">
        <v>21</v>
      </c>
      <c r="C11" s="534"/>
      <c r="D11" s="534"/>
      <c r="E11" s="534"/>
      <c r="F11" s="534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19" t="s">
        <v>23</v>
      </c>
      <c r="C12" s="520"/>
      <c r="D12" s="520"/>
      <c r="E12" s="520"/>
      <c r="F12" s="520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19" t="s">
        <v>25</v>
      </c>
      <c r="C13" s="520"/>
      <c r="D13" s="520"/>
      <c r="E13" s="520"/>
      <c r="F13" s="520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19" t="s">
        <v>27</v>
      </c>
      <c r="C14" s="520"/>
      <c r="D14" s="520"/>
      <c r="E14" s="520"/>
      <c r="F14" s="520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19" t="s">
        <v>29</v>
      </c>
      <c r="C15" s="520"/>
      <c r="D15" s="520"/>
      <c r="E15" s="520"/>
      <c r="F15" s="520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19" t="s">
        <v>31</v>
      </c>
      <c r="C16" s="520"/>
      <c r="D16" s="520"/>
      <c r="E16" s="520"/>
      <c r="F16" s="520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19" t="s">
        <v>33</v>
      </c>
      <c r="C17" s="520"/>
      <c r="D17" s="520"/>
      <c r="E17" s="520"/>
      <c r="F17" s="520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19" t="s">
        <v>722</v>
      </c>
      <c r="C18" s="520"/>
      <c r="D18" s="520"/>
      <c r="E18" s="520"/>
      <c r="F18" s="520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29" t="s">
        <v>37</v>
      </c>
      <c r="C19" s="530"/>
      <c r="D19" s="530"/>
      <c r="E19" s="530"/>
      <c r="F19" s="530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19" t="s">
        <v>39</v>
      </c>
      <c r="C20" s="520"/>
      <c r="D20" s="520"/>
      <c r="E20" s="520"/>
      <c r="F20" s="520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19" t="s">
        <v>41</v>
      </c>
      <c r="C21" s="520"/>
      <c r="D21" s="520"/>
      <c r="E21" s="520"/>
      <c r="F21" s="520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19" t="s">
        <v>43</v>
      </c>
      <c r="C22" s="520"/>
      <c r="D22" s="520"/>
      <c r="E22" s="520"/>
      <c r="F22" s="520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19" t="s">
        <v>45</v>
      </c>
      <c r="C23" s="520"/>
      <c r="D23" s="520"/>
      <c r="E23" s="520"/>
      <c r="F23" s="520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21" t="s">
        <v>47</v>
      </c>
      <c r="C24" s="522"/>
      <c r="D24" s="522"/>
      <c r="E24" s="522"/>
      <c r="F24" s="522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21" t="s">
        <v>61</v>
      </c>
      <c r="C25" s="522"/>
      <c r="D25" s="522"/>
      <c r="E25" s="522"/>
      <c r="F25" s="522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21" t="s">
        <v>81</v>
      </c>
      <c r="C26" s="522"/>
      <c r="D26" s="522"/>
      <c r="E26" s="522"/>
      <c r="F26" s="522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21" t="s">
        <v>99</v>
      </c>
      <c r="C27" s="522"/>
      <c r="D27" s="522"/>
      <c r="E27" s="522"/>
      <c r="F27" s="522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523" t="s">
        <v>105</v>
      </c>
      <c r="C28" s="524"/>
      <c r="D28" s="524"/>
      <c r="E28" s="524"/>
      <c r="F28" s="524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509" t="s">
        <v>802</v>
      </c>
      <c r="C29" s="510"/>
      <c r="D29" s="510"/>
      <c r="E29" s="510"/>
      <c r="F29" s="510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525" t="s">
        <v>120</v>
      </c>
      <c r="C30" s="526"/>
      <c r="D30" s="526"/>
      <c r="E30" s="526"/>
      <c r="F30" s="526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19" t="s">
        <v>122</v>
      </c>
      <c r="C31" s="520"/>
      <c r="D31" s="520"/>
      <c r="E31" s="520"/>
      <c r="F31" s="520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19" t="s">
        <v>133</v>
      </c>
      <c r="C32" s="520"/>
      <c r="D32" s="520"/>
      <c r="E32" s="520"/>
      <c r="F32" s="520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19" t="s">
        <v>148</v>
      </c>
      <c r="C33" s="520"/>
      <c r="D33" s="520"/>
      <c r="E33" s="520"/>
      <c r="F33" s="520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19" t="s">
        <v>162</v>
      </c>
      <c r="C34" s="520"/>
      <c r="D34" s="520"/>
      <c r="E34" s="520"/>
      <c r="F34" s="520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588" t="s">
        <v>182</v>
      </c>
      <c r="C35" s="589"/>
      <c r="D35" s="589"/>
      <c r="E35" s="589"/>
      <c r="F35" s="589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19" t="s">
        <v>190</v>
      </c>
      <c r="C36" s="520"/>
      <c r="D36" s="520"/>
      <c r="E36" s="520"/>
      <c r="F36" s="520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19" t="s">
        <v>196</v>
      </c>
      <c r="C37" s="520"/>
      <c r="D37" s="520"/>
      <c r="E37" s="520"/>
      <c r="F37" s="520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19" t="s">
        <v>204</v>
      </c>
      <c r="C38" s="520"/>
      <c r="D38" s="520"/>
      <c r="E38" s="520"/>
      <c r="F38" s="520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19" t="s">
        <v>212</v>
      </c>
      <c r="C39" s="520"/>
      <c r="D39" s="520"/>
      <c r="E39" s="520"/>
      <c r="F39" s="520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15" t="s">
        <v>230</v>
      </c>
      <c r="C40" s="516"/>
      <c r="D40" s="516"/>
      <c r="E40" s="516"/>
      <c r="F40" s="516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19" t="s">
        <v>232</v>
      </c>
      <c r="C41" s="520"/>
      <c r="D41" s="520"/>
      <c r="E41" s="520"/>
      <c r="F41" s="520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19" t="s">
        <v>248</v>
      </c>
      <c r="C42" s="520"/>
      <c r="D42" s="520"/>
      <c r="E42" s="520"/>
      <c r="F42" s="520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19" t="s">
        <v>259</v>
      </c>
      <c r="C43" s="520"/>
      <c r="D43" s="520"/>
      <c r="E43" s="520"/>
      <c r="F43" s="520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19" t="s">
        <v>274</v>
      </c>
      <c r="C44" s="520"/>
      <c r="D44" s="520"/>
      <c r="E44" s="520"/>
      <c r="F44" s="520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19" t="s">
        <v>278</v>
      </c>
      <c r="C45" s="520"/>
      <c r="D45" s="520"/>
      <c r="E45" s="520"/>
      <c r="F45" s="520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17" t="s">
        <v>286</v>
      </c>
      <c r="C46" s="518"/>
      <c r="D46" s="518"/>
      <c r="E46" s="518"/>
      <c r="F46" s="518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17" t="s">
        <v>320</v>
      </c>
      <c r="C47" s="518"/>
      <c r="D47" s="518"/>
      <c r="E47" s="518"/>
      <c r="F47" s="518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586" t="s">
        <v>113</v>
      </c>
      <c r="C48" s="587"/>
      <c r="D48" s="587"/>
      <c r="E48" s="587"/>
      <c r="F48" s="587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78" t="s">
        <v>366</v>
      </c>
      <c r="C49" s="579"/>
      <c r="D49" s="579"/>
      <c r="E49" s="579"/>
      <c r="F49" s="579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05" t="s">
        <v>359</v>
      </c>
      <c r="C50" s="506"/>
      <c r="D50" s="506"/>
      <c r="E50" s="506"/>
      <c r="F50" s="506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80" t="s">
        <v>795</v>
      </c>
      <c r="C51" s="581"/>
      <c r="D51" s="581"/>
      <c r="E51" s="581"/>
      <c r="F51" s="581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82" t="s">
        <v>685</v>
      </c>
      <c r="C52" s="583"/>
      <c r="D52" s="583"/>
      <c r="E52" s="583"/>
      <c r="F52" s="583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11" t="s">
        <v>545</v>
      </c>
      <c r="C53" s="512"/>
      <c r="D53" s="512"/>
      <c r="E53" s="512"/>
      <c r="F53" s="512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13" t="s">
        <v>793</v>
      </c>
      <c r="C54" s="514"/>
      <c r="D54" s="514"/>
      <c r="E54" s="514"/>
      <c r="F54" s="514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76" t="s">
        <v>352</v>
      </c>
      <c r="C55" s="577"/>
      <c r="D55" s="577"/>
      <c r="E55" s="577"/>
      <c r="F55" s="577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03" t="s">
        <v>355</v>
      </c>
      <c r="C56" s="504"/>
      <c r="D56" s="504"/>
      <c r="E56" s="504"/>
      <c r="F56" s="504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 ht="13.5" thickBot="1">
      <c r="A57" s="144">
        <v>4612</v>
      </c>
      <c r="B57" s="487" t="s">
        <v>357</v>
      </c>
      <c r="C57" s="488"/>
      <c r="D57" s="488"/>
      <c r="E57" s="488"/>
      <c r="F57" s="488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595" t="s">
        <v>336</v>
      </c>
      <c r="C58" s="596"/>
      <c r="D58" s="596"/>
      <c r="E58" s="596"/>
      <c r="F58" s="596"/>
      <c r="G58" s="193">
        <f>DataEx!FF167</f>
        <v>0</v>
      </c>
      <c r="H58" s="193">
        <f>DataEx!FG167</f>
        <v>35272.089999999997</v>
      </c>
      <c r="I58" s="193">
        <f>DataEx!FH167</f>
        <v>0</v>
      </c>
      <c r="J58" s="193">
        <f>DataEx!FI167</f>
        <v>39948396.369999997</v>
      </c>
      <c r="K58" s="193">
        <f>DataEx!FJ167</f>
        <v>0</v>
      </c>
      <c r="L58" s="193">
        <f>DataEx!FK167</f>
        <v>0</v>
      </c>
      <c r="M58" s="193">
        <f>DataEx!FL167</f>
        <v>0</v>
      </c>
      <c r="N58" s="193">
        <f>DataEx!FM167</f>
        <v>0</v>
      </c>
      <c r="O58" s="193">
        <f>DataEx!FN167</f>
        <v>0</v>
      </c>
      <c r="P58" s="193">
        <f>DataEx!FO167</f>
        <v>0</v>
      </c>
      <c r="Q58" s="193">
        <f>DataEx!FP167</f>
        <v>14495201.140000001</v>
      </c>
      <c r="R58" s="193">
        <f>DataEx!FQ167</f>
        <v>2849828.78</v>
      </c>
      <c r="S58" s="394">
        <f>SUM(G58:R58)</f>
        <v>57328698.380000003</v>
      </c>
      <c r="T58" s="379">
        <f>+S58/$T$7</f>
        <v>1.1579215992728742E-2</v>
      </c>
      <c r="V58" s="319"/>
    </row>
    <row r="59" spans="1:22" ht="13.5" thickBot="1">
      <c r="A59" s="144">
        <v>1002</v>
      </c>
      <c r="B59" s="507" t="s">
        <v>543</v>
      </c>
      <c r="C59" s="508"/>
      <c r="D59" s="508"/>
      <c r="E59" s="508"/>
      <c r="F59" s="508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509" t="s">
        <v>544</v>
      </c>
      <c r="C60" s="510"/>
      <c r="D60" s="510"/>
      <c r="E60" s="510"/>
      <c r="F60" s="510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03" t="s">
        <v>114</v>
      </c>
      <c r="C61" s="504"/>
      <c r="D61" s="504"/>
      <c r="E61" s="504"/>
      <c r="F61" s="504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487" t="s">
        <v>116</v>
      </c>
      <c r="C62" s="488"/>
      <c r="D62" s="488"/>
      <c r="E62" s="488"/>
      <c r="F62" s="488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487" t="s">
        <v>93</v>
      </c>
      <c r="C63" s="488"/>
      <c r="D63" s="488"/>
      <c r="E63" s="488"/>
      <c r="F63" s="488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65" t="s">
        <v>552</v>
      </c>
      <c r="C100" s="566"/>
      <c r="D100" s="566"/>
      <c r="E100" s="566"/>
      <c r="F100" s="566"/>
      <c r="G100" s="573">
        <v>2019</v>
      </c>
      <c r="H100" s="574"/>
      <c r="I100" s="574"/>
      <c r="J100" s="574"/>
      <c r="K100" s="574"/>
      <c r="L100" s="574"/>
      <c r="M100" s="574"/>
      <c r="N100" s="574"/>
      <c r="O100" s="574"/>
      <c r="P100" s="574"/>
      <c r="Q100" s="574"/>
      <c r="R100" s="575"/>
      <c r="S100" s="107" t="str">
        <f>+S7</f>
        <v>BDP</v>
      </c>
      <c r="T100" s="108">
        <f>+T7</f>
        <v>4951000000</v>
      </c>
    </row>
    <row r="101" spans="1:21" ht="15.75" customHeight="1">
      <c r="B101" s="567"/>
      <c r="C101" s="568"/>
      <c r="D101" s="568"/>
      <c r="E101" s="568"/>
      <c r="F101" s="569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73" t="s">
        <v>809</v>
      </c>
      <c r="T101" s="575">
        <f>+T8</f>
        <v>0</v>
      </c>
    </row>
    <row r="102" spans="1:21" ht="13.5" thickBot="1">
      <c r="B102" s="570"/>
      <c r="C102" s="571"/>
      <c r="D102" s="571"/>
      <c r="E102" s="571"/>
      <c r="F102" s="572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61" t="s">
        <v>681</v>
      </c>
      <c r="C103" s="562"/>
      <c r="D103" s="562"/>
      <c r="E103" s="562"/>
      <c r="F103" s="562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63" t="s">
        <v>21</v>
      </c>
      <c r="C104" s="564"/>
      <c r="D104" s="564"/>
      <c r="E104" s="564"/>
      <c r="F104" s="564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51" t="s">
        <v>23</v>
      </c>
      <c r="C105" s="552"/>
      <c r="D105" s="552"/>
      <c r="E105" s="552"/>
      <c r="F105" s="552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51" t="s">
        <v>25</v>
      </c>
      <c r="C106" s="552"/>
      <c r="D106" s="552"/>
      <c r="E106" s="552"/>
      <c r="F106" s="552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51" t="s">
        <v>27</v>
      </c>
      <c r="C107" s="552"/>
      <c r="D107" s="552"/>
      <c r="E107" s="552"/>
      <c r="F107" s="552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51" t="s">
        <v>29</v>
      </c>
      <c r="C108" s="552"/>
      <c r="D108" s="552"/>
      <c r="E108" s="552"/>
      <c r="F108" s="552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51" t="s">
        <v>31</v>
      </c>
      <c r="C109" s="552"/>
      <c r="D109" s="552"/>
      <c r="E109" s="552"/>
      <c r="F109" s="552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51" t="s">
        <v>33</v>
      </c>
      <c r="C110" s="552"/>
      <c r="D110" s="552"/>
      <c r="E110" s="552"/>
      <c r="F110" s="552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51" t="s">
        <v>722</v>
      </c>
      <c r="C111" s="552"/>
      <c r="D111" s="552"/>
      <c r="E111" s="552"/>
      <c r="F111" s="552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59" t="s">
        <v>37</v>
      </c>
      <c r="C112" s="560"/>
      <c r="D112" s="560"/>
      <c r="E112" s="560"/>
      <c r="F112" s="560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51" t="s">
        <v>39</v>
      </c>
      <c r="C113" s="552"/>
      <c r="D113" s="552"/>
      <c r="E113" s="552"/>
      <c r="F113" s="552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51" t="s">
        <v>41</v>
      </c>
      <c r="C114" s="552"/>
      <c r="D114" s="552"/>
      <c r="E114" s="552"/>
      <c r="F114" s="552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51" t="s">
        <v>43</v>
      </c>
      <c r="C115" s="552"/>
      <c r="D115" s="552"/>
      <c r="E115" s="552"/>
      <c r="F115" s="552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51" t="s">
        <v>45</v>
      </c>
      <c r="C116" s="552"/>
      <c r="D116" s="552"/>
      <c r="E116" s="552"/>
      <c r="F116" s="552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57" t="s">
        <v>47</v>
      </c>
      <c r="C117" s="558"/>
      <c r="D117" s="558"/>
      <c r="E117" s="558"/>
      <c r="F117" s="558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57" t="s">
        <v>61</v>
      </c>
      <c r="C118" s="558"/>
      <c r="D118" s="558"/>
      <c r="E118" s="558"/>
      <c r="F118" s="558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57" t="s">
        <v>81</v>
      </c>
      <c r="C119" s="558"/>
      <c r="D119" s="558"/>
      <c r="E119" s="558"/>
      <c r="F119" s="558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57" t="s">
        <v>99</v>
      </c>
      <c r="C120" s="558"/>
      <c r="D120" s="558"/>
      <c r="E120" s="558"/>
      <c r="F120" s="558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53" t="s">
        <v>105</v>
      </c>
      <c r="C121" s="554"/>
      <c r="D121" s="554"/>
      <c r="E121" s="554"/>
      <c r="F121" s="554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35" t="s">
        <v>811</v>
      </c>
      <c r="C122" s="536"/>
      <c r="D122" s="536"/>
      <c r="E122" s="536"/>
      <c r="F122" s="536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593" t="s">
        <v>774</v>
      </c>
      <c r="C123" s="594"/>
      <c r="D123" s="594"/>
      <c r="E123" s="594"/>
      <c r="F123" s="594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55" t="e">
        <v>#REF!</v>
      </c>
      <c r="C124" s="556"/>
      <c r="D124" s="556"/>
      <c r="E124" s="556"/>
      <c r="F124" s="556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51" t="s">
        <v>122</v>
      </c>
      <c r="C125" s="552"/>
      <c r="D125" s="552"/>
      <c r="E125" s="552"/>
      <c r="F125" s="552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51" t="s">
        <v>133</v>
      </c>
      <c r="C126" s="552"/>
      <c r="D126" s="552"/>
      <c r="E126" s="552"/>
      <c r="F126" s="552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51" t="s">
        <v>148</v>
      </c>
      <c r="C127" s="552"/>
      <c r="D127" s="552"/>
      <c r="E127" s="552"/>
      <c r="F127" s="552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51" t="s">
        <v>162</v>
      </c>
      <c r="C128" s="552"/>
      <c r="D128" s="552"/>
      <c r="E128" s="552"/>
      <c r="F128" s="552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51" t="s">
        <v>182</v>
      </c>
      <c r="C129" s="552"/>
      <c r="D129" s="552"/>
      <c r="E129" s="552"/>
      <c r="F129" s="552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51" t="s">
        <v>190</v>
      </c>
      <c r="C130" s="552"/>
      <c r="D130" s="552"/>
      <c r="E130" s="552"/>
      <c r="F130" s="552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51" t="s">
        <v>196</v>
      </c>
      <c r="C131" s="552"/>
      <c r="D131" s="552"/>
      <c r="E131" s="552"/>
      <c r="F131" s="552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51" t="s">
        <v>204</v>
      </c>
      <c r="C132" s="552"/>
      <c r="D132" s="552"/>
      <c r="E132" s="552"/>
      <c r="F132" s="552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51" t="s">
        <v>212</v>
      </c>
      <c r="C133" s="552"/>
      <c r="D133" s="552"/>
      <c r="E133" s="552"/>
      <c r="F133" s="552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51" t="e">
        <v>#REF!</v>
      </c>
      <c r="C134" s="552"/>
      <c r="D134" s="552"/>
      <c r="E134" s="552"/>
      <c r="F134" s="552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47" t="s">
        <v>230</v>
      </c>
      <c r="C135" s="548"/>
      <c r="D135" s="548"/>
      <c r="E135" s="548"/>
      <c r="F135" s="548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51" t="s">
        <v>232</v>
      </c>
      <c r="C136" s="552"/>
      <c r="D136" s="552"/>
      <c r="E136" s="552"/>
      <c r="F136" s="552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51" t="s">
        <v>248</v>
      </c>
      <c r="C137" s="552"/>
      <c r="D137" s="552"/>
      <c r="E137" s="552"/>
      <c r="F137" s="552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51" t="s">
        <v>259</v>
      </c>
      <c r="C138" s="552"/>
      <c r="D138" s="552"/>
      <c r="E138" s="552"/>
      <c r="F138" s="552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51" t="s">
        <v>274</v>
      </c>
      <c r="C139" s="552"/>
      <c r="D139" s="552"/>
      <c r="E139" s="552"/>
      <c r="F139" s="552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51" t="s">
        <v>278</v>
      </c>
      <c r="C140" s="552"/>
      <c r="D140" s="552"/>
      <c r="E140" s="552"/>
      <c r="F140" s="552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49" t="s">
        <v>286</v>
      </c>
      <c r="C141" s="550"/>
      <c r="D141" s="550"/>
      <c r="E141" s="550"/>
      <c r="F141" s="550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49" t="s">
        <v>812</v>
      </c>
      <c r="C142" s="550"/>
      <c r="D142" s="550"/>
      <c r="E142" s="550"/>
      <c r="F142" s="550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41" t="s">
        <v>113</v>
      </c>
      <c r="C143" s="542"/>
      <c r="D143" s="542"/>
      <c r="E143" s="542"/>
      <c r="F143" s="542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41" t="s">
        <v>366</v>
      </c>
      <c r="C144" s="542"/>
      <c r="D144" s="542"/>
      <c r="E144" s="542"/>
      <c r="F144" s="542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41" t="s">
        <v>359</v>
      </c>
      <c r="C145" s="542"/>
      <c r="D145" s="542"/>
      <c r="E145" s="542"/>
      <c r="F145" s="542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41" t="s">
        <v>365</v>
      </c>
      <c r="C146" s="542"/>
      <c r="D146" s="542"/>
      <c r="E146" s="542"/>
      <c r="F146" s="542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591" t="s">
        <v>686</v>
      </c>
      <c r="C147" s="592"/>
      <c r="D147" s="592"/>
      <c r="E147" s="592"/>
      <c r="F147" s="592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543" t="s">
        <v>545</v>
      </c>
      <c r="C148" s="544"/>
      <c r="D148" s="544"/>
      <c r="E148" s="544"/>
      <c r="F148" s="544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545" t="s">
        <v>813</v>
      </c>
      <c r="C149" s="546"/>
      <c r="D149" s="546"/>
      <c r="E149" s="546"/>
      <c r="F149" s="546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47" t="s">
        <v>352</v>
      </c>
      <c r="C150" s="548"/>
      <c r="D150" s="548"/>
      <c r="E150" s="548"/>
      <c r="F150" s="548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39" t="s">
        <v>355</v>
      </c>
      <c r="C151" s="540"/>
      <c r="D151" s="540"/>
      <c r="E151" s="540"/>
      <c r="F151" s="540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 ht="13.5" thickBot="1">
      <c r="A152" s="117" t="str">
        <f>+CONCATENATE(A57,"p")</f>
        <v>4612p</v>
      </c>
      <c r="B152" s="541" t="s">
        <v>357</v>
      </c>
      <c r="C152" s="542"/>
      <c r="D152" s="542"/>
      <c r="E152" s="542"/>
      <c r="F152" s="542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523" t="s">
        <v>770</v>
      </c>
      <c r="C153" s="524"/>
      <c r="D153" s="524"/>
      <c r="E153" s="524"/>
      <c r="F153" s="524"/>
      <c r="G153" s="94">
        <v>26666.67</v>
      </c>
      <c r="H153" s="94">
        <v>26666.67</v>
      </c>
      <c r="I153" s="94">
        <v>26666.67</v>
      </c>
      <c r="J153" s="94">
        <v>39926666.670000002</v>
      </c>
      <c r="K153" s="94">
        <v>26666.67</v>
      </c>
      <c r="L153" s="94">
        <v>26666.67</v>
      </c>
      <c r="M153" s="94">
        <v>26666.67</v>
      </c>
      <c r="N153" s="94">
        <v>26666.67</v>
      </c>
      <c r="O153" s="94">
        <v>26666.67</v>
      </c>
      <c r="P153" s="94">
        <v>26666.67</v>
      </c>
      <c r="Q153" s="94">
        <v>26666.67</v>
      </c>
      <c r="R153" s="94">
        <v>26666.63</v>
      </c>
      <c r="S153" s="407">
        <f t="shared" si="19"/>
        <v>40220000.000000015</v>
      </c>
      <c r="T153" s="420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37" t="s">
        <v>543</v>
      </c>
      <c r="C154" s="538"/>
      <c r="D154" s="538"/>
      <c r="E154" s="538"/>
      <c r="F154" s="538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35" t="s">
        <v>544</v>
      </c>
      <c r="C155" s="536"/>
      <c r="D155" s="536"/>
      <c r="E155" s="536"/>
      <c r="F155" s="536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39" t="s">
        <v>114</v>
      </c>
      <c r="C156" s="540"/>
      <c r="D156" s="540"/>
      <c r="E156" s="540"/>
      <c r="F156" s="540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41" t="s">
        <v>116</v>
      </c>
      <c r="C157" s="542"/>
      <c r="D157" s="542"/>
      <c r="E157" s="542"/>
      <c r="F157" s="542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41" t="s">
        <v>93</v>
      </c>
      <c r="C158" s="542"/>
      <c r="D158" s="542"/>
      <c r="E158" s="542"/>
      <c r="F158" s="542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8" activePane="bottomLeft" state="frozen"/>
      <selection pane="bottomLeft" activeCell="R32" sqref="R32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90" t="s">
        <v>554</v>
      </c>
      <c r="C7" s="490"/>
      <c r="D7" s="490"/>
      <c r="E7" s="490"/>
      <c r="F7" s="490"/>
      <c r="G7" s="498">
        <v>2018</v>
      </c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502"/>
      <c r="S7" s="235" t="s">
        <v>419</v>
      </c>
      <c r="T7" s="236">
        <v>4663130000</v>
      </c>
    </row>
    <row r="8" spans="1:20" ht="16.5" customHeight="1">
      <c r="A8" s="144"/>
      <c r="B8" s="491"/>
      <c r="C8" s="492"/>
      <c r="D8" s="492"/>
      <c r="E8" s="492"/>
      <c r="F8" s="493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498" t="s">
        <v>809</v>
      </c>
      <c r="T8" s="502"/>
    </row>
    <row r="9" spans="1:20" ht="13.5" thickBot="1">
      <c r="A9" s="144"/>
      <c r="B9" s="494"/>
      <c r="C9" s="495"/>
      <c r="D9" s="495"/>
      <c r="E9" s="495"/>
      <c r="F9" s="496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31" t="s">
        <v>681</v>
      </c>
      <c r="C10" s="532"/>
      <c r="D10" s="532"/>
      <c r="E10" s="532"/>
      <c r="F10" s="532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33" t="s">
        <v>21</v>
      </c>
      <c r="C11" s="534"/>
      <c r="D11" s="534"/>
      <c r="E11" s="534"/>
      <c r="F11" s="534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19" t="s">
        <v>23</v>
      </c>
      <c r="C12" s="520"/>
      <c r="D12" s="520"/>
      <c r="E12" s="520"/>
      <c r="F12" s="520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19" t="s">
        <v>25</v>
      </c>
      <c r="C13" s="520"/>
      <c r="D13" s="520"/>
      <c r="E13" s="520"/>
      <c r="F13" s="520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19" t="s">
        <v>27</v>
      </c>
      <c r="C14" s="520"/>
      <c r="D14" s="520"/>
      <c r="E14" s="520"/>
      <c r="F14" s="520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19" t="s">
        <v>29</v>
      </c>
      <c r="C15" s="520"/>
      <c r="D15" s="520"/>
      <c r="E15" s="520"/>
      <c r="F15" s="520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19" t="s">
        <v>31</v>
      </c>
      <c r="C16" s="520"/>
      <c r="D16" s="520"/>
      <c r="E16" s="520"/>
      <c r="F16" s="520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19" t="s">
        <v>33</v>
      </c>
      <c r="C17" s="520"/>
      <c r="D17" s="520"/>
      <c r="E17" s="520"/>
      <c r="F17" s="520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19" t="s">
        <v>722</v>
      </c>
      <c r="C18" s="520"/>
      <c r="D18" s="520"/>
      <c r="E18" s="520"/>
      <c r="F18" s="520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29" t="s">
        <v>37</v>
      </c>
      <c r="C19" s="530"/>
      <c r="D19" s="530"/>
      <c r="E19" s="530"/>
      <c r="F19" s="530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19" t="s">
        <v>39</v>
      </c>
      <c r="C20" s="520"/>
      <c r="D20" s="520"/>
      <c r="E20" s="520"/>
      <c r="F20" s="520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19" t="s">
        <v>41</v>
      </c>
      <c r="C21" s="520"/>
      <c r="D21" s="520"/>
      <c r="E21" s="520"/>
      <c r="F21" s="520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19" t="s">
        <v>43</v>
      </c>
      <c r="C22" s="520"/>
      <c r="D22" s="520"/>
      <c r="E22" s="520"/>
      <c r="F22" s="520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19" t="s">
        <v>45</v>
      </c>
      <c r="C23" s="520"/>
      <c r="D23" s="520"/>
      <c r="E23" s="520"/>
      <c r="F23" s="520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21" t="s">
        <v>47</v>
      </c>
      <c r="C24" s="522"/>
      <c r="D24" s="522"/>
      <c r="E24" s="522"/>
      <c r="F24" s="522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21" t="s">
        <v>61</v>
      </c>
      <c r="C25" s="522"/>
      <c r="D25" s="522"/>
      <c r="E25" s="522"/>
      <c r="F25" s="522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21" t="s">
        <v>81</v>
      </c>
      <c r="C26" s="522"/>
      <c r="D26" s="522"/>
      <c r="E26" s="522"/>
      <c r="F26" s="522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21" t="s">
        <v>99</v>
      </c>
      <c r="C27" s="522"/>
      <c r="D27" s="522"/>
      <c r="E27" s="522"/>
      <c r="F27" s="522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523" t="s">
        <v>105</v>
      </c>
      <c r="C28" s="524"/>
      <c r="D28" s="524"/>
      <c r="E28" s="524"/>
      <c r="F28" s="524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509" t="s">
        <v>802</v>
      </c>
      <c r="C29" s="510"/>
      <c r="D29" s="510"/>
      <c r="E29" s="510"/>
      <c r="F29" s="510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525" t="s">
        <v>774</v>
      </c>
      <c r="C30" s="526"/>
      <c r="D30" s="526"/>
      <c r="E30" s="526"/>
      <c r="F30" s="526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27" t="s">
        <v>120</v>
      </c>
      <c r="C31" s="528"/>
      <c r="D31" s="528"/>
      <c r="E31" s="528"/>
      <c r="F31" s="528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19" t="s">
        <v>122</v>
      </c>
      <c r="C32" s="520"/>
      <c r="D32" s="520"/>
      <c r="E32" s="520"/>
      <c r="F32" s="520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19" t="s">
        <v>133</v>
      </c>
      <c r="C33" s="520"/>
      <c r="D33" s="520"/>
      <c r="E33" s="520"/>
      <c r="F33" s="520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19" t="s">
        <v>148</v>
      </c>
      <c r="C34" s="520"/>
      <c r="D34" s="520"/>
      <c r="E34" s="520"/>
      <c r="F34" s="520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19" t="s">
        <v>162</v>
      </c>
      <c r="C35" s="520"/>
      <c r="D35" s="520"/>
      <c r="E35" s="520"/>
      <c r="F35" s="520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19" t="s">
        <v>182</v>
      </c>
      <c r="C36" s="520"/>
      <c r="D36" s="520"/>
      <c r="E36" s="520"/>
      <c r="F36" s="520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19" t="s">
        <v>190</v>
      </c>
      <c r="C37" s="520"/>
      <c r="D37" s="520"/>
      <c r="E37" s="520"/>
      <c r="F37" s="520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19" t="s">
        <v>196</v>
      </c>
      <c r="C38" s="520"/>
      <c r="D38" s="520"/>
      <c r="E38" s="520"/>
      <c r="F38" s="520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19" t="s">
        <v>204</v>
      </c>
      <c r="C39" s="520"/>
      <c r="D39" s="520"/>
      <c r="E39" s="520"/>
      <c r="F39" s="520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19" t="s">
        <v>212</v>
      </c>
      <c r="C40" s="520"/>
      <c r="D40" s="520"/>
      <c r="E40" s="520"/>
      <c r="F40" s="520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19" t="s">
        <v>803</v>
      </c>
      <c r="C41" s="520"/>
      <c r="D41" s="520"/>
      <c r="E41" s="520"/>
      <c r="F41" s="520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15" t="s">
        <v>230</v>
      </c>
      <c r="C42" s="516"/>
      <c r="D42" s="516"/>
      <c r="E42" s="516"/>
      <c r="F42" s="516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19" t="s">
        <v>232</v>
      </c>
      <c r="C43" s="520"/>
      <c r="D43" s="520"/>
      <c r="E43" s="520"/>
      <c r="F43" s="520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19" t="s">
        <v>248</v>
      </c>
      <c r="C44" s="520"/>
      <c r="D44" s="520"/>
      <c r="E44" s="520"/>
      <c r="F44" s="520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19" t="s">
        <v>259</v>
      </c>
      <c r="C45" s="520"/>
      <c r="D45" s="520"/>
      <c r="E45" s="520"/>
      <c r="F45" s="520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19" t="s">
        <v>274</v>
      </c>
      <c r="C46" s="520"/>
      <c r="D46" s="520"/>
      <c r="E46" s="520"/>
      <c r="F46" s="520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597" t="s">
        <v>278</v>
      </c>
      <c r="C47" s="598"/>
      <c r="D47" s="598"/>
      <c r="E47" s="598"/>
      <c r="F47" s="598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17" t="s">
        <v>286</v>
      </c>
      <c r="C48" s="518"/>
      <c r="D48" s="518"/>
      <c r="E48" s="518"/>
      <c r="F48" s="518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17" t="s">
        <v>320</v>
      </c>
      <c r="C49" s="518"/>
      <c r="D49" s="518"/>
      <c r="E49" s="518"/>
      <c r="F49" s="518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586" t="s">
        <v>113</v>
      </c>
      <c r="C50" s="587"/>
      <c r="D50" s="587"/>
      <c r="E50" s="587"/>
      <c r="F50" s="587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487" t="s">
        <v>366</v>
      </c>
      <c r="C51" s="488"/>
      <c r="D51" s="488"/>
      <c r="E51" s="488"/>
      <c r="F51" s="488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05" t="s">
        <v>359</v>
      </c>
      <c r="C52" s="506"/>
      <c r="D52" s="506"/>
      <c r="E52" s="506"/>
      <c r="F52" s="506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80" t="s">
        <v>795</v>
      </c>
      <c r="C53" s="581"/>
      <c r="D53" s="581"/>
      <c r="E53" s="581"/>
      <c r="F53" s="581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82" t="s">
        <v>685</v>
      </c>
      <c r="C54" s="583"/>
      <c r="D54" s="583"/>
      <c r="E54" s="583"/>
      <c r="F54" s="583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11" t="s">
        <v>545</v>
      </c>
      <c r="C55" s="512"/>
      <c r="D55" s="512"/>
      <c r="E55" s="512"/>
      <c r="F55" s="512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13" t="s">
        <v>794</v>
      </c>
      <c r="C57" s="514"/>
      <c r="D57" s="514"/>
      <c r="E57" s="514"/>
      <c r="F57" s="514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76" t="s">
        <v>352</v>
      </c>
      <c r="C58" s="577"/>
      <c r="D58" s="577"/>
      <c r="E58" s="577"/>
      <c r="F58" s="577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03" t="s">
        <v>355</v>
      </c>
      <c r="C59" s="504"/>
      <c r="D59" s="504"/>
      <c r="E59" s="504"/>
      <c r="F59" s="504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487" t="s">
        <v>357</v>
      </c>
      <c r="C60" s="488"/>
      <c r="D60" s="488"/>
      <c r="E60" s="488"/>
      <c r="F60" s="488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595" t="s">
        <v>336</v>
      </c>
      <c r="C61" s="596"/>
      <c r="D61" s="596"/>
      <c r="E61" s="596"/>
      <c r="F61" s="596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07" t="s">
        <v>543</v>
      </c>
      <c r="C62" s="508"/>
      <c r="D62" s="508"/>
      <c r="E62" s="508"/>
      <c r="F62" s="508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509" t="s">
        <v>544</v>
      </c>
      <c r="C63" s="510"/>
      <c r="D63" s="510"/>
      <c r="E63" s="510"/>
      <c r="F63" s="510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03" t="s">
        <v>114</v>
      </c>
      <c r="C64" s="504"/>
      <c r="D64" s="504"/>
      <c r="E64" s="504"/>
      <c r="F64" s="504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487" t="s">
        <v>116</v>
      </c>
      <c r="C65" s="488"/>
      <c r="D65" s="488"/>
      <c r="E65" s="488"/>
      <c r="F65" s="488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487" t="s">
        <v>93</v>
      </c>
      <c r="C66" s="488"/>
      <c r="D66" s="488"/>
      <c r="E66" s="488"/>
      <c r="F66" s="488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65" t="s">
        <v>552</v>
      </c>
      <c r="C103" s="566"/>
      <c r="D103" s="566"/>
      <c r="E103" s="566"/>
      <c r="F103" s="566"/>
      <c r="G103" s="573">
        <v>2018</v>
      </c>
      <c r="H103" s="574"/>
      <c r="I103" s="574"/>
      <c r="J103" s="574"/>
      <c r="K103" s="574"/>
      <c r="L103" s="574"/>
      <c r="M103" s="574"/>
      <c r="N103" s="574"/>
      <c r="O103" s="574"/>
      <c r="P103" s="574"/>
      <c r="Q103" s="574"/>
      <c r="R103" s="575"/>
      <c r="S103" s="107" t="str">
        <f>+S7</f>
        <v>BDP</v>
      </c>
      <c r="T103" s="108">
        <f>+T7</f>
        <v>4663130000</v>
      </c>
    </row>
    <row r="104" spans="1:21" ht="15.75" customHeight="1">
      <c r="B104" s="567"/>
      <c r="C104" s="568"/>
      <c r="D104" s="568"/>
      <c r="E104" s="568"/>
      <c r="F104" s="569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73" t="s">
        <v>809</v>
      </c>
      <c r="T104" s="575">
        <f>+T8</f>
        <v>0</v>
      </c>
    </row>
    <row r="105" spans="1:21" ht="13.5" thickBot="1">
      <c r="B105" s="570"/>
      <c r="C105" s="571"/>
      <c r="D105" s="571"/>
      <c r="E105" s="571"/>
      <c r="F105" s="572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61" t="s">
        <v>681</v>
      </c>
      <c r="C106" s="562"/>
      <c r="D106" s="562"/>
      <c r="E106" s="562"/>
      <c r="F106" s="562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63" t="s">
        <v>21</v>
      </c>
      <c r="C107" s="564"/>
      <c r="D107" s="564"/>
      <c r="E107" s="564"/>
      <c r="F107" s="564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51" t="s">
        <v>23</v>
      </c>
      <c r="C108" s="552"/>
      <c r="D108" s="552"/>
      <c r="E108" s="552"/>
      <c r="F108" s="552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51" t="s">
        <v>25</v>
      </c>
      <c r="C109" s="552"/>
      <c r="D109" s="552"/>
      <c r="E109" s="552"/>
      <c r="F109" s="552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51" t="s">
        <v>27</v>
      </c>
      <c r="C110" s="552"/>
      <c r="D110" s="552"/>
      <c r="E110" s="552"/>
      <c r="F110" s="552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51" t="s">
        <v>29</v>
      </c>
      <c r="C111" s="552"/>
      <c r="D111" s="552"/>
      <c r="E111" s="552"/>
      <c r="F111" s="552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51" t="s">
        <v>31</v>
      </c>
      <c r="C112" s="552"/>
      <c r="D112" s="552"/>
      <c r="E112" s="552"/>
      <c r="F112" s="552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51" t="s">
        <v>33</v>
      </c>
      <c r="C113" s="552"/>
      <c r="D113" s="552"/>
      <c r="E113" s="552"/>
      <c r="F113" s="552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51" t="s">
        <v>722</v>
      </c>
      <c r="C114" s="552"/>
      <c r="D114" s="552"/>
      <c r="E114" s="552"/>
      <c r="F114" s="552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59" t="s">
        <v>37</v>
      </c>
      <c r="C115" s="560"/>
      <c r="D115" s="560"/>
      <c r="E115" s="560"/>
      <c r="F115" s="560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51" t="s">
        <v>39</v>
      </c>
      <c r="C116" s="552"/>
      <c r="D116" s="552"/>
      <c r="E116" s="552"/>
      <c r="F116" s="552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51" t="s">
        <v>41</v>
      </c>
      <c r="C117" s="552"/>
      <c r="D117" s="552"/>
      <c r="E117" s="552"/>
      <c r="F117" s="552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51" t="s">
        <v>43</v>
      </c>
      <c r="C118" s="552"/>
      <c r="D118" s="552"/>
      <c r="E118" s="552"/>
      <c r="F118" s="552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51" t="s">
        <v>45</v>
      </c>
      <c r="C119" s="552"/>
      <c r="D119" s="552"/>
      <c r="E119" s="552"/>
      <c r="F119" s="552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57" t="s">
        <v>47</v>
      </c>
      <c r="C120" s="558"/>
      <c r="D120" s="558"/>
      <c r="E120" s="558"/>
      <c r="F120" s="558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57" t="s">
        <v>61</v>
      </c>
      <c r="C121" s="558"/>
      <c r="D121" s="558"/>
      <c r="E121" s="558"/>
      <c r="F121" s="558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57" t="s">
        <v>81</v>
      </c>
      <c r="C122" s="558"/>
      <c r="D122" s="558"/>
      <c r="E122" s="558"/>
      <c r="F122" s="558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57" t="s">
        <v>99</v>
      </c>
      <c r="C123" s="558"/>
      <c r="D123" s="558"/>
      <c r="E123" s="558"/>
      <c r="F123" s="558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53" t="s">
        <v>105</v>
      </c>
      <c r="C124" s="554"/>
      <c r="D124" s="554"/>
      <c r="E124" s="554"/>
      <c r="F124" s="554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35" t="s">
        <v>811</v>
      </c>
      <c r="C125" s="536"/>
      <c r="D125" s="536"/>
      <c r="E125" s="536"/>
      <c r="F125" s="536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593" t="s">
        <v>774</v>
      </c>
      <c r="C126" s="594"/>
      <c r="D126" s="594"/>
      <c r="E126" s="594"/>
      <c r="F126" s="594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55" t="s">
        <v>120</v>
      </c>
      <c r="C127" s="556"/>
      <c r="D127" s="556"/>
      <c r="E127" s="556"/>
      <c r="F127" s="556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51" t="s">
        <v>122</v>
      </c>
      <c r="C128" s="552"/>
      <c r="D128" s="552"/>
      <c r="E128" s="552"/>
      <c r="F128" s="552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51" t="s">
        <v>133</v>
      </c>
      <c r="C129" s="552"/>
      <c r="D129" s="552"/>
      <c r="E129" s="552"/>
      <c r="F129" s="552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51" t="s">
        <v>148</v>
      </c>
      <c r="C130" s="552"/>
      <c r="D130" s="552"/>
      <c r="E130" s="552"/>
      <c r="F130" s="552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51" t="s">
        <v>162</v>
      </c>
      <c r="C131" s="552"/>
      <c r="D131" s="552"/>
      <c r="E131" s="552"/>
      <c r="F131" s="552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51" t="s">
        <v>182</v>
      </c>
      <c r="C132" s="552"/>
      <c r="D132" s="552"/>
      <c r="E132" s="552"/>
      <c r="F132" s="552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51" t="s">
        <v>190</v>
      </c>
      <c r="C133" s="552"/>
      <c r="D133" s="552"/>
      <c r="E133" s="552"/>
      <c r="F133" s="552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51" t="s">
        <v>196</v>
      </c>
      <c r="C134" s="552"/>
      <c r="D134" s="552"/>
      <c r="E134" s="552"/>
      <c r="F134" s="552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51" t="s">
        <v>204</v>
      </c>
      <c r="C135" s="552"/>
      <c r="D135" s="552"/>
      <c r="E135" s="552"/>
      <c r="F135" s="552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51" t="s">
        <v>212</v>
      </c>
      <c r="C136" s="552"/>
      <c r="D136" s="552"/>
      <c r="E136" s="552"/>
      <c r="F136" s="552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51" t="s">
        <v>803</v>
      </c>
      <c r="C137" s="552"/>
      <c r="D137" s="552"/>
      <c r="E137" s="552"/>
      <c r="F137" s="552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47" t="s">
        <v>230</v>
      </c>
      <c r="C138" s="548"/>
      <c r="D138" s="548"/>
      <c r="E138" s="548"/>
      <c r="F138" s="548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51" t="s">
        <v>232</v>
      </c>
      <c r="C139" s="552"/>
      <c r="D139" s="552"/>
      <c r="E139" s="552"/>
      <c r="F139" s="552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51" t="s">
        <v>248</v>
      </c>
      <c r="C140" s="552"/>
      <c r="D140" s="552"/>
      <c r="E140" s="552"/>
      <c r="F140" s="552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51" t="s">
        <v>259</v>
      </c>
      <c r="C141" s="552"/>
      <c r="D141" s="552"/>
      <c r="E141" s="552"/>
      <c r="F141" s="552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51" t="s">
        <v>274</v>
      </c>
      <c r="C142" s="552"/>
      <c r="D142" s="552"/>
      <c r="E142" s="552"/>
      <c r="F142" s="552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51" t="s">
        <v>278</v>
      </c>
      <c r="C143" s="552"/>
      <c r="D143" s="552"/>
      <c r="E143" s="552"/>
      <c r="F143" s="552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49" t="s">
        <v>286</v>
      </c>
      <c r="C144" s="550"/>
      <c r="D144" s="550"/>
      <c r="E144" s="550"/>
      <c r="F144" s="550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49" t="s">
        <v>812</v>
      </c>
      <c r="C145" s="550"/>
      <c r="D145" s="550"/>
      <c r="E145" s="550"/>
      <c r="F145" s="550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41" t="s">
        <v>113</v>
      </c>
      <c r="C146" s="542"/>
      <c r="D146" s="542"/>
      <c r="E146" s="542"/>
      <c r="F146" s="542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41" t="s">
        <v>366</v>
      </c>
      <c r="C147" s="542"/>
      <c r="D147" s="542"/>
      <c r="E147" s="542"/>
      <c r="F147" s="542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41" t="s">
        <v>359</v>
      </c>
      <c r="C148" s="542"/>
      <c r="D148" s="542"/>
      <c r="E148" s="542"/>
      <c r="F148" s="542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543" t="s">
        <v>545</v>
      </c>
      <c r="C150" s="544"/>
      <c r="D150" s="544"/>
      <c r="E150" s="544"/>
      <c r="F150" s="544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545" t="s">
        <v>813</v>
      </c>
      <c r="C151" s="546"/>
      <c r="D151" s="546"/>
      <c r="E151" s="546"/>
      <c r="F151" s="546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47" t="s">
        <v>352</v>
      </c>
      <c r="C152" s="548"/>
      <c r="D152" s="548"/>
      <c r="E152" s="548"/>
      <c r="F152" s="548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39" t="s">
        <v>355</v>
      </c>
      <c r="C153" s="540"/>
      <c r="D153" s="540"/>
      <c r="E153" s="540"/>
      <c r="F153" s="540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41" t="s">
        <v>357</v>
      </c>
      <c r="C154" s="542"/>
      <c r="D154" s="542"/>
      <c r="E154" s="542"/>
      <c r="F154" s="542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41" t="s">
        <v>365</v>
      </c>
      <c r="C155" s="542"/>
      <c r="D155" s="542"/>
      <c r="E155" s="542"/>
      <c r="F155" s="542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37" t="s">
        <v>543</v>
      </c>
      <c r="C157" s="538"/>
      <c r="D157" s="538"/>
      <c r="E157" s="538"/>
      <c r="F157" s="538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35" t="s">
        <v>544</v>
      </c>
      <c r="C158" s="536"/>
      <c r="D158" s="536"/>
      <c r="E158" s="536"/>
      <c r="F158" s="536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39" t="s">
        <v>114</v>
      </c>
      <c r="C159" s="540"/>
      <c r="D159" s="540"/>
      <c r="E159" s="540"/>
      <c r="F159" s="540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41" t="s">
        <v>116</v>
      </c>
      <c r="C160" s="542"/>
      <c r="D160" s="542"/>
      <c r="E160" s="542"/>
      <c r="F160" s="542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41" t="s">
        <v>93</v>
      </c>
      <c r="C161" s="542"/>
      <c r="D161" s="542"/>
      <c r="E161" s="542"/>
      <c r="F161" s="542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02" t="s">
        <v>555</v>
      </c>
      <c r="F6" s="599">
        <v>2006</v>
      </c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1"/>
      <c r="R6" s="599">
        <v>2007</v>
      </c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1"/>
      <c r="AD6" s="599">
        <v>2008</v>
      </c>
      <c r="AE6" s="600"/>
      <c r="AF6" s="600"/>
      <c r="AG6" s="600"/>
      <c r="AH6" s="600"/>
      <c r="AI6" s="600"/>
      <c r="AJ6" s="600"/>
      <c r="AK6" s="600"/>
      <c r="AL6" s="600"/>
      <c r="AM6" s="600"/>
      <c r="AN6" s="600"/>
      <c r="AO6" s="601"/>
      <c r="AP6" s="599">
        <v>2009</v>
      </c>
      <c r="AQ6" s="600"/>
      <c r="AR6" s="600"/>
      <c r="AS6" s="600"/>
      <c r="AT6" s="600"/>
      <c r="AU6" s="600"/>
      <c r="AV6" s="600"/>
      <c r="AW6" s="600"/>
      <c r="AX6" s="600"/>
      <c r="AY6" s="600"/>
      <c r="AZ6" s="600"/>
      <c r="BA6" s="601"/>
      <c r="BB6" s="599">
        <v>2010</v>
      </c>
      <c r="BC6" s="600"/>
      <c r="BD6" s="600"/>
      <c r="BE6" s="600"/>
      <c r="BF6" s="600"/>
      <c r="BG6" s="600"/>
      <c r="BH6" s="600"/>
      <c r="BI6" s="600"/>
      <c r="BJ6" s="600"/>
      <c r="BK6" s="600"/>
      <c r="BL6" s="600"/>
      <c r="BM6" s="601"/>
      <c r="BN6" s="599">
        <v>2011</v>
      </c>
      <c r="BO6" s="600"/>
      <c r="BP6" s="600"/>
      <c r="BQ6" s="600"/>
      <c r="BR6" s="600"/>
      <c r="BS6" s="600"/>
      <c r="BT6" s="600"/>
      <c r="BU6" s="600"/>
      <c r="BV6" s="600"/>
      <c r="BW6" s="600"/>
      <c r="BX6" s="600"/>
      <c r="BY6" s="601"/>
      <c r="BZ6" s="600">
        <v>2012</v>
      </c>
      <c r="CA6" s="600"/>
      <c r="CB6" s="600"/>
      <c r="CC6" s="600"/>
      <c r="CD6" s="600"/>
      <c r="CE6" s="600"/>
      <c r="CF6" s="600"/>
      <c r="CG6" s="600"/>
      <c r="CH6" s="600"/>
      <c r="CI6" s="600"/>
      <c r="CJ6" s="600"/>
      <c r="CK6" s="600"/>
      <c r="CL6" s="599">
        <v>2013</v>
      </c>
      <c r="CM6" s="600"/>
      <c r="CN6" s="600"/>
      <c r="CO6" s="600"/>
      <c r="CP6" s="600"/>
      <c r="CQ6" s="600"/>
      <c r="CR6" s="600"/>
      <c r="CS6" s="600"/>
      <c r="CT6" s="600"/>
      <c r="CU6" s="600"/>
      <c r="CV6" s="600"/>
      <c r="CW6" s="601"/>
      <c r="CX6" s="599">
        <v>2014</v>
      </c>
      <c r="CY6" s="600"/>
      <c r="CZ6" s="600"/>
      <c r="DA6" s="600"/>
      <c r="DB6" s="600"/>
      <c r="DC6" s="600"/>
      <c r="DD6" s="600"/>
      <c r="DE6" s="600"/>
      <c r="DF6" s="600"/>
      <c r="DG6" s="600"/>
      <c r="DH6" s="600"/>
      <c r="DI6" s="601"/>
      <c r="DJ6" s="599">
        <v>2015</v>
      </c>
      <c r="DK6" s="600"/>
      <c r="DL6" s="600"/>
      <c r="DM6" s="600"/>
      <c r="DN6" s="600"/>
      <c r="DO6" s="600"/>
      <c r="DP6" s="600"/>
      <c r="DQ6" s="600"/>
      <c r="DR6" s="600"/>
      <c r="DS6" s="600"/>
      <c r="DT6" s="600"/>
      <c r="DU6" s="601"/>
    </row>
    <row r="7" spans="1:321">
      <c r="E7" s="602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02" t="s">
        <v>676</v>
      </c>
      <c r="F214" s="599">
        <v>2006</v>
      </c>
      <c r="G214" s="600"/>
      <c r="H214" s="600"/>
      <c r="I214" s="600"/>
      <c r="J214" s="600"/>
      <c r="K214" s="600"/>
      <c r="L214" s="600"/>
      <c r="M214" s="600"/>
      <c r="N214" s="600"/>
      <c r="O214" s="600"/>
      <c r="P214" s="600"/>
      <c r="Q214" s="601"/>
      <c r="R214" s="599">
        <v>2007</v>
      </c>
      <c r="S214" s="600"/>
      <c r="T214" s="600"/>
      <c r="U214" s="600"/>
      <c r="V214" s="600"/>
      <c r="W214" s="600"/>
      <c r="X214" s="600"/>
      <c r="Y214" s="600"/>
      <c r="Z214" s="600"/>
      <c r="AA214" s="600"/>
      <c r="AB214" s="600"/>
      <c r="AC214" s="601"/>
      <c r="AD214" s="599">
        <v>2008</v>
      </c>
      <c r="AE214" s="600"/>
      <c r="AF214" s="600"/>
      <c r="AG214" s="600"/>
      <c r="AH214" s="600"/>
      <c r="AI214" s="600"/>
      <c r="AJ214" s="600"/>
      <c r="AK214" s="600"/>
      <c r="AL214" s="600"/>
      <c r="AM214" s="600"/>
      <c r="AN214" s="600"/>
      <c r="AO214" s="601"/>
      <c r="AP214" s="599">
        <v>2009</v>
      </c>
      <c r="AQ214" s="600"/>
      <c r="AR214" s="600"/>
      <c r="AS214" s="600"/>
      <c r="AT214" s="600"/>
      <c r="AU214" s="600"/>
      <c r="AV214" s="600"/>
      <c r="AW214" s="600"/>
      <c r="AX214" s="600"/>
      <c r="AY214" s="600"/>
      <c r="AZ214" s="600"/>
      <c r="BA214" s="601"/>
      <c r="BB214" s="599">
        <v>2010</v>
      </c>
      <c r="BC214" s="600"/>
      <c r="BD214" s="600"/>
      <c r="BE214" s="600"/>
      <c r="BF214" s="600"/>
      <c r="BG214" s="600"/>
      <c r="BH214" s="600"/>
      <c r="BI214" s="600"/>
      <c r="BJ214" s="600"/>
      <c r="BK214" s="600"/>
      <c r="BL214" s="600"/>
      <c r="BM214" s="601"/>
      <c r="BN214" s="599">
        <v>2011</v>
      </c>
      <c r="BO214" s="600"/>
      <c r="BP214" s="600"/>
      <c r="BQ214" s="600"/>
      <c r="BR214" s="600"/>
      <c r="BS214" s="600"/>
      <c r="BT214" s="600"/>
      <c r="BU214" s="600"/>
      <c r="BV214" s="600"/>
      <c r="BW214" s="600"/>
      <c r="BX214" s="600"/>
      <c r="BY214" s="601"/>
      <c r="BZ214" s="600">
        <v>2012</v>
      </c>
      <c r="CA214" s="600"/>
      <c r="CB214" s="600"/>
      <c r="CC214" s="600"/>
      <c r="CD214" s="600"/>
      <c r="CE214" s="600"/>
      <c r="CF214" s="600"/>
      <c r="CG214" s="600"/>
      <c r="CH214" s="600"/>
      <c r="CI214" s="600"/>
      <c r="CJ214" s="600"/>
      <c r="CK214" s="600"/>
      <c r="CL214" s="599">
        <v>2013</v>
      </c>
      <c r="CM214" s="600"/>
      <c r="CN214" s="600"/>
      <c r="CO214" s="600"/>
      <c r="CP214" s="600"/>
      <c r="CQ214" s="600"/>
      <c r="CR214" s="600"/>
      <c r="CS214" s="600"/>
      <c r="CT214" s="600"/>
      <c r="CU214" s="600"/>
      <c r="CV214" s="600"/>
      <c r="CW214" s="601"/>
      <c r="CX214" s="599">
        <v>2014</v>
      </c>
      <c r="CY214" s="600"/>
      <c r="CZ214" s="600"/>
      <c r="DA214" s="600"/>
      <c r="DB214" s="600"/>
      <c r="DC214" s="600"/>
      <c r="DD214" s="600"/>
      <c r="DE214" s="600"/>
      <c r="DF214" s="600"/>
      <c r="DG214" s="600"/>
      <c r="DH214" s="600"/>
      <c r="DI214" s="601"/>
      <c r="DJ214" s="599">
        <v>2015</v>
      </c>
      <c r="DK214" s="600"/>
      <c r="DL214" s="600"/>
      <c r="DM214" s="600"/>
      <c r="DN214" s="600"/>
      <c r="DO214" s="600"/>
      <c r="DP214" s="600"/>
      <c r="DQ214" s="600"/>
      <c r="DR214" s="600"/>
      <c r="DS214" s="600"/>
      <c r="DT214" s="600"/>
      <c r="DU214" s="601"/>
    </row>
    <row r="215" spans="1:187">
      <c r="E215" s="602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6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Jun</v>
      </c>
    </row>
    <row r="245" spans="4:7">
      <c r="D245" s="49"/>
      <c r="E245" s="9"/>
      <c r="F245" s="10"/>
      <c r="G245" s="52" t="str">
        <f>+CONCATENATE("Jan - ",LEFT(G244,3))</f>
        <v>Jan - Jun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Jun</v>
      </c>
      <c r="F253" s="10" t="str">
        <f>+CONCATENATE("Analytics for period ",G245)</f>
        <v>Analytics for period Jan - Jun</v>
      </c>
      <c r="G253" s="52" t="str">
        <f>+IF(ISBLANK(IF($B$2=1,E253,F253)),"",IF($B$2=1,E253,F253))</f>
        <v>Analitika za period Jan - Jun</v>
      </c>
    </row>
    <row r="254" spans="4:7">
      <c r="D254" s="46"/>
      <c r="E254" s="9" t="str">
        <f>+CONCATENATE("Analitika za period ",G244)</f>
        <v>Analitika za period Jun</v>
      </c>
      <c r="F254" s="10" t="str">
        <f>+CONCATENATE("Analytics for period ",G244)</f>
        <v>Analytics for period Jun</v>
      </c>
      <c r="G254" s="52" t="str">
        <f>+IF(ISBLANK(IF($B$2=1,E254,F254)),"",IF($B$2=1,E254,F254))</f>
        <v>Analitika za period Jun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Jun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Jun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Jun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Jun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Jun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Jun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Pregled</vt:lpstr>
      <vt:lpstr>Analitka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2021-07-26T08:41:47Z</cp:lastPrinted>
  <dcterms:created xsi:type="dcterms:W3CDTF">2014-09-15T13:41:17Z</dcterms:created>
  <dcterms:modified xsi:type="dcterms:W3CDTF">2021-07-29T05:28:28Z</dcterms:modified>
</cp:coreProperties>
</file>