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1570" windowHeight="8085" tabRatio="587" firstSheet="1" activeTab="1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Sheet1" sheetId="18" state="hidden" r:id="rId8"/>
    <sheet name="2015" sheetId="10" state="hidden" r:id="rId9"/>
    <sheet name="2014" sheetId="4" state="hidden" r:id="rId10"/>
    <sheet name="2013" sheetId="8" state="hidden" r:id="rId11"/>
    <sheet name="Dug" sheetId="9" state="hidden" r:id="rId12"/>
    <sheet name="DataEx" sheetId="6" r:id="rId13"/>
    <sheet name="Master" sheetId="2" state="hidden" r:id="rId14"/>
  </sheets>
  <externalReferences>
    <externalReference r:id="rId15"/>
  </externalReferences>
  <definedNames>
    <definedName name="_2013plan" localSheetId="10">'2013'!$A$102:$A$160</definedName>
    <definedName name="_2013plan" localSheetId="11">Dug!$A$101:$A$159</definedName>
    <definedName name="_2014plan" localSheetId="9">'2014'!$A$101:$A$159</definedName>
    <definedName name="_2015plan" localSheetId="8">'2015'!$A$102:$A$159</definedName>
    <definedName name="_2015plan" localSheetId="6">'2016'!$A$102:$A$160</definedName>
    <definedName name="_2015plan" localSheetId="5">'2017'!$A$102:$A$160</definedName>
    <definedName name="_2015plan" localSheetId="4">'2018'!$A$103:$A$162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FO219" i="6" l="1"/>
  <c r="FN219" i="6"/>
  <c r="FO245" i="6"/>
  <c r="FN245" i="6"/>
  <c r="FQ395" i="6"/>
  <c r="FP395" i="6"/>
  <c r="FO395" i="6"/>
  <c r="FL395" i="6"/>
  <c r="FO221" i="6"/>
  <c r="FN221" i="6"/>
  <c r="FO246" i="6"/>
  <c r="FN246" i="6"/>
  <c r="H147" i="17" l="1"/>
  <c r="I147" i="17"/>
  <c r="J147" i="17"/>
  <c r="K147" i="17"/>
  <c r="L147" i="17"/>
  <c r="M147" i="17"/>
  <c r="N147" i="17"/>
  <c r="O147" i="17"/>
  <c r="P147" i="17"/>
  <c r="Q147" i="17"/>
  <c r="R147" i="17"/>
  <c r="G147" i="17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P125" i="17" s="1"/>
  <c r="O126" i="17"/>
  <c r="O124" i="17" s="1"/>
  <c r="L126" i="17"/>
  <c r="L124" i="17" s="1"/>
  <c r="L125" i="17" s="1"/>
  <c r="K126" i="17"/>
  <c r="K124" i="17" s="1"/>
  <c r="H126" i="17"/>
  <c r="G126" i="17"/>
  <c r="G124" i="17" s="1"/>
  <c r="A126" i="17"/>
  <c r="A125" i="17"/>
  <c r="O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H105" i="17" s="1"/>
  <c r="G106" i="17"/>
  <c r="A106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P43" i="17"/>
  <c r="O43" i="17"/>
  <c r="N43" i="17"/>
  <c r="M43" i="17"/>
  <c r="L43" i="17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I31" i="17" s="1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Q11" i="17" s="1"/>
  <c r="P12" i="17"/>
  <c r="O12" i="17"/>
  <c r="N12" i="17"/>
  <c r="M12" i="17"/>
  <c r="L12" i="17"/>
  <c r="K12" i="17"/>
  <c r="J12" i="17"/>
  <c r="I12" i="17"/>
  <c r="H12" i="17"/>
  <c r="G12" i="17"/>
  <c r="R5" i="17"/>
  <c r="Q5" i="17"/>
  <c r="P5" i="17"/>
  <c r="O5" i="17"/>
  <c r="N5" i="17"/>
  <c r="M5" i="17"/>
  <c r="L5" i="17"/>
  <c r="K5" i="17"/>
  <c r="J5" i="17"/>
  <c r="I5" i="17"/>
  <c r="H5" i="17"/>
  <c r="G5" i="17"/>
  <c r="G11" i="2"/>
  <c r="H31" i="17" l="1"/>
  <c r="L42" i="17"/>
  <c r="O57" i="17"/>
  <c r="H51" i="11"/>
  <c r="S20" i="17"/>
  <c r="T20" i="17" s="1"/>
  <c r="Q42" i="17"/>
  <c r="J11" i="17"/>
  <c r="J10" i="17" s="1"/>
  <c r="M42" i="17"/>
  <c r="H11" i="17"/>
  <c r="H10" i="17" s="1"/>
  <c r="J31" i="17"/>
  <c r="I11" i="17"/>
  <c r="I10" i="17" s="1"/>
  <c r="Q31" i="17"/>
  <c r="R11" i="17"/>
  <c r="R10" i="17" s="1"/>
  <c r="N11" i="17"/>
  <c r="N10" i="17" s="1"/>
  <c r="P11" i="17"/>
  <c r="P10" i="17" s="1"/>
  <c r="G63" i="11"/>
  <c r="G64" i="11"/>
  <c r="G65" i="11"/>
  <c r="H124" i="17"/>
  <c r="H125" i="17" s="1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P150" i="17" s="1"/>
  <c r="P156" i="17" s="1"/>
  <c r="H60" i="11"/>
  <c r="H35" i="11"/>
  <c r="H52" i="11"/>
  <c r="H53" i="11"/>
  <c r="H34" i="11"/>
  <c r="H41" i="11"/>
  <c r="H40" i="11"/>
  <c r="H14" i="11"/>
  <c r="H13" i="11"/>
  <c r="H16" i="11"/>
  <c r="P42" i="17"/>
  <c r="H42" i="17"/>
  <c r="H29" i="17" s="1"/>
  <c r="H30" i="17" s="1"/>
  <c r="H31" i="11"/>
  <c r="H57" i="11"/>
  <c r="O42" i="17"/>
  <c r="M11" i="17"/>
  <c r="M10" i="17" s="1"/>
  <c r="M31" i="17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42" i="17"/>
  <c r="N42" i="17"/>
  <c r="R42" i="17"/>
  <c r="L11" i="17"/>
  <c r="L10" i="17" s="1"/>
  <c r="I29" i="17"/>
  <c r="I3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H150" i="17" l="1"/>
  <c r="H151" i="17" s="1"/>
  <c r="Q29" i="17"/>
  <c r="Q30" i="17" s="1"/>
  <c r="P151" i="17"/>
  <c r="M29" i="17"/>
  <c r="M30" i="17" s="1"/>
  <c r="J29" i="17"/>
  <c r="J30" i="17" s="1"/>
  <c r="P29" i="17"/>
  <c r="P30" i="17" s="1"/>
  <c r="I65" i="11"/>
  <c r="J65" i="11"/>
  <c r="J64" i="11"/>
  <c r="I64" i="11"/>
  <c r="I63" i="11"/>
  <c r="J63" i="1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55" i="17" s="1"/>
  <c r="R56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G29" i="17"/>
  <c r="G30" i="17" s="1"/>
  <c r="L161" i="17"/>
  <c r="L157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M150" i="17"/>
  <c r="S159" i="17"/>
  <c r="T159" i="17" s="1"/>
  <c r="S106" i="17"/>
  <c r="T106" i="17" s="1"/>
  <c r="Q55" i="17" l="1"/>
  <c r="Q56" i="17" s="1"/>
  <c r="S124" i="17"/>
  <c r="T124" i="17" s="1"/>
  <c r="R150" i="17"/>
  <c r="M55" i="17"/>
  <c r="M61" i="17" s="1"/>
  <c r="M66" i="17" s="1"/>
  <c r="M62" i="17" s="1"/>
  <c r="G156" i="17"/>
  <c r="G161" i="17" s="1"/>
  <c r="J55" i="17"/>
  <c r="J61" i="17" s="1"/>
  <c r="J66" i="17" s="1"/>
  <c r="J62" i="17" s="1"/>
  <c r="P55" i="17"/>
  <c r="P61" i="17" s="1"/>
  <c r="P66" i="17" s="1"/>
  <c r="P62" i="17" s="1"/>
  <c r="R30" i="17"/>
  <c r="G30" i="11" s="1"/>
  <c r="N55" i="17"/>
  <c r="N61" i="17" s="1"/>
  <c r="N66" i="17" s="1"/>
  <c r="N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M56" i="17"/>
  <c r="R61" i="17"/>
  <c r="R66" i="17" s="1"/>
  <c r="R62" i="17" s="1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H12" i="1" l="1"/>
  <c r="I12" i="1" s="1"/>
  <c r="G73" i="11"/>
  <c r="J56" i="17"/>
  <c r="N56" i="17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S151" i="17"/>
  <c r="T151" i="17" s="1"/>
  <c r="G56" i="17"/>
  <c r="G61" i="17"/>
  <c r="G61" i="11" s="1"/>
  <c r="J161" i="17"/>
  <c r="H66" i="11" s="1"/>
  <c r="S156" i="17"/>
  <c r="T156" i="17" s="1"/>
  <c r="I61" i="11" l="1"/>
  <c r="J61" i="11"/>
  <c r="S56" i="17"/>
  <c r="T56" i="17" s="1"/>
  <c r="G56" i="11"/>
  <c r="S61" i="17"/>
  <c r="T61" i="17" s="1"/>
  <c r="G66" i="17"/>
  <c r="J157" i="17"/>
  <c r="S161" i="17"/>
  <c r="T161" i="17" s="1"/>
  <c r="G62" i="17" l="1"/>
  <c r="G62" i="11" s="1"/>
  <c r="G66" i="11"/>
  <c r="S157" i="17"/>
  <c r="T157" i="17" s="1"/>
  <c r="H62" i="11"/>
  <c r="S66" i="17"/>
  <c r="T66" i="17" s="1"/>
  <c r="S62" i="17" l="1"/>
  <c r="T62" i="17" s="1"/>
  <c r="J66" i="11"/>
  <c r="I66" i="11"/>
  <c r="J62" i="11"/>
  <c r="I62" i="11"/>
  <c r="G12" i="2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H156" i="13" l="1"/>
  <c r="I156" i="13"/>
  <c r="J156" i="13"/>
  <c r="K156" i="13"/>
  <c r="L156" i="13"/>
  <c r="M156" i="13"/>
  <c r="N156" i="13"/>
  <c r="O156" i="13"/>
  <c r="P156" i="13"/>
  <c r="Q156" i="13"/>
  <c r="R156" i="13"/>
  <c r="G156" i="13"/>
  <c r="S156" i="13" l="1"/>
  <c r="T156" i="13" s="1"/>
  <c r="H61" i="13"/>
  <c r="I61" i="13"/>
  <c r="J61" i="13"/>
  <c r="K61" i="13"/>
  <c r="L61" i="13"/>
  <c r="M61" i="13"/>
  <c r="N61" i="13"/>
  <c r="O61" i="13"/>
  <c r="P61" i="13"/>
  <c r="Q61" i="13"/>
  <c r="R61" i="13"/>
  <c r="G61" i="13"/>
  <c r="S61" i="13" l="1"/>
  <c r="T61" i="13" s="1"/>
  <c r="G65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2" i="16" l="1"/>
  <c r="I153" i="16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O29" i="16" l="1"/>
  <c r="O30" i="16" s="1"/>
  <c r="N10" i="16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K155" i="16" l="1"/>
  <c r="K160" i="16" s="1"/>
  <c r="K156" i="16" s="1"/>
  <c r="Q155" i="16"/>
  <c r="Q160" i="16" s="1"/>
  <c r="Q156" i="16" s="1"/>
  <c r="L150" i="16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4" i="13"/>
  <c r="I154" i="13"/>
  <c r="J154" i="13"/>
  <c r="K154" i="13"/>
  <c r="L154" i="13"/>
  <c r="M154" i="13"/>
  <c r="N154" i="13"/>
  <c r="O154" i="13"/>
  <c r="P154" i="13"/>
  <c r="Q154" i="13"/>
  <c r="R154" i="13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H134" i="13" l="1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35" i="13"/>
  <c r="G134" i="13"/>
  <c r="H146" i="13" l="1"/>
  <c r="I146" i="13"/>
  <c r="J146" i="13"/>
  <c r="K146" i="13"/>
  <c r="L146" i="13"/>
  <c r="M146" i="13"/>
  <c r="N146" i="13"/>
  <c r="O146" i="13"/>
  <c r="P146" i="13"/>
  <c r="Q146" i="13"/>
  <c r="R146" i="13"/>
  <c r="H148" i="13"/>
  <c r="I148" i="13"/>
  <c r="J148" i="13"/>
  <c r="K148" i="13"/>
  <c r="L148" i="13"/>
  <c r="M148" i="13"/>
  <c r="N148" i="13"/>
  <c r="O148" i="13"/>
  <c r="P148" i="13"/>
  <c r="Q148" i="13"/>
  <c r="R148" i="13"/>
  <c r="H149" i="13"/>
  <c r="I149" i="13"/>
  <c r="J149" i="13"/>
  <c r="K149" i="13"/>
  <c r="L149" i="13"/>
  <c r="M149" i="13"/>
  <c r="N149" i="13"/>
  <c r="O149" i="13"/>
  <c r="P149" i="13"/>
  <c r="Q149" i="13"/>
  <c r="R149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H143" i="13"/>
  <c r="I143" i="13"/>
  <c r="J143" i="13"/>
  <c r="K143" i="13"/>
  <c r="L143" i="13"/>
  <c r="M143" i="13"/>
  <c r="N143" i="13"/>
  <c r="O143" i="13"/>
  <c r="P143" i="13"/>
  <c r="Q143" i="13"/>
  <c r="R143" i="13"/>
  <c r="G140" i="13"/>
  <c r="G141" i="13"/>
  <c r="G142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7" i="13"/>
  <c r="I137" i="13"/>
  <c r="J137" i="13"/>
  <c r="K137" i="13"/>
  <c r="L137" i="13"/>
  <c r="M137" i="13"/>
  <c r="N137" i="13"/>
  <c r="O137" i="13"/>
  <c r="P137" i="13"/>
  <c r="Q137" i="13"/>
  <c r="R137" i="13"/>
  <c r="G137" i="13"/>
  <c r="G143" i="13"/>
  <c r="G133" i="13"/>
  <c r="G132" i="13"/>
  <c r="G131" i="13"/>
  <c r="G130" i="13"/>
  <c r="G129" i="13"/>
  <c r="H114" i="13"/>
  <c r="I114" i="13"/>
  <c r="J114" i="13"/>
  <c r="K114" i="13"/>
  <c r="L114" i="13"/>
  <c r="M114" i="13"/>
  <c r="N114" i="13"/>
  <c r="O114" i="13"/>
  <c r="P114" i="13"/>
  <c r="Q114" i="13"/>
  <c r="R114" i="13"/>
  <c r="G114" i="13"/>
  <c r="O138" i="13" l="1"/>
  <c r="K138" i="13"/>
  <c r="P138" i="13"/>
  <c r="H138" i="13"/>
  <c r="R138" i="13"/>
  <c r="N138" i="13"/>
  <c r="J138" i="13"/>
  <c r="Q138" i="13"/>
  <c r="M138" i="13"/>
  <c r="I138" i="13"/>
  <c r="L138" i="13"/>
  <c r="H147" i="13" l="1"/>
  <c r="I147" i="13"/>
  <c r="J147" i="13"/>
  <c r="K147" i="13"/>
  <c r="L147" i="13"/>
  <c r="M147" i="13"/>
  <c r="N147" i="13"/>
  <c r="O147" i="13"/>
  <c r="P147" i="13"/>
  <c r="Q147" i="13"/>
  <c r="R147" i="13"/>
  <c r="G147" i="13" l="1"/>
  <c r="H153" i="13" l="1"/>
  <c r="I153" i="13"/>
  <c r="J153" i="13"/>
  <c r="K153" i="13"/>
  <c r="L153" i="13"/>
  <c r="M153" i="13"/>
  <c r="N153" i="13"/>
  <c r="O153" i="13"/>
  <c r="P153" i="13"/>
  <c r="Q153" i="13"/>
  <c r="R153" i="13"/>
  <c r="G154" i="13"/>
  <c r="G153" i="13"/>
  <c r="G148" i="13"/>
  <c r="G149" i="13"/>
  <c r="G146" i="13"/>
  <c r="H144" i="13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G145" i="13"/>
  <c r="G144" i="13"/>
  <c r="G139" i="13"/>
  <c r="G128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H124" i="13"/>
  <c r="I124" i="13"/>
  <c r="J124" i="13"/>
  <c r="K124" i="13"/>
  <c r="L124" i="13"/>
  <c r="M124" i="13"/>
  <c r="N124" i="13"/>
  <c r="O124" i="13"/>
  <c r="P124" i="13"/>
  <c r="Q124" i="13"/>
  <c r="R124" i="13"/>
  <c r="G124" i="13"/>
  <c r="G123" i="13"/>
  <c r="G122" i="13"/>
  <c r="G121" i="13"/>
  <c r="G120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H119" i="13"/>
  <c r="I119" i="13"/>
  <c r="J119" i="13"/>
  <c r="K119" i="13"/>
  <c r="L119" i="13"/>
  <c r="M119" i="13"/>
  <c r="N119" i="13"/>
  <c r="O119" i="13"/>
  <c r="P119" i="13"/>
  <c r="Q119" i="13"/>
  <c r="R119" i="13"/>
  <c r="G117" i="13"/>
  <c r="G118" i="13"/>
  <c r="G119" i="13"/>
  <c r="G116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H113" i="13"/>
  <c r="I113" i="13"/>
  <c r="J113" i="13"/>
  <c r="K113" i="13"/>
  <c r="L113" i="13"/>
  <c r="M113" i="13"/>
  <c r="N113" i="13"/>
  <c r="O113" i="13"/>
  <c r="P113" i="13"/>
  <c r="Q113" i="13"/>
  <c r="R113" i="13"/>
  <c r="G109" i="13"/>
  <c r="G110" i="13"/>
  <c r="G111" i="13"/>
  <c r="G112" i="13"/>
  <c r="G113" i="13"/>
  <c r="G108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2" i="13"/>
  <c r="A161" i="13"/>
  <c r="A160" i="13"/>
  <c r="A159" i="13"/>
  <c r="A158" i="13"/>
  <c r="A157" i="13"/>
  <c r="A155" i="13"/>
  <c r="A154" i="13"/>
  <c r="A153" i="13"/>
  <c r="A152" i="13"/>
  <c r="A151" i="13"/>
  <c r="A150" i="13"/>
  <c r="S149" i="13"/>
  <c r="T149" i="13" s="1"/>
  <c r="A148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I115" i="13"/>
  <c r="A116" i="13"/>
  <c r="A115" i="13"/>
  <c r="A114" i="13"/>
  <c r="A113" i="13"/>
  <c r="A112" i="13"/>
  <c r="A111" i="13"/>
  <c r="A110" i="13"/>
  <c r="A109" i="13"/>
  <c r="A108" i="13"/>
  <c r="A107" i="13"/>
  <c r="A106" i="13"/>
  <c r="T104" i="13"/>
  <c r="T103" i="13"/>
  <c r="R102" i="13"/>
  <c r="Q102" i="13"/>
  <c r="P102" i="13"/>
  <c r="O102" i="13"/>
  <c r="N102" i="13"/>
  <c r="M102" i="13"/>
  <c r="L102" i="13"/>
  <c r="K102" i="13"/>
  <c r="J102" i="13"/>
  <c r="I102" i="13"/>
  <c r="H102" i="13"/>
  <c r="G102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R65" i="13"/>
  <c r="Q65" i="13"/>
  <c r="P65" i="13"/>
  <c r="O65" i="13"/>
  <c r="N65" i="13"/>
  <c r="M65" i="13"/>
  <c r="L65" i="13"/>
  <c r="K65" i="13"/>
  <c r="J65" i="13"/>
  <c r="I65" i="13"/>
  <c r="H65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l="1"/>
  <c r="L60" i="11" s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M65" i="11" s="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M63" i="11" s="1"/>
  <c r="K64" i="11"/>
  <c r="K58" i="13"/>
  <c r="O58" i="13"/>
  <c r="H58" i="13"/>
  <c r="L58" i="13"/>
  <c r="P58" i="13"/>
  <c r="S59" i="13"/>
  <c r="T59" i="13" s="1"/>
  <c r="J58" i="13"/>
  <c r="N58" i="13"/>
  <c r="R58" i="13"/>
  <c r="S64" i="13"/>
  <c r="T64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8" i="13"/>
  <c r="S60" i="13"/>
  <c r="T60" i="13" s="1"/>
  <c r="S65" i="13"/>
  <c r="T65" i="13" s="1"/>
  <c r="O115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8" i="13"/>
  <c r="M58" i="13"/>
  <c r="Q58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5" i="13"/>
  <c r="S32" i="13"/>
  <c r="T32" i="13" s="1"/>
  <c r="S44" i="13"/>
  <c r="T44" i="13" s="1"/>
  <c r="S66" i="13"/>
  <c r="T66" i="13" s="1"/>
  <c r="G11" i="13"/>
  <c r="Q107" i="13"/>
  <c r="S137" i="13"/>
  <c r="T137" i="13" s="1"/>
  <c r="S139" i="13"/>
  <c r="T139" i="13" s="1"/>
  <c r="R35" i="12"/>
  <c r="R19" i="12"/>
  <c r="K31" i="11" l="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8" i="13"/>
  <c r="T148" i="13" s="1"/>
  <c r="S142" i="13"/>
  <c r="T142" i="13" s="1"/>
  <c r="S131" i="13"/>
  <c r="T131" i="13" s="1"/>
  <c r="J29" i="13"/>
  <c r="I29" i="13"/>
  <c r="S146" i="13"/>
  <c r="T146" i="13" s="1"/>
  <c r="S31" i="13"/>
  <c r="T31" i="13" s="1"/>
  <c r="S42" i="13"/>
  <c r="T42" i="13" s="1"/>
  <c r="R29" i="13"/>
  <c r="H29" i="13"/>
  <c r="H30" i="13" s="1"/>
  <c r="Q29" i="13"/>
  <c r="K29" i="13"/>
  <c r="M29" i="13"/>
  <c r="S58" i="13"/>
  <c r="T58" i="13" s="1"/>
  <c r="S141" i="13"/>
  <c r="T141" i="13" s="1"/>
  <c r="M115" i="13"/>
  <c r="S133" i="13"/>
  <c r="T133" i="13" s="1"/>
  <c r="S122" i="13"/>
  <c r="T122" i="13" s="1"/>
  <c r="S118" i="13"/>
  <c r="T118" i="13" s="1"/>
  <c r="Q115" i="13"/>
  <c r="Q106" i="13" s="1"/>
  <c r="S113" i="13"/>
  <c r="T113" i="13" s="1"/>
  <c r="P107" i="13"/>
  <c r="S110" i="13"/>
  <c r="T110" i="13" s="1"/>
  <c r="O107" i="13"/>
  <c r="O106" i="13" s="1"/>
  <c r="O127" i="13"/>
  <c r="N107" i="13"/>
  <c r="S147" i="13"/>
  <c r="T147" i="13" s="1"/>
  <c r="S143" i="13"/>
  <c r="T143" i="13" s="1"/>
  <c r="M127" i="13"/>
  <c r="G152" i="13"/>
  <c r="M107" i="13"/>
  <c r="S135" i="13"/>
  <c r="T135" i="13" s="1"/>
  <c r="S123" i="13"/>
  <c r="T123" i="13" s="1"/>
  <c r="S119" i="13"/>
  <c r="T119" i="13" s="1"/>
  <c r="L115" i="13"/>
  <c r="S114" i="13"/>
  <c r="T114" i="13" s="1"/>
  <c r="L107" i="13"/>
  <c r="I127" i="13"/>
  <c r="J115" i="13"/>
  <c r="S111" i="13"/>
  <c r="T111" i="13" s="1"/>
  <c r="K107" i="13"/>
  <c r="S134" i="13"/>
  <c r="T134" i="13" s="1"/>
  <c r="S130" i="13"/>
  <c r="T130" i="13" s="1"/>
  <c r="H127" i="13"/>
  <c r="J127" i="13"/>
  <c r="J107" i="13"/>
  <c r="I107" i="13"/>
  <c r="I106" i="13" s="1"/>
  <c r="S129" i="13"/>
  <c r="T129" i="13" s="1"/>
  <c r="S124" i="13"/>
  <c r="T124" i="13" s="1"/>
  <c r="S120" i="13"/>
  <c r="T120" i="13" s="1"/>
  <c r="S116" i="13"/>
  <c r="T116" i="13" s="1"/>
  <c r="G115" i="13"/>
  <c r="H107" i="13"/>
  <c r="H106" i="13" s="1"/>
  <c r="P115" i="13"/>
  <c r="N115" i="13"/>
  <c r="S112" i="13"/>
  <c r="T112" i="13" s="1"/>
  <c r="S108" i="13"/>
  <c r="T108" i="13" s="1"/>
  <c r="G107" i="13"/>
  <c r="Q127" i="13"/>
  <c r="L127" i="13"/>
  <c r="N127" i="13"/>
  <c r="S140" i="13"/>
  <c r="T140" i="13" s="1"/>
  <c r="G138" i="13"/>
  <c r="K127" i="13"/>
  <c r="S121" i="13"/>
  <c r="T121" i="13" s="1"/>
  <c r="S117" i="13"/>
  <c r="T117" i="13" s="1"/>
  <c r="K115" i="13"/>
  <c r="R115" i="13"/>
  <c r="S109" i="13"/>
  <c r="T109" i="13" s="1"/>
  <c r="G10" i="13"/>
  <c r="S11" i="13"/>
  <c r="T11" i="13" s="1"/>
  <c r="S136" i="13"/>
  <c r="T136" i="13" s="1"/>
  <c r="S132" i="13"/>
  <c r="T132" i="13" s="1"/>
  <c r="G127" i="13"/>
  <c r="S128" i="13"/>
  <c r="T128" i="13" s="1"/>
  <c r="P127" i="13"/>
  <c r="R127" i="13"/>
  <c r="R107" i="13"/>
  <c r="Q35" i="12"/>
  <c r="K29" i="11" l="1"/>
  <c r="K10" i="11"/>
  <c r="R30" i="13"/>
  <c r="P30" i="13"/>
  <c r="O30" i="13"/>
  <c r="N55" i="13"/>
  <c r="N56" i="13" s="1"/>
  <c r="L30" i="13"/>
  <c r="J30" i="13"/>
  <c r="I30" i="13"/>
  <c r="G30" i="13"/>
  <c r="G125" i="13"/>
  <c r="P55" i="13"/>
  <c r="P56" i="13" s="1"/>
  <c r="N30" i="13"/>
  <c r="L55" i="13"/>
  <c r="L56" i="13" s="1"/>
  <c r="O55" i="13"/>
  <c r="O56" i="13" s="1"/>
  <c r="J55" i="13"/>
  <c r="J56" i="13" s="1"/>
  <c r="I55" i="13"/>
  <c r="I56" i="13" s="1"/>
  <c r="S138" i="13"/>
  <c r="T138" i="13" s="1"/>
  <c r="R55" i="13"/>
  <c r="R56" i="13" s="1"/>
  <c r="H55" i="13"/>
  <c r="H56" i="13" s="1"/>
  <c r="S29" i="13"/>
  <c r="T29" i="13" s="1"/>
  <c r="K30" i="13"/>
  <c r="K55" i="13"/>
  <c r="K56" i="13" s="1"/>
  <c r="Q30" i="13"/>
  <c r="Q55" i="13"/>
  <c r="Q56" i="13" s="1"/>
  <c r="M106" i="13"/>
  <c r="M30" i="13"/>
  <c r="M55" i="13"/>
  <c r="M56" i="13" s="1"/>
  <c r="L106" i="13"/>
  <c r="R106" i="13"/>
  <c r="J106" i="13"/>
  <c r="S127" i="13"/>
  <c r="T127" i="13" s="1"/>
  <c r="K106" i="13"/>
  <c r="S107" i="13"/>
  <c r="T107" i="13" s="1"/>
  <c r="G106" i="13"/>
  <c r="N106" i="13"/>
  <c r="P106" i="13"/>
  <c r="S10" i="13"/>
  <c r="T10" i="13" s="1"/>
  <c r="G55" i="13"/>
  <c r="G56" i="13" s="1"/>
  <c r="S115" i="13"/>
  <c r="T115" i="13" s="1"/>
  <c r="Q19" i="12"/>
  <c r="M62" i="13" l="1"/>
  <c r="M57" i="13"/>
  <c r="H62" i="13"/>
  <c r="H67" i="13" s="1"/>
  <c r="H63" i="13" s="1"/>
  <c r="H57" i="13"/>
  <c r="J62" i="13"/>
  <c r="J57" i="13"/>
  <c r="P62" i="13"/>
  <c r="P57" i="13"/>
  <c r="S56" i="13"/>
  <c r="T56" i="13" s="1"/>
  <c r="G62" i="13"/>
  <c r="G57" i="13"/>
  <c r="K62" i="13"/>
  <c r="K57" i="13"/>
  <c r="R62" i="13"/>
  <c r="R57" i="13"/>
  <c r="O62" i="13"/>
  <c r="O67" i="13" s="1"/>
  <c r="O57" i="13"/>
  <c r="L62" i="13"/>
  <c r="L57" i="13"/>
  <c r="N62" i="13"/>
  <c r="N57" i="13"/>
  <c r="Q62" i="13"/>
  <c r="Q57" i="13"/>
  <c r="I62" i="13"/>
  <c r="I57" i="13"/>
  <c r="K55" i="11"/>
  <c r="K30" i="11"/>
  <c r="Q67" i="13"/>
  <c r="S30" i="13"/>
  <c r="T30" i="13" s="1"/>
  <c r="G126" i="13"/>
  <c r="G150" i="13"/>
  <c r="G157" i="13" s="1"/>
  <c r="S106" i="13"/>
  <c r="T106" i="13" s="1"/>
  <c r="S55" i="13"/>
  <c r="T55" i="13" s="1"/>
  <c r="P64" i="12"/>
  <c r="P19" i="12"/>
  <c r="P35" i="12"/>
  <c r="K61" i="11" l="1"/>
  <c r="M60" i="11" s="1"/>
  <c r="K56" i="11"/>
  <c r="R67" i="13"/>
  <c r="Q63" i="13"/>
  <c r="P67" i="13"/>
  <c r="O63" i="13"/>
  <c r="N67" i="13"/>
  <c r="M67" i="13"/>
  <c r="M63" i="13" s="1"/>
  <c r="L67" i="13"/>
  <c r="K67" i="13"/>
  <c r="J67" i="13"/>
  <c r="I67" i="13"/>
  <c r="S57" i="13"/>
  <c r="T57" i="13" s="1"/>
  <c r="G151" i="13"/>
  <c r="G67" i="13"/>
  <c r="S62" i="13"/>
  <c r="T62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R8" i="16" s="1"/>
  <c r="G241" i="2"/>
  <c r="Q8" i="16" s="1"/>
  <c r="G240" i="2"/>
  <c r="G239" i="2"/>
  <c r="O8" i="16" s="1"/>
  <c r="G238" i="2"/>
  <c r="N8" i="16" s="1"/>
  <c r="G237" i="2"/>
  <c r="M8" i="16" s="1"/>
  <c r="G236" i="2"/>
  <c r="G235" i="2"/>
  <c r="K8" i="16" s="1"/>
  <c r="G234" i="2"/>
  <c r="J8" i="16" s="1"/>
  <c r="G233" i="2"/>
  <c r="I8" i="16" s="1"/>
  <c r="G232" i="2"/>
  <c r="H8" i="16" s="1"/>
  <c r="G231" i="2"/>
  <c r="G8" i="16" s="1"/>
  <c r="G230" i="2"/>
  <c r="G229" i="2"/>
  <c r="G227" i="2"/>
  <c r="B54" i="11" s="1"/>
  <c r="G225" i="2"/>
  <c r="B66" i="16" s="1"/>
  <c r="G224" i="2"/>
  <c r="G223" i="2"/>
  <c r="B62" i="16" s="1"/>
  <c r="G222" i="2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B61" i="13" s="1"/>
  <c r="G196" i="2"/>
  <c r="G195" i="2"/>
  <c r="G194" i="2"/>
  <c r="G193" i="2"/>
  <c r="G192" i="2"/>
  <c r="G191" i="2"/>
  <c r="G190" i="2"/>
  <c r="G189" i="2"/>
  <c r="G188" i="2"/>
  <c r="G187" i="2"/>
  <c r="B49" i="4" s="1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B46" i="10" s="1"/>
  <c r="G162" i="2"/>
  <c r="G161" i="2"/>
  <c r="G160" i="2"/>
  <c r="G159" i="2"/>
  <c r="G158" i="2"/>
  <c r="G157" i="2"/>
  <c r="G156" i="2"/>
  <c r="G155" i="2"/>
  <c r="B45" i="11" s="1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B37" i="9" s="1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B64" i="16" s="1"/>
  <c r="G77" i="2"/>
  <c r="B63" i="16" s="1"/>
  <c r="G76" i="2"/>
  <c r="G75" i="2"/>
  <c r="G74" i="2"/>
  <c r="G73" i="2"/>
  <c r="G72" i="2"/>
  <c r="G71" i="2"/>
  <c r="G70" i="2"/>
  <c r="G69" i="2"/>
  <c r="B122" i="12" s="1"/>
  <c r="G68" i="2"/>
  <c r="G67" i="2"/>
  <c r="G66" i="2"/>
  <c r="B65" i="16" s="1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G40" i="2"/>
  <c r="G39" i="2"/>
  <c r="G38" i="2"/>
  <c r="G37" i="2"/>
  <c r="G35" i="2"/>
  <c r="G34" i="2"/>
  <c r="G33" i="2"/>
  <c r="G32" i="2"/>
  <c r="G31" i="2"/>
  <c r="G30" i="2"/>
  <c r="B12" i="11" s="1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E3" i="8" s="1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Q387" i="6"/>
  <c r="DP387" i="6"/>
  <c r="DO387" i="6"/>
  <c r="DN387" i="6"/>
  <c r="DM387" i="6"/>
  <c r="DL387" i="6"/>
  <c r="DK387" i="6"/>
  <c r="DJ387" i="6"/>
  <c r="DI387" i="6"/>
  <c r="DH387" i="6"/>
  <c r="DG387" i="6"/>
  <c r="DF387" i="6"/>
  <c r="DE387" i="6"/>
  <c r="DD387" i="6"/>
  <c r="DC387" i="6"/>
  <c r="DB387" i="6"/>
  <c r="DA387" i="6"/>
  <c r="CZ387" i="6"/>
  <c r="CY387" i="6"/>
  <c r="CX387" i="6"/>
  <c r="CW387" i="6"/>
  <c r="CV387" i="6"/>
  <c r="CU387" i="6"/>
  <c r="CT387" i="6"/>
  <c r="CR387" i="6"/>
  <c r="CQ387" i="6"/>
  <c r="CP387" i="6"/>
  <c r="CN387" i="6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A106" i="4"/>
  <c r="G100" i="4"/>
  <c r="A132" i="4"/>
  <c r="A107" i="4"/>
  <c r="L100" i="4"/>
  <c r="A108" i="4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H120" i="4" s="1"/>
  <c r="A121" i="4"/>
  <c r="A122" i="4"/>
  <c r="A123" i="4"/>
  <c r="A127" i="4"/>
  <c r="R100" i="4"/>
  <c r="A128" i="4"/>
  <c r="A129" i="4"/>
  <c r="H100" i="4"/>
  <c r="H118" i="4" s="1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S14" i="4"/>
  <c r="T14" i="4" s="1"/>
  <c r="S16" i="4"/>
  <c r="T16" i="4" s="1"/>
  <c r="S12" i="4"/>
  <c r="T12" i="4" s="1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T34" i="4" s="1"/>
  <c r="S50" i="4"/>
  <c r="T50" i="4" s="1"/>
  <c r="S41" i="4"/>
  <c r="T41" i="4" s="1"/>
  <c r="S37" i="4"/>
  <c r="S33" i="4"/>
  <c r="T33" i="4" s="1"/>
  <c r="S53" i="4"/>
  <c r="T53" i="4"/>
  <c r="S49" i="4"/>
  <c r="T49" i="4" s="1"/>
  <c r="S51" i="4"/>
  <c r="T51" i="4" s="1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 s="1"/>
  <c r="S27" i="4"/>
  <c r="T27" i="4" s="1"/>
  <c r="S26" i="4"/>
  <c r="T26" i="4" s="1"/>
  <c r="S25" i="4"/>
  <c r="T25" i="4" s="1"/>
  <c r="S24" i="4"/>
  <c r="T24" i="4" s="1"/>
  <c r="K112" i="4"/>
  <c r="Q119" i="8"/>
  <c r="M112" i="4"/>
  <c r="I112" i="4"/>
  <c r="J112" i="4"/>
  <c r="B110" i="8"/>
  <c r="R111" i="9"/>
  <c r="DK321" i="6"/>
  <c r="DO321" i="6"/>
  <c r="DT350" i="6"/>
  <c r="T22" i="4"/>
  <c r="T20" i="4"/>
  <c r="T37" i="4"/>
  <c r="T17" i="4"/>
  <c r="T23" i="4"/>
  <c r="T38" i="4"/>
  <c r="S11" i="4"/>
  <c r="T11" i="4" s="1"/>
  <c r="S31" i="4"/>
  <c r="T31" i="4" s="1"/>
  <c r="S57" i="4"/>
  <c r="T57" i="4" s="1"/>
  <c r="S65" i="4"/>
  <c r="T65" i="4" s="1"/>
  <c r="S64" i="4"/>
  <c r="T64" i="4"/>
  <c r="E4" i="8"/>
  <c r="B118" i="8"/>
  <c r="B50" i="9"/>
  <c r="B117" i="4"/>
  <c r="B11" i="9"/>
  <c r="B113" i="9"/>
  <c r="B33" i="8"/>
  <c r="Q8" i="8"/>
  <c r="Q103" i="8" s="1"/>
  <c r="B33" i="9"/>
  <c r="B26" i="8"/>
  <c r="B42" i="9"/>
  <c r="B158" i="9"/>
  <c r="B115" i="8"/>
  <c r="B43" i="9"/>
  <c r="B145" i="9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59" i="12"/>
  <c r="M107" i="12"/>
  <c r="I113" i="12"/>
  <c r="M122" i="12"/>
  <c r="B144" i="10"/>
  <c r="Q116" i="4"/>
  <c r="R108" i="4"/>
  <c r="K119" i="8"/>
  <c r="P107" i="8"/>
  <c r="K117" i="8"/>
  <c r="R112" i="4"/>
  <c r="B152" i="8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L115" i="4"/>
  <c r="B144" i="4"/>
  <c r="P118" i="4"/>
  <c r="M111" i="8"/>
  <c r="G122" i="8"/>
  <c r="Q159" i="8"/>
  <c r="B113" i="8"/>
  <c r="R116" i="4"/>
  <c r="G108" i="8"/>
  <c r="K121" i="8"/>
  <c r="R108" i="9"/>
  <c r="O116" i="9"/>
  <c r="L113" i="9"/>
  <c r="G113" i="9"/>
  <c r="T119" i="8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M120" i="4"/>
  <c r="J123" i="10"/>
  <c r="L112" i="4"/>
  <c r="M121" i="4"/>
  <c r="N112" i="4"/>
  <c r="S121" i="8"/>
  <c r="CO321" i="6"/>
  <c r="CQ350" i="6"/>
  <c r="DO386" i="6"/>
  <c r="DS386" i="6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M112" i="10"/>
  <c r="K112" i="10"/>
  <c r="I107" i="10"/>
  <c r="I120" i="10"/>
  <c r="I117" i="10"/>
  <c r="I113" i="10"/>
  <c r="B151" i="10"/>
  <c r="J115" i="10"/>
  <c r="R115" i="10"/>
  <c r="L115" i="10"/>
  <c r="P115" i="10"/>
  <c r="R111" i="10"/>
  <c r="I111" i="10"/>
  <c r="O122" i="10"/>
  <c r="G122" i="10"/>
  <c r="P118" i="10"/>
  <c r="G118" i="10"/>
  <c r="N118" i="10"/>
  <c r="P130" i="10"/>
  <c r="I157" i="10"/>
  <c r="K120" i="12"/>
  <c r="R158" i="12"/>
  <c r="H154" i="12"/>
  <c r="H111" i="12"/>
  <c r="B158" i="12"/>
  <c r="B127" i="4"/>
  <c r="L130" i="10" l="1"/>
  <c r="B111" i="8"/>
  <c r="B115" i="10"/>
  <c r="B154" i="9"/>
  <c r="O117" i="10"/>
  <c r="B108" i="9"/>
  <c r="B113" i="4"/>
  <c r="B22" i="10"/>
  <c r="B22" i="11"/>
  <c r="B125" i="12"/>
  <c r="B132" i="4"/>
  <c r="H109" i="4"/>
  <c r="CN350" i="6"/>
  <c r="CR350" i="6"/>
  <c r="CV350" i="6"/>
  <c r="CZ350" i="6"/>
  <c r="DD350" i="6"/>
  <c r="DH350" i="6"/>
  <c r="DL350" i="6"/>
  <c r="DP350" i="6"/>
  <c r="CN386" i="6"/>
  <c r="CX386" i="6"/>
  <c r="DB386" i="6"/>
  <c r="DF386" i="6"/>
  <c r="DJ386" i="6"/>
  <c r="DR386" i="6"/>
  <c r="B60" i="11"/>
  <c r="B60" i="17"/>
  <c r="B25" i="3"/>
  <c r="H8" i="9"/>
  <c r="H102" i="9" s="1"/>
  <c r="B53" i="11"/>
  <c r="I8" i="3"/>
  <c r="L8" i="3" s="1"/>
  <c r="B152" i="4"/>
  <c r="B106" i="4"/>
  <c r="H8" i="10"/>
  <c r="H103" i="10" s="1"/>
  <c r="H8" i="8"/>
  <c r="H103" i="8" s="1"/>
  <c r="H8" i="4"/>
  <c r="H102" i="4" s="1"/>
  <c r="N8" i="10"/>
  <c r="N103" i="10" s="1"/>
  <c r="N8" i="4"/>
  <c r="N102" i="4" s="1"/>
  <c r="E3" i="9"/>
  <c r="B156" i="10"/>
  <c r="B132" i="8"/>
  <c r="B49" i="11"/>
  <c r="B19" i="3"/>
  <c r="B131" i="4"/>
  <c r="B156" i="9"/>
  <c r="B109" i="8"/>
  <c r="B141" i="12"/>
  <c r="P8" i="8"/>
  <c r="P103" i="8" s="1"/>
  <c r="B144" i="9"/>
  <c r="B63" i="10"/>
  <c r="R8" i="4"/>
  <c r="R102" i="4" s="1"/>
  <c r="B108" i="4"/>
  <c r="B123" i="8"/>
  <c r="B142" i="8"/>
  <c r="B133" i="8"/>
  <c r="B141" i="4"/>
  <c r="B46" i="4"/>
  <c r="E3" i="11"/>
  <c r="E3" i="10"/>
  <c r="J8" i="4"/>
  <c r="J102" i="4" s="1"/>
  <c r="N144" i="10"/>
  <c r="M130" i="4"/>
  <c r="H153" i="10"/>
  <c r="N142" i="10"/>
  <c r="M140" i="12"/>
  <c r="Q153" i="12"/>
  <c r="P153" i="10"/>
  <c r="J140" i="12"/>
  <c r="H153" i="4"/>
  <c r="O144" i="10"/>
  <c r="R142" i="10"/>
  <c r="O132" i="10"/>
  <c r="I145" i="10"/>
  <c r="B60" i="4"/>
  <c r="B61" i="16"/>
  <c r="L8" i="4"/>
  <c r="L102" i="4" s="1"/>
  <c r="L8" i="16"/>
  <c r="P8" i="9"/>
  <c r="P102" i="9" s="1"/>
  <c r="P8" i="16"/>
  <c r="B44" i="4"/>
  <c r="B36" i="9"/>
  <c r="P8" i="4"/>
  <c r="P102" i="4" s="1"/>
  <c r="B153" i="12"/>
  <c r="B152" i="9"/>
  <c r="B45" i="3"/>
  <c r="B7" i="10"/>
  <c r="B119" i="10"/>
  <c r="S8" i="8"/>
  <c r="S103" i="8" s="1"/>
  <c r="B110" i="4"/>
  <c r="B130" i="4"/>
  <c r="B124" i="10"/>
  <c r="B12" i="4"/>
  <c r="B54" i="4"/>
  <c r="B54" i="8"/>
  <c r="B60" i="9"/>
  <c r="B153" i="10"/>
  <c r="B153" i="4"/>
  <c r="B144" i="8"/>
  <c r="B131" i="8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4" i="13" s="1"/>
  <c r="J8" i="17"/>
  <c r="J103" i="17" s="1"/>
  <c r="N8" i="13"/>
  <c r="N104" i="13" s="1"/>
  <c r="N8" i="17"/>
  <c r="N103" i="17" s="1"/>
  <c r="R8" i="13"/>
  <c r="R104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4" i="13" s="1"/>
  <c r="G8" i="17"/>
  <c r="G103" i="17" s="1"/>
  <c r="K8" i="13"/>
  <c r="K104" i="13" s="1"/>
  <c r="K8" i="17"/>
  <c r="K103" i="17" s="1"/>
  <c r="O8" i="13"/>
  <c r="O104" i="13" s="1"/>
  <c r="O8" i="17"/>
  <c r="O103" i="17" s="1"/>
  <c r="S7" i="13"/>
  <c r="S103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4" i="13" s="1"/>
  <c r="H8" i="17"/>
  <c r="H103" i="17" s="1"/>
  <c r="L8" i="13"/>
  <c r="L104" i="13" s="1"/>
  <c r="L8" i="17"/>
  <c r="L103" i="17" s="1"/>
  <c r="P8" i="13"/>
  <c r="P104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4" i="13" s="1"/>
  <c r="I8" i="17"/>
  <c r="I103" i="17" s="1"/>
  <c r="M8" i="13"/>
  <c r="M104" i="13" s="1"/>
  <c r="M8" i="17"/>
  <c r="M103" i="17" s="1"/>
  <c r="Q8" i="13"/>
  <c r="Q104" i="13" s="1"/>
  <c r="Q8" i="17"/>
  <c r="Q103" i="17" s="1"/>
  <c r="B103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3" i="13"/>
  <c r="P63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3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3" i="13"/>
  <c r="K63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3" i="13"/>
  <c r="I63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Q144" i="8"/>
  <c r="H107" i="8"/>
  <c r="E253" i="2"/>
  <c r="G253" i="2" s="1"/>
  <c r="B7" i="11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9" i="13"/>
  <c r="R159" i="13"/>
  <c r="M159" i="13"/>
  <c r="H160" i="13"/>
  <c r="R160" i="13"/>
  <c r="M160" i="13"/>
  <c r="H161" i="13"/>
  <c r="R161" i="13"/>
  <c r="M161" i="13"/>
  <c r="O159" i="13"/>
  <c r="I159" i="13"/>
  <c r="O160" i="13"/>
  <c r="I160" i="13"/>
  <c r="N161" i="13"/>
  <c r="P159" i="13"/>
  <c r="J159" i="13"/>
  <c r="P160" i="13"/>
  <c r="P161" i="13"/>
  <c r="N159" i="13"/>
  <c r="N160" i="13"/>
  <c r="O161" i="13"/>
  <c r="I161" i="13"/>
  <c r="J160" i="13"/>
  <c r="J161" i="13"/>
  <c r="I125" i="13"/>
  <c r="K159" i="13"/>
  <c r="K160" i="13"/>
  <c r="K161" i="13"/>
  <c r="Q125" i="13"/>
  <c r="L159" i="13"/>
  <c r="G159" i="13"/>
  <c r="Q159" i="13"/>
  <c r="L160" i="13"/>
  <c r="G160" i="13"/>
  <c r="Q160" i="13"/>
  <c r="L161" i="13"/>
  <c r="G161" i="13"/>
  <c r="Q161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9" i="13"/>
  <c r="B36" i="13"/>
  <c r="B132" i="13"/>
  <c r="B43" i="13"/>
  <c r="B139" i="13"/>
  <c r="B45" i="13"/>
  <c r="B141" i="13"/>
  <c r="B47" i="13"/>
  <c r="B143" i="13"/>
  <c r="B49" i="13"/>
  <c r="B145" i="13"/>
  <c r="B55" i="13"/>
  <c r="B150" i="13"/>
  <c r="G8" i="12"/>
  <c r="G103" i="12" s="1"/>
  <c r="O8" i="12"/>
  <c r="O103" i="12" s="1"/>
  <c r="B7" i="12"/>
  <c r="B107" i="13"/>
  <c r="B11" i="13"/>
  <c r="B109" i="13"/>
  <c r="B13" i="13"/>
  <c r="B111" i="13"/>
  <c r="B15" i="13"/>
  <c r="B17" i="13"/>
  <c r="B113" i="13"/>
  <c r="B19" i="13"/>
  <c r="B115" i="13"/>
  <c r="B117" i="13"/>
  <c r="B23" i="13"/>
  <c r="B119" i="13"/>
  <c r="B66" i="13"/>
  <c r="B161" i="13"/>
  <c r="B27" i="13"/>
  <c r="B123" i="13"/>
  <c r="B28" i="13"/>
  <c r="B124" i="13"/>
  <c r="B65" i="13"/>
  <c r="B160" i="13"/>
  <c r="B31" i="13"/>
  <c r="B127" i="13"/>
  <c r="B32" i="13"/>
  <c r="B128" i="13"/>
  <c r="B34" i="13"/>
  <c r="B130" i="13"/>
  <c r="B35" i="13"/>
  <c r="B131" i="13"/>
  <c r="B37" i="13"/>
  <c r="B133" i="13"/>
  <c r="B38" i="13"/>
  <c r="B134" i="13"/>
  <c r="B44" i="13"/>
  <c r="B140" i="13"/>
  <c r="B46" i="13"/>
  <c r="B142" i="13"/>
  <c r="B48" i="13"/>
  <c r="B144" i="13"/>
  <c r="B59" i="13"/>
  <c r="B153" i="13"/>
  <c r="B52" i="13"/>
  <c r="B148" i="13"/>
  <c r="B53" i="13"/>
  <c r="B155" i="13"/>
  <c r="B62" i="13"/>
  <c r="B157" i="13"/>
  <c r="I8" i="12"/>
  <c r="I103" i="12" s="1"/>
  <c r="L8" i="12"/>
  <c r="L103" i="12" s="1"/>
  <c r="N8" i="12"/>
  <c r="N103" i="12" s="1"/>
  <c r="Q8" i="12"/>
  <c r="Q103" i="12" s="1"/>
  <c r="B10" i="13"/>
  <c r="B106" i="13"/>
  <c r="B26" i="13"/>
  <c r="B122" i="13"/>
  <c r="B39" i="13"/>
  <c r="B135" i="13"/>
  <c r="B42" i="13"/>
  <c r="B138" i="13"/>
  <c r="B41" i="13"/>
  <c r="B137" i="13"/>
  <c r="B58" i="13"/>
  <c r="B152" i="13"/>
  <c r="B57" i="13"/>
  <c r="B151" i="13"/>
  <c r="B67" i="13"/>
  <c r="B162" i="13"/>
  <c r="K8" i="12"/>
  <c r="K103" i="12" s="1"/>
  <c r="S7" i="12"/>
  <c r="S102" i="12" s="1"/>
  <c r="B102" i="12"/>
  <c r="B12" i="13"/>
  <c r="B108" i="13"/>
  <c r="B14" i="13"/>
  <c r="B110" i="13"/>
  <c r="B16" i="13"/>
  <c r="B112" i="13"/>
  <c r="B18" i="13"/>
  <c r="B114" i="13"/>
  <c r="B20" i="13"/>
  <c r="B116" i="13"/>
  <c r="B22" i="13"/>
  <c r="B118" i="13"/>
  <c r="B24" i="13"/>
  <c r="B120" i="13"/>
  <c r="B25" i="13"/>
  <c r="B121" i="13"/>
  <c r="B64" i="13"/>
  <c r="B159" i="13"/>
  <c r="B29" i="13"/>
  <c r="B125" i="13"/>
  <c r="B30" i="13"/>
  <c r="B126" i="13"/>
  <c r="B40" i="13"/>
  <c r="B136" i="13"/>
  <c r="B50" i="13"/>
  <c r="B146" i="13"/>
  <c r="B60" i="13"/>
  <c r="B154" i="13"/>
  <c r="B51" i="13"/>
  <c r="B147" i="13"/>
  <c r="B63" i="13"/>
  <c r="B158" i="13"/>
  <c r="G273" i="2"/>
  <c r="H11" i="1" s="1"/>
  <c r="S67" i="13"/>
  <c r="T67" i="13" s="1"/>
  <c r="G63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P8" i="3" l="1"/>
  <c r="S8" i="3" s="1"/>
  <c r="P150" i="10"/>
  <c r="DH193" i="6"/>
  <c r="T55" i="11"/>
  <c r="T56" i="11"/>
  <c r="O60" i="11"/>
  <c r="P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Q48" i="11" s="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Q41" i="11" s="1"/>
  <c r="O51" i="11"/>
  <c r="Q51" i="11" s="1"/>
  <c r="O46" i="11"/>
  <c r="P46" i="11" s="1"/>
  <c r="O19" i="11"/>
  <c r="P19" i="11" s="1"/>
  <c r="O12" i="11"/>
  <c r="Q12" i="11" s="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R62" i="11"/>
  <c r="T62" i="11" s="1"/>
  <c r="K62" i="11"/>
  <c r="S61" i="11"/>
  <c r="S65" i="11"/>
  <c r="T65" i="11"/>
  <c r="S8" i="13"/>
  <c r="G7" i="11"/>
  <c r="S8" i="17"/>
  <c r="S64" i="11"/>
  <c r="T60" i="11"/>
  <c r="S60" i="11"/>
  <c r="Q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T9" i="13"/>
  <c r="T105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4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5" i="13"/>
  <c r="R126" i="4"/>
  <c r="S10" i="4"/>
  <c r="T10" i="4" s="1"/>
  <c r="R152" i="13"/>
  <c r="K125" i="13"/>
  <c r="K150" i="13" s="1"/>
  <c r="G162" i="13"/>
  <c r="M152" i="13"/>
  <c r="L152" i="13"/>
  <c r="R125" i="13"/>
  <c r="R126" i="13" s="1"/>
  <c r="M125" i="13"/>
  <c r="M150" i="13" s="1"/>
  <c r="S161" i="13"/>
  <c r="T161" i="13" s="1"/>
  <c r="I126" i="13"/>
  <c r="I150" i="13"/>
  <c r="Q152" i="13"/>
  <c r="P125" i="13"/>
  <c r="S155" i="13"/>
  <c r="T155" i="13" s="1"/>
  <c r="O152" i="13"/>
  <c r="S144" i="13"/>
  <c r="T144" i="13" s="1"/>
  <c r="J48" i="11"/>
  <c r="I152" i="13"/>
  <c r="S159" i="13"/>
  <c r="T159" i="13" s="1"/>
  <c r="L125" i="13"/>
  <c r="P152" i="13"/>
  <c r="N152" i="13"/>
  <c r="Q126" i="13"/>
  <c r="Q150" i="13"/>
  <c r="K152" i="13"/>
  <c r="I49" i="11"/>
  <c r="S145" i="13"/>
  <c r="T145" i="13" s="1"/>
  <c r="O125" i="13"/>
  <c r="S153" i="13"/>
  <c r="T153" i="13" s="1"/>
  <c r="H152" i="13"/>
  <c r="S160" i="13"/>
  <c r="T160" i="13" s="1"/>
  <c r="J152" i="13"/>
  <c r="S154" i="13"/>
  <c r="T154" i="13" s="1"/>
  <c r="J125" i="13"/>
  <c r="N125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3" i="13"/>
  <c r="T63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L64" i="11"/>
  <c r="S58" i="12"/>
  <c r="T58" i="12" s="1"/>
  <c r="J27" i="11"/>
  <c r="J34" i="11"/>
  <c r="I28" i="11"/>
  <c r="I34" i="11"/>
  <c r="J53" i="11"/>
  <c r="M51" i="11"/>
  <c r="I35" i="11"/>
  <c r="L33" i="11"/>
  <c r="I17" i="11"/>
  <c r="L65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Q15" i="11" l="1"/>
  <c r="P32" i="1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7" i="13"/>
  <c r="I124" i="9"/>
  <c r="I125" i="9" s="1"/>
  <c r="Q124" i="10"/>
  <c r="Q125" i="10" s="1"/>
  <c r="I124" i="10"/>
  <c r="I125" i="10" s="1"/>
  <c r="Q157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7" i="13"/>
  <c r="I162" i="13" s="1"/>
  <c r="I158" i="13" s="1"/>
  <c r="K157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6" i="13"/>
  <c r="M126" i="13"/>
  <c r="J49" i="11"/>
  <c r="G158" i="13"/>
  <c r="R150" i="13"/>
  <c r="I48" i="11"/>
  <c r="M151" i="13"/>
  <c r="M162" i="13"/>
  <c r="M158" i="13" s="1"/>
  <c r="J59" i="11"/>
  <c r="J58" i="11"/>
  <c r="I58" i="11"/>
  <c r="O126" i="13"/>
  <c r="O150" i="13"/>
  <c r="O157" i="13" s="1"/>
  <c r="Q162" i="13"/>
  <c r="Q158" i="13" s="1"/>
  <c r="Q151" i="13"/>
  <c r="J126" i="13"/>
  <c r="J150" i="13"/>
  <c r="J157" i="13" s="1"/>
  <c r="I151" i="13"/>
  <c r="S152" i="13"/>
  <c r="T152" i="13" s="1"/>
  <c r="L126" i="13"/>
  <c r="L150" i="13"/>
  <c r="L157" i="13" s="1"/>
  <c r="P126" i="13"/>
  <c r="P150" i="13"/>
  <c r="P157" i="13" s="1"/>
  <c r="H126" i="13"/>
  <c r="H150" i="13"/>
  <c r="H157" i="13" s="1"/>
  <c r="S125" i="13"/>
  <c r="T125" i="13" s="1"/>
  <c r="N126" i="13"/>
  <c r="N150" i="13"/>
  <c r="N157" i="13" s="1"/>
  <c r="K151" i="13"/>
  <c r="K162" i="13"/>
  <c r="K158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M148" i="10" l="1"/>
  <c r="M154" i="10" s="1"/>
  <c r="M159" i="10" s="1"/>
  <c r="M155" i="10" s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7" i="13"/>
  <c r="R162" i="13" s="1"/>
  <c r="R158" i="13" s="1"/>
  <c r="P30" i="11"/>
  <c r="S57" i="8"/>
  <c r="S31" i="9"/>
  <c r="T31" i="9" s="1"/>
  <c r="CU193" i="6"/>
  <c r="I57" i="11"/>
  <c r="Q57" i="11"/>
  <c r="R151" i="13"/>
  <c r="N61" i="12"/>
  <c r="N66" i="12" s="1"/>
  <c r="N62" i="12" s="1"/>
  <c r="N66" i="10"/>
  <c r="N62" i="10" s="1"/>
  <c r="N162" i="13"/>
  <c r="N158" i="13" s="1"/>
  <c r="N151" i="13"/>
  <c r="H151" i="13"/>
  <c r="S150" i="13"/>
  <c r="T150" i="13" s="1"/>
  <c r="L162" i="13"/>
  <c r="L158" i="13" s="1"/>
  <c r="L151" i="13"/>
  <c r="J151" i="13"/>
  <c r="J162" i="13"/>
  <c r="J158" i="13" s="1"/>
  <c r="O162" i="13"/>
  <c r="O158" i="13" s="1"/>
  <c r="O151" i="13"/>
  <c r="S126" i="13"/>
  <c r="T126" i="13" s="1"/>
  <c r="P162" i="13"/>
  <c r="P158" i="13" s="1"/>
  <c r="P151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M149" i="10" l="1"/>
  <c r="G155" i="12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1" i="13"/>
  <c r="T151" i="13" s="1"/>
  <c r="H162" i="13"/>
  <c r="S157" i="13"/>
  <c r="T157" i="13" s="1"/>
  <c r="G65" i="9"/>
  <c r="S60" i="9"/>
  <c r="T60" i="9" s="1"/>
  <c r="M30" i="11"/>
  <c r="S57" i="12"/>
  <c r="T57" i="12" s="1"/>
  <c r="L56" i="11"/>
  <c r="G66" i="12"/>
  <c r="L61" i="11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J55" i="11"/>
  <c r="H158" i="13"/>
  <c r="S162" i="13"/>
  <c r="T162" i="13" s="1"/>
  <c r="G61" i="9"/>
  <c r="S61" i="9" s="1"/>
  <c r="T61" i="9" s="1"/>
  <c r="S65" i="9"/>
  <c r="T65" i="9" s="1"/>
  <c r="M61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S159" i="4" l="1"/>
  <c r="T159" i="4" s="1"/>
  <c r="T66" i="12"/>
  <c r="S62" i="12"/>
  <c r="T62" i="12" s="1"/>
  <c r="G156" i="8"/>
  <c r="W156" i="8" s="1"/>
  <c r="X156" i="8" s="1"/>
  <c r="Q62" i="11"/>
  <c r="P62" i="11"/>
  <c r="S158" i="13"/>
  <c r="T158" i="13" s="1"/>
  <c r="M62" i="11"/>
  <c r="G62" i="8"/>
  <c r="W62" i="8" s="1"/>
  <c r="X62" i="8" s="1"/>
  <c r="W66" i="8"/>
  <c r="X66" i="8" s="1"/>
  <c r="S156" i="12"/>
  <c r="T156" i="12" s="1"/>
  <c r="L62" i="11" l="1"/>
  <c r="B102" i="16" l="1"/>
  <c r="S7" i="16"/>
  <c r="S102" i="16" s="1"/>
  <c r="R103" i="16"/>
  <c r="Q103" i="16"/>
  <c r="P103" i="16"/>
  <c r="N103" i="16"/>
  <c r="M103" i="16"/>
  <c r="L103" i="16"/>
  <c r="J103" i="16"/>
  <c r="I103" i="16"/>
  <c r="H103" i="16"/>
  <c r="E3" i="16"/>
  <c r="E2" i="16"/>
  <c r="S103" i="16"/>
  <c r="B106" i="16" l="1"/>
  <c r="B110" i="16"/>
  <c r="B114" i="16"/>
  <c r="B118" i="16"/>
  <c r="B120" i="16"/>
  <c r="B159" i="16"/>
  <c r="B158" i="16"/>
  <c r="B127" i="16"/>
  <c r="B137" i="16"/>
  <c r="B136" i="16"/>
  <c r="B145" i="16"/>
  <c r="B152" i="16"/>
  <c r="B160" i="16"/>
  <c r="G103" i="16"/>
  <c r="K103" i="16"/>
  <c r="O103" i="16"/>
  <c r="B107" i="16"/>
  <c r="B111" i="16"/>
  <c r="B115" i="16"/>
  <c r="B119" i="16"/>
  <c r="B124" i="16"/>
  <c r="B130" i="16"/>
  <c r="B138" i="16"/>
  <c r="B139" i="16"/>
  <c r="B142" i="16"/>
  <c r="B143" i="16"/>
  <c r="B153" i="16"/>
  <c r="B154" i="16"/>
  <c r="B155" i="16"/>
  <c r="B105" i="16"/>
  <c r="B108" i="16"/>
  <c r="B112" i="16"/>
  <c r="B116" i="16"/>
  <c r="B121" i="16"/>
  <c r="B123" i="16"/>
  <c r="B126" i="16"/>
  <c r="B128" i="16"/>
  <c r="B129" i="16"/>
  <c r="B133" i="16"/>
  <c r="B134" i="16"/>
  <c r="B135" i="16"/>
  <c r="B151" i="16"/>
  <c r="B147" i="16"/>
  <c r="B146" i="16"/>
  <c r="B149" i="16"/>
  <c r="B156" i="16"/>
  <c r="T9" i="16"/>
  <c r="T104" i="16" s="1"/>
  <c r="B109" i="16"/>
  <c r="B113" i="16"/>
  <c r="B117" i="16"/>
  <c r="B122" i="16"/>
  <c r="B157" i="16"/>
  <c r="B125" i="16"/>
  <c r="B131" i="16"/>
  <c r="B132" i="16"/>
  <c r="B140" i="16"/>
  <c r="B141" i="16"/>
  <c r="B144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<sst xmlns="http://schemas.openxmlformats.org/spreadsheetml/2006/main" count="1659" uniqueCount="799">
  <si>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</si>
  <si>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</si>
  <si>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</si>
  <si>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</si>
  <si>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</si>
  <si>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</si>
  <si>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</si>
  <si>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</si>
  <si>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</si>
  <si>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</si>
  <si>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</si>
  <si>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</si>
  <si>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</si>
  <si>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</si>
  <si>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</si>
  <si>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</si>
  <si>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</si>
  <si>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</si>
  <si>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</si>
  <si>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</si>
  <si>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</si>
  <si>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</si>
  <si>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</si>
  <si>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</si>
  <si>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</si>
  <si>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</si>
  <si>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</si>
  <si>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</si>
  <si>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</si>
  <si>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</si>
  <si>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</si>
  <si>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</si>
  <si>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</si>
  <si>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</si>
  <si>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</si>
  <si>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</si>
  <si>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</si>
  <si>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</si>
  <si>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</si>
  <si>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</si>
  <si>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</si>
  <si>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</si>
  <si>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</si>
  <si>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</si>
  <si>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</si>
  <si>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</si>
  <si>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</si>
  <si>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</si>
  <si>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</si>
  <si>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</si>
  <si>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</si>
  <si>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</si>
  <si>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</si>
  <si>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</si>
  <si>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</si>
  <si>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</si>
  <si>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</si>
  <si>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</si>
  <si>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</si>
  <si>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</si>
  <si>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</si>
  <si>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</si>
  <si>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</si>
  <si>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</si>
  <si>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</si>
  <si>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</si>
  <si>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</si>
  <si>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</si>
  <si>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</si>
  <si>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</si>
  <si>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</si>
  <si>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</si>
  <si>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</si>
  <si>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</si>
  <si>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</si>
  <si>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</si>
  <si>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</si>
  <si>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</si>
  <si>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</si>
  <si>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</si>
  <si>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</si>
  <si>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</si>
  <si>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</si>
  <si>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</si>
  <si>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</si>
  <si>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</si>
  <si>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</si>
  <si>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</si>
  <si>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</si>
  <si>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</si>
  <si>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</si>
  <si>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</si>
  <si>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</si>
  <si>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</si>
  <si>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</si>
  <si>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</si>
  <si>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</si>
  <si>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</si>
  <si>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</si>
  <si>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</si>
  <si>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</si>
  <si>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</si>
  <si>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</si>
  <si>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</si>
  <si>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</si>
  <si>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</si>
  <si>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</si>
  <si>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</si>
  <si>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</si>
  <si>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</si>
  <si>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</si>
  <si>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</si>
  <si>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</si>
  <si>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</si>
  <si>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</si>
  <si>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</si>
  <si>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</si>
  <si>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</si>
  <si>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</si>
  <si>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</si>
  <si>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</si>
  <si>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</si>
  <si>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</si>
  <si>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</si>
  <si>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</si>
  <si>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</si>
  <si>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</si>
  <si>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</si>
  <si>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</si>
  <si>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</si>
  <si>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</si>
  <si>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</si>
  <si>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</si>
  <si>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</si>
  <si>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</si>
  <si>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</si>
  <si>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</si>
  <si>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</si>
  <si>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</si>
  <si>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</si>
  <si>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</si>
  <si>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</si>
  <si>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</si>
  <si>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</si>
  <si>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</si>
  <si>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</si>
  <si>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</si>
  <si>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</si>
  <si>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</si>
  <si>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</si>
  <si>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</si>
  <si>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</si>
  <si>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</si>
  <si>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</si>
  <si>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</si>
  <si>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</si>
  <si>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</si>
  <si>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</si>
  <si>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</si>
  <si>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</si>
  <si>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</si>
  <si>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</si>
  <si>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</si>
  <si>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</si>
  <si>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</si>
  <si>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</si>
  <si>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</si>
  <si>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</si>
  <si>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</si>
  <si>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</si>
  <si>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</si>
  <si>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</si>
  <si>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</si>
  <si>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</si>
  <si>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</si>
  <si>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</si>
  <si>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</si>
  <si>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</si>
  <si>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</si>
  <si>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</si>
  <si>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</si>
  <si>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</si>
  <si>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</si>
  <si>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</si>
  <si>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</si>
  <si>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</si>
  <si>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</si>
  <si>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</si>
  <si>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</si>
  <si>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</si>
  <si>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</si>
  <si>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</si>
  <si>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</si>
  <si>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</si>
  <si>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</si>
  <si>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</si>
  <si>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</si>
  <si>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</si>
  <si>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</si>
  <si>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</si>
  <si>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</si>
  <si>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</si>
  <si>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</si>
  <si>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</si>
  <si>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</si>
  <si>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</si>
  <si>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</si>
  <si>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</si>
  <si>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</si>
  <si>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</si>
  <si>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</si>
  <si>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</si>
  <si>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</si>
  <si>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</si>
  <si>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</si>
  <si>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</si>
  <si>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</si>
  <si>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</si>
  <si>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</si>
  <si>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</si>
  <si>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</si>
  <si>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</si>
  <si>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</si>
  <si>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</si>
  <si>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</si>
  <si>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</si>
  <si>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</si>
  <si>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</si>
  <si>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</si>
  <si>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</si>
  <si>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</si>
  <si>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</si>
  <si>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</si>
  <si>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</si>
  <si>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</si>
  <si>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</si>
  <si>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</si>
  <si>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</si>
  <si>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</si>
  <si>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</si>
  <si>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</si>
  <si>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</si>
  <si>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</si>
  <si>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</si>
  <si>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</si>
  <si>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</si>
  <si>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</si>
  <si>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</si>
  <si>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</si>
  <si>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</si>
  <si>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</si>
  <si>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</si>
  <si>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</si>
  <si>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</si>
  <si>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</si>
  <si>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</si>
  <si>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</si>
  <si>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</si>
  <si>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</si>
  <si>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</si>
  <si>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</si>
  <si>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</si>
  <si>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</si>
  <si>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</si>
  <si>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</si>
  <si>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</si>
  <si>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</si>
  <si>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</si>
  <si>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</si>
  <si>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</si>
  <si>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</si>
  <si>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</si>
  <si>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</si>
  <si>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</si>
  <si>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</si>
  <si>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</si>
  <si>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</si>
  <si>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</si>
  <si>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</si>
  <si>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</si>
  <si>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</si>
  <si>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</si>
  <si>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</si>
  <si>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</si>
  <si>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</si>
  <si>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</si>
  <si>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</si>
  <si>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</si>
  <si>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</si>
  <si>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</si>
  <si>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</si>
  <si>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</si>
  <si>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</si>
  <si>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</si>
  <si>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</si>
  <si>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</si>
  <si>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</si>
  <si>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</si>
  <si>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</si>
  <si>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</si>
  <si>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</si>
  <si>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</si>
  <si>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</si>
  <si>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</si>
  <si>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</si>
  <si>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</si>
  <si>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</si>
  <si>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</si>
  <si>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</si>
  <si>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</si>
  <si>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</si>
  <si>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</si>
  <si>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</si>
  <si>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</si>
  <si>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</si>
  <si>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</si>
  <si>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</si>
  <si>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</si>
  <si>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</si>
  <si>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</si>
  <si>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</si>
  <si>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</si>
  <si>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</si>
  <si>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</si>
  <si>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</si>
  <si>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</si>
  <si>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</si>
  <si>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</si>
  <si>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</si>
  <si>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</si>
  <si>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</si>
  <si>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</si>
  <si>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</si>
  <si>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</si>
  <si>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</si>
  <si>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</si>
  <si>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</si>
  <si>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</si>
  <si>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</si>
  <si>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</si>
  <si>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</si>
  <si>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</si>
  <si>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</si>
  <si>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</si>
  <si>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</si>
  <si>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</si>
  <si>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</si>
  <si>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</si>
  <si>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</si>
  <si>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</si>
  <si>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</si>
  <si>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</si>
  <si>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</si>
  <si>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</si>
  <si>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</si>
  <si>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</si>
  <si>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</si>
  <si>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</si>
  <si>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</si>
  <si>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</si>
  <si>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</si>
  <si>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</si>
  <si>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</si>
  <si>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</si>
  <si>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</si>
  <si>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</si>
  <si>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</si>
  <si>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</si>
  <si>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</si>
  <si>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</si>
  <si>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</si>
  <si>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</si>
  <si>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</si>
  <si>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</si>
  <si>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</si>
  <si>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</si>
  <si>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</si>
  <si>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</si>
  <si>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</si>
  <si>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</si>
  <si>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</si>
  <si>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</si>
  <si>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</si>
  <si>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</si>
  <si>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</si>
  <si>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</si>
  <si>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</si>
  <si>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</si>
  <si>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</si>
  <si>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</si>
  <si>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</si>
  <si>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</si>
  <si>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</si>
  <si>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</si>
  <si>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</si>
  <si>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</si>
  <si>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</si>
  <si>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</si>
  <si>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</si>
  <si>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</si>
  <si>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</si>
  <si>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</si>
  <si>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</si>
  <si>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</si>
  <si>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</si>
  <si>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</si>
  <si>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</si>
  <si>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</si>
  <si>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</si>
  <si>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</si>
  <si>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</si>
  <si>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</si>
  <si>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</si>
  <si>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</si>
  <si>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</si>
  <si>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</si>
  <si>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</si>
  <si>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</si>
  <si>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</si>
  <si>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</si>
  <si>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</si>
  <si>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</si>
  <si>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</si>
  <si>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</si>
  <si>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</si>
  <si>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</si>
  <si>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</si>
  <si>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</si>
  <si>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</si>
  <si>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</si>
  <si>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</si>
  <si>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</si>
  <si>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</si>
  <si>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</si>
  <si>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</si>
  <si>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</si>
  <si>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</si>
  <si>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</si>
  <si>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</si>
  <si>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</si>
  <si>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</si>
  <si>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</si>
  <si>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</si>
  <si>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</si>
  <si>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</si>
  <si>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</si>
  <si>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</si>
  <si>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</si>
  <si>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</si>
  <si>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</si>
  <si>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</si>
  <si>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</si>
  <si>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</si>
  <si>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</si>
  <si>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</si>
  <si>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</si>
  <si>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</si>
  <si>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</si>
  <si>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</si>
  <si>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</si>
  <si>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</si>
  <si>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</si>
  <si>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</si>
  <si>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</si>
  <si>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</si>
  <si>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</si>
  <si>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</si>
  <si>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</si>
  <si>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</si>
  <si>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</si>
  <si>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</si>
  <si>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</si>
  <si>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</si>
  <si>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</si>
  <si>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</si>
  <si>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</si>
  <si>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</si>
  <si>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</si>
  <si>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</si>
  <si>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</si>
  <si>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</si>
  <si>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</si>
  <si>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</si>
  <si>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</si>
  <si>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</si>
  <si>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</si>
  <si>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</si>
  <si>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</si>
  <si>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</si>
  <si>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</si>
  <si>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</si>
  <si>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</si>
  <si>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</si>
  <si>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</si>
  <si>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</si>
  <si>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</si>
  <si>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</si>
  <si>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</si>
  <si>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</si>
  <si>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</si>
  <si>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</si>
  <si>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</si>
  <si>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</si>
  <si>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</si>
  <si>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</si>
  <si>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</si>
  <si>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</si>
  <si>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</si>
  <si>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</si>
  <si>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</si>
  <si>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</si>
  <si>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</si>
  <si>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</si>
  <si>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</si>
  <si>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</si>
  <si>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</si>
  <si>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</si>
  <si>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</si>
  <si>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</si>
  <si>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</si>
  <si>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</si>
  <si>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</si>
  <si>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</si>
  <si>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</si>
  <si>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</si>
  <si>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</si>
  <si>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</si>
  <si>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</si>
  <si>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</si>
  <si>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</si>
  <si>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</si>
  <si>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</si>
  <si>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</si>
  <si>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</si>
  <si>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</si>
  <si>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</si>
  <si>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</si>
  <si>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</si>
  <si>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</si>
  <si>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</si>
  <si>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</si>
  <si>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</si>
  <si>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</si>
  <si>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</si>
  <si>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</si>
  <si>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</si>
  <si>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</si>
  <si>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</si>
  <si>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</si>
  <si>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</si>
  <si>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</si>
  <si>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</si>
  <si>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</si>
  <si>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</si>
  <si>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</si>
  <si>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</si>
  <si>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</si>
  <si>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</si>
  <si>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</si>
  <si>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</si>
  <si>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</si>
  <si>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</si>
  <si>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</si>
  <si>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</si>
  <si>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</si>
  <si>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</si>
  <si>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</si>
  <si>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</si>
  <si>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</si>
  <si>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</si>
  <si>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</si>
  <si>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</si>
  <si>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</si>
  <si>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</si>
  <si>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</si>
  <si>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</si>
  <si>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</si>
  <si>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</si>
  <si>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</si>
  <si>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</si>
  <si>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</si>
  <si>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</si>
  <si>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</si>
  <si>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</si>
  <si>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</si>
  <si>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</si>
  <si>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</si>
  <si>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</si>
  <si>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</si>
  <si>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</si>
  <si>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</si>
  <si>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</si>
  <si>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</si>
  <si>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</si>
  <si>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</si>
  <si>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</si>
  <si>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</si>
  <si>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</si>
  <si>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</si>
  <si>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</si>
  <si>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</si>
  <si>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</si>
  <si>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</si>
  <si>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</si>
  <si>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</si>
  <si>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</si>
  <si>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</si>
  <si>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</si>
  <si>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</si>
  <si>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</si>
  <si>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</si>
  <si>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</si>
  <si>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</si>
  <si>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</si>
  <si>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</si>
  <si>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</si>
  <si>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</si>
  <si>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</si>
  <si>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</si>
  <si>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</si>
  <si>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</si>
  <si>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</si>
  <si>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</si>
  <si>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</si>
  <si>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</si>
  <si>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</si>
  <si>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</si>
  <si>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</si>
  <si>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</si>
  <si>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</si>
  <si>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</si>
  <si>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</si>
  <si>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</si>
  <si>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</si>
  <si>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</si>
  <si>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</si>
  <si>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</si>
  <si>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</si>
  <si>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</si>
  <si>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</si>
  <si>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</si>
  <si>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</si>
  <si>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</si>
  <si>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</si>
  <si>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</si>
  <si>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</si>
  <si>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</si>
  <si>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</si>
  <si>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</si>
  <si>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</si>
  <si>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</si>
  <si>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</si>
  <si>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</si>
  <si>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</si>
  <si>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</si>
  <si>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</si>
  <si>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</si>
  <si>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</si>
  <si>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</si>
  <si>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</si>
  <si>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</si>
  <si>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</si>
  <si>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</si>
  <si>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</si>
  <si>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</si>
  <si>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</si>
  <si>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</si>
  <si>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</si>
  <si>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</si>
  <si>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</si>
  <si>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</si>
  <si>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</si>
  <si>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</si>
  <si>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</si>
  <si>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</si>
  <si>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</si>
  <si>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</si>
  <si>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</si>
  <si>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</si>
  <si>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</si>
  <si>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</si>
  <si>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</si>
  <si>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</si>
  <si>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</si>
  <si>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</si>
  <si>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</si>
  <si>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</si>
  <si>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</si>
  <si>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</si>
  <si>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</si>
  <si>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</si>
  <si>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</si>
  <si>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</si>
  <si>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</si>
  <si>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</si>
  <si>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</si>
  <si>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</si>
  <si>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</si>
  <si>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</si>
  <si>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</si>
  <si>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</si>
  <si>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</si>
  <si>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</si>
  <si>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</si>
  <si>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</si>
  <si>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</si>
  <si>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</si>
  <si>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</si>
  <si>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</si>
  <si>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</si>
  <si>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</si>
  <si>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</si>
  <si>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</si>
  <si>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</si>
  <si>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</si>
  <si>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</si>
  <si>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</si>
  <si>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</si>
  <si>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</si>
  <si>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</si>
  <si>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</si>
  <si>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</si>
  <si>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</si>
  <si>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</si>
  <si>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</si>
  <si>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</si>
  <si>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</si>
  <si>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</si>
  <si>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</si>
  <si>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</si>
  <si>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</si>
  <si>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</si>
  <si>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</si>
  <si>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</si>
  <si>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</si>
  <si>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</si>
  <si>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</si>
  <si>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</si>
  <si>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</si>
  <si>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</si>
  <si>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</si>
  <si>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</si>
  <si>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</si>
  <si>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</si>
  <si>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</si>
  <si>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</si>
  <si>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</si>
  <si>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</si>
  <si>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</si>
  <si>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</si>
  <si>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</si>
  <si>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</si>
  <si>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</si>
  <si>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</si>
  <si>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</si>
  <si>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</si>
  <si>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</si>
  <si>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</si>
  <si>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</si>
  <si>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</si>
  <si>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</si>
  <si>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</si>
  <si>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</si>
  <si>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</si>
  <si>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</si>
  <si>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</si>
  <si>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</si>
  <si>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</si>
  <si>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</si>
  <si>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</si>
  <si>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</si>
  <si>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</si>
  <si>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</si>
  <si>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</si>
  <si>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</si>
  <si>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</si>
  <si>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</si>
  <si>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</si>
  <si>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</si>
  <si>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</si>
  <si>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</si>
  <si>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</si>
  <si>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</si>
  <si>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</si>
  <si>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</si>
  <si>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</si>
  <si>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</si>
  <si>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</si>
  <si>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</si>
  <si>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</si>
  <si>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</si>
  <si>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Modified surplus/deficit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</si>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</sst>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7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75" fontId="0" fillId="3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60224"/>
        <c:axId val="535552608"/>
      </c:lineChart>
      <c:catAx>
        <c:axId val="535560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535552608"/>
        <c:crosses val="autoZero"/>
        <c:auto val="1"/>
        <c:lblAlgn val="ctr"/>
        <c:lblOffset val="100"/>
        <c:tickLblSkip val="3"/>
        <c:noMultiLvlLbl val="0"/>
      </c:catAx>
      <c:valAx>
        <c:axId val="535552608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53556022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396896"/>
        <c:axId val="664152496"/>
      </c:lineChart>
      <c:catAx>
        <c:axId val="46739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664152496"/>
        <c:crosses val="autoZero"/>
        <c:auto val="1"/>
        <c:lblAlgn val="ctr"/>
        <c:lblOffset val="100"/>
        <c:tickLblSkip val="3"/>
        <c:noMultiLvlLbl val="0"/>
      </c:catAx>
      <c:valAx>
        <c:axId val="664152496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467396896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januar-septembar 2019. godine iznosili su 1.338,2 mil.€ ili 27,9% BDP-a i veći su za 34,6 mil.€ ili 2,7% u odnosu na plan. U odnosu na isti period prethodne godine prihodi su veći za 65,2 mil.€ ili 5,1%.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januar-septembar 2019. godine iznosili su 1.376,5 mil.€ ili 28,7% BDP-a i viši su za 62,9 mil. € ili 4,8% u odnosu na isti period prethodne godine. U odnosu na plan izdaci su manji za 143,2 mil.€ ili 9,4%. U periodu januar-septembar 2019.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38,4 mil.€ ili 0,8%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obračunskog usklađivanja, dok su ostale stavke prikazane po kešu.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835998" cy="264560"/>
    <xdr:sp macro="" textlink="Master!G279">
      <xdr:nvSpPr>
        <xdr:cNvPr id="15" name="TextBox 14"/>
        <xdr:cNvSpPr txBox="1"/>
      </xdr:nvSpPr>
      <xdr:spPr>
        <a:xfrm>
          <a:off x="1276350" y="1419225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581025</xdr:colOff>
      <xdr:row>2</xdr:row>
      <xdr:rowOff>123824</xdr:rowOff>
    </xdr:from>
    <xdr:to>
      <xdr:col>15</xdr:col>
      <xdr:colOff>352425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561975</xdr:colOff>
      <xdr:row>4</xdr:row>
      <xdr:rowOff>28574</xdr:rowOff>
    </xdr:from>
    <xdr:to>
      <xdr:col>15</xdr:col>
      <xdr:colOff>352424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295275</xdr:colOff>
      <xdr:row>1</xdr:row>
      <xdr:rowOff>38100</xdr:rowOff>
    </xdr:from>
    <xdr:to>
      <xdr:col>15</xdr:col>
      <xdr:colOff>656683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600075</xdr:colOff>
      <xdr:row>1</xdr:row>
      <xdr:rowOff>47625</xdr:rowOff>
    </xdr:from>
    <xdr:to>
      <xdr:col>19</xdr:col>
      <xdr:colOff>271237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600075</xdr:colOff>
      <xdr:row>3</xdr:row>
      <xdr:rowOff>9525</xdr:rowOff>
    </xdr:from>
    <xdr:to>
      <xdr:col>19</xdr:col>
      <xdr:colOff>271237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10</xdr:col>
      <xdr:colOff>123825</xdr:colOff>
      <xdr:row>2</xdr:row>
      <xdr:rowOff>95250</xdr:rowOff>
    </xdr:from>
    <xdr:to>
      <xdr:col>12</xdr:col>
      <xdr:colOff>591185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2019-09</v>
      </c>
      <c r="O6" s="168" t="str">
        <f>+CONCATENATE(N6,"p")</f>
        <v>2019-09p</v>
      </c>
      <c r="P6" s="152"/>
      <c r="Q6" s="152"/>
      <c r="R6" s="168" t="str">
        <f>+IF(Master!B3-10&gt;=0,CONCATENATE(Master!B4-1,"-",Master!B3),CONCATENATE(Master!B4-1,"-0",Master!B3))</f>
        <v>2018-09</v>
      </c>
      <c r="S6" s="152"/>
      <c r="T6" s="152"/>
    </row>
    <row r="7" spans="1:20">
      <c r="A7" s="169"/>
      <c r="B7" s="462" t="s">
        <v>702</v>
      </c>
      <c r="C7" s="463"/>
      <c r="D7" s="463"/>
      <c r="E7" s="463"/>
      <c r="F7" s="463"/>
      <c r="G7" s="471" t="s">
        <v>700</v>
      </c>
      <c r="H7" s="472"/>
      <c r="I7" s="472"/>
      <c r="J7" s="472"/>
      <c r="K7" s="472"/>
      <c r="L7" s="472"/>
      <c r="M7" s="473"/>
      <c r="N7" s="474" t="str">
        <f>+Master!G242</f>
        <v>Decembar</v>
      </c>
      <c r="O7" s="472"/>
      <c r="P7" s="472"/>
      <c r="Q7" s="472"/>
      <c r="R7" s="472"/>
      <c r="S7" s="472"/>
      <c r="T7" s="475"/>
    </row>
    <row r="8" spans="1:20">
      <c r="A8" s="169"/>
      <c r="B8" s="464"/>
      <c r="C8" s="465"/>
      <c r="D8" s="465"/>
      <c r="E8" s="465"/>
      <c r="F8" s="466"/>
      <c r="G8" s="170" t="str">
        <f>+Master!G23</f>
        <v>Ostvarenje</v>
      </c>
      <c r="H8" s="170" t="str">
        <f>+Master!G22</f>
        <v>Plan</v>
      </c>
      <c r="I8" s="458" t="str">
        <f>+Master!G260</f>
        <v>Odstupanje</v>
      </c>
      <c r="J8" s="458"/>
      <c r="K8" s="170" t="str">
        <f>+CONCATENATE(Master!G245," ",Master!B4-1)</f>
        <v>Jan - Sep 2018</v>
      </c>
      <c r="L8" s="458" t="str">
        <f>+I8</f>
        <v>Odstupanje</v>
      </c>
      <c r="M8" s="470"/>
      <c r="N8" s="171" t="str">
        <f>+G8</f>
        <v>Ostvarenje</v>
      </c>
      <c r="O8" s="170" t="str">
        <f>+H8</f>
        <v>Plan</v>
      </c>
      <c r="P8" s="458" t="str">
        <f>+I8</f>
        <v>Odstupanje</v>
      </c>
      <c r="Q8" s="458"/>
      <c r="R8" s="170" t="str">
        <f>+CONCATENATE(Master!G244," ",Master!B4-1)</f>
        <v>Septembar 2018</v>
      </c>
      <c r="S8" s="458" t="str">
        <f>+P8</f>
        <v>Odstupanje</v>
      </c>
      <c r="T8" s="459"/>
    </row>
    <row r="9" spans="1:20" ht="15.7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504" t="str">
        <f>+VLOOKUP($A10,Master!$D$27:$G$225,4,FALSE)</f>
        <v>Prihodi budžeta</v>
      </c>
      <c r="C10" s="505"/>
      <c r="D10" s="505"/>
      <c r="E10" s="505"/>
      <c r="F10" s="505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506" t="str">
        <f>+VLOOKUP($A11,Master!$D$27:$G$225,4,FALSE)</f>
        <v>Porezi</v>
      </c>
      <c r="C11" s="507"/>
      <c r="D11" s="507"/>
      <c r="E11" s="507"/>
      <c r="F11" s="507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92" t="str">
        <f>+VLOOKUP($A12,Master!$D$27:$G$225,4,FALSE)</f>
        <v>Porez na dohodak fizičkih lica</v>
      </c>
      <c r="C12" s="493"/>
      <c r="D12" s="493"/>
      <c r="E12" s="493"/>
      <c r="F12" s="493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92" t="str">
        <f>+VLOOKUP($A13,Master!$D$27:$G$225,4,FALSE)</f>
        <v>Porez na dobit pravnih lica</v>
      </c>
      <c r="C13" s="493"/>
      <c r="D13" s="493"/>
      <c r="E13" s="493"/>
      <c r="F13" s="493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92" t="str">
        <f>+VLOOKUP($A14,Master!$D$27:$G$225,4,FALSE)</f>
        <v>Porez na promet nepokretnosti</v>
      </c>
      <c r="C14" s="493"/>
      <c r="D14" s="493"/>
      <c r="E14" s="493"/>
      <c r="F14" s="493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92" t="str">
        <f>+VLOOKUP($A15,Master!$D$27:$G$225,4,FALSE)</f>
        <v>Porez na dodatu vrijednost</v>
      </c>
      <c r="C15" s="493"/>
      <c r="D15" s="493"/>
      <c r="E15" s="493"/>
      <c r="F15" s="493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92" t="str">
        <f>+VLOOKUP($A16,Master!$D$27:$G$225,4,FALSE)</f>
        <v>Akcize</v>
      </c>
      <c r="C16" s="493"/>
      <c r="D16" s="493"/>
      <c r="E16" s="493"/>
      <c r="F16" s="493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92" t="str">
        <f>+VLOOKUP($A17,Master!$D$27:$G$225,4,FALSE)</f>
        <v>Porez na međunarodnu trgovinu i transakcije</v>
      </c>
      <c r="C17" s="493"/>
      <c r="D17" s="493"/>
      <c r="E17" s="493"/>
      <c r="F17" s="493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92" t="e">
        <f>+VLOOKUP($A18,Master!$D$27:$G$225,4,FALSE)</f>
        <v>#N/A</v>
      </c>
      <c r="C18" s="493"/>
      <c r="D18" s="493"/>
      <c r="E18" s="493"/>
      <c r="F18" s="493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92" t="str">
        <f>+VLOOKUP($A19,Master!$D$27:$G$225,4,FALSE)</f>
        <v>Ostali državni porezi</v>
      </c>
      <c r="C19" s="493"/>
      <c r="D19" s="493"/>
      <c r="E19" s="493"/>
      <c r="F19" s="493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502" t="str">
        <f>+VLOOKUP($A20,Master!$D$27:$G$225,4,FALSE)</f>
        <v>Doprinosi</v>
      </c>
      <c r="C20" s="503"/>
      <c r="D20" s="503"/>
      <c r="E20" s="503"/>
      <c r="F20" s="503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92" t="str">
        <f>+VLOOKUP($A21,Master!$D$27:$G$225,4,FALSE)</f>
        <v>Doprinosi za penzijsko i invalidsko osiguranje</v>
      </c>
      <c r="C21" s="493"/>
      <c r="D21" s="493"/>
      <c r="E21" s="493"/>
      <c r="F21" s="493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92" t="str">
        <f>+VLOOKUP($A22,Master!$D$27:$G$225,4,FALSE)</f>
        <v>Doprinosi za zdravstveno osiguranje</v>
      </c>
      <c r="C22" s="493"/>
      <c r="D22" s="493"/>
      <c r="E22" s="493"/>
      <c r="F22" s="493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92" t="str">
        <f>+VLOOKUP($A23,Master!$D$27:$G$225,4,FALSE)</f>
        <v>Doprinosi za osiguranje od nezaposlenosti</v>
      </c>
      <c r="C23" s="493"/>
      <c r="D23" s="493"/>
      <c r="E23" s="493"/>
      <c r="F23" s="493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92" t="str">
        <f>+VLOOKUP($A24,Master!$D$27:$G$225,4,FALSE)</f>
        <v>Ostali doprinosi</v>
      </c>
      <c r="C24" s="493"/>
      <c r="D24" s="493"/>
      <c r="E24" s="493"/>
      <c r="F24" s="493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94" t="str">
        <f>+VLOOKUP($A25,Master!$D$27:$G$225,4,FALSE)</f>
        <v>Takse</v>
      </c>
      <c r="C25" s="495"/>
      <c r="D25" s="495"/>
      <c r="E25" s="495"/>
      <c r="F25" s="495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94" t="str">
        <f>+VLOOKUP($A26,Master!$D$27:$G$225,4,FALSE)</f>
        <v>Naknade</v>
      </c>
      <c r="C26" s="495"/>
      <c r="D26" s="495"/>
      <c r="E26" s="495"/>
      <c r="F26" s="495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94" t="str">
        <f>+VLOOKUP($A27,Master!$D$27:$G$225,4,FALSE)</f>
        <v>Ostali prihodi</v>
      </c>
      <c r="C27" s="495"/>
      <c r="D27" s="495"/>
      <c r="E27" s="495"/>
      <c r="F27" s="495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94" t="str">
        <f>+VLOOKUP($A28,Master!$D$27:$G$225,4,FALSE)</f>
        <v>Primici od otplate kredita i sredstva prenesena iz prethodne godine</v>
      </c>
      <c r="C28" s="495"/>
      <c r="D28" s="495"/>
      <c r="E28" s="495"/>
      <c r="F28" s="495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96" t="str">
        <f>+VLOOKUP($A29,Master!$D$27:$G$225,4,FALSE)</f>
        <v>Donacije i transferi</v>
      </c>
      <c r="C29" s="497"/>
      <c r="D29" s="497"/>
      <c r="E29" s="497"/>
      <c r="F29" s="497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82" t="str">
        <f>+VLOOKUP($A30,Master!$D$27:$G$225,4,FALSE)</f>
        <v>Budžetski izdaci</v>
      </c>
      <c r="C30" s="483"/>
      <c r="D30" s="483"/>
      <c r="E30" s="483"/>
      <c r="F30" s="483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8" t="str">
        <f>+VLOOKUP($A31,Master!$D$27:$G$225,4,FALSE)</f>
        <v>Tekući izdaci</v>
      </c>
      <c r="C31" s="499"/>
      <c r="D31" s="499"/>
      <c r="E31" s="499"/>
      <c r="F31" s="499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500" t="str">
        <f>+VLOOKUP($A32,Master!$D$27:$G$225,4,FALSE)</f>
        <v>Tekuća budžetska potrošnja</v>
      </c>
      <c r="C32" s="501"/>
      <c r="D32" s="501"/>
      <c r="E32" s="501"/>
      <c r="F32" s="501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92" t="str">
        <f>+VLOOKUP($A33,Master!$D$27:$G$225,4,FALSE)</f>
        <v>Bruto zarade i doprinosi na teret poslodavca</v>
      </c>
      <c r="C33" s="493"/>
      <c r="D33" s="493"/>
      <c r="E33" s="493"/>
      <c r="F33" s="493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92" t="str">
        <f>+VLOOKUP($A34,Master!$D$27:$G$225,4,FALSE)</f>
        <v>Ostala lična primanja</v>
      </c>
      <c r="C34" s="493"/>
      <c r="D34" s="493"/>
      <c r="E34" s="493"/>
      <c r="F34" s="493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92" t="str">
        <f>+VLOOKUP($A35,Master!$D$27:$G$225,4,FALSE)</f>
        <v>Rashodi za materijal</v>
      </c>
      <c r="C35" s="493"/>
      <c r="D35" s="493"/>
      <c r="E35" s="493"/>
      <c r="F35" s="493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92" t="str">
        <f>+VLOOKUP($A36,Master!$D$27:$G$225,4,FALSE)</f>
        <v>Rashodi za usluge</v>
      </c>
      <c r="C36" s="493"/>
      <c r="D36" s="493"/>
      <c r="E36" s="493"/>
      <c r="F36" s="493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92" t="str">
        <f>+VLOOKUP($A37,Master!$D$27:$G$225,4,FALSE)</f>
        <v>Rashodi za tekuće održavanje</v>
      </c>
      <c r="C37" s="493"/>
      <c r="D37" s="493"/>
      <c r="E37" s="493"/>
      <c r="F37" s="493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92" t="str">
        <f>+VLOOKUP($A38,Master!$D$27:$G$225,4,FALSE)</f>
        <v>Kamate</v>
      </c>
      <c r="C38" s="493"/>
      <c r="D38" s="493"/>
      <c r="E38" s="493"/>
      <c r="F38" s="493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92" t="str">
        <f>+VLOOKUP($A39,Master!$D$27:$G$225,4,FALSE)</f>
        <v>Renta</v>
      </c>
      <c r="C39" s="493"/>
      <c r="D39" s="493"/>
      <c r="E39" s="493"/>
      <c r="F39" s="493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92" t="str">
        <f>+VLOOKUP($A40,Master!$D$27:$G$225,4,FALSE)</f>
        <v>Subvencije</v>
      </c>
      <c r="C40" s="493"/>
      <c r="D40" s="493"/>
      <c r="E40" s="493"/>
      <c r="F40" s="493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92" t="str">
        <f>+VLOOKUP($A41,Master!$D$27:$G$225,4,FALSE)</f>
        <v>Ostali izdaci</v>
      </c>
      <c r="C41" s="493"/>
      <c r="D41" s="493"/>
      <c r="E41" s="493"/>
      <c r="F41" s="493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92" t="str">
        <f>+VLOOKUP($A42,Master!$D$27:$G$225,4,FALSE)</f>
        <v>Kapitalni izdaci u tekućem budžetu</v>
      </c>
      <c r="C42" s="493"/>
      <c r="D42" s="493"/>
      <c r="E42" s="493"/>
      <c r="F42" s="493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8" t="str">
        <f>+VLOOKUP($A43,Master!$D$27:$G$225,4,FALSE)</f>
        <v>Transferi za socijalnu zaštitu</v>
      </c>
      <c r="C43" s="489"/>
      <c r="D43" s="489"/>
      <c r="E43" s="489"/>
      <c r="F43" s="489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92" t="str">
        <f>+VLOOKUP($A44,Master!$D$27:$G$225,4,FALSE)</f>
        <v>Prava iz oblasti socijalne zaštite</v>
      </c>
      <c r="C44" s="493"/>
      <c r="D44" s="493"/>
      <c r="E44" s="493"/>
      <c r="F44" s="493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92" t="str">
        <f>+VLOOKUP($A45,Master!$D$27:$G$225,4,FALSE)</f>
        <v>Sredstva za tehnološke viškove</v>
      </c>
      <c r="C45" s="493"/>
      <c r="D45" s="493"/>
      <c r="E45" s="493"/>
      <c r="F45" s="493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92" t="str">
        <f>+VLOOKUP($A46,Master!$D$27:$G$225,4,FALSE)</f>
        <v>Prava iz oblasti penzijskog i invalidskog osiguranja</v>
      </c>
      <c r="C46" s="493"/>
      <c r="D46" s="493"/>
      <c r="E46" s="493"/>
      <c r="F46" s="493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92" t="str">
        <f>+VLOOKUP($A47,Master!$D$27:$G$225,4,FALSE)</f>
        <v>Ostala prava iz oblasti zdravstvene zaštite</v>
      </c>
      <c r="C47" s="493"/>
      <c r="D47" s="493"/>
      <c r="E47" s="493"/>
      <c r="F47" s="493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92" t="str">
        <f>+VLOOKUP($A48,Master!$D$27:$G$225,4,FALSE)</f>
        <v>Ostala prava iz zdravstvenog osiguranja</v>
      </c>
      <c r="C48" s="493"/>
      <c r="D48" s="493"/>
      <c r="E48" s="493"/>
      <c r="F48" s="493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90" t="str">
        <f>+VLOOKUP($A49,Master!$D$27:$G$225,4,FALSE)</f>
        <v xml:space="preserve">Transferi institucijama, pojedincima, nevladinom i javnom sektoru </v>
      </c>
      <c r="C49" s="491"/>
      <c r="D49" s="491"/>
      <c r="E49" s="491"/>
      <c r="F49" s="491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90" t="str">
        <f>+VLOOKUP($A50,Master!$D$27:$G$225,4,FALSE)</f>
        <v>Kapitalni budžet</v>
      </c>
      <c r="C50" s="491"/>
      <c r="D50" s="491"/>
      <c r="E50" s="491"/>
      <c r="F50" s="491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60" t="str">
        <f>+VLOOKUP($A51,Master!$D$27:$G$225,4,FALSE)</f>
        <v>Pozajmice i krediti</v>
      </c>
      <c r="C51" s="461"/>
      <c r="D51" s="461"/>
      <c r="E51" s="461"/>
      <c r="F51" s="461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60" t="str">
        <f>+VLOOKUP($A52,Master!$D$27:$G$225,4,FALSE)</f>
        <v>Rezerve</v>
      </c>
      <c r="C52" s="461"/>
      <c r="D52" s="461"/>
      <c r="E52" s="461"/>
      <c r="F52" s="461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8" t="str">
        <f>+VLOOKUP($A53,Master!$D$27:$G$225,4,FALSE)</f>
        <v>Otplata garancija</v>
      </c>
      <c r="C53" s="479"/>
      <c r="D53" s="479"/>
      <c r="E53" s="479"/>
      <c r="F53" s="479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8" t="str">
        <f>+VLOOKUP($A54,Master!$D$27:$G$225,4,FALSE)</f>
        <v>Otplata obaveza iz prethodnih godina</v>
      </c>
      <c r="C54" s="479"/>
      <c r="D54" s="479"/>
      <c r="E54" s="479"/>
      <c r="F54" s="479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8" t="str">
        <f>+VLOOKUP($A55,Master!$D$27:$G$227,4,FALSE)</f>
        <v>Neto povećanje obaveza</v>
      </c>
      <c r="C55" s="479"/>
      <c r="D55" s="479"/>
      <c r="E55" s="479"/>
      <c r="F55" s="479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84" t="str">
        <f>+VLOOKUP($A56,Master!$D$27:$G$225,4,FALSE)</f>
        <v>Suficit / deficit</v>
      </c>
      <c r="C56" s="485"/>
      <c r="D56" s="485"/>
      <c r="E56" s="485"/>
      <c r="F56" s="485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86" t="str">
        <f>+VLOOKUP($A57,Master!$D$27:$G$225,4,FALSE)</f>
        <v>Primarni bilans</v>
      </c>
      <c r="C57" s="487"/>
      <c r="D57" s="487"/>
      <c r="E57" s="487"/>
      <c r="F57" s="487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8" t="str">
        <f>+VLOOKUP($A58,Master!$D$27:$G$225,4,FALSE)</f>
        <v>Otplata dugova</v>
      </c>
      <c r="C58" s="489"/>
      <c r="D58" s="489"/>
      <c r="E58" s="489"/>
      <c r="F58" s="489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76" t="str">
        <f>+VLOOKUP($A59,Master!$D$27:$G$225,4,FALSE)</f>
        <v>Otplata hartija od vrijednosti i kredita rezidentima</v>
      </c>
      <c r="C59" s="477"/>
      <c r="D59" s="477"/>
      <c r="E59" s="477"/>
      <c r="F59" s="477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60" t="str">
        <f>+VLOOKUP($A60,Master!$D$27:$G$225,4,FALSE)</f>
        <v>Otplata hartija od vrijednosti i kredita nerezidentima</v>
      </c>
      <c r="C60" s="461"/>
      <c r="D60" s="461"/>
      <c r="E60" s="461"/>
      <c r="F60" s="461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693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80" t="str">
        <f>+VLOOKUP($A62,Master!$D$27:$G$225,4,FALSE)</f>
        <v>Nedostajuća sredstva</v>
      </c>
      <c r="C62" s="481"/>
      <c r="D62" s="481"/>
      <c r="E62" s="481"/>
      <c r="F62" s="481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82" t="str">
        <f>+VLOOKUP($A63,Master!$D$27:$G$225,4,FALSE)</f>
        <v>Finansiranje</v>
      </c>
      <c r="C63" s="483"/>
      <c r="D63" s="483"/>
      <c r="E63" s="483"/>
      <c r="F63" s="483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76" t="str">
        <f>+VLOOKUP($A64,Master!$D$27:$G$225,4,FALSE)</f>
        <v>Pozajmice i krediti od domaćih izvora</v>
      </c>
      <c r="C64" s="477"/>
      <c r="D64" s="477"/>
      <c r="E64" s="477"/>
      <c r="F64" s="477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60" t="str">
        <f>+VLOOKUP($A65,Master!$D$27:$G$225,4,FALSE)</f>
        <v>Pozajmice i krediti od inostranih izvora</v>
      </c>
      <c r="C65" s="461"/>
      <c r="D65" s="461"/>
      <c r="E65" s="461"/>
      <c r="F65" s="461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60" t="str">
        <f>+VLOOKUP($A66,Master!$D$27:$G$225,4,FALSE)</f>
        <v>Primici od prodaje imovine</v>
      </c>
      <c r="C66" s="461"/>
      <c r="D66" s="461"/>
      <c r="E66" s="461"/>
      <c r="F66" s="461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525</v>
      </c>
      <c r="H6" s="259" t="s">
        <v>526</v>
      </c>
      <c r="I6" s="259" t="s">
        <v>527</v>
      </c>
      <c r="J6" s="259" t="s">
        <v>528</v>
      </c>
      <c r="K6" s="259" t="s">
        <v>529</v>
      </c>
      <c r="L6" s="259" t="s">
        <v>530</v>
      </c>
      <c r="M6" s="259" t="s">
        <v>531</v>
      </c>
      <c r="N6" s="259" t="s">
        <v>532</v>
      </c>
      <c r="O6" s="259" t="s">
        <v>533</v>
      </c>
      <c r="P6" s="259" t="s">
        <v>534</v>
      </c>
      <c r="Q6" s="259" t="s">
        <v>535</v>
      </c>
      <c r="R6" s="259" t="s">
        <v>536</v>
      </c>
      <c r="S6" s="258"/>
      <c r="T6" s="258"/>
    </row>
    <row r="7" spans="1:20" ht="15" customHeight="1" thickBot="1">
      <c r="A7" s="169"/>
      <c r="B7" s="565" t="str">
        <f>+Master!G251</f>
        <v>Ostvarenje budžeta</v>
      </c>
      <c r="C7" s="463"/>
      <c r="D7" s="463"/>
      <c r="E7" s="463"/>
      <c r="F7" s="463"/>
      <c r="G7" s="471">
        <v>2014</v>
      </c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5"/>
      <c r="S7" s="260" t="str">
        <f>+Master!G248</f>
        <v>BDP</v>
      </c>
      <c r="T7" s="261">
        <v>3457880000</v>
      </c>
    </row>
    <row r="8" spans="1:20" ht="16.5" customHeight="1">
      <c r="A8" s="169"/>
      <c r="B8" s="464"/>
      <c r="C8" s="465"/>
      <c r="D8" s="465"/>
      <c r="E8" s="465"/>
      <c r="F8" s="46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1" t="s">
        <v>700</v>
      </c>
      <c r="T8" s="475"/>
    </row>
    <row r="9" spans="1:20" ht="13.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4" t="str">
        <f>+VLOOKUP($A10,Master!$D$27:$G$225,4,FALSE)</f>
        <v>Prihodi budžeta</v>
      </c>
      <c r="C10" s="505"/>
      <c r="D10" s="505"/>
      <c r="E10" s="505"/>
      <c r="F10" s="505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506" t="str">
        <f>+VLOOKUP($A11,Master!$D$27:$G$225,4,FALSE)</f>
        <v>Porezi</v>
      </c>
      <c r="C11" s="507"/>
      <c r="D11" s="507"/>
      <c r="E11" s="507"/>
      <c r="F11" s="507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92" t="str">
        <f>+VLOOKUP($A12,Master!$D$27:$G$225,4,FALSE)</f>
        <v>Porez na dohodak fizičkih lica</v>
      </c>
      <c r="C12" s="493"/>
      <c r="D12" s="493"/>
      <c r="E12" s="493"/>
      <c r="F12" s="493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92" t="str">
        <f>+VLOOKUP($A13,Master!$D$27:$G$225,4,FALSE)</f>
        <v>Porez na dobit pravnih lica</v>
      </c>
      <c r="C13" s="493"/>
      <c r="D13" s="493"/>
      <c r="E13" s="493"/>
      <c r="F13" s="493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92" t="str">
        <f>+VLOOKUP($A14,Master!$D$27:$G$225,4,FALSE)</f>
        <v>Porez na promet nepokretnosti</v>
      </c>
      <c r="C14" s="493"/>
      <c r="D14" s="493"/>
      <c r="E14" s="493"/>
      <c r="F14" s="493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92" t="str">
        <f>+VLOOKUP($A15,Master!$D$27:$G$225,4,FALSE)</f>
        <v>Porez na dodatu vrijednost</v>
      </c>
      <c r="C15" s="493"/>
      <c r="D15" s="493"/>
      <c r="E15" s="493"/>
      <c r="F15" s="493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92" t="str">
        <f>+VLOOKUP($A16,Master!$D$27:$G$225,4,FALSE)</f>
        <v>Akcize</v>
      </c>
      <c r="C16" s="493"/>
      <c r="D16" s="493"/>
      <c r="E16" s="493"/>
      <c r="F16" s="493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92" t="str">
        <f>+VLOOKUP($A17,Master!$D$27:$G$225,4,FALSE)</f>
        <v>Porez na međunarodnu trgovinu i transakcije</v>
      </c>
      <c r="C17" s="493"/>
      <c r="D17" s="493"/>
      <c r="E17" s="493"/>
      <c r="F17" s="493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92" t="str">
        <f>+VLOOKUP($A18,Master!$D$27:$G$225,4,FALSE)</f>
        <v>Ostali državni porezi</v>
      </c>
      <c r="C18" s="493"/>
      <c r="D18" s="493"/>
      <c r="E18" s="493"/>
      <c r="F18" s="493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502" t="str">
        <f>+VLOOKUP($A19,Master!$D$27:$G$225,4,FALSE)</f>
        <v>Doprinosi</v>
      </c>
      <c r="C19" s="503"/>
      <c r="D19" s="503"/>
      <c r="E19" s="503"/>
      <c r="F19" s="503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92" t="str">
        <f>+VLOOKUP($A20,Master!$D$27:$G$225,4,FALSE)</f>
        <v>Doprinosi za penzijsko i invalidsko osiguranje</v>
      </c>
      <c r="C20" s="493"/>
      <c r="D20" s="493"/>
      <c r="E20" s="493"/>
      <c r="F20" s="493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92" t="str">
        <f>+VLOOKUP($A21,Master!$D$27:$G$225,4,FALSE)</f>
        <v>Doprinosi za zdravstveno osiguranje</v>
      </c>
      <c r="C21" s="493"/>
      <c r="D21" s="493"/>
      <c r="E21" s="493"/>
      <c r="F21" s="493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92" t="str">
        <f>+VLOOKUP($A22,Master!$D$27:$G$225,4,FALSE)</f>
        <v>Doprinosi za osiguranje od nezaposlenosti</v>
      </c>
      <c r="C22" s="493"/>
      <c r="D22" s="493"/>
      <c r="E22" s="493"/>
      <c r="F22" s="493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92" t="str">
        <f>+VLOOKUP($A23,Master!$D$27:$G$225,4,FALSE)</f>
        <v>Ostali doprinosi</v>
      </c>
      <c r="C23" s="493"/>
      <c r="D23" s="493"/>
      <c r="E23" s="493"/>
      <c r="F23" s="493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94" t="str">
        <f>+VLOOKUP($A24,Master!$D$27:$G$225,4,FALSE)</f>
        <v>Takse</v>
      </c>
      <c r="C24" s="495"/>
      <c r="D24" s="495"/>
      <c r="E24" s="495"/>
      <c r="F24" s="495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94" t="str">
        <f>+VLOOKUP($A25,Master!$D$27:$G$225,4,FALSE)</f>
        <v>Naknade</v>
      </c>
      <c r="C25" s="495"/>
      <c r="D25" s="495"/>
      <c r="E25" s="495"/>
      <c r="F25" s="495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94" t="str">
        <f>+VLOOKUP($A26,Master!$D$27:$G$225,4,FALSE)</f>
        <v>Ostali prihodi</v>
      </c>
      <c r="C26" s="495"/>
      <c r="D26" s="495"/>
      <c r="E26" s="495"/>
      <c r="F26" s="495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94" t="str">
        <f>+VLOOKUP($A27,Master!$D$27:$G$225,4,FALSE)</f>
        <v>Primici od otplate kredita i sredstva prenesena iz prethodne godine</v>
      </c>
      <c r="C27" s="495"/>
      <c r="D27" s="495"/>
      <c r="E27" s="495"/>
      <c r="F27" s="495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96" t="str">
        <f>+VLOOKUP($A28,Master!$D$27:$G$225,4,FALSE)</f>
        <v>Donacije i transferi</v>
      </c>
      <c r="C28" s="497"/>
      <c r="D28" s="497"/>
      <c r="E28" s="497"/>
      <c r="F28" s="497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82" t="str">
        <f>+VLOOKUP($A29,Master!$D$27:$G$225,4,FALSE)</f>
        <v>Budžetski izdaci</v>
      </c>
      <c r="C29" s="483"/>
      <c r="D29" s="483"/>
      <c r="E29" s="483"/>
      <c r="F29" s="483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8" t="str">
        <f>+VLOOKUP($A30,Master!$D$27:$G$225,4,FALSE)</f>
        <v>Tekući izdaci</v>
      </c>
      <c r="C30" s="499"/>
      <c r="D30" s="499"/>
      <c r="E30" s="499"/>
      <c r="F30" s="499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500" t="str">
        <f>+VLOOKUP($A31,Master!$D$27:$G$225,4,FALSE)</f>
        <v>Tekuća budžetska potrošnja</v>
      </c>
      <c r="C31" s="501"/>
      <c r="D31" s="501"/>
      <c r="E31" s="501"/>
      <c r="F31" s="501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92" t="str">
        <f>+VLOOKUP($A32,Master!$D$27:$G$225,4,FALSE)</f>
        <v>Bruto zarade i doprinosi na teret poslodavca</v>
      </c>
      <c r="C32" s="493"/>
      <c r="D32" s="493"/>
      <c r="E32" s="493"/>
      <c r="F32" s="493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92" t="str">
        <f>+VLOOKUP($A33,Master!$D$27:$G$225,4,FALSE)</f>
        <v>Ostala lična primanja</v>
      </c>
      <c r="C33" s="493"/>
      <c r="D33" s="493"/>
      <c r="E33" s="493"/>
      <c r="F33" s="493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92" t="str">
        <f>+VLOOKUP($A34,Master!$D$27:$G$225,4,FALSE)</f>
        <v>Rashodi za materijal</v>
      </c>
      <c r="C34" s="493"/>
      <c r="D34" s="493"/>
      <c r="E34" s="493"/>
      <c r="F34" s="493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92" t="str">
        <f>+VLOOKUP($A35,Master!$D$27:$G$225,4,FALSE)</f>
        <v>Rashodi za usluge</v>
      </c>
      <c r="C35" s="493"/>
      <c r="D35" s="493"/>
      <c r="E35" s="493"/>
      <c r="F35" s="493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92" t="str">
        <f>+VLOOKUP($A36,Master!$D$27:$G$225,4,FALSE)</f>
        <v>Rashodi za tekuće održavanje</v>
      </c>
      <c r="C36" s="493"/>
      <c r="D36" s="493"/>
      <c r="E36" s="493"/>
      <c r="F36" s="493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92" t="str">
        <f>+VLOOKUP($A37,Master!$D$27:$G$225,4,FALSE)</f>
        <v>Kamate</v>
      </c>
      <c r="C37" s="493"/>
      <c r="D37" s="493"/>
      <c r="E37" s="493"/>
      <c r="F37" s="493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92" t="str">
        <f>+VLOOKUP($A38,Master!$D$27:$G$225,4,FALSE)</f>
        <v>Renta</v>
      </c>
      <c r="C38" s="493"/>
      <c r="D38" s="493"/>
      <c r="E38" s="493"/>
      <c r="F38" s="493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92" t="str">
        <f>+VLOOKUP($A39,Master!$D$27:$G$225,4,FALSE)</f>
        <v>Subvencije</v>
      </c>
      <c r="C39" s="493"/>
      <c r="D39" s="493"/>
      <c r="E39" s="493"/>
      <c r="F39" s="493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92" t="str">
        <f>+VLOOKUP($A40,Master!$D$27:$G$225,4,FALSE)</f>
        <v>Ostali izdaci</v>
      </c>
      <c r="C40" s="493"/>
      <c r="D40" s="493"/>
      <c r="E40" s="493"/>
      <c r="F40" s="493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92" t="str">
        <f>+VLOOKUP($A41,Master!$D$27:$G$225,4,FALSE)</f>
        <v>Kapitalni izdaci u tekućem budžetu</v>
      </c>
      <c r="C41" s="493"/>
      <c r="D41" s="493"/>
      <c r="E41" s="493"/>
      <c r="F41" s="493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8" t="str">
        <f>+VLOOKUP($A42,Master!$D$27:$G$225,4,FALSE)</f>
        <v>Transferi za socijalnu zaštitu</v>
      </c>
      <c r="C42" s="489"/>
      <c r="D42" s="489"/>
      <c r="E42" s="489"/>
      <c r="F42" s="489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92" t="str">
        <f>+VLOOKUP($A43,Master!$D$27:$G$225,4,FALSE)</f>
        <v>Prava iz oblasti socijalne zaštite</v>
      </c>
      <c r="C43" s="493"/>
      <c r="D43" s="493"/>
      <c r="E43" s="493"/>
      <c r="F43" s="493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92" t="str">
        <f>+VLOOKUP($A44,Master!$D$27:$G$225,4,FALSE)</f>
        <v>Sredstva za tehnološke viškove</v>
      </c>
      <c r="C44" s="493"/>
      <c r="D44" s="493"/>
      <c r="E44" s="493"/>
      <c r="F44" s="493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92" t="str">
        <f>+VLOOKUP($A45,Master!$D$27:$G$225,4,FALSE)</f>
        <v>Prava iz oblasti penzijskog i invalidskog osiguranja</v>
      </c>
      <c r="C45" s="493"/>
      <c r="D45" s="493"/>
      <c r="E45" s="493"/>
      <c r="F45" s="493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92" t="str">
        <f>+VLOOKUP($A46,Master!$D$27:$G$225,4,FALSE)</f>
        <v>Ostala prava iz oblasti zdravstvene zaštite</v>
      </c>
      <c r="C46" s="493"/>
      <c r="D46" s="493"/>
      <c r="E46" s="493"/>
      <c r="F46" s="493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92" t="str">
        <f>+VLOOKUP($A47,Master!$D$27:$G$225,4,FALSE)</f>
        <v>Ostala prava iz zdravstvenog osiguranja</v>
      </c>
      <c r="C47" s="493"/>
      <c r="D47" s="493"/>
      <c r="E47" s="493"/>
      <c r="F47" s="493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90" t="str">
        <f>+VLOOKUP($A48,Master!$D$27:$G$225,4,FALSE)</f>
        <v xml:space="preserve">Transferi institucijama, pojedincima, nevladinom i javnom sektoru </v>
      </c>
      <c r="C48" s="491"/>
      <c r="D48" s="491"/>
      <c r="E48" s="491"/>
      <c r="F48" s="491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90" t="str">
        <f>+VLOOKUP($A49,Master!$D$27:$G$225,4,FALSE)</f>
        <v>Kapitalni budžet</v>
      </c>
      <c r="C49" s="491"/>
      <c r="D49" s="491"/>
      <c r="E49" s="491"/>
      <c r="F49" s="491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60" t="str">
        <f>+VLOOKUP($A50,Master!$D$27:$G$225,4,FALSE)</f>
        <v>Pozajmice i krediti</v>
      </c>
      <c r="C50" s="461"/>
      <c r="D50" s="461"/>
      <c r="E50" s="461"/>
      <c r="F50" s="461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60" t="str">
        <f>+VLOOKUP($A51,Master!$D$27:$G$225,4,FALSE)</f>
        <v>Rezerve</v>
      </c>
      <c r="C51" s="461"/>
      <c r="D51" s="461"/>
      <c r="E51" s="461"/>
      <c r="F51" s="461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8" t="str">
        <f>+VLOOKUP($A52,Master!$D$27:$G$225,4,FALSE)</f>
        <v>Otplata garancija</v>
      </c>
      <c r="C52" s="479"/>
      <c r="D52" s="479"/>
      <c r="E52" s="479"/>
      <c r="F52" s="479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8" t="str">
        <f>+VLOOKUP($A53,Master!$D$27:$G$225,4,TRUE)</f>
        <v>Otplata obaveza iz prethodnih godina</v>
      </c>
      <c r="C53" s="479"/>
      <c r="D53" s="479"/>
      <c r="E53" s="479"/>
      <c r="F53" s="479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24" t="str">
        <f>+VLOOKUP($A54,Master!$D$27:$G$227,4,FALSE)</f>
        <v>Neto povećanje obaveza</v>
      </c>
      <c r="C54" s="525"/>
      <c r="D54" s="525"/>
      <c r="E54" s="525"/>
      <c r="F54" s="525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66" t="str">
        <f>+VLOOKUP($A55,Master!$D$27:$G$225,4,FALSE)</f>
        <v>Suficit / deficit</v>
      </c>
      <c r="C55" s="567"/>
      <c r="D55" s="567"/>
      <c r="E55" s="567"/>
      <c r="F55" s="567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86" t="str">
        <f>+VLOOKUP($A56,Master!$D$27:$G$225,4,FALSE)</f>
        <v>Primarni bilans</v>
      </c>
      <c r="C56" s="487"/>
      <c r="D56" s="487"/>
      <c r="E56" s="487"/>
      <c r="F56" s="487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8" t="str">
        <f>+VLOOKUP($A57,Master!$D$27:$G$225,4,FALSE)</f>
        <v>Otplata dugova</v>
      </c>
      <c r="C57" s="489"/>
      <c r="D57" s="489"/>
      <c r="E57" s="489"/>
      <c r="F57" s="489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76" t="str">
        <f>+VLOOKUP($A58,Master!$D$27:$G$225,4,FALSE)</f>
        <v>Otplata hartija od vrijednosti i kredita rezidentima</v>
      </c>
      <c r="C58" s="477"/>
      <c r="D58" s="477"/>
      <c r="E58" s="477"/>
      <c r="F58" s="477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60" t="str">
        <f>+VLOOKUP($A59,Master!$D$27:$G$225,4,FALSE)</f>
        <v>Otplata hartija od vrijednosti i kredita nerezidentima</v>
      </c>
      <c r="C59" s="461"/>
      <c r="D59" s="461"/>
      <c r="E59" s="461"/>
      <c r="F59" s="461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80" t="str">
        <f>+VLOOKUP($A60,Master!$D$27:$G$225,4,FALSE)</f>
        <v>Nedostajuća sredstva</v>
      </c>
      <c r="C60" s="481"/>
      <c r="D60" s="481"/>
      <c r="E60" s="481"/>
      <c r="F60" s="481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82" t="str">
        <f>+VLOOKUP($A61,Master!$D$27:$G$225,4,FALSE)</f>
        <v>Finansiranje</v>
      </c>
      <c r="C61" s="483"/>
      <c r="D61" s="483"/>
      <c r="E61" s="483"/>
      <c r="F61" s="483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76" t="str">
        <f>+VLOOKUP($A62,Master!$D$27:$G$225,4,FALSE)</f>
        <v>Pozajmice i krediti od domaćih izvora</v>
      </c>
      <c r="C62" s="477"/>
      <c r="D62" s="477"/>
      <c r="E62" s="477"/>
      <c r="F62" s="477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60" t="str">
        <f>+VLOOKUP($A63,Master!$D$27:$G$225,4,FALSE)</f>
        <v>Pozajmice i krediti od inostranih izvora</v>
      </c>
      <c r="C63" s="461"/>
      <c r="D63" s="461"/>
      <c r="E63" s="461"/>
      <c r="F63" s="461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60" t="str">
        <f>+VLOOKUP($A64,Master!$D$27:$G$225,4,FALSE)</f>
        <v>Primici od prodaje imovine</v>
      </c>
      <c r="C64" s="461"/>
      <c r="D64" s="461"/>
      <c r="E64" s="461"/>
      <c r="F64" s="461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47" t="str">
        <f>+Master!G252</f>
        <v>Plan ostvarenja budžeta</v>
      </c>
      <c r="C101" s="548"/>
      <c r="D101" s="548"/>
      <c r="E101" s="548"/>
      <c r="F101" s="548"/>
      <c r="G101" s="540">
        <v>2014</v>
      </c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42"/>
      <c r="S101" s="115" t="str">
        <f>+S7</f>
        <v>BDP</v>
      </c>
      <c r="T101" s="116">
        <v>3393200615</v>
      </c>
    </row>
    <row r="102" spans="1:21" ht="15.75" customHeight="1">
      <c r="B102" s="549"/>
      <c r="C102" s="550"/>
      <c r="D102" s="550"/>
      <c r="E102" s="550"/>
      <c r="F102" s="551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40" t="str">
        <f>+Master!G246</f>
        <v>Jan - Dec</v>
      </c>
      <c r="T102" s="542">
        <f>+T8</f>
        <v>0</v>
      </c>
    </row>
    <row r="103" spans="1:21" ht="13.5" thickBot="1">
      <c r="B103" s="552"/>
      <c r="C103" s="553"/>
      <c r="D103" s="553"/>
      <c r="E103" s="553"/>
      <c r="F103" s="554"/>
      <c r="G103" s="68" t="s">
        <v>423</v>
      </c>
      <c r="H103" s="68" t="s">
        <v>423</v>
      </c>
      <c r="I103" s="68" t="s">
        <v>423</v>
      </c>
      <c r="J103" s="68" t="s">
        <v>423</v>
      </c>
      <c r="K103" s="68" t="s">
        <v>423</v>
      </c>
      <c r="L103" s="68" t="s">
        <v>423</v>
      </c>
      <c r="M103" s="68" t="s">
        <v>423</v>
      </c>
      <c r="N103" s="68" t="s">
        <v>423</v>
      </c>
      <c r="O103" s="68" t="s">
        <v>423</v>
      </c>
      <c r="P103" s="68" t="s">
        <v>423</v>
      </c>
      <c r="Q103" s="68" t="s">
        <v>423</v>
      </c>
      <c r="R103" s="68" t="s">
        <v>423</v>
      </c>
      <c r="S103" s="66" t="s">
        <v>423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43" t="str">
        <f>+VLOOKUP(LEFT($A104,LEN(A104)-1)*1,Master!$D$27:$G$225,4,FALSE)</f>
        <v>Prihodi budžeta</v>
      </c>
      <c r="C104" s="544"/>
      <c r="D104" s="544"/>
      <c r="E104" s="544"/>
      <c r="F104" s="544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45" t="str">
        <f>+VLOOKUP(LEFT($A105,LEN(A105)-1)*1,Master!$D$27:$G$225,4,FALSE)</f>
        <v>Porezi</v>
      </c>
      <c r="C105" s="546"/>
      <c r="D105" s="546"/>
      <c r="E105" s="546"/>
      <c r="F105" s="546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26" t="str">
        <f>+VLOOKUP(LEFT($A106,LEN(A106)-1)*1,Master!$D$27:$G$225,4,FALSE)</f>
        <v>Porez na dohodak fizičkih lica</v>
      </c>
      <c r="C106" s="527"/>
      <c r="D106" s="527"/>
      <c r="E106" s="527"/>
      <c r="F106" s="527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26" t="str">
        <f>+VLOOKUP(LEFT($A107,LEN(A107)-1)*1,Master!$D$27:$G$225,4,FALSE)</f>
        <v>Porez na dobit pravnih lica</v>
      </c>
      <c r="C107" s="527"/>
      <c r="D107" s="527"/>
      <c r="E107" s="527"/>
      <c r="F107" s="527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26" t="str">
        <f>+VLOOKUP(LEFT($A108,LEN(A108)-1)*1,Master!$D$27:$G$225,4,FALSE)</f>
        <v>Porez na promet nepokretnosti</v>
      </c>
      <c r="C108" s="527"/>
      <c r="D108" s="527"/>
      <c r="E108" s="527"/>
      <c r="F108" s="527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26" t="str">
        <f>+VLOOKUP(LEFT($A109,LEN(A109)-1)*1,Master!$D$27:$G$225,4,FALSE)</f>
        <v>Porez na dodatu vrijednost</v>
      </c>
      <c r="C109" s="527"/>
      <c r="D109" s="527"/>
      <c r="E109" s="527"/>
      <c r="F109" s="527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26" t="str">
        <f>+VLOOKUP(LEFT($A110,LEN(A110)-1)*1,Master!$D$27:$G$225,4,FALSE)</f>
        <v>Akcize</v>
      </c>
      <c r="C110" s="527"/>
      <c r="D110" s="527"/>
      <c r="E110" s="527"/>
      <c r="F110" s="527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26" t="str">
        <f>+VLOOKUP(LEFT($A111,LEN(A111)-1)*1,Master!$D$27:$G$225,4,FALSE)</f>
        <v>Porez na međunarodnu trgovinu i transakcije</v>
      </c>
      <c r="C111" s="527"/>
      <c r="D111" s="527"/>
      <c r="E111" s="527"/>
      <c r="F111" s="527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26" t="e">
        <f>+VLOOKUP(LEFT($A112,LEN(A112)-1)*1,Master!$D$27:$G$225,4,FALSE)</f>
        <v>#REF!</v>
      </c>
      <c r="C112" s="527"/>
      <c r="D112" s="527"/>
      <c r="E112" s="527"/>
      <c r="F112" s="527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26" t="str">
        <f>+VLOOKUP(LEFT($A113,LEN(A113)-1)*1,Master!$D$27:$G$225,4,FALSE)</f>
        <v>Ostali državni porezi</v>
      </c>
      <c r="C113" s="527"/>
      <c r="D113" s="527"/>
      <c r="E113" s="527"/>
      <c r="F113" s="527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38" t="str">
        <f>+VLOOKUP(LEFT($A114,LEN(A114)-1)*1,Master!$D$27:$G$225,4,FALSE)</f>
        <v>Doprinosi</v>
      </c>
      <c r="C114" s="539"/>
      <c r="D114" s="539"/>
      <c r="E114" s="539"/>
      <c r="F114" s="53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26" t="str">
        <f>+VLOOKUP(LEFT($A115,LEN(A115)-1)*1,Master!$D$27:$G$225,4,FALSE)</f>
        <v>Doprinosi za penzijsko i invalidsko osiguranje</v>
      </c>
      <c r="C115" s="527"/>
      <c r="D115" s="527"/>
      <c r="E115" s="527"/>
      <c r="F115" s="527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26" t="str">
        <f>+VLOOKUP(LEFT($A116,LEN(A116)-1)*1,Master!$D$27:$G$225,4,FALSE)</f>
        <v>Doprinosi za zdravstveno osiguranje</v>
      </c>
      <c r="C116" s="527"/>
      <c r="D116" s="527"/>
      <c r="E116" s="527"/>
      <c r="F116" s="527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26" t="str">
        <f>+VLOOKUP(LEFT($A117,LEN(A117)-1)*1,Master!$D$27:$G$225,4,FALSE)</f>
        <v>Doprinosi za osiguranje od nezaposlenosti</v>
      </c>
      <c r="C117" s="527"/>
      <c r="D117" s="527"/>
      <c r="E117" s="527"/>
      <c r="F117" s="527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26" t="str">
        <f>+VLOOKUP(LEFT($A118,LEN(A118)-1)*1,Master!$D$27:$G$225,4,FALSE)</f>
        <v>Ostali doprinosi</v>
      </c>
      <c r="C118" s="527"/>
      <c r="D118" s="527"/>
      <c r="E118" s="527"/>
      <c r="F118" s="527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30" t="str">
        <f>+VLOOKUP(LEFT($A119,LEN(A119)-1)*1,Master!$D$27:$G$225,4,FALSE)</f>
        <v>Takse</v>
      </c>
      <c r="C119" s="531"/>
      <c r="D119" s="531"/>
      <c r="E119" s="531"/>
      <c r="F119" s="531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30" t="str">
        <f>+VLOOKUP(LEFT($A120,LEN(A120)-1)*1,Master!$D$27:$G$225,4,FALSE)</f>
        <v>Naknade</v>
      </c>
      <c r="C120" s="531"/>
      <c r="D120" s="531"/>
      <c r="E120" s="531"/>
      <c r="F120" s="531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30" t="str">
        <f>+VLOOKUP(LEFT($A121,LEN(A121)-1)*1,Master!$D$27:$G$225,4,FALSE)</f>
        <v>Ostali prihodi</v>
      </c>
      <c r="C121" s="531"/>
      <c r="D121" s="531"/>
      <c r="E121" s="531"/>
      <c r="F121" s="531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30" t="str">
        <f>+VLOOKUP(LEFT($A122,LEN(A122)-1)*1,Master!$D$27:$G$225,4,FALSE)</f>
        <v>Primici od otplate kredita i sredstva prenesena iz prethodne godine</v>
      </c>
      <c r="C122" s="531"/>
      <c r="D122" s="531"/>
      <c r="E122" s="531"/>
      <c r="F122" s="531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32" t="str">
        <f>+VLOOKUP(LEFT($A123,LEN(A123)-1)*1,Master!$D$27:$G$225,4,FALSE)</f>
        <v>Donacije i transferi</v>
      </c>
      <c r="C123" s="533"/>
      <c r="D123" s="533"/>
      <c r="E123" s="533"/>
      <c r="F123" s="533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16" t="str">
        <f>+VLOOKUP(LEFT($A124,LEN(A124)-1)*1,Master!$D$27:$G$225,4,FALSE)</f>
        <v>Budžetski izdaci</v>
      </c>
      <c r="C124" s="517"/>
      <c r="D124" s="517"/>
      <c r="E124" s="517"/>
      <c r="F124" s="51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34" t="str">
        <f>+VLOOKUP(LEFT($A125,LEN(A125)-1)*1,Master!$D$27:$G$225,4,FALSE)</f>
        <v>Tekući izdaci</v>
      </c>
      <c r="C125" s="535"/>
      <c r="D125" s="535"/>
      <c r="E125" s="535"/>
      <c r="F125" s="53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36" t="str">
        <f>+VLOOKUP(LEFT($A126,LEN(A126)-1)*1,Master!$D$27:$G$225,4,FALSE)</f>
        <v>Tekuća budžetska potrošnja</v>
      </c>
      <c r="C126" s="537"/>
      <c r="D126" s="537"/>
      <c r="E126" s="537"/>
      <c r="F126" s="53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26" t="str">
        <f>+VLOOKUP(LEFT($A127,LEN(A127)-1)*1,Master!$D$27:$G$225,4,FALSE)</f>
        <v>Bruto zarade i doprinosi na teret poslodavca</v>
      </c>
      <c r="C127" s="527"/>
      <c r="D127" s="527"/>
      <c r="E127" s="527"/>
      <c r="F127" s="527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26" t="str">
        <f>+VLOOKUP(LEFT($A128,LEN(A128)-1)*1,Master!$D$27:$G$225,4,FALSE)</f>
        <v>Ostala lična primanja</v>
      </c>
      <c r="C128" s="527"/>
      <c r="D128" s="527"/>
      <c r="E128" s="527"/>
      <c r="F128" s="527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26" t="str">
        <f>+VLOOKUP(LEFT($A129,LEN(A129)-1)*1,Master!$D$27:$G$225,4,FALSE)</f>
        <v>Rashodi za materijal</v>
      </c>
      <c r="C129" s="527"/>
      <c r="D129" s="527"/>
      <c r="E129" s="527"/>
      <c r="F129" s="527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26" t="str">
        <f>+VLOOKUP(LEFT($A130,LEN(A130)-1)*1,Master!$D$27:$G$225,4,FALSE)</f>
        <v>Rashodi za usluge</v>
      </c>
      <c r="C130" s="527"/>
      <c r="D130" s="527"/>
      <c r="E130" s="527"/>
      <c r="F130" s="527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26" t="str">
        <f>+VLOOKUP(LEFT($A131,LEN(A131)-1)*1,Master!$D$27:$G$225,4,FALSE)</f>
        <v>Rashodi za tekuće održavanje</v>
      </c>
      <c r="C131" s="527"/>
      <c r="D131" s="527"/>
      <c r="E131" s="527"/>
      <c r="F131" s="527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26" t="str">
        <f>+VLOOKUP(LEFT($A132,LEN(A132)-1)*1,Master!$D$27:$G$225,4,FALSE)</f>
        <v>Kamate</v>
      </c>
      <c r="C132" s="527"/>
      <c r="D132" s="527"/>
      <c r="E132" s="527"/>
      <c r="F132" s="527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26" t="str">
        <f>+VLOOKUP(LEFT($A133,LEN(A133)-1)*1,Master!$D$27:$G$225,4,FALSE)</f>
        <v>Renta</v>
      </c>
      <c r="C133" s="527"/>
      <c r="D133" s="527"/>
      <c r="E133" s="527"/>
      <c r="F133" s="527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26" t="str">
        <f>+VLOOKUP(LEFT($A134,LEN(A134)-1)*1,Master!$D$27:$G$225,4,FALSE)</f>
        <v>Subvencije</v>
      </c>
      <c r="C134" s="527"/>
      <c r="D134" s="527"/>
      <c r="E134" s="527"/>
      <c r="F134" s="527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26" t="str">
        <f>+VLOOKUP(LEFT($A135,LEN(A135)-1)*1,Master!$D$27:$G$225,4,FALSE)</f>
        <v>Ostali izdaci</v>
      </c>
      <c r="C135" s="527"/>
      <c r="D135" s="527"/>
      <c r="E135" s="527"/>
      <c r="F135" s="527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26" t="str">
        <f>+VLOOKUP(LEFT($A136,LEN(A136)-1)*1,Master!$D$27:$G$225,4,FALSE)</f>
        <v>Kapitalni izdaci u tekućem budžetu</v>
      </c>
      <c r="C136" s="527"/>
      <c r="D136" s="527"/>
      <c r="E136" s="527"/>
      <c r="F136" s="527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22" t="str">
        <f>+VLOOKUP(LEFT($A137,LEN(A137)-1)*1,Master!$D$27:$G$225,4,FALSE)</f>
        <v>Transferi za socijalnu zaštitu</v>
      </c>
      <c r="C137" s="523"/>
      <c r="D137" s="523"/>
      <c r="E137" s="523"/>
      <c r="F137" s="52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26" t="str">
        <f>+VLOOKUP(LEFT($A138,LEN(A138)-1)*1,Master!$D$27:$G$225,4,FALSE)</f>
        <v>Prava iz oblasti socijalne zaštite</v>
      </c>
      <c r="C138" s="527"/>
      <c r="D138" s="527"/>
      <c r="E138" s="527"/>
      <c r="F138" s="527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26" t="str">
        <f>+VLOOKUP(LEFT($A139,LEN(A139)-1)*1,Master!$D$27:$G$225,4,FALSE)</f>
        <v>Sredstva za tehnološke viškove</v>
      </c>
      <c r="C139" s="527"/>
      <c r="D139" s="527"/>
      <c r="E139" s="527"/>
      <c r="F139" s="527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26" t="str">
        <f>+VLOOKUP(LEFT($A140,LEN(A140)-1)*1,Master!$D$27:$G$225,4,FALSE)</f>
        <v>Prava iz oblasti penzijskog i invalidskog osiguranja</v>
      </c>
      <c r="C140" s="527"/>
      <c r="D140" s="527"/>
      <c r="E140" s="527"/>
      <c r="F140" s="527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26" t="str">
        <f>+VLOOKUP(LEFT($A141,LEN(A141)-1)*1,Master!$D$27:$G$225,4,FALSE)</f>
        <v>Ostala prava iz oblasti zdravstvene zaštite</v>
      </c>
      <c r="C141" s="527"/>
      <c r="D141" s="527"/>
      <c r="E141" s="527"/>
      <c r="F141" s="527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26" t="str">
        <f>+VLOOKUP(LEFT($A142,LEN(A142)-1)*1,Master!$D$27:$G$225,4,FALSE)</f>
        <v>Ostala prava iz zdravstvenog osiguranja</v>
      </c>
      <c r="C142" s="527"/>
      <c r="D142" s="527"/>
      <c r="E142" s="527"/>
      <c r="F142" s="527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28" t="str">
        <f>+VLOOKUP(LEFT($A143,LEN(A143)-1)*1,Master!$D$27:$G$225,4,FALSE)</f>
        <v xml:space="preserve">Transferi institucijama, pojedincima, nevladinom i javnom sektoru </v>
      </c>
      <c r="C143" s="529"/>
      <c r="D143" s="529"/>
      <c r="E143" s="529"/>
      <c r="F143" s="52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28" t="str">
        <f>+VLOOKUP(LEFT($A144,LEN(A144)-1)*1,Master!$D$27:$G$225,4,FALSE)</f>
        <v>Kapitalni budžet</v>
      </c>
      <c r="C144" s="529"/>
      <c r="D144" s="529"/>
      <c r="E144" s="529"/>
      <c r="F144" s="52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10" t="str">
        <f>+VLOOKUP(LEFT($A145,LEN(A145)-1)*1,Master!$D$27:$G$225,4,FALSE)</f>
        <v>Pozajmice i krediti</v>
      </c>
      <c r="C145" s="511"/>
      <c r="D145" s="511"/>
      <c r="E145" s="511"/>
      <c r="F145" s="511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10" t="str">
        <f>+VLOOKUP(LEFT($A146,LEN(A146)-1)*1,Master!$D$27:$G$225,4,FALSE)</f>
        <v>Rezerve</v>
      </c>
      <c r="C146" s="511"/>
      <c r="D146" s="511"/>
      <c r="E146" s="511"/>
      <c r="F146" s="511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24" t="str">
        <f>+VLOOKUP(LEFT($A147,LEN(A147)-1)*1,Master!$D$27:$G$225,4,FALSE)</f>
        <v>Otplata garancija</v>
      </c>
      <c r="C147" s="525"/>
      <c r="D147" s="525"/>
      <c r="E147" s="525"/>
      <c r="F147" s="525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8" t="str">
        <f>+VLOOKUP(LEFT($A148,LEN(A148)-1)*1,Master!$D$27:$G$225,4,FALSE)</f>
        <v>Suficit / deficit</v>
      </c>
      <c r="C148" s="519"/>
      <c r="D148" s="519"/>
      <c r="E148" s="519"/>
      <c r="F148" s="51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20" t="str">
        <f>+VLOOKUP(LEFT($A149,LEN(A149)-1)*1,Master!$D$27:$G$225,4,FALSE)</f>
        <v>Primarni bilans</v>
      </c>
      <c r="C149" s="521"/>
      <c r="D149" s="521"/>
      <c r="E149" s="521"/>
      <c r="F149" s="52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22" t="str">
        <f>+VLOOKUP(LEFT($A150,LEN(A150)-1)*1,Master!$D$27:$G$225,4,FALSE)</f>
        <v>Otplata dugova</v>
      </c>
      <c r="C150" s="523"/>
      <c r="D150" s="523"/>
      <c r="E150" s="523"/>
      <c r="F150" s="52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12" t="str">
        <f>+VLOOKUP(LEFT($A151,LEN(A151)-1)*1,Master!$D$27:$G$225,4,FALSE)</f>
        <v>Otplata hartija od vrijednosti i kredita rezidentima</v>
      </c>
      <c r="C151" s="513"/>
      <c r="D151" s="513"/>
      <c r="E151" s="513"/>
      <c r="F151" s="513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10" t="str">
        <f>+VLOOKUP(LEFT($A152,LEN(A152)-1)*1,Master!$D$27:$G$225,4,FALSE)</f>
        <v>Otplata hartija od vrijednosti i kredita nerezidentima</v>
      </c>
      <c r="C152" s="511"/>
      <c r="D152" s="511"/>
      <c r="E152" s="511"/>
      <c r="F152" s="51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24" t="str">
        <f>+VLOOKUP(LEFT($A153,LEN(A153)-1)*1,Master!$D$27:$G$225,4,FALSE)</f>
        <v>Otplata obaveza iz prethodnih godina</v>
      </c>
      <c r="C153" s="525"/>
      <c r="D153" s="525"/>
      <c r="E153" s="525"/>
      <c r="F153" s="525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14" t="str">
        <f>+VLOOKUP(LEFT($A154,LEN(A154)-1)*1,Master!$D$27:$G$225,4,FALSE)</f>
        <v>Nedostajuća sredstva</v>
      </c>
      <c r="C154" s="515"/>
      <c r="D154" s="515"/>
      <c r="E154" s="515"/>
      <c r="F154" s="51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16" t="str">
        <f>+VLOOKUP(LEFT($A155,LEN(A155)-1)*1,Master!$D$27:$G$225,4,FALSE)</f>
        <v>Finansiranje</v>
      </c>
      <c r="C155" s="517"/>
      <c r="D155" s="517"/>
      <c r="E155" s="517"/>
      <c r="F155" s="51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12" t="str">
        <f>+VLOOKUP(LEFT($A156,LEN(A156)-1)*1,Master!$D$27:$G$225,4,FALSE)</f>
        <v>Pozajmice i krediti od domaćih izvora</v>
      </c>
      <c r="C156" s="513"/>
      <c r="D156" s="513"/>
      <c r="E156" s="513"/>
      <c r="F156" s="513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10" t="str">
        <f>+VLOOKUP(LEFT($A157,LEN(A157)-1)*1,Master!$D$27:$G$225,4,FALSE)</f>
        <v>Pozajmice i krediti od inostranih izvora</v>
      </c>
      <c r="C157" s="511"/>
      <c r="D157" s="511"/>
      <c r="E157" s="511"/>
      <c r="F157" s="51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10" t="str">
        <f>+VLOOKUP(LEFT($A158,LEN(A158)-1)*1,Master!$D$27:$G$225,4,FALSE)</f>
        <v>Primici od prodaje imovine</v>
      </c>
      <c r="C158" s="511"/>
      <c r="D158" s="511"/>
      <c r="E158" s="511"/>
      <c r="F158" s="51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državni budžet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513</v>
      </c>
      <c r="H6" s="69" t="s">
        <v>514</v>
      </c>
      <c r="I6" s="69" t="s">
        <v>515</v>
      </c>
      <c r="J6" s="69"/>
      <c r="K6" s="69" t="s">
        <v>516</v>
      </c>
      <c r="L6" s="69" t="s">
        <v>517</v>
      </c>
      <c r="M6" s="69" t="s">
        <v>518</v>
      </c>
      <c r="N6" s="69"/>
      <c r="O6" s="69" t="s">
        <v>519</v>
      </c>
      <c r="P6" s="69" t="s">
        <v>520</v>
      </c>
      <c r="Q6" s="69" t="s">
        <v>521</v>
      </c>
      <c r="R6" s="69"/>
      <c r="S6" s="69" t="s">
        <v>522</v>
      </c>
      <c r="T6" s="69" t="s">
        <v>523</v>
      </c>
      <c r="U6" s="69" t="s">
        <v>524</v>
      </c>
      <c r="V6" s="69"/>
    </row>
    <row r="7" spans="1:24" ht="15" customHeight="1" thickBot="1">
      <c r="B7" s="547" t="str">
        <f>+Master!G251</f>
        <v>Ostvarenje budžeta</v>
      </c>
      <c r="C7" s="548"/>
      <c r="D7" s="548"/>
      <c r="E7" s="548"/>
      <c r="F7" s="548"/>
      <c r="G7" s="540">
        <v>2013</v>
      </c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2"/>
      <c r="V7" s="360"/>
      <c r="W7" s="115" t="str">
        <f>+Master!G248</f>
        <v>BDP</v>
      </c>
      <c r="X7" s="116">
        <v>3327000000</v>
      </c>
    </row>
    <row r="8" spans="1:24" ht="16.5" customHeight="1">
      <c r="B8" s="549"/>
      <c r="C8" s="550"/>
      <c r="D8" s="550"/>
      <c r="E8" s="550"/>
      <c r="F8" s="551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40" t="s">
        <v>701</v>
      </c>
      <c r="X8" s="542"/>
    </row>
    <row r="9" spans="1:24" ht="13.5" thickBot="1">
      <c r="B9" s="552"/>
      <c r="C9" s="553"/>
      <c r="D9" s="553"/>
      <c r="E9" s="553"/>
      <c r="F9" s="554"/>
      <c r="G9" s="68" t="s">
        <v>423</v>
      </c>
      <c r="H9" s="68" t="s">
        <v>423</v>
      </c>
      <c r="I9" s="68" t="s">
        <v>423</v>
      </c>
      <c r="J9" s="68"/>
      <c r="K9" s="68" t="s">
        <v>423</v>
      </c>
      <c r="L9" s="68" t="s">
        <v>423</v>
      </c>
      <c r="M9" s="68" t="s">
        <v>423</v>
      </c>
      <c r="N9" s="68"/>
      <c r="O9" s="68" t="s">
        <v>423</v>
      </c>
      <c r="P9" s="68" t="s">
        <v>423</v>
      </c>
      <c r="Q9" s="68" t="s">
        <v>423</v>
      </c>
      <c r="R9" s="68"/>
      <c r="S9" s="68" t="s">
        <v>423</v>
      </c>
      <c r="T9" s="68" t="s">
        <v>423</v>
      </c>
      <c r="U9" s="68" t="s">
        <v>423</v>
      </c>
      <c r="V9" s="68"/>
      <c r="W9" s="66" t="s">
        <v>423</v>
      </c>
      <c r="X9" s="67" t="str">
        <f>+Master!G249</f>
        <v>% BDP</v>
      </c>
    </row>
    <row r="10" spans="1:24" ht="13.5" thickBot="1">
      <c r="A10" s="72">
        <v>7</v>
      </c>
      <c r="B10" s="543" t="str">
        <f>+VLOOKUP($A10,Master!$D$27:$G$225,4,FALSE)</f>
        <v>Prihodi budžeta</v>
      </c>
      <c r="C10" s="544"/>
      <c r="D10" s="544"/>
      <c r="E10" s="544"/>
      <c r="F10" s="544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45" t="str">
        <f>+VLOOKUP($A11,Master!$D$27:$G$225,4,FALSE)</f>
        <v>Porezi</v>
      </c>
      <c r="C11" s="546"/>
      <c r="D11" s="546"/>
      <c r="E11" s="546"/>
      <c r="F11" s="546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26" t="str">
        <f>+VLOOKUP($A12,Master!$D$27:$G$225,4,FALSE)</f>
        <v>Porez na dohodak fizičkih lica</v>
      </c>
      <c r="C12" s="527"/>
      <c r="D12" s="527"/>
      <c r="E12" s="527"/>
      <c r="F12" s="527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26" t="str">
        <f>+VLOOKUP($A13,Master!$D$27:$G$225,4,FALSE)</f>
        <v>Porez na dobit pravnih lica</v>
      </c>
      <c r="C13" s="527"/>
      <c r="D13" s="527"/>
      <c r="E13" s="527"/>
      <c r="F13" s="527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26" t="str">
        <f>+VLOOKUP($A14,Master!$D$27:$G$225,4,FALSE)</f>
        <v>Porez na promet nepokretnosti</v>
      </c>
      <c r="C14" s="527"/>
      <c r="D14" s="527"/>
      <c r="E14" s="527"/>
      <c r="F14" s="527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26" t="str">
        <f>+VLOOKUP($A15,Master!$D$27:$G$225,4,FALSE)</f>
        <v>Porez na dodatu vrijednost</v>
      </c>
      <c r="C15" s="527"/>
      <c r="D15" s="527"/>
      <c r="E15" s="527"/>
      <c r="F15" s="527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26" t="str">
        <f>+VLOOKUP($A16,Master!$D$27:$G$225,4,FALSE)</f>
        <v>Akcize</v>
      </c>
      <c r="C16" s="527"/>
      <c r="D16" s="527"/>
      <c r="E16" s="527"/>
      <c r="F16" s="527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26" t="str">
        <f>+VLOOKUP($A17,Master!$D$27:$G$225,4,FALSE)</f>
        <v>Porez na međunarodnu trgovinu i transakcije</v>
      </c>
      <c r="C17" s="527"/>
      <c r="D17" s="527"/>
      <c r="E17" s="527"/>
      <c r="F17" s="527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26" t="e">
        <f>+VLOOKUP($A18,Master!$D$27:$G$225,4,FALSE)</f>
        <v>#N/A</v>
      </c>
      <c r="C18" s="527"/>
      <c r="D18" s="527"/>
      <c r="E18" s="527"/>
      <c r="F18" s="527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26" t="str">
        <f>+VLOOKUP($A19,Master!$D$27:$G$225,4,FALSE)</f>
        <v>Ostali državni porezi</v>
      </c>
      <c r="C19" s="527"/>
      <c r="D19" s="527"/>
      <c r="E19" s="527"/>
      <c r="F19" s="527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38" t="str">
        <f>+VLOOKUP($A20,Master!$D$27:$G$225,4,FALSE)</f>
        <v>Doprinosi</v>
      </c>
      <c r="C20" s="539"/>
      <c r="D20" s="539"/>
      <c r="E20" s="539"/>
      <c r="F20" s="53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26" t="str">
        <f>+VLOOKUP($A21,Master!$D$27:$G$225,4,FALSE)</f>
        <v>Doprinosi za penzijsko i invalidsko osiguranje</v>
      </c>
      <c r="C21" s="527"/>
      <c r="D21" s="527"/>
      <c r="E21" s="527"/>
      <c r="F21" s="527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26" t="str">
        <f>+VLOOKUP($A22,Master!$D$27:$G$225,4,FALSE)</f>
        <v>Doprinosi za zdravstveno osiguranje</v>
      </c>
      <c r="C22" s="527"/>
      <c r="D22" s="527"/>
      <c r="E22" s="527"/>
      <c r="F22" s="527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26" t="str">
        <f>+VLOOKUP($A23,Master!$D$27:$G$225,4,FALSE)</f>
        <v>Doprinosi za osiguranje od nezaposlenosti</v>
      </c>
      <c r="C23" s="527"/>
      <c r="D23" s="527"/>
      <c r="E23" s="527"/>
      <c r="F23" s="527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26" t="str">
        <f>+VLOOKUP($A24,Master!$D$27:$G$225,4,FALSE)</f>
        <v>Ostali doprinosi</v>
      </c>
      <c r="C24" s="527"/>
      <c r="D24" s="527"/>
      <c r="E24" s="527"/>
      <c r="F24" s="527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30" t="str">
        <f>+VLOOKUP($A25,Master!$D$27:$G$225,4,FALSE)</f>
        <v>Takse</v>
      </c>
      <c r="C25" s="531"/>
      <c r="D25" s="531"/>
      <c r="E25" s="531"/>
      <c r="F25" s="53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30" t="str">
        <f>+VLOOKUP($A26,Master!$D$27:$G$225,4,FALSE)</f>
        <v>Naknade</v>
      </c>
      <c r="C26" s="531"/>
      <c r="D26" s="531"/>
      <c r="E26" s="531"/>
      <c r="F26" s="53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30" t="str">
        <f>+VLOOKUP($A27,Master!$D$27:$G$225,4,FALSE)</f>
        <v>Ostali prihodi</v>
      </c>
      <c r="C27" s="531"/>
      <c r="D27" s="531"/>
      <c r="E27" s="531"/>
      <c r="F27" s="53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30" t="str">
        <f>+VLOOKUP($A28,Master!$D$27:$G$225,4,FALSE)</f>
        <v>Primici od otplate kredita i sredstva prenesena iz prethodne godine</v>
      </c>
      <c r="C28" s="531"/>
      <c r="D28" s="531"/>
      <c r="E28" s="531"/>
      <c r="F28" s="53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32" t="str">
        <f>+VLOOKUP($A29,Master!$D$27:$G$225,4,FALSE)</f>
        <v>Donacije i transferi</v>
      </c>
      <c r="C29" s="533"/>
      <c r="D29" s="533"/>
      <c r="E29" s="533"/>
      <c r="F29" s="533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16" t="str">
        <f>+VLOOKUP($A30,Master!$D$27:$G$225,4,FALSE)</f>
        <v>Budžetski izdaci</v>
      </c>
      <c r="C30" s="517"/>
      <c r="D30" s="517"/>
      <c r="E30" s="517"/>
      <c r="F30" s="51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34" t="str">
        <f>+VLOOKUP($A31,Master!$D$27:$G$225,4,FALSE)</f>
        <v>Tekući izdaci</v>
      </c>
      <c r="C31" s="535"/>
      <c r="D31" s="535"/>
      <c r="E31" s="535"/>
      <c r="F31" s="53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36" t="str">
        <f>+VLOOKUP($A32,Master!$D$27:$G$225,4,FALSE)</f>
        <v>Tekuća budžetska potrošnja</v>
      </c>
      <c r="C32" s="537"/>
      <c r="D32" s="537"/>
      <c r="E32" s="537"/>
      <c r="F32" s="53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26" t="str">
        <f>+VLOOKUP($A33,Master!$D$27:$G$225,4,FALSE)</f>
        <v>Bruto zarade i doprinosi na teret poslodavca</v>
      </c>
      <c r="C33" s="527"/>
      <c r="D33" s="527"/>
      <c r="E33" s="527"/>
      <c r="F33" s="527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26" t="str">
        <f>+VLOOKUP($A34,Master!$D$27:$G$225,4,FALSE)</f>
        <v>Ostala lična primanja</v>
      </c>
      <c r="C34" s="527"/>
      <c r="D34" s="527"/>
      <c r="E34" s="527"/>
      <c r="F34" s="527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26" t="str">
        <f>+VLOOKUP($A35,Master!$D$27:$G$225,4,FALSE)</f>
        <v>Rashodi za materijal</v>
      </c>
      <c r="C35" s="527"/>
      <c r="D35" s="527"/>
      <c r="E35" s="527"/>
      <c r="F35" s="527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26" t="str">
        <f>+VLOOKUP($A36,Master!$D$27:$G$225,4,FALSE)</f>
        <v>Rashodi za usluge</v>
      </c>
      <c r="C36" s="527"/>
      <c r="D36" s="527"/>
      <c r="E36" s="527"/>
      <c r="F36" s="527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26" t="str">
        <f>+VLOOKUP($A37,Master!$D$27:$G$225,4,FALSE)</f>
        <v>Rashodi za tekuće održavanje</v>
      </c>
      <c r="C37" s="527"/>
      <c r="D37" s="527"/>
      <c r="E37" s="527"/>
      <c r="F37" s="527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26" t="str">
        <f>+VLOOKUP($A38,Master!$D$27:$G$225,4,FALSE)</f>
        <v>Kamate</v>
      </c>
      <c r="C38" s="527"/>
      <c r="D38" s="527"/>
      <c r="E38" s="527"/>
      <c r="F38" s="527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26" t="str">
        <f>+VLOOKUP($A39,Master!$D$27:$G$225,4,FALSE)</f>
        <v>Renta</v>
      </c>
      <c r="C39" s="527"/>
      <c r="D39" s="527"/>
      <c r="E39" s="527"/>
      <c r="F39" s="527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26" t="str">
        <f>+VLOOKUP($A40,Master!$D$27:$G$225,4,FALSE)</f>
        <v>Subvencije</v>
      </c>
      <c r="C40" s="527"/>
      <c r="D40" s="527"/>
      <c r="E40" s="527"/>
      <c r="F40" s="527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26" t="str">
        <f>+VLOOKUP($A41,Master!$D$27:$G$225,4,FALSE)</f>
        <v>Ostali izdaci</v>
      </c>
      <c r="C41" s="527"/>
      <c r="D41" s="527"/>
      <c r="E41" s="527"/>
      <c r="F41" s="527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26" t="str">
        <f>+VLOOKUP($A42,Master!$D$27:$G$225,4,FALSE)</f>
        <v>Kapitalni izdaci u tekućem budžetu</v>
      </c>
      <c r="C42" s="527"/>
      <c r="D42" s="527"/>
      <c r="E42" s="527"/>
      <c r="F42" s="527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22" t="str">
        <f>+VLOOKUP($A43,Master!$D$27:$G$225,4,FALSE)</f>
        <v>Transferi za socijalnu zaštitu</v>
      </c>
      <c r="C43" s="523"/>
      <c r="D43" s="523"/>
      <c r="E43" s="523"/>
      <c r="F43" s="52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26" t="str">
        <f>+VLOOKUP($A44,Master!$D$27:$G$225,4,FALSE)</f>
        <v>Prava iz oblasti socijalne zaštite</v>
      </c>
      <c r="C44" s="527"/>
      <c r="D44" s="527"/>
      <c r="E44" s="527"/>
      <c r="F44" s="527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26" t="str">
        <f>+VLOOKUP($A45,Master!$D$27:$G$225,4,FALSE)</f>
        <v>Sredstva za tehnološke viškove</v>
      </c>
      <c r="C45" s="527"/>
      <c r="D45" s="527"/>
      <c r="E45" s="527"/>
      <c r="F45" s="527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26" t="str">
        <f>+VLOOKUP($A46,Master!$D$27:$G$225,4,FALSE)</f>
        <v>Prava iz oblasti penzijskog i invalidskog osiguranja</v>
      </c>
      <c r="C46" s="527"/>
      <c r="D46" s="527"/>
      <c r="E46" s="527"/>
      <c r="F46" s="527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26" t="str">
        <f>+VLOOKUP($A47,Master!$D$27:$G$225,4,FALSE)</f>
        <v>Ostala prava iz oblasti zdravstvene zaštite</v>
      </c>
      <c r="C47" s="527"/>
      <c r="D47" s="527"/>
      <c r="E47" s="527"/>
      <c r="F47" s="527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26" t="str">
        <f>+VLOOKUP($A48,Master!$D$27:$G$225,4,FALSE)</f>
        <v>Ostala prava iz zdravstvenog osiguranja</v>
      </c>
      <c r="C48" s="527"/>
      <c r="D48" s="527"/>
      <c r="E48" s="527"/>
      <c r="F48" s="527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28" t="str">
        <f>+VLOOKUP($A49,Master!$D$27:$G$225,4,FALSE)</f>
        <v xml:space="preserve">Transferi institucijama, pojedincima, nevladinom i javnom sektoru </v>
      </c>
      <c r="C49" s="529"/>
      <c r="D49" s="529"/>
      <c r="E49" s="529"/>
      <c r="F49" s="52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28" t="str">
        <f>+VLOOKUP($A50,Master!$D$27:$G$225,4,FALSE)</f>
        <v>Kapitalni budžet</v>
      </c>
      <c r="C50" s="529"/>
      <c r="D50" s="529"/>
      <c r="E50" s="529"/>
      <c r="F50" s="52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10" t="str">
        <f>+VLOOKUP($A51,Master!$D$27:$G$225,4,FALSE)</f>
        <v>Pozajmice i krediti</v>
      </c>
      <c r="C51" s="511"/>
      <c r="D51" s="511"/>
      <c r="E51" s="511"/>
      <c r="F51" s="51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10" t="str">
        <f>+VLOOKUP($A52,Master!$D$27:$G$225,4,FALSE)</f>
        <v>Rezerve</v>
      </c>
      <c r="C52" s="511"/>
      <c r="D52" s="511"/>
      <c r="E52" s="511"/>
      <c r="F52" s="51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24" t="str">
        <f>+VLOOKUP($A53,Master!$D$27:$G$225,4,FALSE)</f>
        <v>Otplata garancija</v>
      </c>
      <c r="C53" s="525"/>
      <c r="D53" s="525"/>
      <c r="E53" s="525"/>
      <c r="F53" s="525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24" t="str">
        <f>+VLOOKUP($A54,Master!$D$27:$G$225,4,FALSE)</f>
        <v>Otplata obaveza iz prethodnih godina</v>
      </c>
      <c r="C54" s="525"/>
      <c r="D54" s="525"/>
      <c r="E54" s="525"/>
      <c r="F54" s="525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24" t="str">
        <f>+VLOOKUP($A55,Master!$D$27:$G$227,4,FALSE)</f>
        <v>Neto povećanje obaveza</v>
      </c>
      <c r="C55" s="525"/>
      <c r="D55" s="525"/>
      <c r="E55" s="525"/>
      <c r="F55" s="525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8" t="str">
        <f>+VLOOKUP($A56,Master!$D$27:$G$225,4,FALSE)</f>
        <v>Suficit / deficit</v>
      </c>
      <c r="C56" s="519"/>
      <c r="D56" s="519"/>
      <c r="E56" s="519"/>
      <c r="F56" s="51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20" t="str">
        <f>+VLOOKUP($A57,Master!$D$27:$G$225,4,FALSE)</f>
        <v>Primarni bilans</v>
      </c>
      <c r="C57" s="521"/>
      <c r="D57" s="521"/>
      <c r="E57" s="521"/>
      <c r="F57" s="52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22" t="str">
        <f>+VLOOKUP($A58,Master!$D$27:$G$225,4,FALSE)</f>
        <v>Otplata dugova</v>
      </c>
      <c r="C58" s="523"/>
      <c r="D58" s="523"/>
      <c r="E58" s="523"/>
      <c r="F58" s="52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12" t="str">
        <f>+VLOOKUP($A59,Master!$D$27:$G$225,4,FALSE)</f>
        <v>Otplata hartija od vrijednosti i kredita rezidentima</v>
      </c>
      <c r="C59" s="513"/>
      <c r="D59" s="513"/>
      <c r="E59" s="513"/>
      <c r="F59" s="513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10" t="str">
        <f>+VLOOKUP($A60,Master!$D$27:$G$225,4,FALSE)</f>
        <v>Otplata hartija od vrijednosti i kredita nerezidentima</v>
      </c>
      <c r="C60" s="511"/>
      <c r="D60" s="511"/>
      <c r="E60" s="511"/>
      <c r="F60" s="51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14" t="str">
        <f>+VLOOKUP($A61,Master!$D$27:$G$225,4,FALSE)</f>
        <v>Nedostajuća sredstva</v>
      </c>
      <c r="C61" s="515"/>
      <c r="D61" s="515"/>
      <c r="E61" s="515"/>
      <c r="F61" s="51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16" t="str">
        <f>+VLOOKUP($A62,Master!$D$27:$G$225,4,FALSE)</f>
        <v>Finansiranje</v>
      </c>
      <c r="C62" s="517"/>
      <c r="D62" s="517"/>
      <c r="E62" s="517"/>
      <c r="F62" s="51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12" t="str">
        <f>+VLOOKUP($A63,Master!$D$27:$G$225,4,FALSE)</f>
        <v>Pozajmice i krediti od domaćih izvora</v>
      </c>
      <c r="C63" s="513"/>
      <c r="D63" s="513"/>
      <c r="E63" s="513"/>
      <c r="F63" s="513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10" t="str">
        <f>+VLOOKUP($A64,Master!$D$27:$G$225,4,FALSE)</f>
        <v>Pozajmice i krediti od inostranih izvora</v>
      </c>
      <c r="C64" s="511"/>
      <c r="D64" s="511"/>
      <c r="E64" s="511"/>
      <c r="F64" s="51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10" t="str">
        <f>+VLOOKUP($A65,Master!$D$27:$G$225,4,FALSE)</f>
        <v>Primici od prodaje imovine</v>
      </c>
      <c r="C65" s="511"/>
      <c r="D65" s="511"/>
      <c r="E65" s="511"/>
      <c r="F65" s="51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65" t="str">
        <f>+Master!G252</f>
        <v>Plan ostvarenja budžeta</v>
      </c>
      <c r="C102" s="463"/>
      <c r="D102" s="463"/>
      <c r="E102" s="463"/>
      <c r="F102" s="463"/>
      <c r="G102" s="471">
        <v>2013</v>
      </c>
      <c r="H102" s="472"/>
      <c r="I102" s="472"/>
      <c r="J102" s="472"/>
      <c r="K102" s="472"/>
      <c r="L102" s="472"/>
      <c r="M102" s="472"/>
      <c r="N102" s="472"/>
      <c r="O102" s="472"/>
      <c r="P102" s="472"/>
      <c r="Q102" s="472"/>
      <c r="R102" s="472"/>
      <c r="S102" s="472"/>
      <c r="T102" s="472"/>
      <c r="U102" s="475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64"/>
      <c r="C103" s="465"/>
      <c r="D103" s="465"/>
      <c r="E103" s="465"/>
      <c r="F103" s="466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71" t="str">
        <f>+Master!G246</f>
        <v>Jan - Dec</v>
      </c>
      <c r="X103" s="475">
        <f>+X8</f>
        <v>0</v>
      </c>
    </row>
    <row r="104" spans="1:24" ht="13.5" thickBot="1">
      <c r="A104" s="169"/>
      <c r="B104" s="467"/>
      <c r="C104" s="468"/>
      <c r="D104" s="468"/>
      <c r="E104" s="468"/>
      <c r="F104" s="469"/>
      <c r="G104" s="162" t="s">
        <v>423</v>
      </c>
      <c r="H104" s="162" t="s">
        <v>423</v>
      </c>
      <c r="I104" s="162" t="s">
        <v>423</v>
      </c>
      <c r="J104" s="162"/>
      <c r="K104" s="162" t="s">
        <v>423</v>
      </c>
      <c r="L104" s="162" t="s">
        <v>423</v>
      </c>
      <c r="M104" s="162" t="s">
        <v>423</v>
      </c>
      <c r="N104" s="162"/>
      <c r="O104" s="162" t="s">
        <v>423</v>
      </c>
      <c r="P104" s="162" t="s">
        <v>423</v>
      </c>
      <c r="Q104" s="162" t="s">
        <v>423</v>
      </c>
      <c r="R104" s="162"/>
      <c r="S104" s="162" t="s">
        <v>423</v>
      </c>
      <c r="T104" s="162" t="s">
        <v>423</v>
      </c>
      <c r="U104" s="162" t="s">
        <v>423</v>
      </c>
      <c r="V104" s="162"/>
      <c r="W104" s="262" t="s">
        <v>423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504" t="str">
        <f>+VLOOKUP(LEFT($A105,LEN(A105)-1)*1,Master!$D$27:$G$225,4,FALSE)</f>
        <v>Prihodi budžeta</v>
      </c>
      <c r="C105" s="505"/>
      <c r="D105" s="505"/>
      <c r="E105" s="505"/>
      <c r="F105" s="505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506" t="str">
        <f>+VLOOKUP(LEFT($A106,LEN(A106)-1)*1,Master!$D$27:$G$225,4,FALSE)</f>
        <v>Porezi</v>
      </c>
      <c r="C106" s="507"/>
      <c r="D106" s="507"/>
      <c r="E106" s="507"/>
      <c r="F106" s="507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92" t="str">
        <f>+VLOOKUP(LEFT($A107,LEN(A107)-1)*1,Master!$D$27:$G$225,4,FALSE)</f>
        <v>Porez na dohodak fizičkih lica</v>
      </c>
      <c r="C107" s="493"/>
      <c r="D107" s="493"/>
      <c r="E107" s="493"/>
      <c r="F107" s="493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92" t="str">
        <f>+VLOOKUP(LEFT($A108,LEN(A108)-1)*1,Master!$D$27:$G$225,4,FALSE)</f>
        <v>Porez na dobit pravnih lica</v>
      </c>
      <c r="C108" s="493"/>
      <c r="D108" s="493"/>
      <c r="E108" s="493"/>
      <c r="F108" s="493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92" t="str">
        <f>+VLOOKUP(LEFT($A109,LEN(A109)-1)*1,Master!$D$27:$G$225,4,FALSE)</f>
        <v>Porez na promet nepokretnosti</v>
      </c>
      <c r="C109" s="493"/>
      <c r="D109" s="493"/>
      <c r="E109" s="493"/>
      <c r="F109" s="493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92" t="str">
        <f>+VLOOKUP(LEFT($A110,LEN(A110)-1)*1,Master!$D$27:$G$225,4,FALSE)</f>
        <v>Porez na dodatu vrijednost</v>
      </c>
      <c r="C110" s="493"/>
      <c r="D110" s="493"/>
      <c r="E110" s="493"/>
      <c r="F110" s="493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92" t="str">
        <f>+VLOOKUP(LEFT($A111,LEN(A111)-1)*1,Master!$D$27:$G$225,4,FALSE)</f>
        <v>Akcize</v>
      </c>
      <c r="C111" s="493"/>
      <c r="D111" s="493"/>
      <c r="E111" s="493"/>
      <c r="F111" s="493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92" t="str">
        <f>+VLOOKUP(LEFT($A112,LEN(A112)-1)*1,Master!$D$27:$G$225,4,FALSE)</f>
        <v>Porez na međunarodnu trgovinu i transakcije</v>
      </c>
      <c r="C112" s="493"/>
      <c r="D112" s="493"/>
      <c r="E112" s="493"/>
      <c r="F112" s="493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92" t="e">
        <f>+VLOOKUP(LEFT($A113,LEN(A113)-1)*1,Master!$D$27:$G$225,4,FALSE)</f>
        <v>#N/A</v>
      </c>
      <c r="C113" s="493"/>
      <c r="D113" s="493"/>
      <c r="E113" s="493"/>
      <c r="F113" s="493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92" t="str">
        <f>+VLOOKUP(LEFT($A114,LEN(A114)-1)*1,Master!$D$27:$G$225,4,FALSE)</f>
        <v>Ostali državni porezi</v>
      </c>
      <c r="C114" s="493"/>
      <c r="D114" s="493"/>
      <c r="E114" s="493"/>
      <c r="F114" s="493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502" t="str">
        <f>+VLOOKUP(LEFT($A115,LEN(A115)-1)*1,Master!$D$27:$G$225,4,FALSE)</f>
        <v>Doprinosi</v>
      </c>
      <c r="C115" s="503"/>
      <c r="D115" s="503"/>
      <c r="E115" s="503"/>
      <c r="F115" s="503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92" t="str">
        <f>+VLOOKUP(LEFT($A116,LEN(A116)-1)*1,Master!$D$27:$G$225,4,FALSE)</f>
        <v>Doprinosi za penzijsko i invalidsko osiguranje</v>
      </c>
      <c r="C116" s="493"/>
      <c r="D116" s="493"/>
      <c r="E116" s="493"/>
      <c r="F116" s="493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92" t="str">
        <f>+VLOOKUP(LEFT($A117,LEN(A117)-1)*1,Master!$D$27:$G$225,4,FALSE)</f>
        <v>Doprinosi za zdravstveno osiguranje</v>
      </c>
      <c r="C117" s="493"/>
      <c r="D117" s="493"/>
      <c r="E117" s="493"/>
      <c r="F117" s="493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92" t="str">
        <f>+VLOOKUP(LEFT($A118,LEN(A118)-1)*1,Master!$D$27:$G$225,4,FALSE)</f>
        <v>Doprinosi za osiguranje od nezaposlenosti</v>
      </c>
      <c r="C118" s="493"/>
      <c r="D118" s="493"/>
      <c r="E118" s="493"/>
      <c r="F118" s="493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92" t="str">
        <f>+VLOOKUP(LEFT($A119,LEN(A119)-1)*1,Master!$D$27:$G$225,4,FALSE)</f>
        <v>Ostali doprinosi</v>
      </c>
      <c r="C119" s="493"/>
      <c r="D119" s="493"/>
      <c r="E119" s="493"/>
      <c r="F119" s="493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94" t="str">
        <f>+VLOOKUP(LEFT($A120,LEN(A120)-1)*1,Master!$D$27:$G$225,4,FALSE)</f>
        <v>Takse</v>
      </c>
      <c r="C120" s="495"/>
      <c r="D120" s="495"/>
      <c r="E120" s="495"/>
      <c r="F120" s="495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94" t="str">
        <f>+VLOOKUP(LEFT($A121,LEN(A121)-1)*1,Master!$D$27:$G$225,4,FALSE)</f>
        <v>Naknade</v>
      </c>
      <c r="C121" s="495"/>
      <c r="D121" s="495"/>
      <c r="E121" s="495"/>
      <c r="F121" s="495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94" t="str">
        <f>+VLOOKUP(LEFT($A122,LEN(A122)-1)*1,Master!$D$27:$G$225,4,FALSE)</f>
        <v>Ostali prihodi</v>
      </c>
      <c r="C122" s="495"/>
      <c r="D122" s="495"/>
      <c r="E122" s="495"/>
      <c r="F122" s="495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94" t="str">
        <f>+VLOOKUP(LEFT($A123,LEN(A123)-1)*1,Master!$D$27:$G$225,4,FALSE)</f>
        <v>Primici od otplate kredita i sredstva prenesena iz prethodne godine</v>
      </c>
      <c r="C123" s="495"/>
      <c r="D123" s="495"/>
      <c r="E123" s="495"/>
      <c r="F123" s="495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96" t="str">
        <f>+VLOOKUP(LEFT($A124,LEN(A124)-1)*1,Master!$D$27:$G$225,4,FALSE)</f>
        <v>Donacije i transferi</v>
      </c>
      <c r="C124" s="497"/>
      <c r="D124" s="497"/>
      <c r="E124" s="497"/>
      <c r="F124" s="497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82" t="str">
        <f>+VLOOKUP(LEFT($A125,LEN(A125)-1)*1,Master!$D$27:$G$225,4,FALSE)</f>
        <v>Budžetski izdaci</v>
      </c>
      <c r="C125" s="483"/>
      <c r="D125" s="483"/>
      <c r="E125" s="483"/>
      <c r="F125" s="483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8" t="str">
        <f>+VLOOKUP(LEFT($A126,LEN(A126)-1)*1,Master!$D$27:$G$225,4,FALSE)</f>
        <v>Tekući izdaci</v>
      </c>
      <c r="C126" s="499"/>
      <c r="D126" s="499"/>
      <c r="E126" s="499"/>
      <c r="F126" s="499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500" t="str">
        <f>+VLOOKUP(LEFT($A127,LEN(A127)-1)*1,Master!$D$27:$G$225,4,FALSE)</f>
        <v>Tekuća budžetska potrošnja</v>
      </c>
      <c r="C127" s="501"/>
      <c r="D127" s="501"/>
      <c r="E127" s="501"/>
      <c r="F127" s="501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92" t="str">
        <f>+VLOOKUP(LEFT($A128,LEN(A128)-1)*1,Master!$D$27:$G$225,4,FALSE)</f>
        <v>Bruto zarade i doprinosi na teret poslodavca</v>
      </c>
      <c r="C128" s="493"/>
      <c r="D128" s="493"/>
      <c r="E128" s="493"/>
      <c r="F128" s="493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92" t="str">
        <f>+VLOOKUP(LEFT($A129,LEN(A129)-1)*1,Master!$D$27:$G$225,4,FALSE)</f>
        <v>Ostala lična primanja</v>
      </c>
      <c r="C129" s="493"/>
      <c r="D129" s="493"/>
      <c r="E129" s="493"/>
      <c r="F129" s="493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92" t="str">
        <f>+VLOOKUP(LEFT($A130,LEN(A130)-1)*1,Master!$D$27:$G$225,4,FALSE)</f>
        <v>Rashodi za materijal</v>
      </c>
      <c r="C130" s="493"/>
      <c r="D130" s="493"/>
      <c r="E130" s="493"/>
      <c r="F130" s="493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92" t="str">
        <f>+VLOOKUP(LEFT($A131,LEN(A131)-1)*1,Master!$D$27:$G$225,4,FALSE)</f>
        <v>Rashodi za usluge</v>
      </c>
      <c r="C131" s="493"/>
      <c r="D131" s="493"/>
      <c r="E131" s="493"/>
      <c r="F131" s="493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92" t="str">
        <f>+VLOOKUP(LEFT($A132,LEN(A132)-1)*1,Master!$D$27:$G$225,4,FALSE)</f>
        <v>Rashodi za tekuće održavanje</v>
      </c>
      <c r="C132" s="493"/>
      <c r="D132" s="493"/>
      <c r="E132" s="493"/>
      <c r="F132" s="493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92" t="str">
        <f>+VLOOKUP(LEFT($A133,LEN(A133)-1)*1,Master!$D$27:$G$225,4,FALSE)</f>
        <v>Kamate</v>
      </c>
      <c r="C133" s="493"/>
      <c r="D133" s="493"/>
      <c r="E133" s="493"/>
      <c r="F133" s="493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92" t="str">
        <f>+VLOOKUP(LEFT($A134,LEN(A134)-1)*1,Master!$D$27:$G$225,4,FALSE)</f>
        <v>Renta</v>
      </c>
      <c r="C134" s="493"/>
      <c r="D134" s="493"/>
      <c r="E134" s="493"/>
      <c r="F134" s="493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92" t="str">
        <f>+VLOOKUP(LEFT($A135,LEN(A135)-1)*1,Master!$D$27:$G$225,4,FALSE)</f>
        <v>Subvencije</v>
      </c>
      <c r="C135" s="493"/>
      <c r="D135" s="493"/>
      <c r="E135" s="493"/>
      <c r="F135" s="493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92" t="str">
        <f>+VLOOKUP(LEFT($A136,LEN(A136)-1)*1,Master!$D$27:$G$225,4,FALSE)</f>
        <v>Ostali izdaci</v>
      </c>
      <c r="C136" s="493"/>
      <c r="D136" s="493"/>
      <c r="E136" s="493"/>
      <c r="F136" s="493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92" t="str">
        <f>+VLOOKUP(LEFT($A137,LEN(A137)-1)*1,Master!$D$27:$G$225,4,FALSE)</f>
        <v>Kapitalni izdaci u tekućem budžetu</v>
      </c>
      <c r="C137" s="493"/>
      <c r="D137" s="493"/>
      <c r="E137" s="493"/>
      <c r="F137" s="493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8" t="str">
        <f>+VLOOKUP(LEFT($A138,LEN(A138)-1)*1,Master!$D$27:$G$225,4,FALSE)</f>
        <v>Transferi za socijalnu zaštitu</v>
      </c>
      <c r="C138" s="489"/>
      <c r="D138" s="489"/>
      <c r="E138" s="489"/>
      <c r="F138" s="489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92" t="str">
        <f>+VLOOKUP(LEFT($A139,LEN(A139)-1)*1,Master!$D$27:$G$225,4,FALSE)</f>
        <v>Prava iz oblasti socijalne zaštite</v>
      </c>
      <c r="C139" s="493"/>
      <c r="D139" s="493"/>
      <c r="E139" s="493"/>
      <c r="F139" s="493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92" t="str">
        <f>+VLOOKUP(LEFT($A140,LEN(A140)-1)*1,Master!$D$27:$G$225,4,FALSE)</f>
        <v>Sredstva za tehnološke viškove</v>
      </c>
      <c r="C140" s="493"/>
      <c r="D140" s="493"/>
      <c r="E140" s="493"/>
      <c r="F140" s="493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92" t="str">
        <f>+VLOOKUP(LEFT($A141,LEN(A141)-1)*1,Master!$D$27:$G$225,4,FALSE)</f>
        <v>Prava iz oblasti penzijskog i invalidskog osiguranja</v>
      </c>
      <c r="C141" s="493"/>
      <c r="D141" s="493"/>
      <c r="E141" s="493"/>
      <c r="F141" s="493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92" t="str">
        <f>+VLOOKUP(LEFT($A142,LEN(A142)-1)*1,Master!$D$27:$G$225,4,FALSE)</f>
        <v>Ostala prava iz oblasti zdravstvene zaštite</v>
      </c>
      <c r="C142" s="493"/>
      <c r="D142" s="493"/>
      <c r="E142" s="493"/>
      <c r="F142" s="493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92" t="str">
        <f>+VLOOKUP(LEFT($A143,LEN(A143)-1)*1,Master!$D$27:$G$225,4,FALSE)</f>
        <v>Ostala prava iz zdravstvenog osiguranja</v>
      </c>
      <c r="C143" s="493"/>
      <c r="D143" s="493"/>
      <c r="E143" s="493"/>
      <c r="F143" s="493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90" t="str">
        <f>+VLOOKUP(LEFT($A144,LEN(A144)-1)*1,Master!$D$27:$G$225,4,FALSE)</f>
        <v xml:space="preserve">Transferi institucijama, pojedincima, nevladinom i javnom sektoru </v>
      </c>
      <c r="C144" s="491"/>
      <c r="D144" s="491"/>
      <c r="E144" s="491"/>
      <c r="F144" s="491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90" t="str">
        <f>+VLOOKUP(LEFT($A145,LEN(A145)-1)*1,Master!$D$27:$G$225,4,FALSE)</f>
        <v>Kapitalni budžet</v>
      </c>
      <c r="C145" s="491"/>
      <c r="D145" s="491"/>
      <c r="E145" s="491"/>
      <c r="F145" s="491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60" t="str">
        <f>+VLOOKUP(LEFT($A146,LEN(A146)-1)*1,Master!$D$27:$G$225,4,FALSE)</f>
        <v>Pozajmice i krediti</v>
      </c>
      <c r="C146" s="461"/>
      <c r="D146" s="461"/>
      <c r="E146" s="461"/>
      <c r="F146" s="461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60" t="str">
        <f>+VLOOKUP(LEFT($A147,LEN(A147)-1)*1,Master!$D$27:$G$225,4,FALSE)</f>
        <v>Rezerve</v>
      </c>
      <c r="C147" s="461"/>
      <c r="D147" s="461"/>
      <c r="E147" s="461"/>
      <c r="F147" s="461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8" t="str">
        <f>+VLOOKUP(LEFT($A148,LEN(A148)-1)*1,Master!$D$27:$G$225,4,FALSE)</f>
        <v>Otplata garancija</v>
      </c>
      <c r="C148" s="479"/>
      <c r="D148" s="479"/>
      <c r="E148" s="479"/>
      <c r="F148" s="479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84" t="str">
        <f>+VLOOKUP(LEFT($A149,LEN(A149)-1)*1,Master!$D$27:$G$225,4,FALSE)</f>
        <v>Suficit / deficit</v>
      </c>
      <c r="C149" s="485"/>
      <c r="D149" s="485"/>
      <c r="E149" s="485"/>
      <c r="F149" s="485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86" t="str">
        <f>+VLOOKUP(LEFT($A150,LEN(A150)-1)*1,Master!$D$27:$G$225,4,FALSE)</f>
        <v>Primarni bilans</v>
      </c>
      <c r="C150" s="487"/>
      <c r="D150" s="487"/>
      <c r="E150" s="487"/>
      <c r="F150" s="487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8" t="str">
        <f>+VLOOKUP(LEFT($A151,LEN(A151)-1)*1,Master!$D$27:$G$225,4,FALSE)</f>
        <v>Otplata dugova</v>
      </c>
      <c r="C151" s="489"/>
      <c r="D151" s="489"/>
      <c r="E151" s="489"/>
      <c r="F151" s="489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76" t="str">
        <f>+VLOOKUP(LEFT($A152,LEN(A152)-1)*1,Master!$D$27:$G$225,4,FALSE)</f>
        <v>Otplata hartija od vrijednosti i kredita rezidentima</v>
      </c>
      <c r="C152" s="477"/>
      <c r="D152" s="477"/>
      <c r="E152" s="477"/>
      <c r="F152" s="477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60" t="str">
        <f>+VLOOKUP(LEFT($A153,LEN(A153)-1)*1,Master!$D$27:$G$225,4,FALSE)</f>
        <v>Otplata hartija od vrijednosti i kredita nerezidentima</v>
      </c>
      <c r="C153" s="461"/>
      <c r="D153" s="461"/>
      <c r="E153" s="461"/>
      <c r="F153" s="461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8" t="str">
        <f>+VLOOKUP(LEFT($A154,LEN(A154)-1)*1,Master!$D$27:$G$225,4,FALSE)</f>
        <v>Otplata obaveza iz prethodnih godina</v>
      </c>
      <c r="C154" s="479"/>
      <c r="D154" s="479"/>
      <c r="E154" s="479"/>
      <c r="F154" s="479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80" t="str">
        <f>+VLOOKUP(LEFT($A155,LEN(A155)-1)*1,Master!$D$27:$G$225,4,FALSE)</f>
        <v>Nedostajuća sredstva</v>
      </c>
      <c r="C155" s="481"/>
      <c r="D155" s="481"/>
      <c r="E155" s="481"/>
      <c r="F155" s="481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82" t="str">
        <f>+VLOOKUP(LEFT($A156,LEN(A156)-1)*1,Master!$D$27:$G$225,4,FALSE)</f>
        <v>Finansiranje</v>
      </c>
      <c r="C156" s="483"/>
      <c r="D156" s="483"/>
      <c r="E156" s="483"/>
      <c r="F156" s="483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76" t="str">
        <f>+VLOOKUP(LEFT($A157,LEN(A157)-1)*1,Master!$D$27:$G$225,4,FALSE)</f>
        <v>Pozajmice i krediti od domaćih izvora</v>
      </c>
      <c r="C157" s="477"/>
      <c r="D157" s="477"/>
      <c r="E157" s="477"/>
      <c r="F157" s="477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60" t="str">
        <f>+VLOOKUP(LEFT($A158,LEN(A158)-1)*1,Master!$D$27:$G$225,4,FALSE)</f>
        <v>Pozajmice i krediti od inostranih izvora</v>
      </c>
      <c r="C158" s="461"/>
      <c r="D158" s="461"/>
      <c r="E158" s="461"/>
      <c r="F158" s="461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60" t="str">
        <f>+VLOOKUP(LEFT($A159,LEN(A159)-1)*1,Master!$D$27:$G$225,4,FALSE)</f>
        <v>Primici od prodaje imovine</v>
      </c>
      <c r="C159" s="461"/>
      <c r="D159" s="461"/>
      <c r="E159" s="461"/>
      <c r="F159" s="461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državni budžet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513</v>
      </c>
      <c r="H6" s="69" t="s">
        <v>514</v>
      </c>
      <c r="I6" s="69" t="s">
        <v>515</v>
      </c>
      <c r="J6" s="69" t="s">
        <v>516</v>
      </c>
      <c r="K6" s="69" t="s">
        <v>517</v>
      </c>
      <c r="L6" s="69" t="s">
        <v>518</v>
      </c>
      <c r="M6" s="69" t="s">
        <v>519</v>
      </c>
      <c r="N6" s="69" t="s">
        <v>520</v>
      </c>
      <c r="O6" s="69" t="s">
        <v>521</v>
      </c>
      <c r="P6" s="69" t="s">
        <v>522</v>
      </c>
      <c r="Q6" s="69" t="s">
        <v>523</v>
      </c>
      <c r="R6" s="69" t="s">
        <v>524</v>
      </c>
    </row>
    <row r="7" spans="1:20" ht="15" customHeight="1" thickBot="1">
      <c r="B7" s="547" t="str">
        <f>+Master!G251</f>
        <v>Ostvarenje budžeta</v>
      </c>
      <c r="C7" s="548"/>
      <c r="D7" s="548"/>
      <c r="E7" s="548"/>
      <c r="F7" s="548"/>
      <c r="G7" s="540">
        <v>2013</v>
      </c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2"/>
      <c r="S7" s="115" t="str">
        <f>+Master!G248</f>
        <v>BDP</v>
      </c>
      <c r="T7" s="116">
        <v>3393200615</v>
      </c>
    </row>
    <row r="8" spans="1:20" ht="16.5" customHeight="1">
      <c r="B8" s="549"/>
      <c r="C8" s="550"/>
      <c r="D8" s="550"/>
      <c r="E8" s="550"/>
      <c r="F8" s="551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40" t="str">
        <f>+Master!G245</f>
        <v>Jan - Sep</v>
      </c>
      <c r="T8" s="542"/>
    </row>
    <row r="9" spans="1:20" ht="13.5" thickBot="1">
      <c r="B9" s="552"/>
      <c r="C9" s="553"/>
      <c r="D9" s="553"/>
      <c r="E9" s="553"/>
      <c r="F9" s="554"/>
      <c r="G9" s="68" t="s">
        <v>423</v>
      </c>
      <c r="H9" s="68" t="s">
        <v>423</v>
      </c>
      <c r="I9" s="68" t="s">
        <v>423</v>
      </c>
      <c r="J9" s="68" t="s">
        <v>423</v>
      </c>
      <c r="K9" s="68" t="s">
        <v>423</v>
      </c>
      <c r="L9" s="68" t="s">
        <v>423</v>
      </c>
      <c r="M9" s="68" t="s">
        <v>423</v>
      </c>
      <c r="N9" s="68" t="s">
        <v>423</v>
      </c>
      <c r="O9" s="68" t="s">
        <v>423</v>
      </c>
      <c r="P9" s="68" t="s">
        <v>423</v>
      </c>
      <c r="Q9" s="68" t="s">
        <v>423</v>
      </c>
      <c r="R9" s="68" t="s">
        <v>423</v>
      </c>
      <c r="S9" s="66" t="s">
        <v>423</v>
      </c>
      <c r="T9" s="67" t="str">
        <f>+Master!G249</f>
        <v>% BDP</v>
      </c>
    </row>
    <row r="10" spans="1:20" ht="13.5" thickBot="1">
      <c r="A10" s="72">
        <v>7</v>
      </c>
      <c r="B10" s="543" t="str">
        <f>+VLOOKUP($A10,Master!$D$27:$G$225,4,FALSE)</f>
        <v>Prihodi budžeta</v>
      </c>
      <c r="C10" s="544"/>
      <c r="D10" s="544"/>
      <c r="E10" s="544"/>
      <c r="F10" s="544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45" t="str">
        <f>+VLOOKUP($A11,Master!$D$27:$G$225,4,FALSE)</f>
        <v>Porezi</v>
      </c>
      <c r="C11" s="546"/>
      <c r="D11" s="546"/>
      <c r="E11" s="546"/>
      <c r="F11" s="546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26" t="str">
        <f>+VLOOKUP($A12,Master!$D$27:$G$225,4,FALSE)</f>
        <v>Porez na dohodak fizičkih lica</v>
      </c>
      <c r="C12" s="527"/>
      <c r="D12" s="527"/>
      <c r="E12" s="527"/>
      <c r="F12" s="527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26" t="str">
        <f>+VLOOKUP($A13,Master!$D$27:$G$225,4,FALSE)</f>
        <v>Porez na dobit pravnih lica</v>
      </c>
      <c r="C13" s="527"/>
      <c r="D13" s="527"/>
      <c r="E13" s="527"/>
      <c r="F13" s="527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26" t="str">
        <f>+VLOOKUP($A14,Master!$D$27:$G$225,4,FALSE)</f>
        <v>Porez na promet nepokretnosti</v>
      </c>
      <c r="C14" s="527"/>
      <c r="D14" s="527"/>
      <c r="E14" s="527"/>
      <c r="F14" s="527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26" t="str">
        <f>+VLOOKUP($A15,Master!$D$27:$G$225,4,FALSE)</f>
        <v>Porez na dodatu vrijednost</v>
      </c>
      <c r="C15" s="527"/>
      <c r="D15" s="527"/>
      <c r="E15" s="527"/>
      <c r="F15" s="527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26" t="str">
        <f>+VLOOKUP($A16,Master!$D$27:$G$225,4,FALSE)</f>
        <v>Akcize</v>
      </c>
      <c r="C16" s="527"/>
      <c r="D16" s="527"/>
      <c r="E16" s="527"/>
      <c r="F16" s="527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26" t="str">
        <f>+VLOOKUP($A17,Master!$D$27:$G$225,4,FALSE)</f>
        <v>Porez na međunarodnu trgovinu i transakcije</v>
      </c>
      <c r="C17" s="527"/>
      <c r="D17" s="527"/>
      <c r="E17" s="527"/>
      <c r="F17" s="527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26" t="e">
        <f>+VLOOKUP($A18,Master!$D$27:$G$225,4,FALSE)</f>
        <v>#N/A</v>
      </c>
      <c r="C18" s="527"/>
      <c r="D18" s="527"/>
      <c r="E18" s="527"/>
      <c r="F18" s="527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26" t="str">
        <f>+VLOOKUP($A19,Master!$D$27:$G$225,4,FALSE)</f>
        <v>Ostali državni porezi</v>
      </c>
      <c r="C19" s="527"/>
      <c r="D19" s="527"/>
      <c r="E19" s="527"/>
      <c r="F19" s="527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38" t="str">
        <f>+VLOOKUP($A20,Master!$D$27:$G$225,4,FALSE)</f>
        <v>Doprinosi</v>
      </c>
      <c r="C20" s="539"/>
      <c r="D20" s="539"/>
      <c r="E20" s="539"/>
      <c r="F20" s="53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26" t="str">
        <f>+VLOOKUP($A21,Master!$D$27:$G$225,4,FALSE)</f>
        <v>Doprinosi za penzijsko i invalidsko osiguranje</v>
      </c>
      <c r="C21" s="527"/>
      <c r="D21" s="527"/>
      <c r="E21" s="527"/>
      <c r="F21" s="527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26" t="str">
        <f>+VLOOKUP($A22,Master!$D$27:$G$225,4,FALSE)</f>
        <v>Doprinosi za zdravstveno osiguranje</v>
      </c>
      <c r="C22" s="527"/>
      <c r="D22" s="527"/>
      <c r="E22" s="527"/>
      <c r="F22" s="527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26" t="str">
        <f>+VLOOKUP($A23,Master!$D$27:$G$225,4,FALSE)</f>
        <v>Doprinosi za osiguranje od nezaposlenosti</v>
      </c>
      <c r="C23" s="527"/>
      <c r="D23" s="527"/>
      <c r="E23" s="527"/>
      <c r="F23" s="527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26" t="str">
        <f>+VLOOKUP($A24,Master!$D$27:$G$225,4,FALSE)</f>
        <v>Ostali doprinosi</v>
      </c>
      <c r="C24" s="527"/>
      <c r="D24" s="527"/>
      <c r="E24" s="527"/>
      <c r="F24" s="527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30" t="str">
        <f>+VLOOKUP($A25,Master!$D$27:$G$225,4,FALSE)</f>
        <v>Takse</v>
      </c>
      <c r="C25" s="531"/>
      <c r="D25" s="531"/>
      <c r="E25" s="531"/>
      <c r="F25" s="53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30" t="str">
        <f>+VLOOKUP($A26,Master!$D$27:$G$225,4,FALSE)</f>
        <v>Naknade</v>
      </c>
      <c r="C26" s="531"/>
      <c r="D26" s="531"/>
      <c r="E26" s="531"/>
      <c r="F26" s="53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30" t="str">
        <f>+VLOOKUP($A27,Master!$D$27:$G$225,4,FALSE)</f>
        <v>Ostali prihodi</v>
      </c>
      <c r="C27" s="531"/>
      <c r="D27" s="531"/>
      <c r="E27" s="531"/>
      <c r="F27" s="53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30" t="str">
        <f>+VLOOKUP($A28,Master!$D$27:$G$225,4,FALSE)</f>
        <v>Primici od otplate kredita i sredstva prenesena iz prethodne godine</v>
      </c>
      <c r="C28" s="531"/>
      <c r="D28" s="531"/>
      <c r="E28" s="531"/>
      <c r="F28" s="53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32" t="str">
        <f>+VLOOKUP($A29,Master!$D$27:$G$225,4,FALSE)</f>
        <v>Donacije i transferi</v>
      </c>
      <c r="C29" s="533"/>
      <c r="D29" s="533"/>
      <c r="E29" s="533"/>
      <c r="F29" s="533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16" t="str">
        <f>+VLOOKUP($A30,Master!$D$27:$G$225,4,FALSE)</f>
        <v>Budžetski izdaci</v>
      </c>
      <c r="C30" s="517"/>
      <c r="D30" s="517"/>
      <c r="E30" s="517"/>
      <c r="F30" s="51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34" t="str">
        <f>+VLOOKUP($A31,Master!$D$27:$G$225,4,FALSE)</f>
        <v>Tekući izdaci</v>
      </c>
      <c r="C31" s="535"/>
      <c r="D31" s="535"/>
      <c r="E31" s="535"/>
      <c r="F31" s="53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36" t="str">
        <f>+VLOOKUP($A32,Master!$D$27:$G$225,4,FALSE)</f>
        <v>Tekuća budžetska potrošnja</v>
      </c>
      <c r="C32" s="537"/>
      <c r="D32" s="537"/>
      <c r="E32" s="537"/>
      <c r="F32" s="53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26" t="str">
        <f>+VLOOKUP($A33,Master!$D$27:$G$225,4,FALSE)</f>
        <v>Bruto zarade i doprinosi na teret poslodavca</v>
      </c>
      <c r="C33" s="527"/>
      <c r="D33" s="527"/>
      <c r="E33" s="527"/>
      <c r="F33" s="527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26" t="str">
        <f>+VLOOKUP($A34,Master!$D$27:$G$225,4,FALSE)</f>
        <v>Ostala lična primanja</v>
      </c>
      <c r="C34" s="527"/>
      <c r="D34" s="527"/>
      <c r="E34" s="527"/>
      <c r="F34" s="527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26" t="str">
        <f>+VLOOKUP($A35,Master!$D$27:$G$225,4,FALSE)</f>
        <v>Rashodi za materijal</v>
      </c>
      <c r="C35" s="527"/>
      <c r="D35" s="527"/>
      <c r="E35" s="527"/>
      <c r="F35" s="527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26" t="str">
        <f>+VLOOKUP($A36,Master!$D$27:$G$225,4,FALSE)</f>
        <v>Rashodi za usluge</v>
      </c>
      <c r="C36" s="527"/>
      <c r="D36" s="527"/>
      <c r="E36" s="527"/>
      <c r="F36" s="527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26" t="str">
        <f>+VLOOKUP($A37,Master!$D$27:$G$225,4,FALSE)</f>
        <v>Rashodi za tekuće održavanje</v>
      </c>
      <c r="C37" s="527"/>
      <c r="D37" s="527"/>
      <c r="E37" s="527"/>
      <c r="F37" s="527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26" t="str">
        <f>+VLOOKUP($A38,Master!$D$27:$G$225,4,FALSE)</f>
        <v>Kamate</v>
      </c>
      <c r="C38" s="527"/>
      <c r="D38" s="527"/>
      <c r="E38" s="527"/>
      <c r="F38" s="527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26" t="str">
        <f>+VLOOKUP($A39,Master!$D$27:$G$225,4,FALSE)</f>
        <v>Renta</v>
      </c>
      <c r="C39" s="527"/>
      <c r="D39" s="527"/>
      <c r="E39" s="527"/>
      <c r="F39" s="527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26" t="str">
        <f>+VLOOKUP($A40,Master!$D$27:$G$225,4,FALSE)</f>
        <v>Subvencije</v>
      </c>
      <c r="C40" s="527"/>
      <c r="D40" s="527"/>
      <c r="E40" s="527"/>
      <c r="F40" s="527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26" t="str">
        <f>+VLOOKUP($A41,Master!$D$27:$G$225,4,FALSE)</f>
        <v>Ostali izdaci</v>
      </c>
      <c r="C41" s="527"/>
      <c r="D41" s="527"/>
      <c r="E41" s="527"/>
      <c r="F41" s="527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26" t="str">
        <f>+VLOOKUP($A42,Master!$D$27:$G$225,4,FALSE)</f>
        <v>Kapitalni izdaci u tekućem budžetu</v>
      </c>
      <c r="C42" s="527"/>
      <c r="D42" s="527"/>
      <c r="E42" s="527"/>
      <c r="F42" s="527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22" t="str">
        <f>+VLOOKUP($A43,Master!$D$27:$G$225,4,FALSE)</f>
        <v>Transferi za socijalnu zaštitu</v>
      </c>
      <c r="C43" s="523"/>
      <c r="D43" s="523"/>
      <c r="E43" s="523"/>
      <c r="F43" s="52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26" t="str">
        <f>+VLOOKUP($A44,Master!$D$27:$G$225,4,FALSE)</f>
        <v>Prava iz oblasti socijalne zaštite</v>
      </c>
      <c r="C44" s="527"/>
      <c r="D44" s="527"/>
      <c r="E44" s="527"/>
      <c r="F44" s="527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26" t="str">
        <f>+VLOOKUP($A45,Master!$D$27:$G$225,4,FALSE)</f>
        <v>Sredstva za tehnološke viškove</v>
      </c>
      <c r="C45" s="527"/>
      <c r="D45" s="527"/>
      <c r="E45" s="527"/>
      <c r="F45" s="527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26" t="str">
        <f>+VLOOKUP($A46,Master!$D$27:$G$225,4,FALSE)</f>
        <v>Prava iz oblasti penzijskog i invalidskog osiguranja</v>
      </c>
      <c r="C46" s="527"/>
      <c r="D46" s="527"/>
      <c r="E46" s="527"/>
      <c r="F46" s="527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26" t="str">
        <f>+VLOOKUP($A47,Master!$D$27:$G$225,4,FALSE)</f>
        <v>Ostala prava iz oblasti zdravstvene zaštite</v>
      </c>
      <c r="C47" s="527"/>
      <c r="D47" s="527"/>
      <c r="E47" s="527"/>
      <c r="F47" s="527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26" t="str">
        <f>+VLOOKUP($A48,Master!$D$27:$G$225,4,FALSE)</f>
        <v>Ostala prava iz zdravstvenog osiguranja</v>
      </c>
      <c r="C48" s="527"/>
      <c r="D48" s="527"/>
      <c r="E48" s="527"/>
      <c r="F48" s="527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28" t="str">
        <f>+VLOOKUP($A49,Master!$D$27:$G$225,4,FALSE)</f>
        <v xml:space="preserve">Transferi institucijama, pojedincima, nevladinom i javnom sektoru </v>
      </c>
      <c r="C49" s="529"/>
      <c r="D49" s="529"/>
      <c r="E49" s="529"/>
      <c r="F49" s="52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28" t="str">
        <f>+VLOOKUP($A50,Master!$D$27:$G$225,4,FALSE)</f>
        <v>Kapitalni budžet</v>
      </c>
      <c r="C50" s="529"/>
      <c r="D50" s="529"/>
      <c r="E50" s="529"/>
      <c r="F50" s="52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10" t="str">
        <f>+VLOOKUP($A51,Master!$D$27:$G$225,4,FALSE)</f>
        <v>Pozajmice i krediti</v>
      </c>
      <c r="C51" s="511"/>
      <c r="D51" s="511"/>
      <c r="E51" s="511"/>
      <c r="F51" s="51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10" t="str">
        <f>+VLOOKUP($A52,Master!$D$27:$G$225,4,FALSE)</f>
        <v>Rezerve</v>
      </c>
      <c r="C52" s="511"/>
      <c r="D52" s="511"/>
      <c r="E52" s="511"/>
      <c r="F52" s="51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24" t="str">
        <f>+VLOOKUP($A53,Master!$D$27:$G$225,4,FALSE)</f>
        <v>Otplata garancija</v>
      </c>
      <c r="C53" s="525"/>
      <c r="D53" s="525"/>
      <c r="E53" s="525"/>
      <c r="F53" s="525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8" t="str">
        <f>+VLOOKUP($A54,Master!$D$27:$G$225,4,FALSE)</f>
        <v>Suficit / deficit</v>
      </c>
      <c r="C54" s="519"/>
      <c r="D54" s="519"/>
      <c r="E54" s="519"/>
      <c r="F54" s="51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20" t="str">
        <f>+VLOOKUP($A55,Master!$D$27:$G$225,4,FALSE)</f>
        <v>Primarni bilans</v>
      </c>
      <c r="C55" s="521"/>
      <c r="D55" s="521"/>
      <c r="E55" s="521"/>
      <c r="F55" s="52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22" t="str">
        <f>+VLOOKUP($A56,Master!$D$27:$G$225,4,FALSE)</f>
        <v>Otplata dugova</v>
      </c>
      <c r="C56" s="523"/>
      <c r="D56" s="523"/>
      <c r="E56" s="523"/>
      <c r="F56" s="52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12" t="str">
        <f>+VLOOKUP($A57,Master!$D$27:$G$225,4,FALSE)</f>
        <v>Otplata hartija od vrijednosti i kredita rezidentima</v>
      </c>
      <c r="C57" s="513"/>
      <c r="D57" s="513"/>
      <c r="E57" s="513"/>
      <c r="F57" s="513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10" t="str">
        <f>+VLOOKUP($A58,Master!$D$27:$G$225,4,FALSE)</f>
        <v>Otplata hartija od vrijednosti i kredita nerezidentima</v>
      </c>
      <c r="C58" s="511"/>
      <c r="D58" s="511"/>
      <c r="E58" s="511"/>
      <c r="F58" s="51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24" t="str">
        <f>+VLOOKUP($A59,Master!$D$27:$G$225,4,FALSE)</f>
        <v>Otplata obaveza iz prethodnih godina</v>
      </c>
      <c r="C59" s="525"/>
      <c r="D59" s="525"/>
      <c r="E59" s="525"/>
      <c r="F59" s="525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14" t="str">
        <f>+VLOOKUP($A60,Master!$D$27:$G$225,4,FALSE)</f>
        <v>Nedostajuća sredstva</v>
      </c>
      <c r="C60" s="515"/>
      <c r="D60" s="515"/>
      <c r="E60" s="515"/>
      <c r="F60" s="51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16" t="str">
        <f>+VLOOKUP($A61,Master!$D$27:$G$225,4,FALSE)</f>
        <v>Finansiranje</v>
      </c>
      <c r="C61" s="517"/>
      <c r="D61" s="517"/>
      <c r="E61" s="517"/>
      <c r="F61" s="51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12" t="str">
        <f>+VLOOKUP($A62,Master!$D$27:$G$225,4,FALSE)</f>
        <v>Pozajmice i krediti od domaćih izvora</v>
      </c>
      <c r="C62" s="513"/>
      <c r="D62" s="513"/>
      <c r="E62" s="513"/>
      <c r="F62" s="513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10" t="str">
        <f>+VLOOKUP($A63,Master!$D$27:$G$225,4,FALSE)</f>
        <v>Pozajmice i krediti od inostranih izvora</v>
      </c>
      <c r="C63" s="511"/>
      <c r="D63" s="511"/>
      <c r="E63" s="511"/>
      <c r="F63" s="51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10" t="str">
        <f>+VLOOKUP($A64,Master!$D$27:$G$225,4,FALSE)</f>
        <v>Primici od prodaje imovine</v>
      </c>
      <c r="C64" s="511"/>
      <c r="D64" s="511"/>
      <c r="E64" s="511"/>
      <c r="F64" s="51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65" t="str">
        <f>+Master!G252</f>
        <v>Plan ostvarenja budžeta</v>
      </c>
      <c r="C101" s="463"/>
      <c r="D101" s="463"/>
      <c r="E101" s="463"/>
      <c r="F101" s="463"/>
      <c r="G101" s="471">
        <v>2014</v>
      </c>
      <c r="H101" s="472"/>
      <c r="I101" s="472"/>
      <c r="J101" s="472"/>
      <c r="K101" s="472"/>
      <c r="L101" s="472"/>
      <c r="M101" s="472"/>
      <c r="N101" s="472"/>
      <c r="O101" s="472"/>
      <c r="P101" s="472"/>
      <c r="Q101" s="472"/>
      <c r="R101" s="475"/>
      <c r="S101" s="260" t="str">
        <f>+S7</f>
        <v>BDP</v>
      </c>
      <c r="T101" s="261">
        <v>3393200615</v>
      </c>
    </row>
    <row r="102" spans="1:20" ht="15.75" customHeight="1">
      <c r="A102" s="169"/>
      <c r="B102" s="464"/>
      <c r="C102" s="465"/>
      <c r="D102" s="465"/>
      <c r="E102" s="465"/>
      <c r="F102" s="466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71" t="str">
        <f>+Master!G246</f>
        <v>Jan - Dec</v>
      </c>
      <c r="T102" s="475">
        <f t="shared" si="16"/>
        <v>0</v>
      </c>
    </row>
    <row r="103" spans="1:20" ht="13.5" thickBot="1">
      <c r="A103" s="169"/>
      <c r="B103" s="467"/>
      <c r="C103" s="468"/>
      <c r="D103" s="468"/>
      <c r="E103" s="468"/>
      <c r="F103" s="469"/>
      <c r="G103" s="162" t="s">
        <v>423</v>
      </c>
      <c r="H103" s="162" t="s">
        <v>423</v>
      </c>
      <c r="I103" s="162" t="s">
        <v>423</v>
      </c>
      <c r="J103" s="162" t="s">
        <v>423</v>
      </c>
      <c r="K103" s="162" t="s">
        <v>423</v>
      </c>
      <c r="L103" s="162" t="s">
        <v>423</v>
      </c>
      <c r="M103" s="162" t="s">
        <v>423</v>
      </c>
      <c r="N103" s="162" t="s">
        <v>423</v>
      </c>
      <c r="O103" s="162" t="s">
        <v>423</v>
      </c>
      <c r="P103" s="162" t="s">
        <v>423</v>
      </c>
      <c r="Q103" s="162" t="s">
        <v>423</v>
      </c>
      <c r="R103" s="162" t="s">
        <v>423</v>
      </c>
      <c r="S103" s="262" t="s">
        <v>423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504" t="str">
        <f>+VLOOKUP(LEFT($A104,LEN(A104)-1)*1,Master!$D$27:$G$225,4,FALSE)</f>
        <v>Prihodi budžeta</v>
      </c>
      <c r="C104" s="505"/>
      <c r="D104" s="505"/>
      <c r="E104" s="505"/>
      <c r="F104" s="505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506" t="str">
        <f>+VLOOKUP(LEFT($A105,LEN(A105)-1)*1,Master!$D$27:$G$225,4,FALSE)</f>
        <v>Porezi</v>
      </c>
      <c r="C105" s="507"/>
      <c r="D105" s="507"/>
      <c r="E105" s="507"/>
      <c r="F105" s="507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92" t="str">
        <f>+VLOOKUP(LEFT($A106,LEN(A106)-1)*1,Master!$D$27:$G$225,4,FALSE)</f>
        <v>Porez na dohodak fizičkih lica</v>
      </c>
      <c r="C106" s="493"/>
      <c r="D106" s="493"/>
      <c r="E106" s="493"/>
      <c r="F106" s="493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92" t="str">
        <f>+VLOOKUP(LEFT($A107,LEN(A107)-1)*1,Master!$D$27:$G$225,4,FALSE)</f>
        <v>Porez na dobit pravnih lica</v>
      </c>
      <c r="C107" s="493"/>
      <c r="D107" s="493"/>
      <c r="E107" s="493"/>
      <c r="F107" s="493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92" t="str">
        <f>+VLOOKUP(LEFT($A108,LEN(A108)-1)*1,Master!$D$27:$G$225,4,FALSE)</f>
        <v>Porez na promet nepokretnosti</v>
      </c>
      <c r="C108" s="493"/>
      <c r="D108" s="493"/>
      <c r="E108" s="493"/>
      <c r="F108" s="493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92" t="str">
        <f>+VLOOKUP(LEFT($A109,LEN(A109)-1)*1,Master!$D$27:$G$225,4,FALSE)</f>
        <v>Porez na dodatu vrijednost</v>
      </c>
      <c r="C109" s="493"/>
      <c r="D109" s="493"/>
      <c r="E109" s="493"/>
      <c r="F109" s="493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92" t="str">
        <f>+VLOOKUP(LEFT($A110,LEN(A110)-1)*1,Master!$D$27:$G$225,4,FALSE)</f>
        <v>Akcize</v>
      </c>
      <c r="C110" s="493"/>
      <c r="D110" s="493"/>
      <c r="E110" s="493"/>
      <c r="F110" s="493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92" t="str">
        <f>+VLOOKUP(LEFT($A111,LEN(A111)-1)*1,Master!$D$27:$G$225,4,FALSE)</f>
        <v>Porez na međunarodnu trgovinu i transakcije</v>
      </c>
      <c r="C111" s="493"/>
      <c r="D111" s="493"/>
      <c r="E111" s="493"/>
      <c r="F111" s="493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92" t="e">
        <f>+VLOOKUP(LEFT($A112,LEN(A112)-1)*1,Master!$D$27:$G$225,4,FALSE)</f>
        <v>#N/A</v>
      </c>
      <c r="C112" s="493"/>
      <c r="D112" s="493"/>
      <c r="E112" s="493"/>
      <c r="F112" s="493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92" t="str">
        <f>+VLOOKUP(LEFT($A113,LEN(A113)-1)*1,Master!$D$27:$G$225,4,FALSE)</f>
        <v>Ostali državni porezi</v>
      </c>
      <c r="C113" s="493"/>
      <c r="D113" s="493"/>
      <c r="E113" s="493"/>
      <c r="F113" s="493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502" t="str">
        <f>+VLOOKUP(LEFT($A114,LEN(A114)-1)*1,Master!$D$27:$G$225,4,FALSE)</f>
        <v>Doprinosi</v>
      </c>
      <c r="C114" s="503"/>
      <c r="D114" s="503"/>
      <c r="E114" s="503"/>
      <c r="F114" s="503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92" t="str">
        <f>+VLOOKUP(LEFT($A115,LEN(A115)-1)*1,Master!$D$27:$G$225,4,FALSE)</f>
        <v>Doprinosi za penzijsko i invalidsko osiguranje</v>
      </c>
      <c r="C115" s="493"/>
      <c r="D115" s="493"/>
      <c r="E115" s="493"/>
      <c r="F115" s="493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92" t="str">
        <f>+VLOOKUP(LEFT($A116,LEN(A116)-1)*1,Master!$D$27:$G$225,4,FALSE)</f>
        <v>Doprinosi za zdravstveno osiguranje</v>
      </c>
      <c r="C116" s="493"/>
      <c r="D116" s="493"/>
      <c r="E116" s="493"/>
      <c r="F116" s="493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92" t="str">
        <f>+VLOOKUP(LEFT($A117,LEN(A117)-1)*1,Master!$D$27:$G$225,4,FALSE)</f>
        <v>Doprinosi za osiguranje od nezaposlenosti</v>
      </c>
      <c r="C117" s="493"/>
      <c r="D117" s="493"/>
      <c r="E117" s="493"/>
      <c r="F117" s="493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92" t="str">
        <f>+VLOOKUP(LEFT($A118,LEN(A118)-1)*1,Master!$D$27:$G$225,4,FALSE)</f>
        <v>Ostali doprinosi</v>
      </c>
      <c r="C118" s="493"/>
      <c r="D118" s="493"/>
      <c r="E118" s="493"/>
      <c r="F118" s="493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94" t="str">
        <f>+VLOOKUP(LEFT($A119,LEN(A119)-1)*1,Master!$D$27:$G$225,4,FALSE)</f>
        <v>Takse</v>
      </c>
      <c r="C119" s="495"/>
      <c r="D119" s="495"/>
      <c r="E119" s="495"/>
      <c r="F119" s="495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94" t="str">
        <f>+VLOOKUP(LEFT($A120,LEN(A120)-1)*1,Master!$D$27:$G$225,4,FALSE)</f>
        <v>Naknade</v>
      </c>
      <c r="C120" s="495"/>
      <c r="D120" s="495"/>
      <c r="E120" s="495"/>
      <c r="F120" s="495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94" t="str">
        <f>+VLOOKUP(LEFT($A121,LEN(A121)-1)*1,Master!$D$27:$G$225,4,FALSE)</f>
        <v>Ostali prihodi</v>
      </c>
      <c r="C121" s="495"/>
      <c r="D121" s="495"/>
      <c r="E121" s="495"/>
      <c r="F121" s="495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94" t="str">
        <f>+VLOOKUP(LEFT($A122,LEN(A122)-1)*1,Master!$D$27:$G$225,4,FALSE)</f>
        <v>Primici od otplate kredita i sredstva prenesena iz prethodne godine</v>
      </c>
      <c r="C122" s="495"/>
      <c r="D122" s="495"/>
      <c r="E122" s="495"/>
      <c r="F122" s="495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96" t="str">
        <f>+VLOOKUP(LEFT($A123,LEN(A123)-1)*1,Master!$D$27:$G$225,4,FALSE)</f>
        <v>Donacije i transferi</v>
      </c>
      <c r="C123" s="497"/>
      <c r="D123" s="497"/>
      <c r="E123" s="497"/>
      <c r="F123" s="497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82" t="str">
        <f>+VLOOKUP(LEFT($A124,LEN(A124)-1)*1,Master!$D$27:$G$225,4,FALSE)</f>
        <v>Budžetski izdaci</v>
      </c>
      <c r="C124" s="483"/>
      <c r="D124" s="483"/>
      <c r="E124" s="483"/>
      <c r="F124" s="483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8" t="str">
        <f>+VLOOKUP(LEFT($A125,LEN(A125)-1)*1,Master!$D$27:$G$225,4,FALSE)</f>
        <v>Tekući izdaci</v>
      </c>
      <c r="C125" s="499"/>
      <c r="D125" s="499"/>
      <c r="E125" s="499"/>
      <c r="F125" s="499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500" t="str">
        <f>+VLOOKUP(LEFT($A126,LEN(A126)-1)*1,Master!$D$27:$G$225,4,FALSE)</f>
        <v>Tekuća budžetska potrošnja</v>
      </c>
      <c r="C126" s="501"/>
      <c r="D126" s="501"/>
      <c r="E126" s="501"/>
      <c r="F126" s="501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92" t="str">
        <f>+VLOOKUP(LEFT($A127,LEN(A127)-1)*1,Master!$D$27:$G$225,4,FALSE)</f>
        <v>Bruto zarade i doprinosi na teret poslodavca</v>
      </c>
      <c r="C127" s="493"/>
      <c r="D127" s="493"/>
      <c r="E127" s="493"/>
      <c r="F127" s="493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92" t="str">
        <f>+VLOOKUP(LEFT($A128,LEN(A128)-1)*1,Master!$D$27:$G$225,4,FALSE)</f>
        <v>Ostala lična primanja</v>
      </c>
      <c r="C128" s="493"/>
      <c r="D128" s="493"/>
      <c r="E128" s="493"/>
      <c r="F128" s="493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92" t="str">
        <f>+VLOOKUP(LEFT($A129,LEN(A129)-1)*1,Master!$D$27:$G$225,4,FALSE)</f>
        <v>Rashodi za materijal</v>
      </c>
      <c r="C129" s="493"/>
      <c r="D129" s="493"/>
      <c r="E129" s="493"/>
      <c r="F129" s="493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92" t="str">
        <f>+VLOOKUP(LEFT($A130,LEN(A130)-1)*1,Master!$D$27:$G$225,4,FALSE)</f>
        <v>Rashodi za usluge</v>
      </c>
      <c r="C130" s="493"/>
      <c r="D130" s="493"/>
      <c r="E130" s="493"/>
      <c r="F130" s="493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92" t="str">
        <f>+VLOOKUP(LEFT($A131,LEN(A131)-1)*1,Master!$D$27:$G$225,4,FALSE)</f>
        <v>Rashodi za tekuće održavanje</v>
      </c>
      <c r="C131" s="493"/>
      <c r="D131" s="493"/>
      <c r="E131" s="493"/>
      <c r="F131" s="493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92" t="str">
        <f>+VLOOKUP(LEFT($A132,LEN(A132)-1)*1,Master!$D$27:$G$225,4,FALSE)</f>
        <v>Kamate</v>
      </c>
      <c r="C132" s="493"/>
      <c r="D132" s="493"/>
      <c r="E132" s="493"/>
      <c r="F132" s="493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92" t="str">
        <f>+VLOOKUP(LEFT($A133,LEN(A133)-1)*1,Master!$D$27:$G$225,4,FALSE)</f>
        <v>Renta</v>
      </c>
      <c r="C133" s="493"/>
      <c r="D133" s="493"/>
      <c r="E133" s="493"/>
      <c r="F133" s="493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92" t="str">
        <f>+VLOOKUP(LEFT($A134,LEN(A134)-1)*1,Master!$D$27:$G$225,4,FALSE)</f>
        <v>Subvencije</v>
      </c>
      <c r="C134" s="493"/>
      <c r="D134" s="493"/>
      <c r="E134" s="493"/>
      <c r="F134" s="493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92" t="str">
        <f>+VLOOKUP(LEFT($A135,LEN(A135)-1)*1,Master!$D$27:$G$225,4,FALSE)</f>
        <v>Ostali izdaci</v>
      </c>
      <c r="C135" s="493"/>
      <c r="D135" s="493"/>
      <c r="E135" s="493"/>
      <c r="F135" s="493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92" t="str">
        <f>+VLOOKUP(LEFT($A136,LEN(A136)-1)*1,Master!$D$27:$G$225,4,FALSE)</f>
        <v>Kapitalni izdaci u tekućem budžetu</v>
      </c>
      <c r="C136" s="493"/>
      <c r="D136" s="493"/>
      <c r="E136" s="493"/>
      <c r="F136" s="493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8" t="str">
        <f>+VLOOKUP(LEFT($A137,LEN(A137)-1)*1,Master!$D$27:$G$225,4,FALSE)</f>
        <v>Transferi za socijalnu zaštitu</v>
      </c>
      <c r="C137" s="489"/>
      <c r="D137" s="489"/>
      <c r="E137" s="489"/>
      <c r="F137" s="489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92" t="str">
        <f>+VLOOKUP(LEFT($A138,LEN(A138)-1)*1,Master!$D$27:$G$225,4,FALSE)</f>
        <v>Prava iz oblasti socijalne zaštite</v>
      </c>
      <c r="C138" s="493"/>
      <c r="D138" s="493"/>
      <c r="E138" s="493"/>
      <c r="F138" s="493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92" t="str">
        <f>+VLOOKUP(LEFT($A139,LEN(A139)-1)*1,Master!$D$27:$G$225,4,FALSE)</f>
        <v>Sredstva za tehnološke viškove</v>
      </c>
      <c r="C139" s="493"/>
      <c r="D139" s="493"/>
      <c r="E139" s="493"/>
      <c r="F139" s="493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92" t="str">
        <f>+VLOOKUP(LEFT($A140,LEN(A140)-1)*1,Master!$D$27:$G$225,4,FALSE)</f>
        <v>Prava iz oblasti penzijskog i invalidskog osiguranja</v>
      </c>
      <c r="C140" s="493"/>
      <c r="D140" s="493"/>
      <c r="E140" s="493"/>
      <c r="F140" s="493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92" t="str">
        <f>+VLOOKUP(LEFT($A141,LEN(A141)-1)*1,Master!$D$27:$G$225,4,FALSE)</f>
        <v>Ostala prava iz oblasti zdravstvene zaštite</v>
      </c>
      <c r="C141" s="493"/>
      <c r="D141" s="493"/>
      <c r="E141" s="493"/>
      <c r="F141" s="493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92" t="str">
        <f>+VLOOKUP(LEFT($A142,LEN(A142)-1)*1,Master!$D$27:$G$225,4,FALSE)</f>
        <v>Ostala prava iz zdravstvenog osiguranja</v>
      </c>
      <c r="C142" s="493"/>
      <c r="D142" s="493"/>
      <c r="E142" s="493"/>
      <c r="F142" s="493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90" t="str">
        <f>+VLOOKUP(LEFT($A143,LEN(A143)-1)*1,Master!$D$27:$G$225,4,FALSE)</f>
        <v xml:space="preserve">Transferi institucijama, pojedincima, nevladinom i javnom sektoru </v>
      </c>
      <c r="C143" s="491"/>
      <c r="D143" s="491"/>
      <c r="E143" s="491"/>
      <c r="F143" s="491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90" t="str">
        <f>+VLOOKUP(LEFT($A144,LEN(A144)-1)*1,Master!$D$27:$G$225,4,FALSE)</f>
        <v>Kapitalni budžet</v>
      </c>
      <c r="C144" s="491"/>
      <c r="D144" s="491"/>
      <c r="E144" s="491"/>
      <c r="F144" s="491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60" t="str">
        <f>+VLOOKUP(LEFT($A145,LEN(A145)-1)*1,Master!$D$27:$G$225,4,FALSE)</f>
        <v>Pozajmice i krediti</v>
      </c>
      <c r="C145" s="461"/>
      <c r="D145" s="461"/>
      <c r="E145" s="461"/>
      <c r="F145" s="461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60" t="str">
        <f>+VLOOKUP(LEFT($A146,LEN(A146)-1)*1,Master!$D$27:$G$225,4,FALSE)</f>
        <v>Rezerve</v>
      </c>
      <c r="C146" s="461"/>
      <c r="D146" s="461"/>
      <c r="E146" s="461"/>
      <c r="F146" s="461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8" t="str">
        <f>+VLOOKUP(LEFT($A147,LEN(A147)-1)*1,Master!$D$27:$G$225,4,FALSE)</f>
        <v>Otplata garancija</v>
      </c>
      <c r="C147" s="479"/>
      <c r="D147" s="479"/>
      <c r="E147" s="479"/>
      <c r="F147" s="479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84" t="str">
        <f>+VLOOKUP(LEFT($A148,LEN(A148)-1)*1,Master!$D$27:$G$225,4,FALSE)</f>
        <v>Suficit / deficit</v>
      </c>
      <c r="C148" s="485"/>
      <c r="D148" s="485"/>
      <c r="E148" s="485"/>
      <c r="F148" s="485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86" t="str">
        <f>+VLOOKUP(LEFT($A149,LEN(A149)-1)*1,Master!$D$27:$G$225,4,FALSE)</f>
        <v>Primarni bilans</v>
      </c>
      <c r="C149" s="487"/>
      <c r="D149" s="487"/>
      <c r="E149" s="487"/>
      <c r="F149" s="487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8" t="str">
        <f>+VLOOKUP(LEFT($A150,LEN(A150)-1)*1,Master!$D$27:$G$225,4,FALSE)</f>
        <v>Otplata dugova</v>
      </c>
      <c r="C150" s="489"/>
      <c r="D150" s="489"/>
      <c r="E150" s="489"/>
      <c r="F150" s="489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76" t="str">
        <f>+VLOOKUP(LEFT($A151,LEN(A151)-1)*1,Master!$D$27:$G$225,4,FALSE)</f>
        <v>Otplata hartija od vrijednosti i kredita rezidentima</v>
      </c>
      <c r="C151" s="477"/>
      <c r="D151" s="477"/>
      <c r="E151" s="477"/>
      <c r="F151" s="477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60" t="str">
        <f>+VLOOKUP(LEFT($A152,LEN(A152)-1)*1,Master!$D$27:$G$225,4,FALSE)</f>
        <v>Otplata hartija od vrijednosti i kredita nerezidentima</v>
      </c>
      <c r="C152" s="461"/>
      <c r="D152" s="461"/>
      <c r="E152" s="461"/>
      <c r="F152" s="461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8" t="str">
        <f>+VLOOKUP(LEFT($A153,LEN(A153)-1)*1,Master!$D$27:$G$225,4,FALSE)</f>
        <v>Otplata obaveza iz prethodnih godina</v>
      </c>
      <c r="C153" s="479"/>
      <c r="D153" s="479"/>
      <c r="E153" s="479"/>
      <c r="F153" s="479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80" t="str">
        <f>+VLOOKUP(LEFT($A154,LEN(A154)-1)*1,Master!$D$27:$G$225,4,FALSE)</f>
        <v>Nedostajuća sredstva</v>
      </c>
      <c r="C154" s="481"/>
      <c r="D154" s="481"/>
      <c r="E154" s="481"/>
      <c r="F154" s="481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82" t="str">
        <f>+VLOOKUP(LEFT($A155,LEN(A155)-1)*1,Master!$D$27:$G$225,4,FALSE)</f>
        <v>Finansiranje</v>
      </c>
      <c r="C155" s="483"/>
      <c r="D155" s="483"/>
      <c r="E155" s="483"/>
      <c r="F155" s="483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76" t="str">
        <f>+VLOOKUP(LEFT($A156,LEN(A156)-1)*1,Master!$D$27:$G$225,4,FALSE)</f>
        <v>Pozajmice i krediti od domaćih izvora</v>
      </c>
      <c r="C156" s="477"/>
      <c r="D156" s="477"/>
      <c r="E156" s="477"/>
      <c r="F156" s="477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60" t="str">
        <f>+VLOOKUP(LEFT($A157,LEN(A157)-1)*1,Master!$D$27:$G$225,4,FALSE)</f>
        <v>Pozajmice i krediti od inostranih izvora</v>
      </c>
      <c r="C157" s="461"/>
      <c r="D157" s="461"/>
      <c r="E157" s="461"/>
      <c r="F157" s="461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60" t="str">
        <f>+VLOOKUP(LEFT($A158,LEN(A158)-1)*1,Master!$D$27:$G$225,4,FALSE)</f>
        <v>Primici od prodaje imovine</v>
      </c>
      <c r="C158" s="461"/>
      <c r="D158" s="461"/>
      <c r="E158" s="461"/>
      <c r="F158" s="461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F79" activePane="bottomRight" state="frozen"/>
      <selection pane="topRight" activeCell="F1" sqref="F1"/>
      <selection pane="bottomLeft" activeCell="A8" sqref="A8"/>
      <selection pane="bottomRight" activeCell="FR151" sqref="FR151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1.140625" style="41" customWidth="1"/>
    <col min="164" max="164" width="13.85546875" style="41" customWidth="1"/>
    <col min="165" max="165" width="12.7109375" style="41" customWidth="1"/>
    <col min="166" max="166" width="13.85546875" style="41" customWidth="1"/>
    <col min="167" max="168" width="12.7109375" style="41" customWidth="1"/>
    <col min="169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71" t="s">
        <v>564</v>
      </c>
      <c r="F6" s="568">
        <v>2006</v>
      </c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70"/>
      <c r="R6" s="568">
        <v>2007</v>
      </c>
      <c r="S6" s="569"/>
      <c r="T6" s="569"/>
      <c r="U6" s="569"/>
      <c r="V6" s="569"/>
      <c r="W6" s="569"/>
      <c r="X6" s="569"/>
      <c r="Y6" s="569"/>
      <c r="Z6" s="569"/>
      <c r="AA6" s="569"/>
      <c r="AB6" s="569"/>
      <c r="AC6" s="570"/>
      <c r="AD6" s="568">
        <v>2008</v>
      </c>
      <c r="AE6" s="569"/>
      <c r="AF6" s="569"/>
      <c r="AG6" s="569"/>
      <c r="AH6" s="569"/>
      <c r="AI6" s="569"/>
      <c r="AJ6" s="569"/>
      <c r="AK6" s="569"/>
      <c r="AL6" s="569"/>
      <c r="AM6" s="569"/>
      <c r="AN6" s="569"/>
      <c r="AO6" s="570"/>
      <c r="AP6" s="568">
        <v>2009</v>
      </c>
      <c r="AQ6" s="569"/>
      <c r="AR6" s="569"/>
      <c r="AS6" s="569"/>
      <c r="AT6" s="569"/>
      <c r="AU6" s="569"/>
      <c r="AV6" s="569"/>
      <c r="AW6" s="569"/>
      <c r="AX6" s="569"/>
      <c r="AY6" s="569"/>
      <c r="AZ6" s="569"/>
      <c r="BA6" s="570"/>
      <c r="BB6" s="568">
        <v>2010</v>
      </c>
      <c r="BC6" s="569"/>
      <c r="BD6" s="569"/>
      <c r="BE6" s="569"/>
      <c r="BF6" s="569"/>
      <c r="BG6" s="569"/>
      <c r="BH6" s="569"/>
      <c r="BI6" s="569"/>
      <c r="BJ6" s="569"/>
      <c r="BK6" s="569"/>
      <c r="BL6" s="569"/>
      <c r="BM6" s="570"/>
      <c r="BN6" s="568">
        <v>2011</v>
      </c>
      <c r="BO6" s="569"/>
      <c r="BP6" s="569"/>
      <c r="BQ6" s="569"/>
      <c r="BR6" s="569"/>
      <c r="BS6" s="569"/>
      <c r="BT6" s="569"/>
      <c r="BU6" s="569"/>
      <c r="BV6" s="569"/>
      <c r="BW6" s="569"/>
      <c r="BX6" s="569"/>
      <c r="BY6" s="570"/>
      <c r="BZ6" s="569">
        <v>2012</v>
      </c>
      <c r="CA6" s="569"/>
      <c r="CB6" s="569"/>
      <c r="CC6" s="569"/>
      <c r="CD6" s="569"/>
      <c r="CE6" s="569"/>
      <c r="CF6" s="569"/>
      <c r="CG6" s="569"/>
      <c r="CH6" s="569"/>
      <c r="CI6" s="569"/>
      <c r="CJ6" s="569"/>
      <c r="CK6" s="569"/>
      <c r="CL6" s="568">
        <v>2013</v>
      </c>
      <c r="CM6" s="569"/>
      <c r="CN6" s="569"/>
      <c r="CO6" s="569"/>
      <c r="CP6" s="569"/>
      <c r="CQ6" s="569"/>
      <c r="CR6" s="569"/>
      <c r="CS6" s="569"/>
      <c r="CT6" s="569"/>
      <c r="CU6" s="569"/>
      <c r="CV6" s="569"/>
      <c r="CW6" s="570"/>
      <c r="CX6" s="568">
        <v>2014</v>
      </c>
      <c r="CY6" s="569"/>
      <c r="CZ6" s="569"/>
      <c r="DA6" s="569"/>
      <c r="DB6" s="569"/>
      <c r="DC6" s="569"/>
      <c r="DD6" s="569"/>
      <c r="DE6" s="569"/>
      <c r="DF6" s="569"/>
      <c r="DG6" s="569"/>
      <c r="DH6" s="569"/>
      <c r="DI6" s="570"/>
      <c r="DJ6" s="568">
        <v>2015</v>
      </c>
      <c r="DK6" s="569"/>
      <c r="DL6" s="569"/>
      <c r="DM6" s="569"/>
      <c r="DN6" s="569"/>
      <c r="DO6" s="569"/>
      <c r="DP6" s="569"/>
      <c r="DQ6" s="569"/>
      <c r="DR6" s="569"/>
      <c r="DS6" s="569"/>
      <c r="DT6" s="569"/>
      <c r="DU6" s="570"/>
    </row>
    <row r="7" spans="1:321">
      <c r="E7" s="571"/>
      <c r="F7" s="75" t="s">
        <v>429</v>
      </c>
      <c r="G7" s="76" t="s">
        <v>430</v>
      </c>
      <c r="H7" s="76" t="s">
        <v>431</v>
      </c>
      <c r="I7" s="76" t="s">
        <v>432</v>
      </c>
      <c r="J7" s="76" t="s">
        <v>433</v>
      </c>
      <c r="K7" s="76" t="s">
        <v>434</v>
      </c>
      <c r="L7" s="76" t="s">
        <v>435</v>
      </c>
      <c r="M7" s="76" t="s">
        <v>436</v>
      </c>
      <c r="N7" s="76" t="s">
        <v>437</v>
      </c>
      <c r="O7" s="76" t="s">
        <v>438</v>
      </c>
      <c r="P7" s="76" t="s">
        <v>439</v>
      </c>
      <c r="Q7" s="77" t="s">
        <v>440</v>
      </c>
      <c r="R7" s="75" t="s">
        <v>441</v>
      </c>
      <c r="S7" s="76" t="s">
        <v>442</v>
      </c>
      <c r="T7" s="76" t="s">
        <v>443</v>
      </c>
      <c r="U7" s="76" t="s">
        <v>444</v>
      </c>
      <c r="V7" s="76" t="s">
        <v>445</v>
      </c>
      <c r="W7" s="76" t="s">
        <v>446</v>
      </c>
      <c r="X7" s="76" t="s">
        <v>447</v>
      </c>
      <c r="Y7" s="76" t="s">
        <v>448</v>
      </c>
      <c r="Z7" s="76" t="s">
        <v>449</v>
      </c>
      <c r="AA7" s="76" t="s">
        <v>450</v>
      </c>
      <c r="AB7" s="76" t="s">
        <v>451</v>
      </c>
      <c r="AC7" s="77" t="s">
        <v>452</v>
      </c>
      <c r="AD7" s="75" t="s">
        <v>454</v>
      </c>
      <c r="AE7" s="76" t="s">
        <v>455</v>
      </c>
      <c r="AF7" s="76" t="s">
        <v>456</v>
      </c>
      <c r="AG7" s="76" t="s">
        <v>457</v>
      </c>
      <c r="AH7" s="76" t="s">
        <v>458</v>
      </c>
      <c r="AI7" s="76" t="s">
        <v>459</v>
      </c>
      <c r="AJ7" s="76" t="s">
        <v>460</v>
      </c>
      <c r="AK7" s="76" t="s">
        <v>461</v>
      </c>
      <c r="AL7" s="76" t="s">
        <v>462</v>
      </c>
      <c r="AM7" s="76" t="s">
        <v>463</v>
      </c>
      <c r="AN7" s="76" t="s">
        <v>464</v>
      </c>
      <c r="AO7" s="77" t="s">
        <v>453</v>
      </c>
      <c r="AP7" s="75" t="s">
        <v>465</v>
      </c>
      <c r="AQ7" s="76" t="s">
        <v>466</v>
      </c>
      <c r="AR7" s="76" t="s">
        <v>467</v>
      </c>
      <c r="AS7" s="76" t="s">
        <v>468</v>
      </c>
      <c r="AT7" s="76" t="s">
        <v>469</v>
      </c>
      <c r="AU7" s="76" t="s">
        <v>470</v>
      </c>
      <c r="AV7" s="76" t="s">
        <v>471</v>
      </c>
      <c r="AW7" s="76" t="s">
        <v>472</v>
      </c>
      <c r="AX7" s="76" t="s">
        <v>473</v>
      </c>
      <c r="AY7" s="76" t="s">
        <v>474</v>
      </c>
      <c r="AZ7" s="76" t="s">
        <v>475</v>
      </c>
      <c r="BA7" s="77" t="s">
        <v>476</v>
      </c>
      <c r="BB7" s="75" t="s">
        <v>477</v>
      </c>
      <c r="BC7" s="76" t="s">
        <v>478</v>
      </c>
      <c r="BD7" s="76" t="s">
        <v>479</v>
      </c>
      <c r="BE7" s="76" t="s">
        <v>480</v>
      </c>
      <c r="BF7" s="76" t="s">
        <v>481</v>
      </c>
      <c r="BG7" s="76" t="s">
        <v>482</v>
      </c>
      <c r="BH7" s="76" t="s">
        <v>483</v>
      </c>
      <c r="BI7" s="76" t="s">
        <v>484</v>
      </c>
      <c r="BJ7" s="76" t="s">
        <v>485</v>
      </c>
      <c r="BK7" s="76" t="s">
        <v>486</v>
      </c>
      <c r="BL7" s="76" t="s">
        <v>487</v>
      </c>
      <c r="BM7" s="77" t="s">
        <v>488</v>
      </c>
      <c r="BN7" s="75" t="s">
        <v>489</v>
      </c>
      <c r="BO7" s="76" t="s">
        <v>490</v>
      </c>
      <c r="BP7" s="76" t="s">
        <v>491</v>
      </c>
      <c r="BQ7" s="76" t="s">
        <v>492</v>
      </c>
      <c r="BR7" s="76" t="s">
        <v>493</v>
      </c>
      <c r="BS7" s="76" t="s">
        <v>494</v>
      </c>
      <c r="BT7" s="76" t="s">
        <v>495</v>
      </c>
      <c r="BU7" s="76" t="s">
        <v>496</v>
      </c>
      <c r="BV7" s="76" t="s">
        <v>497</v>
      </c>
      <c r="BW7" s="76" t="s">
        <v>498</v>
      </c>
      <c r="BX7" s="76" t="s">
        <v>499</v>
      </c>
      <c r="BY7" s="77" t="s">
        <v>500</v>
      </c>
      <c r="BZ7" s="76" t="s">
        <v>501</v>
      </c>
      <c r="CA7" s="76" t="s">
        <v>502</v>
      </c>
      <c r="CB7" s="76" t="s">
        <v>503</v>
      </c>
      <c r="CC7" s="76" t="s">
        <v>504</v>
      </c>
      <c r="CD7" s="76" t="s">
        <v>505</v>
      </c>
      <c r="CE7" s="76" t="s">
        <v>506</v>
      </c>
      <c r="CF7" s="76" t="s">
        <v>507</v>
      </c>
      <c r="CG7" s="76" t="s">
        <v>508</v>
      </c>
      <c r="CH7" s="76" t="s">
        <v>509</v>
      </c>
      <c r="CI7" s="76" t="s">
        <v>510</v>
      </c>
      <c r="CJ7" s="76" t="s">
        <v>511</v>
      </c>
      <c r="CK7" s="76" t="s">
        <v>512</v>
      </c>
      <c r="CL7" s="75" t="s">
        <v>513</v>
      </c>
      <c r="CM7" s="76" t="s">
        <v>514</v>
      </c>
      <c r="CN7" s="76" t="s">
        <v>515</v>
      </c>
      <c r="CO7" s="76" t="s">
        <v>516</v>
      </c>
      <c r="CP7" s="76" t="s">
        <v>517</v>
      </c>
      <c r="CQ7" s="76" t="s">
        <v>518</v>
      </c>
      <c r="CR7" s="76" t="s">
        <v>519</v>
      </c>
      <c r="CS7" s="76" t="s">
        <v>520</v>
      </c>
      <c r="CT7" s="76" t="s">
        <v>521</v>
      </c>
      <c r="CU7" s="76" t="s">
        <v>522</v>
      </c>
      <c r="CV7" s="76" t="s">
        <v>523</v>
      </c>
      <c r="CW7" s="77" t="s">
        <v>524</v>
      </c>
      <c r="CX7" s="75" t="s">
        <v>525</v>
      </c>
      <c r="CY7" s="76" t="s">
        <v>526</v>
      </c>
      <c r="CZ7" s="76" t="s">
        <v>527</v>
      </c>
      <c r="DA7" s="76" t="s">
        <v>528</v>
      </c>
      <c r="DB7" s="76" t="s">
        <v>529</v>
      </c>
      <c r="DC7" s="76" t="s">
        <v>530</v>
      </c>
      <c r="DD7" s="76" t="s">
        <v>531</v>
      </c>
      <c r="DE7" s="76" t="s">
        <v>532</v>
      </c>
      <c r="DF7" s="76" t="s">
        <v>533</v>
      </c>
      <c r="DG7" s="76" t="s">
        <v>534</v>
      </c>
      <c r="DH7" s="76" t="s">
        <v>535</v>
      </c>
      <c r="DI7" s="77" t="s">
        <v>536</v>
      </c>
      <c r="DJ7" s="75" t="s">
        <v>537</v>
      </c>
      <c r="DK7" s="76" t="s">
        <v>538</v>
      </c>
      <c r="DL7" s="76" t="s">
        <v>539</v>
      </c>
      <c r="DM7" s="76" t="s">
        <v>540</v>
      </c>
      <c r="DN7" s="76" t="s">
        <v>541</v>
      </c>
      <c r="DO7" s="76" t="s">
        <v>542</v>
      </c>
      <c r="DP7" s="76" t="s">
        <v>543</v>
      </c>
      <c r="DQ7" s="76" t="s">
        <v>544</v>
      </c>
      <c r="DR7" s="76" t="s">
        <v>545</v>
      </c>
      <c r="DS7" s="76" t="s">
        <v>546</v>
      </c>
      <c r="DT7" s="76" t="s">
        <v>547</v>
      </c>
      <c r="DU7" s="77" t="s">
        <v>548</v>
      </c>
      <c r="DV7" s="42" t="s">
        <v>703</v>
      </c>
      <c r="DW7" s="42" t="s">
        <v>704</v>
      </c>
      <c r="DX7" s="42" t="s">
        <v>705</v>
      </c>
      <c r="DY7" s="42" t="s">
        <v>706</v>
      </c>
      <c r="DZ7" s="42" t="s">
        <v>707</v>
      </c>
      <c r="EA7" s="42" t="s">
        <v>708</v>
      </c>
      <c r="EB7" s="42" t="s">
        <v>709</v>
      </c>
      <c r="EC7" s="42" t="s">
        <v>710</v>
      </c>
      <c r="ED7" s="42" t="s">
        <v>711</v>
      </c>
      <c r="EE7" s="42" t="s">
        <v>712</v>
      </c>
      <c r="EF7" s="42" t="s">
        <v>713</v>
      </c>
      <c r="EG7" s="42" t="s">
        <v>714</v>
      </c>
      <c r="EH7" s="42" t="s">
        <v>737</v>
      </c>
      <c r="EI7" s="42" t="s">
        <v>738</v>
      </c>
      <c r="EJ7" s="42" t="s">
        <v>739</v>
      </c>
      <c r="EK7" s="42" t="s">
        <v>740</v>
      </c>
      <c r="EL7" s="42" t="s">
        <v>741</v>
      </c>
      <c r="EM7" s="42" t="s">
        <v>742</v>
      </c>
      <c r="EN7" s="42" t="s">
        <v>743</v>
      </c>
      <c r="EO7" s="42" t="s">
        <v>744</v>
      </c>
      <c r="EP7" s="42" t="s">
        <v>745</v>
      </c>
      <c r="EQ7" s="42" t="s">
        <v>746</v>
      </c>
      <c r="ER7" s="42" t="s">
        <v>747</v>
      </c>
      <c r="ES7" s="42" t="s">
        <v>748</v>
      </c>
      <c r="ET7" s="393" t="s">
        <v>755</v>
      </c>
      <c r="EU7" s="393" t="s">
        <v>756</v>
      </c>
      <c r="EV7" s="393" t="s">
        <v>757</v>
      </c>
      <c r="EW7" s="393" t="s">
        <v>758</v>
      </c>
      <c r="EX7" s="393" t="s">
        <v>759</v>
      </c>
      <c r="EY7" s="393" t="s">
        <v>760</v>
      </c>
      <c r="EZ7" s="393" t="s">
        <v>761</v>
      </c>
      <c r="FA7" s="393" t="s">
        <v>762</v>
      </c>
      <c r="FB7" s="393" t="s">
        <v>763</v>
      </c>
      <c r="FC7" s="393" t="s">
        <v>764</v>
      </c>
      <c r="FD7" s="393" t="s">
        <v>765</v>
      </c>
      <c r="FE7" s="393" t="s">
        <v>766</v>
      </c>
      <c r="FF7" s="393" t="s">
        <v>778</v>
      </c>
      <c r="FG7" s="393" t="s">
        <v>779</v>
      </c>
      <c r="FH7" s="393" t="s">
        <v>780</v>
      </c>
      <c r="FI7" s="393" t="s">
        <v>781</v>
      </c>
      <c r="FJ7" s="393" t="s">
        <v>782</v>
      </c>
      <c r="FK7" s="393" t="s">
        <v>783</v>
      </c>
      <c r="FL7" s="393" t="s">
        <v>784</v>
      </c>
      <c r="FM7" s="393" t="s">
        <v>785</v>
      </c>
      <c r="FN7" s="393" t="s">
        <v>786</v>
      </c>
      <c r="FO7" s="393" t="s">
        <v>787</v>
      </c>
      <c r="FP7" s="393" t="s">
        <v>788</v>
      </c>
      <c r="FQ7" s="393" t="s">
        <v>789</v>
      </c>
    </row>
    <row r="8" spans="1:321">
      <c r="A8" s="74">
        <v>7</v>
      </c>
      <c r="B8" s="74" t="s">
        <v>94</v>
      </c>
      <c r="D8" s="74">
        <v>7</v>
      </c>
      <c r="E8" s="78" t="s">
        <v>19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21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50">
        <v>79855347.849999994</v>
      </c>
      <c r="EU9" s="450">
        <v>106190042</v>
      </c>
      <c r="EV9" s="450">
        <v>137417391.37</v>
      </c>
      <c r="EW9" s="450">
        <v>147833434.00999999</v>
      </c>
      <c r="EX9" s="450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23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51">
        <v>60295851.509999998</v>
      </c>
      <c r="EU10" s="451">
        <v>64797597.329999998</v>
      </c>
      <c r="EV10" s="451">
        <v>89261850.609999999</v>
      </c>
      <c r="EW10" s="451">
        <v>97799793.079999998</v>
      </c>
      <c r="EX10" s="451">
        <v>90553351.069999993</v>
      </c>
      <c r="EY10" s="451">
        <v>87503254.430000007</v>
      </c>
      <c r="EZ10" s="451">
        <v>105015545.47</v>
      </c>
      <c r="FA10" s="451">
        <v>107951400.73999999</v>
      </c>
      <c r="FB10" s="451">
        <v>102839740.52</v>
      </c>
      <c r="FC10" s="451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378">
        <v>98709545.510000005</v>
      </c>
      <c r="FI10" s="378">
        <v>106791818.52</v>
      </c>
      <c r="FJ10" s="378">
        <v>94372185.030000001</v>
      </c>
      <c r="FK10" s="378">
        <v>89389439.689999998</v>
      </c>
      <c r="FL10" s="451">
        <v>115363471.45</v>
      </c>
      <c r="FM10" s="378">
        <v>118817091.44</v>
      </c>
      <c r="FN10" s="378">
        <v>114500270.97</v>
      </c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25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>
        <v>10210712.41</v>
      </c>
      <c r="FK11" s="376">
        <v>10125793.029999999</v>
      </c>
      <c r="FL11" s="450">
        <v>10986746.67</v>
      </c>
      <c r="FM11" s="376">
        <v>10477204.85</v>
      </c>
      <c r="FN11" s="376">
        <v>10332018.109999999</v>
      </c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27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>
        <v>4781744.7</v>
      </c>
      <c r="FK12" s="376">
        <v>3678815</v>
      </c>
      <c r="FL12" s="450">
        <v>3890710.55</v>
      </c>
      <c r="FM12" s="376">
        <v>3092994.24</v>
      </c>
      <c r="FN12" s="376">
        <v>2242778.35</v>
      </c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29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>
        <v>147510.5</v>
      </c>
      <c r="FK13" s="376">
        <v>158253.64000000001</v>
      </c>
      <c r="FL13" s="450">
        <v>152687.82</v>
      </c>
      <c r="FM13" s="376">
        <v>172408.19</v>
      </c>
      <c r="FN13" s="376">
        <v>131658.57</v>
      </c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31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>
        <v>56428341.859999999</v>
      </c>
      <c r="FK14" s="376">
        <v>52810087.229999997</v>
      </c>
      <c r="FL14" s="450">
        <v>71626480.939999998</v>
      </c>
      <c r="FM14" s="376">
        <v>71690318.180000007</v>
      </c>
      <c r="FN14" s="376">
        <v>70816309.909999996</v>
      </c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33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>
        <v>19442485.359999999</v>
      </c>
      <c r="FK15" s="376">
        <v>19205497.870000001</v>
      </c>
      <c r="FL15" s="450">
        <v>24612824.059999999</v>
      </c>
      <c r="FM15" s="376">
        <v>29562766.32</v>
      </c>
      <c r="FN15" s="376">
        <v>27417042.280000001</v>
      </c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35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>
        <v>2502520.2799999998</v>
      </c>
      <c r="FK16" s="376">
        <v>2485583.9700000002</v>
      </c>
      <c r="FL16" s="450">
        <v>3088089.4</v>
      </c>
      <c r="FM16" s="376">
        <v>2788700.72</v>
      </c>
      <c r="FN16" s="376">
        <v>2553125.85</v>
      </c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37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>
        <v>858869.92</v>
      </c>
      <c r="FK17" s="376">
        <v>925408.95</v>
      </c>
      <c r="FL17" s="450">
        <v>1005932.01</v>
      </c>
      <c r="FM17" s="376">
        <v>1032698.94</v>
      </c>
      <c r="FN17" s="376">
        <v>1007337.9</v>
      </c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39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41912269.38000001</v>
      </c>
      <c r="FH18" s="378">
        <v>41047599.18</v>
      </c>
      <c r="FI18" s="378">
        <v>50290988.940000005</v>
      </c>
      <c r="FJ18" s="378">
        <v>37496285.130000003</v>
      </c>
      <c r="FK18" s="378">
        <v>45280786.510000005</v>
      </c>
      <c r="FL18" s="451">
        <v>48662139.43999999</v>
      </c>
      <c r="FM18" s="378">
        <v>45770745.839999996</v>
      </c>
      <c r="FN18" s="378">
        <v>43611346.450000003</v>
      </c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41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>
        <v>22104934.850000001</v>
      </c>
      <c r="FK19" s="376">
        <v>27009559.609999999</v>
      </c>
      <c r="FL19" s="450">
        <v>28964205.43</v>
      </c>
      <c r="FM19" s="376">
        <v>27519220.43</v>
      </c>
      <c r="FN19" s="376">
        <v>26730921.559999999</v>
      </c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43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>
        <v>13458982.5</v>
      </c>
      <c r="FK20" s="376">
        <v>15925774.34</v>
      </c>
      <c r="FL20" s="450">
        <v>17203285.449999999</v>
      </c>
      <c r="FM20" s="376">
        <v>15860674.26</v>
      </c>
      <c r="FN20" s="376">
        <v>14501660.91</v>
      </c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45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>
        <v>1026106.03</v>
      </c>
      <c r="FK21" s="376">
        <v>1222753.49</v>
      </c>
      <c r="FL21" s="450">
        <v>1316999.83</v>
      </c>
      <c r="FM21" s="376">
        <v>1256512.28</v>
      </c>
      <c r="FN21" s="376">
        <v>1242677.57</v>
      </c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47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>
        <v>906261.75</v>
      </c>
      <c r="FK22" s="376">
        <v>1122699.07</v>
      </c>
      <c r="FL22" s="450">
        <v>1177648.73</v>
      </c>
      <c r="FM22" s="376">
        <v>1134338.8700000001</v>
      </c>
      <c r="FN22" s="376">
        <v>1136086.4099999999</v>
      </c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49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814937.81</v>
      </c>
      <c r="EU23" s="378">
        <v>993423.94</v>
      </c>
      <c r="EV23" s="378">
        <v>1111103.6599999999</v>
      </c>
      <c r="EW23" s="378">
        <v>1198538.77</v>
      </c>
      <c r="EX23" s="378">
        <v>1382138.78</v>
      </c>
      <c r="EY23" s="378">
        <v>1616613.01</v>
      </c>
      <c r="EZ23" s="378">
        <v>2005608.26</v>
      </c>
      <c r="FA23" s="378">
        <v>1882210.04</v>
      </c>
      <c r="FB23" s="378">
        <v>1545122.56</v>
      </c>
      <c r="FC23" s="378">
        <v>1572482.29</v>
      </c>
      <c r="FD23" s="378">
        <v>1331866.75</v>
      </c>
      <c r="FE23" s="378">
        <v>1446961.78</v>
      </c>
      <c r="FF23" s="378">
        <v>851162.27</v>
      </c>
      <c r="FG23" s="378">
        <v>1041125.3899999999</v>
      </c>
      <c r="FH23" s="378">
        <v>1066481.8799999999</v>
      </c>
      <c r="FI23" s="378">
        <v>1290371.49</v>
      </c>
      <c r="FJ23" s="378">
        <v>1208813.17</v>
      </c>
      <c r="FK23" s="378">
        <v>1252534.6599999999</v>
      </c>
      <c r="FL23" s="451">
        <v>1880947.5899999999</v>
      </c>
      <c r="FM23" s="378">
        <v>1630940.38</v>
      </c>
      <c r="FN23" s="378">
        <v>1570845.07</v>
      </c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51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601434.28</v>
      </c>
      <c r="EU24" s="376">
        <v>691468.91</v>
      </c>
      <c r="EV24" s="376">
        <v>825217.16</v>
      </c>
      <c r="EW24" s="376">
        <v>905119.47</v>
      </c>
      <c r="EX24" s="376">
        <v>1028480.47</v>
      </c>
      <c r="EY24" s="376">
        <v>1159205.33</v>
      </c>
      <c r="EZ24" s="376">
        <v>1239204.8400000001</v>
      </c>
      <c r="FA24" s="376">
        <v>1077861.3</v>
      </c>
      <c r="FB24" s="376">
        <v>936074.99</v>
      </c>
      <c r="FC24" s="376">
        <v>1054918.45</v>
      </c>
      <c r="FD24" s="376">
        <v>888912.28</v>
      </c>
      <c r="FE24" s="376">
        <v>977871.81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>
        <v>855493.95</v>
      </c>
      <c r="FK24" s="376">
        <v>789796.19</v>
      </c>
      <c r="FL24" s="450">
        <v>1036831.79</v>
      </c>
      <c r="FM24" s="376">
        <v>732732.78</v>
      </c>
      <c r="FN24" s="376">
        <v>909857.41</v>
      </c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53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>
        <v>89857.44</v>
      </c>
      <c r="FK25" s="376">
        <v>90814.91</v>
      </c>
      <c r="FL25" s="450">
        <v>102054.51</v>
      </c>
      <c r="FM25" s="376">
        <v>79880.09</v>
      </c>
      <c r="FN25" s="376">
        <v>81168.460000000006</v>
      </c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55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>
        <v>91165.22</v>
      </c>
      <c r="FK26" s="376">
        <v>178796.84</v>
      </c>
      <c r="FL26" s="450">
        <v>429493.67</v>
      </c>
      <c r="FM26" s="376">
        <v>521117.38</v>
      </c>
      <c r="FN26" s="376">
        <v>298489.8</v>
      </c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>
        <v>172296.56</v>
      </c>
      <c r="FK27" s="376">
        <v>193126.72</v>
      </c>
      <c r="FL27" s="450">
        <v>312567.62</v>
      </c>
      <c r="FM27" s="376">
        <v>297210.13</v>
      </c>
      <c r="FN27" s="376">
        <v>281329.40000000002</v>
      </c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63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>
        <v>1792591.2</v>
      </c>
      <c r="FK28" s="378">
        <v>2081141.31</v>
      </c>
      <c r="FL28" s="451">
        <v>2697450.35</v>
      </c>
      <c r="FM28" s="378">
        <v>1985377.1099999999</v>
      </c>
      <c r="FN28" s="378">
        <v>2352827.11</v>
      </c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>
        <v>88788.45</v>
      </c>
      <c r="FK29" s="376">
        <v>110473.68</v>
      </c>
      <c r="FL29" s="450">
        <v>103362.04</v>
      </c>
      <c r="FM29" s="376">
        <v>105693.82</v>
      </c>
      <c r="FN29" s="376">
        <v>106555.2</v>
      </c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>
        <v>290980.86</v>
      </c>
      <c r="FK30" s="376">
        <v>135939.44</v>
      </c>
      <c r="FL30" s="450">
        <v>445502.71999999997</v>
      </c>
      <c r="FM30" s="376">
        <v>356375.46</v>
      </c>
      <c r="FN30" s="376">
        <v>240201.78</v>
      </c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69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>
        <v>48239.28</v>
      </c>
      <c r="FK31" s="376">
        <v>41465.49</v>
      </c>
      <c r="FL31" s="450">
        <v>41127.160000000003</v>
      </c>
      <c r="FM31" s="376">
        <v>9621.83</v>
      </c>
      <c r="FN31" s="376">
        <v>1598.75</v>
      </c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767</v>
      </c>
      <c r="EN32" s="376" t="s">
        <v>768</v>
      </c>
      <c r="EO32" s="376">
        <v>608693.02</v>
      </c>
      <c r="EP32" s="376" t="s">
        <v>769</v>
      </c>
      <c r="EQ32" s="376">
        <v>179273.43</v>
      </c>
      <c r="ER32" s="376" t="s">
        <v>770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>
        <v>687337.58</v>
      </c>
      <c r="FK32" s="376">
        <v>695892.2</v>
      </c>
      <c r="FL32" s="450">
        <v>651540.54</v>
      </c>
      <c r="FM32" s="376">
        <v>767953.92000000004</v>
      </c>
      <c r="FN32" s="376">
        <v>784081.67</v>
      </c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79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>
        <v>300826.94</v>
      </c>
      <c r="FK33" s="376">
        <v>367688.93</v>
      </c>
      <c r="FL33" s="450">
        <v>484007.96</v>
      </c>
      <c r="FM33" s="376">
        <v>406400.37</v>
      </c>
      <c r="FN33" s="376">
        <v>311246.46000000002</v>
      </c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81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>
        <v>376418.09</v>
      </c>
      <c r="FK34" s="376">
        <v>729681.57</v>
      </c>
      <c r="FL34" s="450">
        <v>971909.93</v>
      </c>
      <c r="FM34" s="376">
        <v>339331.71</v>
      </c>
      <c r="FN34" s="376">
        <v>909143.25</v>
      </c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83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2425522.83</v>
      </c>
      <c r="EU35" s="378">
        <v>1609741.15</v>
      </c>
      <c r="EV35" s="378">
        <v>1991465.56</v>
      </c>
      <c r="EW35" s="378">
        <v>5482661.4299999997</v>
      </c>
      <c r="EX35" s="378">
        <v>2151496.35</v>
      </c>
      <c r="EY35" s="378">
        <v>2746748.26</v>
      </c>
      <c r="EZ35" s="378">
        <v>3904620.91</v>
      </c>
      <c r="FA35" s="378">
        <v>3453591.6</v>
      </c>
      <c r="FB35" s="378">
        <v>37485104.390000001</v>
      </c>
      <c r="FC35" s="378">
        <v>2268381.7599999998</v>
      </c>
      <c r="FD35" s="378">
        <v>3459602.91</v>
      </c>
      <c r="FE35" s="378">
        <v>4336127.47</v>
      </c>
      <c r="FF35" s="378">
        <v>1567147.41</v>
      </c>
      <c r="FG35" s="378">
        <v>2199531.1</v>
      </c>
      <c r="FH35" s="378">
        <v>3193816.55</v>
      </c>
      <c r="FI35" s="378">
        <v>2385570.52</v>
      </c>
      <c r="FJ35" s="378">
        <v>7159071.0099999998</v>
      </c>
      <c r="FK35" s="378">
        <v>3262994.81</v>
      </c>
      <c r="FL35" s="451">
        <v>3734626.12</v>
      </c>
      <c r="FM35" s="378">
        <v>2985463.57</v>
      </c>
      <c r="FN35" s="378">
        <v>2214023.2000000002</v>
      </c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757684.72</v>
      </c>
      <c r="EU36" s="376">
        <v>26758.59</v>
      </c>
      <c r="EV36" s="376">
        <v>160586.28</v>
      </c>
      <c r="EW36" s="376">
        <v>1943319.77</v>
      </c>
      <c r="EX36" s="376">
        <v>60037.3</v>
      </c>
      <c r="EY36" s="376">
        <v>94564.97</v>
      </c>
      <c r="EZ36" s="376">
        <v>72666.91</v>
      </c>
      <c r="FA36" s="376">
        <v>22307.84</v>
      </c>
      <c r="FB36" s="376">
        <v>35391064.439999998</v>
      </c>
      <c r="FC36" s="376">
        <v>30989.7</v>
      </c>
      <c r="FD36" s="376">
        <v>86764.65</v>
      </c>
      <c r="FE36" s="376">
        <v>1102077.96</v>
      </c>
      <c r="FF36" s="376">
        <v>318933.37</v>
      </c>
      <c r="FG36" s="376">
        <v>248883.21</v>
      </c>
      <c r="FH36" s="376">
        <v>186635.82</v>
      </c>
      <c r="FI36" s="376">
        <v>63899.67</v>
      </c>
      <c r="FJ36" s="376">
        <v>3605088.43</v>
      </c>
      <c r="FK36" s="376">
        <v>707894.38</v>
      </c>
      <c r="FL36" s="450">
        <v>165216.39000000001</v>
      </c>
      <c r="FM36" s="376">
        <v>38122.49</v>
      </c>
      <c r="FN36" s="376">
        <v>46093.9</v>
      </c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87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>
        <v>1673986.28</v>
      </c>
      <c r="FK37" s="376">
        <v>1387978.01</v>
      </c>
      <c r="FL37" s="450">
        <v>2403586.64</v>
      </c>
      <c r="FM37" s="376">
        <v>2009408.55</v>
      </c>
      <c r="FN37" s="376">
        <v>1160909.3999999999</v>
      </c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89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>
        <v>261152.7</v>
      </c>
      <c r="FJ38" s="376">
        <v>230706.4</v>
      </c>
      <c r="FK38" s="376">
        <v>289255.07</v>
      </c>
      <c r="FL38" s="450">
        <v>304530.33</v>
      </c>
      <c r="FM38" s="376">
        <v>221644.03</v>
      </c>
      <c r="FN38" s="376">
        <v>260012.44</v>
      </c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558411.74</v>
      </c>
      <c r="EV39" s="376">
        <v>749928.42</v>
      </c>
      <c r="EW39" s="376">
        <v>2271661.5699999998</v>
      </c>
      <c r="EX39" s="376">
        <v>900419.31</v>
      </c>
      <c r="EY39" s="376">
        <v>1088276.75</v>
      </c>
      <c r="EZ39" s="376">
        <v>1530666.31</v>
      </c>
      <c r="FA39" s="376">
        <v>1467816.13</v>
      </c>
      <c r="FB39" s="376">
        <v>794121.75</v>
      </c>
      <c r="FC39" s="376">
        <v>868166.07</v>
      </c>
      <c r="FD39" s="376">
        <v>2243697.88</v>
      </c>
      <c r="FE39" s="376">
        <v>1876381.38</v>
      </c>
      <c r="FF39" s="376">
        <v>474394.59</v>
      </c>
      <c r="FG39" s="376">
        <v>759602.89</v>
      </c>
      <c r="FH39" s="376">
        <v>1649538.05</v>
      </c>
      <c r="FI39" s="376">
        <v>1042118.97</v>
      </c>
      <c r="FJ39" s="376">
        <v>1649289.9</v>
      </c>
      <c r="FK39" s="376">
        <v>877867.35</v>
      </c>
      <c r="FL39" s="450">
        <v>861292.76</v>
      </c>
      <c r="FM39" s="376">
        <v>716288.5</v>
      </c>
      <c r="FN39" s="376">
        <v>747007.46</v>
      </c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94</v>
      </c>
      <c r="D40" s="139">
        <v>72</v>
      </c>
      <c r="E40" s="140" t="s">
        <v>95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>
        <v>223780.48000000001</v>
      </c>
      <c r="FK40" s="378">
        <v>722176.42</v>
      </c>
      <c r="FL40" s="451">
        <v>359609.29</v>
      </c>
      <c r="FM40" s="378">
        <v>176786.46</v>
      </c>
      <c r="FN40" s="378">
        <v>225833.46</v>
      </c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450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450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103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2374596.09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942551.18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>
        <v>808656.23</v>
      </c>
      <c r="FK43" s="378">
        <v>1298753.81</v>
      </c>
      <c r="FL43" s="451">
        <v>134648.84</v>
      </c>
      <c r="FM43" s="378">
        <v>1295803.5900000001</v>
      </c>
      <c r="FN43" s="378">
        <v>183612.59</v>
      </c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94</v>
      </c>
      <c r="C44" s="74">
        <v>731</v>
      </c>
      <c r="D44" s="74">
        <v>7311</v>
      </c>
      <c r="E44" s="78" t="s">
        <v>103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450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450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94</v>
      </c>
      <c r="D46" s="139">
        <v>74</v>
      </c>
      <c r="E46" s="140" t="s">
        <v>107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716886.96</v>
      </c>
      <c r="FA46" s="378">
        <v>259046.56</v>
      </c>
      <c r="FB46" s="378">
        <v>658145.13</v>
      </c>
      <c r="FC46" s="378">
        <v>1526648.73</v>
      </c>
      <c r="FD46" s="378">
        <v>4414865.1500000004</v>
      </c>
      <c r="FE46" s="378">
        <v>3855321.16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>
        <v>1388870.5</v>
      </c>
      <c r="FK46" s="378">
        <v>827810.06</v>
      </c>
      <c r="FL46" s="451">
        <v>1651160.65</v>
      </c>
      <c r="FM46" s="378">
        <v>1596012.32</v>
      </c>
      <c r="FN46" s="378">
        <v>1509055.56</v>
      </c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109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450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450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113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>
        <v>8784836.1999999993</v>
      </c>
      <c r="FL49" s="451"/>
      <c r="FM49" s="378"/>
      <c r="FN49" s="378">
        <v>1935839.29</v>
      </c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450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116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>
        <v>67815000</v>
      </c>
      <c r="FK51" s="376"/>
      <c r="FL51" s="450">
        <v>18000000</v>
      </c>
      <c r="FM51" s="376">
        <v>54000000</v>
      </c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503121949.51999998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24442619.199999999</v>
      </c>
      <c r="FF52" s="376">
        <v>25748930.140000001</v>
      </c>
      <c r="FG52" s="376">
        <v>3819449.69</v>
      </c>
      <c r="FH52" s="376">
        <v>14059999.119999999</v>
      </c>
      <c r="FI52" s="376">
        <v>6496285.4699999997</v>
      </c>
      <c r="FJ52" s="376">
        <v>7856343.8600000003</v>
      </c>
      <c r="FK52" s="376">
        <v>8784836.1999999993</v>
      </c>
      <c r="FL52" s="450">
        <v>2698966.86</v>
      </c>
      <c r="FM52" s="376">
        <v>32388565.289999999</v>
      </c>
      <c r="FN52" s="376">
        <v>1935839.29</v>
      </c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94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450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94</v>
      </c>
      <c r="B54" s="74">
        <v>41</v>
      </c>
      <c r="D54" s="74">
        <v>41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450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38898615.609999999</v>
      </c>
      <c r="FG55" s="376">
        <v>38602776.109999999</v>
      </c>
      <c r="FH55" s="376">
        <v>39176968.049999997</v>
      </c>
      <c r="FI55" s="376">
        <v>38923552.049999997</v>
      </c>
      <c r="FJ55" s="376">
        <v>39904782.170000002</v>
      </c>
      <c r="FK55" s="376">
        <v>41491994.170000002</v>
      </c>
      <c r="FL55" s="450">
        <v>38031107.149999999</v>
      </c>
      <c r="FM55" s="376">
        <v>37169894.039999999</v>
      </c>
      <c r="FN55" s="376">
        <v>38490166.549999997</v>
      </c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450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450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129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450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450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450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432711.77</v>
      </c>
      <c r="FG61" s="376">
        <v>1037317.51</v>
      </c>
      <c r="FH61" s="376">
        <v>740149.21</v>
      </c>
      <c r="FI61" s="376">
        <v>1606928.02</v>
      </c>
      <c r="FJ61" s="376">
        <v>1045480.66</v>
      </c>
      <c r="FK61" s="376">
        <v>650585.03</v>
      </c>
      <c r="FL61" s="449">
        <v>1612572.32</v>
      </c>
      <c r="FM61" s="376">
        <v>864258.85</v>
      </c>
      <c r="FN61" s="376">
        <v>1077519.06</v>
      </c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450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450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450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450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450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450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450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150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1028193.82</v>
      </c>
      <c r="EU69" s="376">
        <v>2319006.39</v>
      </c>
      <c r="EV69" s="376">
        <v>3799655</v>
      </c>
      <c r="EW69" s="376">
        <v>2444213.75</v>
      </c>
      <c r="EX69" s="376">
        <v>2819164.34</v>
      </c>
      <c r="EY69" s="376">
        <v>2228904.96</v>
      </c>
      <c r="EZ69" s="376">
        <v>2858658.74</v>
      </c>
      <c r="FA69" s="376">
        <v>2380224.89</v>
      </c>
      <c r="FB69" s="376">
        <v>1933588.85</v>
      </c>
      <c r="FC69" s="376">
        <v>2993464.74</v>
      </c>
      <c r="FD69" s="376">
        <v>3031428.93</v>
      </c>
      <c r="FE69" s="376">
        <v>8894630.3100000005</v>
      </c>
      <c r="FF69" s="376">
        <v>854167.64</v>
      </c>
      <c r="FG69" s="376">
        <v>2492370.9900000002</v>
      </c>
      <c r="FH69" s="376">
        <v>2599448.7799999998</v>
      </c>
      <c r="FI69" s="376">
        <v>2488394.38</v>
      </c>
      <c r="FJ69" s="376">
        <v>2262319.3199999998</v>
      </c>
      <c r="FK69" s="376">
        <v>3143597.69</v>
      </c>
      <c r="FL69" s="449">
        <v>2242317.38</v>
      </c>
      <c r="FM69" s="376">
        <v>2462726.48</v>
      </c>
      <c r="FN69" s="376">
        <v>2778192.64</v>
      </c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450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450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450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450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450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450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1680235.02</v>
      </c>
      <c r="EU76" s="376">
        <v>3138627.78</v>
      </c>
      <c r="EV76" s="376">
        <v>4224659.0199999996</v>
      </c>
      <c r="EW76" s="376">
        <v>4569774.72</v>
      </c>
      <c r="EX76" s="376">
        <v>4902792.45</v>
      </c>
      <c r="EY76" s="376">
        <v>14378872.84</v>
      </c>
      <c r="EZ76" s="376">
        <v>4934074.01</v>
      </c>
      <c r="FA76" s="376">
        <v>3590546.61</v>
      </c>
      <c r="FB76" s="376">
        <v>5520674.5999999996</v>
      </c>
      <c r="FC76" s="376">
        <v>5584761.9900000002</v>
      </c>
      <c r="FD76" s="376">
        <v>5166021.46</v>
      </c>
      <c r="FE76" s="376">
        <v>17447882.190000001</v>
      </c>
      <c r="FF76" s="376">
        <v>2813388.82</v>
      </c>
      <c r="FG76" s="376">
        <v>4317384.79</v>
      </c>
      <c r="FH76" s="376">
        <v>4690729.2300000004</v>
      </c>
      <c r="FI76" s="376">
        <v>4354180.1100000003</v>
      </c>
      <c r="FJ76" s="376">
        <v>6607764.25</v>
      </c>
      <c r="FK76" s="376">
        <v>6806179.8200000003</v>
      </c>
      <c r="FL76" s="449">
        <v>8577720.9299999997</v>
      </c>
      <c r="FM76" s="376">
        <v>3302685.24</v>
      </c>
      <c r="FN76" s="376">
        <v>5727454.2199999997</v>
      </c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450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450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450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450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450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450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450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450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450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1250394.3700000001</v>
      </c>
      <c r="EV86" s="376">
        <v>1932637.76</v>
      </c>
      <c r="EW86" s="376">
        <v>1701228.15</v>
      </c>
      <c r="EX86" s="376">
        <v>1674065.37</v>
      </c>
      <c r="EY86" s="376">
        <v>1595157.28</v>
      </c>
      <c r="EZ86" s="376">
        <v>1764069.48</v>
      </c>
      <c r="FA86" s="376">
        <v>822546.3</v>
      </c>
      <c r="FB86" s="376">
        <v>2309329.44</v>
      </c>
      <c r="FC86" s="376">
        <v>1824056.36</v>
      </c>
      <c r="FD86" s="376">
        <v>1126241.5900000001</v>
      </c>
      <c r="FE86" s="376">
        <v>4866689.49</v>
      </c>
      <c r="FF86" s="376">
        <v>109483.07</v>
      </c>
      <c r="FG86" s="376">
        <v>1534108.39</v>
      </c>
      <c r="FH86" s="376">
        <v>1553347.68</v>
      </c>
      <c r="FI86" s="376">
        <v>1602730.43</v>
      </c>
      <c r="FJ86" s="376">
        <v>1719004.83</v>
      </c>
      <c r="FK86" s="376">
        <v>1361111.43</v>
      </c>
      <c r="FL86" s="449">
        <v>2074263.46</v>
      </c>
      <c r="FM86" s="376">
        <v>1121425.77</v>
      </c>
      <c r="FN86" s="376">
        <v>1711631.24</v>
      </c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450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450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450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17000784.449999999</v>
      </c>
      <c r="EX90" s="376">
        <v>10064809.060000001</v>
      </c>
      <c r="EY90" s="376">
        <v>1838720.63</v>
      </c>
      <c r="EZ90" s="376">
        <v>7518062.3499999996</v>
      </c>
      <c r="FA90" s="376">
        <v>1168435.74</v>
      </c>
      <c r="FB90" s="376">
        <v>3617355.6</v>
      </c>
      <c r="FC90" s="376">
        <v>1538688.3</v>
      </c>
      <c r="FD90" s="376">
        <v>4283049.2</v>
      </c>
      <c r="FE90" s="376">
        <v>5677848.6699999999</v>
      </c>
      <c r="FF90" s="376">
        <v>6154852.9000000004</v>
      </c>
      <c r="FG90" s="376">
        <v>999341.54</v>
      </c>
      <c r="FH90" s="376">
        <v>28695513.649999999</v>
      </c>
      <c r="FI90" s="376">
        <v>18435271.789999999</v>
      </c>
      <c r="FJ90" s="376">
        <v>10258844.07</v>
      </c>
      <c r="FK90" s="376">
        <v>5411766.9400000004</v>
      </c>
      <c r="FL90" s="449">
        <v>9047333.1999999993</v>
      </c>
      <c r="FM90" s="376">
        <v>1051267.33</v>
      </c>
      <c r="FN90" s="376">
        <v>2999385.93</v>
      </c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450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450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939048.68</v>
      </c>
      <c r="EY93" s="376">
        <v>835746.88</v>
      </c>
      <c r="EZ93" s="376">
        <v>824828.88</v>
      </c>
      <c r="FA93" s="376">
        <v>555711.06999999995</v>
      </c>
      <c r="FB93" s="376">
        <v>949304.64</v>
      </c>
      <c r="FC93" s="376">
        <v>827176.94</v>
      </c>
      <c r="FD93" s="376">
        <v>584262.68000000005</v>
      </c>
      <c r="FE93" s="376">
        <v>2717616.81</v>
      </c>
      <c r="FF93" s="376">
        <v>220526.46</v>
      </c>
      <c r="FG93" s="376">
        <v>779733.65</v>
      </c>
      <c r="FH93" s="376">
        <v>803370.53</v>
      </c>
      <c r="FI93" s="376">
        <v>1122402.21</v>
      </c>
      <c r="FJ93" s="376">
        <v>989005.29</v>
      </c>
      <c r="FK93" s="376">
        <v>608826.98</v>
      </c>
      <c r="FL93" s="449">
        <v>1399544.86</v>
      </c>
      <c r="FM93" s="376">
        <v>827493.89</v>
      </c>
      <c r="FN93" s="376">
        <v>656314.94999999995</v>
      </c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450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450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450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>
        <v>2194236.0299999998</v>
      </c>
      <c r="FK97" s="376">
        <v>1487101.06</v>
      </c>
      <c r="FL97" s="449">
        <v>3695060.6</v>
      </c>
      <c r="FM97" s="376">
        <v>1069449</v>
      </c>
      <c r="FN97" s="376">
        <v>3742161.66</v>
      </c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450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450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450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586002.18999999994</v>
      </c>
      <c r="EU101" s="376">
        <v>3384331.52</v>
      </c>
      <c r="EV101" s="376">
        <v>2155321.13</v>
      </c>
      <c r="EW101" s="376">
        <v>2882966.63</v>
      </c>
      <c r="EX101" s="376">
        <v>2637225.6800000002</v>
      </c>
      <c r="EY101" s="376">
        <v>3635960.61</v>
      </c>
      <c r="EZ101" s="376">
        <v>2919935.46</v>
      </c>
      <c r="FA101" s="376">
        <v>3454663.76</v>
      </c>
      <c r="FB101" s="376">
        <v>3201193.66</v>
      </c>
      <c r="FC101" s="376">
        <v>3091262.43</v>
      </c>
      <c r="FD101" s="376">
        <v>3357403.41</v>
      </c>
      <c r="FE101" s="376">
        <v>12250161.189999999</v>
      </c>
      <c r="FF101" s="376">
        <v>695586.92</v>
      </c>
      <c r="FG101" s="376">
        <v>3360527.27</v>
      </c>
      <c r="FH101" s="376">
        <v>2294447.6800000002</v>
      </c>
      <c r="FI101" s="376">
        <v>5380146.8200000003</v>
      </c>
      <c r="FJ101" s="376">
        <v>2122463.62</v>
      </c>
      <c r="FK101" s="376">
        <v>4483387.37</v>
      </c>
      <c r="FL101" s="449">
        <v>3829539.86</v>
      </c>
      <c r="FM101" s="376">
        <v>4015195.5</v>
      </c>
      <c r="FN101" s="376">
        <v>4101848.07</v>
      </c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450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450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450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450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450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450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450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49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450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230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450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94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450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>
        <v>6410465.4699999997</v>
      </c>
      <c r="FK112" s="376">
        <v>6536921.0899999999</v>
      </c>
      <c r="FL112" s="449">
        <v>6798455.0999999996</v>
      </c>
      <c r="FM112" s="376">
        <v>6916329.6100000003</v>
      </c>
      <c r="FN112" s="376">
        <v>6430517.1200000001</v>
      </c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94</v>
      </c>
      <c r="D113" s="74">
        <v>4211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450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450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450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450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450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450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450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734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450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>
        <v>1341095.6299999999</v>
      </c>
      <c r="FK121" s="376">
        <v>1381621.25</v>
      </c>
      <c r="FL121" s="449">
        <v>1512829.9</v>
      </c>
      <c r="FM121" s="376">
        <v>1577705.79</v>
      </c>
      <c r="FN121" s="376">
        <v>1701766.69</v>
      </c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450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450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450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450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450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261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>
        <v>35184087.420000002</v>
      </c>
      <c r="FK127" s="376">
        <v>35185457.75</v>
      </c>
      <c r="FL127" s="450">
        <v>35081479.57</v>
      </c>
      <c r="FM127" s="376">
        <v>35015332.57</v>
      </c>
      <c r="FN127" s="376">
        <v>35022901.990000002</v>
      </c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450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450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450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63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450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270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450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450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450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>
        <v>1914804.54</v>
      </c>
      <c r="FK135" s="376">
        <v>1732967.4</v>
      </c>
      <c r="FL135" s="449">
        <v>1746404.92</v>
      </c>
      <c r="FM135" s="376">
        <v>1448048.69</v>
      </c>
      <c r="FN135" s="376">
        <v>1671066.3</v>
      </c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450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1081000.8899999999</v>
      </c>
      <c r="FH137" s="376">
        <v>1075486.77</v>
      </c>
      <c r="FI137" s="376">
        <v>779978.55</v>
      </c>
      <c r="FJ137" s="376">
        <v>905277.52</v>
      </c>
      <c r="FK137" s="376">
        <v>909731.61</v>
      </c>
      <c r="FL137" s="449">
        <v>1039631.09</v>
      </c>
      <c r="FM137" s="376">
        <v>741808.15</v>
      </c>
      <c r="FN137" s="376">
        <v>1105589.55</v>
      </c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450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450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450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94</v>
      </c>
      <c r="B141" s="74">
        <v>43</v>
      </c>
      <c r="D141" s="74">
        <v>43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15696656.369999999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16865388.859999999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16108536.07</v>
      </c>
      <c r="FJ141" s="376">
        <v>17254969.68</v>
      </c>
      <c r="FK141" s="376">
        <v>13582731.800000001</v>
      </c>
      <c r="FL141" s="449">
        <v>25674739.879999999</v>
      </c>
      <c r="FM141" s="376">
        <v>14819789.789999999</v>
      </c>
      <c r="FN141" s="376">
        <v>22891347.969999999</v>
      </c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94</v>
      </c>
      <c r="B142" s="74" t="s">
        <v>94</v>
      </c>
      <c r="C142" s="74">
        <v>431</v>
      </c>
      <c r="D142" s="74">
        <v>431</v>
      </c>
      <c r="E142" s="78" t="s">
        <v>288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450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450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450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450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450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450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450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450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450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450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94</v>
      </c>
      <c r="B152" s="74" t="s">
        <v>94</v>
      </c>
      <c r="C152" s="74">
        <v>432</v>
      </c>
      <c r="D152" s="74">
        <v>432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450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450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450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450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450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450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450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729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2060574.27</v>
      </c>
      <c r="EU159" s="376">
        <v>2958395.49</v>
      </c>
      <c r="EV159" s="376">
        <v>10806505.67</v>
      </c>
      <c r="EW159" s="376">
        <v>28775491.48</v>
      </c>
      <c r="EX159" s="376">
        <v>12314358.92</v>
      </c>
      <c r="EY159" s="376">
        <v>22250596.559999999</v>
      </c>
      <c r="EZ159" s="376">
        <v>22219463.719999999</v>
      </c>
      <c r="FA159" s="376">
        <v>7067070.5700000003</v>
      </c>
      <c r="FB159" s="376">
        <v>38353416.07</v>
      </c>
      <c r="FC159" s="450">
        <v>27286098.32</v>
      </c>
      <c r="FD159" s="376">
        <v>24712008.18</v>
      </c>
      <c r="FE159" s="376">
        <v>44558470.93</v>
      </c>
      <c r="FF159" s="376">
        <v>26828354.949999999</v>
      </c>
      <c r="FG159" s="376">
        <v>3690450.01</v>
      </c>
      <c r="FH159" s="376">
        <v>14930197.6</v>
      </c>
      <c r="FI159" s="376">
        <v>12096117.390000001</v>
      </c>
      <c r="FJ159" s="376">
        <v>11464377.560000001</v>
      </c>
      <c r="FK159" s="41">
        <v>12842221.23</v>
      </c>
      <c r="FL159" s="450">
        <v>23205721.09</v>
      </c>
      <c r="FM159" s="376">
        <v>40874123.119999997</v>
      </c>
      <c r="FN159" s="376">
        <v>14054765.689999999</v>
      </c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420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3266992.16</v>
      </c>
      <c r="EU160" s="376">
        <v>1252962.76</v>
      </c>
      <c r="EV160" s="376">
        <v>2398205.81</v>
      </c>
      <c r="EW160" s="376">
        <v>2567489.7200000002</v>
      </c>
      <c r="EX160" s="376">
        <v>3090956.98</v>
      </c>
      <c r="EY160" s="376">
        <v>5031700.74</v>
      </c>
      <c r="EZ160" s="376">
        <v>2615698.5299999998</v>
      </c>
      <c r="FA160" s="376">
        <v>2782160.17</v>
      </c>
      <c r="FB160" s="376">
        <v>3339367.45</v>
      </c>
      <c r="FC160" s="450">
        <v>5912379.6799999997</v>
      </c>
      <c r="FD160" s="376">
        <v>28699706.960000001</v>
      </c>
      <c r="FE160" s="376">
        <v>17413656</v>
      </c>
      <c r="FF160" s="376">
        <v>720914.39</v>
      </c>
      <c r="FG160" s="376">
        <v>3462137.8600000003</v>
      </c>
      <c r="FH160" s="376">
        <v>1772948.37</v>
      </c>
      <c r="FI160" s="376">
        <v>2074285.0700000003</v>
      </c>
      <c r="FJ160" s="376">
        <v>1862038.5</v>
      </c>
      <c r="FK160" s="376">
        <v>3083998.55</v>
      </c>
      <c r="FL160" s="450">
        <v>2542191.46</v>
      </c>
      <c r="FM160" s="376">
        <v>4838634.8899999997</v>
      </c>
      <c r="FN160" s="376">
        <v>2467021.91</v>
      </c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324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436"/>
      <c r="FF161" s="376"/>
      <c r="FG161" s="376"/>
      <c r="FH161" s="376"/>
      <c r="FI161" s="376"/>
      <c r="FJ161" s="376"/>
      <c r="FK161" s="376"/>
      <c r="FL161" s="450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450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457"/>
      <c r="FE163" s="376"/>
      <c r="FF163" s="376"/>
      <c r="FG163" s="376"/>
      <c r="FH163" s="376"/>
      <c r="FI163" s="376"/>
      <c r="FJ163" s="376"/>
      <c r="FK163" s="376"/>
      <c r="FL163" s="450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450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450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450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450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450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450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94</v>
      </c>
      <c r="B170" s="74">
        <v>45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450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115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>
        <v>260000</v>
      </c>
      <c r="FK171" s="376">
        <v>358750</v>
      </c>
      <c r="FL171" s="449">
        <v>335000</v>
      </c>
      <c r="FM171" s="376">
        <v>145000</v>
      </c>
      <c r="FN171" s="376">
        <v>298894</v>
      </c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344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450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450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450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450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>
        <v>80000</v>
      </c>
      <c r="FL176" s="450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94</v>
      </c>
      <c r="B177" s="74">
        <v>46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450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450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357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>
        <v>5836708.6600000001</v>
      </c>
      <c r="FK179" s="376">
        <v>1304074.52</v>
      </c>
      <c r="FL179" s="449">
        <v>18837613.199999999</v>
      </c>
      <c r="FM179" s="376">
        <v>54838105.140000001</v>
      </c>
      <c r="FN179" s="376">
        <v>1831381.37</v>
      </c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>
        <v>177846023.16</v>
      </c>
      <c r="FK180" s="376">
        <v>9790699.6799999997</v>
      </c>
      <c r="FL180" s="449">
        <v>61633418.82</v>
      </c>
      <c r="FM180" s="376">
        <v>2917512.03</v>
      </c>
      <c r="FN180" s="376">
        <v>16057936.98</v>
      </c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7180485.3399999999</v>
      </c>
      <c r="FI181" s="376"/>
      <c r="FJ181" s="376"/>
      <c r="FK181" s="376"/>
      <c r="FL181" s="450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450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450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4562283.55</v>
      </c>
      <c r="FA184" s="376">
        <v>924617.69</v>
      </c>
      <c r="FB184" s="376">
        <v>872755.39</v>
      </c>
      <c r="FC184" s="376">
        <v>1966075.9</v>
      </c>
      <c r="FD184" s="376">
        <v>1659582.3</v>
      </c>
      <c r="FE184" s="376">
        <v>1578931.59</v>
      </c>
      <c r="FF184" s="376">
        <v>1205053.3500000001</v>
      </c>
      <c r="FG184" s="376">
        <v>1334117.25</v>
      </c>
      <c r="FH184" s="376">
        <v>1736748.41</v>
      </c>
      <c r="FI184" s="376">
        <v>1788599.55</v>
      </c>
      <c r="FJ184" s="376">
        <v>1459507.08</v>
      </c>
      <c r="FK184" s="376">
        <v>1848609.33</v>
      </c>
      <c r="FL184" s="449">
        <v>4446503.8099999996</v>
      </c>
      <c r="FM184" s="376">
        <v>880815</v>
      </c>
      <c r="FN184" s="376">
        <v>1581120.96</v>
      </c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94</v>
      </c>
      <c r="B185" s="74">
        <v>47</v>
      </c>
      <c r="D185" s="74">
        <v>47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1806704.1</v>
      </c>
      <c r="FJ185" s="376">
        <v>1407800</v>
      </c>
      <c r="FK185" s="376">
        <v>1291723.94</v>
      </c>
      <c r="FL185" s="449">
        <v>6489528.9000000004</v>
      </c>
      <c r="FM185" s="376">
        <v>433973.31</v>
      </c>
      <c r="FN185" s="376">
        <v>745665.27</v>
      </c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94</v>
      </c>
      <c r="B186" s="74" t="s">
        <v>94</v>
      </c>
      <c r="C186" s="74">
        <v>471</v>
      </c>
      <c r="D186" s="74">
        <v>4710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694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450">
        <v>28097590.27</v>
      </c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71" t="s">
        <v>685</v>
      </c>
      <c r="F215" s="568">
        <v>2006</v>
      </c>
      <c r="G215" s="569"/>
      <c r="H215" s="569"/>
      <c r="I215" s="569"/>
      <c r="J215" s="569"/>
      <c r="K215" s="569"/>
      <c r="L215" s="569"/>
      <c r="M215" s="569"/>
      <c r="N215" s="569"/>
      <c r="O215" s="569"/>
      <c r="P215" s="569"/>
      <c r="Q215" s="570"/>
      <c r="R215" s="568">
        <v>2007</v>
      </c>
      <c r="S215" s="569"/>
      <c r="T215" s="569"/>
      <c r="U215" s="569"/>
      <c r="V215" s="569"/>
      <c r="W215" s="569"/>
      <c r="X215" s="569"/>
      <c r="Y215" s="569"/>
      <c r="Z215" s="569"/>
      <c r="AA215" s="569"/>
      <c r="AB215" s="569"/>
      <c r="AC215" s="570"/>
      <c r="AD215" s="568">
        <v>2008</v>
      </c>
      <c r="AE215" s="569"/>
      <c r="AF215" s="569"/>
      <c r="AG215" s="569"/>
      <c r="AH215" s="569"/>
      <c r="AI215" s="569"/>
      <c r="AJ215" s="569"/>
      <c r="AK215" s="569"/>
      <c r="AL215" s="569"/>
      <c r="AM215" s="569"/>
      <c r="AN215" s="569"/>
      <c r="AO215" s="570"/>
      <c r="AP215" s="568">
        <v>2009</v>
      </c>
      <c r="AQ215" s="569"/>
      <c r="AR215" s="569"/>
      <c r="AS215" s="569"/>
      <c r="AT215" s="569"/>
      <c r="AU215" s="569"/>
      <c r="AV215" s="569"/>
      <c r="AW215" s="569"/>
      <c r="AX215" s="569"/>
      <c r="AY215" s="569"/>
      <c r="AZ215" s="569"/>
      <c r="BA215" s="570"/>
      <c r="BB215" s="568">
        <v>2010</v>
      </c>
      <c r="BC215" s="569"/>
      <c r="BD215" s="569"/>
      <c r="BE215" s="569"/>
      <c r="BF215" s="569"/>
      <c r="BG215" s="569"/>
      <c r="BH215" s="569"/>
      <c r="BI215" s="569"/>
      <c r="BJ215" s="569"/>
      <c r="BK215" s="569"/>
      <c r="BL215" s="569"/>
      <c r="BM215" s="570"/>
      <c r="BN215" s="568">
        <v>2011</v>
      </c>
      <c r="BO215" s="569"/>
      <c r="BP215" s="569"/>
      <c r="BQ215" s="569"/>
      <c r="BR215" s="569"/>
      <c r="BS215" s="569"/>
      <c r="BT215" s="569"/>
      <c r="BU215" s="569"/>
      <c r="BV215" s="569"/>
      <c r="BW215" s="569"/>
      <c r="BX215" s="569"/>
      <c r="BY215" s="570"/>
      <c r="BZ215" s="569">
        <v>2012</v>
      </c>
      <c r="CA215" s="569"/>
      <c r="CB215" s="569"/>
      <c r="CC215" s="569"/>
      <c r="CD215" s="569"/>
      <c r="CE215" s="569"/>
      <c r="CF215" s="569"/>
      <c r="CG215" s="569"/>
      <c r="CH215" s="569"/>
      <c r="CI215" s="569"/>
      <c r="CJ215" s="569"/>
      <c r="CK215" s="569"/>
      <c r="CL215" s="568">
        <v>2013</v>
      </c>
      <c r="CM215" s="569"/>
      <c r="CN215" s="569"/>
      <c r="CO215" s="569"/>
      <c r="CP215" s="569"/>
      <c r="CQ215" s="569"/>
      <c r="CR215" s="569"/>
      <c r="CS215" s="569"/>
      <c r="CT215" s="569"/>
      <c r="CU215" s="569"/>
      <c r="CV215" s="569"/>
      <c r="CW215" s="570"/>
      <c r="CX215" s="568">
        <v>2014</v>
      </c>
      <c r="CY215" s="569"/>
      <c r="CZ215" s="569"/>
      <c r="DA215" s="569"/>
      <c r="DB215" s="569"/>
      <c r="DC215" s="569"/>
      <c r="DD215" s="569"/>
      <c r="DE215" s="569"/>
      <c r="DF215" s="569"/>
      <c r="DG215" s="569"/>
      <c r="DH215" s="569"/>
      <c r="DI215" s="570"/>
      <c r="DJ215" s="568">
        <v>2015</v>
      </c>
      <c r="DK215" s="569"/>
      <c r="DL215" s="569"/>
      <c r="DM215" s="569"/>
      <c r="DN215" s="569"/>
      <c r="DO215" s="569"/>
      <c r="DP215" s="569"/>
      <c r="DQ215" s="569"/>
      <c r="DR215" s="569"/>
      <c r="DS215" s="569"/>
      <c r="DT215" s="569"/>
      <c r="DU215" s="570"/>
    </row>
    <row r="216" spans="1:175">
      <c r="E216" s="571"/>
      <c r="F216" s="75" t="s">
        <v>565</v>
      </c>
      <c r="G216" s="76" t="s">
        <v>566</v>
      </c>
      <c r="H216" s="76" t="s">
        <v>567</v>
      </c>
      <c r="I216" s="76" t="s">
        <v>568</v>
      </c>
      <c r="J216" s="76" t="s">
        <v>569</v>
      </c>
      <c r="K216" s="76" t="s">
        <v>570</v>
      </c>
      <c r="L216" s="76" t="s">
        <v>571</v>
      </c>
      <c r="M216" s="76" t="s">
        <v>572</v>
      </c>
      <c r="N216" s="76" t="s">
        <v>573</v>
      </c>
      <c r="O216" s="76" t="s">
        <v>574</v>
      </c>
      <c r="P216" s="76" t="s">
        <v>575</v>
      </c>
      <c r="Q216" s="77" t="s">
        <v>576</v>
      </c>
      <c r="R216" s="75" t="s">
        <v>577</v>
      </c>
      <c r="S216" s="76" t="s">
        <v>578</v>
      </c>
      <c r="T216" s="76" t="s">
        <v>579</v>
      </c>
      <c r="U216" s="76" t="s">
        <v>580</v>
      </c>
      <c r="V216" s="76" t="s">
        <v>581</v>
      </c>
      <c r="W216" s="76" t="s">
        <v>582</v>
      </c>
      <c r="X216" s="76" t="s">
        <v>583</v>
      </c>
      <c r="Y216" s="76" t="s">
        <v>584</v>
      </c>
      <c r="Z216" s="76" t="s">
        <v>585</v>
      </c>
      <c r="AA216" s="76" t="s">
        <v>586</v>
      </c>
      <c r="AB216" s="76" t="s">
        <v>587</v>
      </c>
      <c r="AC216" s="77" t="s">
        <v>588</v>
      </c>
      <c r="AD216" s="75" t="s">
        <v>589</v>
      </c>
      <c r="AE216" s="76" t="s">
        <v>590</v>
      </c>
      <c r="AF216" s="76" t="s">
        <v>591</v>
      </c>
      <c r="AG216" s="76" t="s">
        <v>592</v>
      </c>
      <c r="AH216" s="76" t="s">
        <v>593</v>
      </c>
      <c r="AI216" s="76" t="s">
        <v>594</v>
      </c>
      <c r="AJ216" s="76" t="s">
        <v>595</v>
      </c>
      <c r="AK216" s="76" t="s">
        <v>596</v>
      </c>
      <c r="AL216" s="76" t="s">
        <v>597</v>
      </c>
      <c r="AM216" s="76" t="s">
        <v>598</v>
      </c>
      <c r="AN216" s="76" t="s">
        <v>599</v>
      </c>
      <c r="AO216" s="77" t="s">
        <v>600</v>
      </c>
      <c r="AP216" s="75" t="s">
        <v>601</v>
      </c>
      <c r="AQ216" s="76" t="s">
        <v>602</v>
      </c>
      <c r="AR216" s="76" t="s">
        <v>603</v>
      </c>
      <c r="AS216" s="76" t="s">
        <v>604</v>
      </c>
      <c r="AT216" s="76" t="s">
        <v>605</v>
      </c>
      <c r="AU216" s="76" t="s">
        <v>606</v>
      </c>
      <c r="AV216" s="76" t="s">
        <v>607</v>
      </c>
      <c r="AW216" s="76" t="s">
        <v>608</v>
      </c>
      <c r="AX216" s="76" t="s">
        <v>609</v>
      </c>
      <c r="AY216" s="76" t="s">
        <v>610</v>
      </c>
      <c r="AZ216" s="76" t="s">
        <v>611</v>
      </c>
      <c r="BA216" s="77" t="s">
        <v>612</v>
      </c>
      <c r="BB216" s="75" t="s">
        <v>613</v>
      </c>
      <c r="BC216" s="76" t="s">
        <v>614</v>
      </c>
      <c r="BD216" s="76" t="s">
        <v>615</v>
      </c>
      <c r="BE216" s="76" t="s">
        <v>616</v>
      </c>
      <c r="BF216" s="76" t="s">
        <v>617</v>
      </c>
      <c r="BG216" s="76" t="s">
        <v>618</v>
      </c>
      <c r="BH216" s="76" t="s">
        <v>619</v>
      </c>
      <c r="BI216" s="76" t="s">
        <v>620</v>
      </c>
      <c r="BJ216" s="76" t="s">
        <v>621</v>
      </c>
      <c r="BK216" s="76" t="s">
        <v>622</v>
      </c>
      <c r="BL216" s="76" t="s">
        <v>623</v>
      </c>
      <c r="BM216" s="77" t="s">
        <v>624</v>
      </c>
      <c r="BN216" s="75" t="s">
        <v>625</v>
      </c>
      <c r="BO216" s="76" t="s">
        <v>626</v>
      </c>
      <c r="BP216" s="76" t="s">
        <v>627</v>
      </c>
      <c r="BQ216" s="76" t="s">
        <v>628</v>
      </c>
      <c r="BR216" s="76" t="s">
        <v>629</v>
      </c>
      <c r="BS216" s="76" t="s">
        <v>630</v>
      </c>
      <c r="BT216" s="76" t="s">
        <v>631</v>
      </c>
      <c r="BU216" s="76" t="s">
        <v>632</v>
      </c>
      <c r="BV216" s="76" t="s">
        <v>633</v>
      </c>
      <c r="BW216" s="76" t="s">
        <v>634</v>
      </c>
      <c r="BX216" s="76" t="s">
        <v>635</v>
      </c>
      <c r="BY216" s="77" t="s">
        <v>636</v>
      </c>
      <c r="BZ216" s="76" t="s">
        <v>637</v>
      </c>
      <c r="CA216" s="76" t="s">
        <v>638</v>
      </c>
      <c r="CB216" s="76" t="s">
        <v>639</v>
      </c>
      <c r="CC216" s="76" t="s">
        <v>640</v>
      </c>
      <c r="CD216" s="76" t="s">
        <v>641</v>
      </c>
      <c r="CE216" s="76" t="s">
        <v>642</v>
      </c>
      <c r="CF216" s="76" t="s">
        <v>643</v>
      </c>
      <c r="CG216" s="76" t="s">
        <v>644</v>
      </c>
      <c r="CH216" s="76" t="s">
        <v>645</v>
      </c>
      <c r="CI216" s="76" t="s">
        <v>646</v>
      </c>
      <c r="CJ216" s="76" t="s">
        <v>647</v>
      </c>
      <c r="CK216" s="76" t="s">
        <v>648</v>
      </c>
      <c r="CL216" s="75" t="s">
        <v>649</v>
      </c>
      <c r="CM216" s="76" t="s">
        <v>650</v>
      </c>
      <c r="CN216" s="76" t="s">
        <v>651</v>
      </c>
      <c r="CO216" s="76" t="s">
        <v>652</v>
      </c>
      <c r="CP216" s="76" t="s">
        <v>653</v>
      </c>
      <c r="CQ216" s="76" t="s">
        <v>654</v>
      </c>
      <c r="CR216" s="76" t="s">
        <v>655</v>
      </c>
      <c r="CS216" s="76" t="s">
        <v>656</v>
      </c>
      <c r="CT216" s="76" t="s">
        <v>657</v>
      </c>
      <c r="CU216" s="76" t="s">
        <v>658</v>
      </c>
      <c r="CV216" s="76" t="s">
        <v>659</v>
      </c>
      <c r="CW216" s="77" t="s">
        <v>660</v>
      </c>
      <c r="CX216" s="75" t="s">
        <v>661</v>
      </c>
      <c r="CY216" s="76" t="s">
        <v>662</v>
      </c>
      <c r="CZ216" s="76" t="s">
        <v>663</v>
      </c>
      <c r="DA216" s="76" t="s">
        <v>664</v>
      </c>
      <c r="DB216" s="76" t="s">
        <v>665</v>
      </c>
      <c r="DC216" s="76" t="s">
        <v>666</v>
      </c>
      <c r="DD216" s="76" t="s">
        <v>667</v>
      </c>
      <c r="DE216" s="76" t="s">
        <v>668</v>
      </c>
      <c r="DF216" s="76" t="s">
        <v>669</v>
      </c>
      <c r="DG216" s="76" t="s">
        <v>670</v>
      </c>
      <c r="DH216" s="76" t="s">
        <v>671</v>
      </c>
      <c r="DI216" s="77" t="s">
        <v>672</v>
      </c>
      <c r="DJ216" s="75" t="s">
        <v>673</v>
      </c>
      <c r="DK216" s="76" t="s">
        <v>674</v>
      </c>
      <c r="DL216" s="76" t="s">
        <v>675</v>
      </c>
      <c r="DM216" s="76" t="s">
        <v>676</v>
      </c>
      <c r="DN216" s="76" t="s">
        <v>677</v>
      </c>
      <c r="DO216" s="76" t="s">
        <v>678</v>
      </c>
      <c r="DP216" s="76" t="s">
        <v>679</v>
      </c>
      <c r="DQ216" s="76" t="s">
        <v>680</v>
      </c>
      <c r="DR216" s="76" t="s">
        <v>681</v>
      </c>
      <c r="DS216" s="76" t="s">
        <v>682</v>
      </c>
      <c r="DT216" s="76" t="s">
        <v>683</v>
      </c>
      <c r="DU216" s="77" t="s">
        <v>684</v>
      </c>
      <c r="DV216" s="42" t="s">
        <v>715</v>
      </c>
      <c r="DW216" s="42" t="s">
        <v>716</v>
      </c>
      <c r="DX216" s="42" t="s">
        <v>717</v>
      </c>
      <c r="DY216" s="42" t="s">
        <v>718</v>
      </c>
      <c r="DZ216" s="42" t="s">
        <v>719</v>
      </c>
      <c r="EA216" s="42" t="s">
        <v>720</v>
      </c>
      <c r="EB216" s="42" t="s">
        <v>721</v>
      </c>
      <c r="EC216" s="42" t="s">
        <v>722</v>
      </c>
      <c r="ED216" s="42" t="s">
        <v>723</v>
      </c>
      <c r="EE216" s="42" t="s">
        <v>724</v>
      </c>
      <c r="EF216" s="42" t="s">
        <v>725</v>
      </c>
      <c r="EG216" s="42" t="s">
        <v>726</v>
      </c>
      <c r="EH216" s="393" t="s">
        <v>737</v>
      </c>
      <c r="EI216" s="393" t="s">
        <v>738</v>
      </c>
      <c r="EJ216" s="393" t="s">
        <v>739</v>
      </c>
      <c r="EK216" s="393" t="s">
        <v>740</v>
      </c>
      <c r="EL216" s="393" t="s">
        <v>741</v>
      </c>
      <c r="EM216" s="393" t="s">
        <v>742</v>
      </c>
      <c r="EN216" s="393" t="s">
        <v>743</v>
      </c>
      <c r="EO216" s="393" t="s">
        <v>744</v>
      </c>
      <c r="EP216" s="393" t="s">
        <v>745</v>
      </c>
      <c r="EQ216" s="393" t="s">
        <v>746</v>
      </c>
      <c r="ER216" s="393" t="s">
        <v>747</v>
      </c>
      <c r="ES216" s="393" t="s">
        <v>748</v>
      </c>
      <c r="ET216" s="393" t="s">
        <v>755</v>
      </c>
      <c r="EU216" s="393" t="s">
        <v>756</v>
      </c>
      <c r="EV216" s="393" t="s">
        <v>757</v>
      </c>
      <c r="EW216" s="393" t="s">
        <v>758</v>
      </c>
      <c r="EX216" s="393" t="s">
        <v>759</v>
      </c>
      <c r="EY216" s="393" t="s">
        <v>760</v>
      </c>
      <c r="EZ216" s="393" t="s">
        <v>761</v>
      </c>
      <c r="FA216" s="393" t="s">
        <v>762</v>
      </c>
      <c r="FB216" s="393" t="s">
        <v>763</v>
      </c>
      <c r="FC216" s="393" t="s">
        <v>764</v>
      </c>
      <c r="FD216" s="393" t="s">
        <v>765</v>
      </c>
      <c r="FE216" s="393" t="s">
        <v>766</v>
      </c>
      <c r="FF216" s="393" t="s">
        <v>778</v>
      </c>
      <c r="FG216" s="393" t="s">
        <v>779</v>
      </c>
      <c r="FH216" s="393" t="s">
        <v>780</v>
      </c>
      <c r="FI216" s="393" t="s">
        <v>781</v>
      </c>
      <c r="FJ216" s="393" t="s">
        <v>782</v>
      </c>
      <c r="FK216" s="393" t="s">
        <v>783</v>
      </c>
      <c r="FL216" s="393" t="s">
        <v>784</v>
      </c>
      <c r="FM216" s="393" t="s">
        <v>785</v>
      </c>
      <c r="FN216" s="393" t="s">
        <v>786</v>
      </c>
      <c r="FO216" s="393" t="s">
        <v>787</v>
      </c>
      <c r="FP216" s="393" t="s">
        <v>788</v>
      </c>
      <c r="FQ216" s="393" t="s">
        <v>789</v>
      </c>
      <c r="FS216" s="443"/>
    </row>
    <row r="217" spans="1:175">
      <c r="A217" s="74">
        <v>7</v>
      </c>
      <c r="B217" s="74" t="s">
        <v>94</v>
      </c>
      <c r="D217" s="74" t="str">
        <f t="shared" ref="D217:D225" si="11">+CONCATENATE(D8,"p")</f>
        <v>7p</v>
      </c>
      <c r="E217" s="78" t="s">
        <v>19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23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4">
        <v>72429730.420000002</v>
      </c>
      <c r="FG219" s="444">
        <v>68470908.439999998</v>
      </c>
      <c r="FH219" s="444">
        <v>98709545.510000005</v>
      </c>
      <c r="FI219" s="444">
        <v>106791818.52</v>
      </c>
      <c r="FJ219" s="444">
        <v>94372185.030000001</v>
      </c>
      <c r="FK219" s="444">
        <v>89389439.689999998</v>
      </c>
      <c r="FL219" s="444">
        <v>106366803.00672032</v>
      </c>
      <c r="FM219" s="444">
        <v>110847613.63774106</v>
      </c>
      <c r="FN219" s="444">
        <f>105712748.66474-4000000</f>
        <v>101712748.66474</v>
      </c>
      <c r="FO219" s="444">
        <f>92295636.2285859+4000000</f>
        <v>96295636.228585899</v>
      </c>
      <c r="FP219" s="444">
        <v>84393107.743797168</v>
      </c>
      <c r="FQ219" s="444">
        <v>92890414.095145509</v>
      </c>
    </row>
    <row r="220" spans="1:175">
      <c r="D220" s="74" t="str">
        <f t="shared" si="11"/>
        <v>7111p</v>
      </c>
      <c r="E220" s="78" t="s">
        <v>25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4240913.8099999996</v>
      </c>
      <c r="FG220" s="41">
        <v>9361661.1500000004</v>
      </c>
      <c r="FH220" s="41">
        <v>9044961.5800000001</v>
      </c>
      <c r="FI220" s="41">
        <v>10767101.800000001</v>
      </c>
      <c r="FJ220" s="41">
        <v>10210712.41</v>
      </c>
      <c r="FK220" s="41">
        <v>10125793.029999999</v>
      </c>
      <c r="FL220" s="41">
        <v>10562928.102170853</v>
      </c>
      <c r="FM220" s="41">
        <v>10477537.909352116</v>
      </c>
      <c r="FN220" s="41">
        <v>8957410.6319850832</v>
      </c>
      <c r="FO220" s="41">
        <v>9589847.5886837803</v>
      </c>
      <c r="FP220" s="41">
        <v>9803639.4384757541</v>
      </c>
      <c r="FQ220" s="41">
        <v>17095010.594302431</v>
      </c>
    </row>
    <row r="221" spans="1:175">
      <c r="D221" s="74" t="str">
        <f t="shared" si="11"/>
        <v>7112p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936843.13</v>
      </c>
      <c r="FG221" s="41">
        <v>1962550.32</v>
      </c>
      <c r="FH221" s="41">
        <v>22465664.23</v>
      </c>
      <c r="FI221" s="41">
        <v>20408432.98</v>
      </c>
      <c r="FJ221" s="41">
        <v>4781744.7</v>
      </c>
      <c r="FK221" s="41">
        <v>3678815</v>
      </c>
      <c r="FL221" s="41">
        <v>4457741.7110314406</v>
      </c>
      <c r="FM221" s="41">
        <v>2685443.6740218201</v>
      </c>
      <c r="FN221" s="41">
        <f>6555024.30670548-4000000</f>
        <v>2555024.3067054804</v>
      </c>
      <c r="FO221" s="41">
        <f>1099414.73043184+4000000</f>
        <v>5099414.7304318398</v>
      </c>
      <c r="FP221" s="41">
        <v>845177.9860074711</v>
      </c>
      <c r="FQ221" s="41">
        <v>1318007.3637119438</v>
      </c>
    </row>
    <row r="222" spans="1:175">
      <c r="D222" s="74" t="str">
        <f t="shared" si="11"/>
        <v>7113p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118243.45</v>
      </c>
      <c r="FG222" s="41">
        <v>169568.16</v>
      </c>
      <c r="FH222" s="41">
        <v>146352.49</v>
      </c>
      <c r="FI222" s="41">
        <v>204359.36</v>
      </c>
      <c r="FJ222" s="41">
        <v>147510.5</v>
      </c>
      <c r="FK222" s="41">
        <v>158253.64000000001</v>
      </c>
      <c r="FL222" s="41">
        <v>92289.827047712693</v>
      </c>
      <c r="FM222" s="41">
        <v>199872.32178424072</v>
      </c>
      <c r="FN222" s="41">
        <v>127416.86254210871</v>
      </c>
      <c r="FO222" s="41">
        <v>134863.8150111227</v>
      </c>
      <c r="FP222" s="41">
        <v>174166.77614709371</v>
      </c>
      <c r="FQ222" s="41">
        <v>189919.20786772171</v>
      </c>
    </row>
    <row r="223" spans="1:175">
      <c r="D223" s="74" t="str">
        <f t="shared" si="11"/>
        <v>7114p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49847223.18</v>
      </c>
      <c r="FG223" s="41">
        <v>38958365.399999999</v>
      </c>
      <c r="FH223" s="41">
        <v>50498218.18</v>
      </c>
      <c r="FI223" s="41">
        <v>55142838.460000001</v>
      </c>
      <c r="FJ223" s="41">
        <v>56428341.859999999</v>
      </c>
      <c r="FK223" s="41">
        <v>52810087.229999997</v>
      </c>
      <c r="FL223" s="41">
        <v>64608697.993098304</v>
      </c>
      <c r="FM223" s="41">
        <v>66890311.931873396</v>
      </c>
      <c r="FN223" s="41">
        <v>59747048.514482997</v>
      </c>
      <c r="FO223" s="41">
        <v>59046360.535818897</v>
      </c>
      <c r="FP223" s="41">
        <v>50298426.623042099</v>
      </c>
      <c r="FQ223" s="41">
        <v>53629737.7635343</v>
      </c>
    </row>
    <row r="224" spans="1:175">
      <c r="D224" s="74" t="str">
        <f t="shared" si="11"/>
        <v>7115p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15141217.210000001</v>
      </c>
      <c r="FG224" s="41">
        <v>13186126.23</v>
      </c>
      <c r="FH224" s="41">
        <v>13315087.640000001</v>
      </c>
      <c r="FI224" s="41">
        <v>16826313.73</v>
      </c>
      <c r="FJ224" s="41">
        <v>19442485.359999999</v>
      </c>
      <c r="FK224" s="41">
        <v>19205497.870000001</v>
      </c>
      <c r="FL224" s="41">
        <v>23502946.676267412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1424968.68</v>
      </c>
      <c r="FG225" s="41">
        <v>1733788.33</v>
      </c>
      <c r="FH225" s="41">
        <v>2462209.73</v>
      </c>
      <c r="FI225" s="41">
        <v>2531899.16</v>
      </c>
      <c r="FJ225" s="41">
        <v>2502520.2799999998</v>
      </c>
      <c r="FK225" s="41">
        <v>2485583.9700000002</v>
      </c>
      <c r="FL225" s="41">
        <v>2731455.7201732523</v>
      </c>
      <c r="FM225" s="41">
        <v>2787010.1046283157</v>
      </c>
      <c r="FN225" s="41">
        <v>2149778.7308390578</v>
      </c>
      <c r="FO225" s="41">
        <v>2505449.340977564</v>
      </c>
      <c r="FP225" s="41">
        <v>1854095.8458453817</v>
      </c>
      <c r="FQ225" s="41">
        <v>1998829.9373364251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37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720320.96</v>
      </c>
      <c r="FG227" s="41">
        <v>3098848.85</v>
      </c>
      <c r="FH227" s="41">
        <v>777051.66</v>
      </c>
      <c r="FI227" s="41">
        <v>910873.03</v>
      </c>
      <c r="FJ227" s="41">
        <v>858869.92</v>
      </c>
      <c r="FK227" s="41">
        <v>925408.95</v>
      </c>
      <c r="FL227" s="41">
        <v>410742.9769313393</v>
      </c>
      <c r="FM227" s="41">
        <v>392873.90234621655</v>
      </c>
      <c r="FN227" s="41">
        <v>354922.73324901523</v>
      </c>
      <c r="FO227" s="41">
        <v>325827.84998510586</v>
      </c>
      <c r="FP227" s="41">
        <v>340887.93377701013</v>
      </c>
      <c r="FQ227" s="41">
        <v>383274.83331131347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39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4">
        <v>16498881.48</v>
      </c>
      <c r="FG228" s="444">
        <v>41912269.38000001</v>
      </c>
      <c r="FH228" s="444">
        <v>41047599.18</v>
      </c>
      <c r="FI228" s="444">
        <v>50290988.940000005</v>
      </c>
      <c r="FJ228" s="444">
        <v>37496285.130000003</v>
      </c>
      <c r="FK228" s="444">
        <v>45280786.510000005</v>
      </c>
      <c r="FL228" s="444">
        <v>46250891.035691187</v>
      </c>
      <c r="FM228" s="444">
        <v>44632014.674295112</v>
      </c>
      <c r="FN228" s="444">
        <v>41120271.333377153</v>
      </c>
      <c r="FO228" s="444">
        <v>46928850.635902815</v>
      </c>
      <c r="FP228" s="444">
        <v>44128259.697538294</v>
      </c>
      <c r="FQ228" s="444">
        <v>78626416.07852602</v>
      </c>
    </row>
    <row r="229" spans="1:174" ht="30">
      <c r="D229" s="74" t="str">
        <f t="shared" si="19"/>
        <v>7121p</v>
      </c>
      <c r="E229" s="78" t="s">
        <v>41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9695765.5800000001</v>
      </c>
      <c r="FG229" s="41">
        <v>24593790.260000002</v>
      </c>
      <c r="FH229" s="41">
        <v>23923752.719999999</v>
      </c>
      <c r="FI229" s="41">
        <v>29650595.870000001</v>
      </c>
      <c r="FJ229" s="41">
        <v>22104934.850000001</v>
      </c>
      <c r="FK229" s="41">
        <v>27009559.609999999</v>
      </c>
      <c r="FL229" s="41">
        <v>27482444.037160631</v>
      </c>
      <c r="FM229" s="41">
        <v>27981870.622507609</v>
      </c>
      <c r="FN229" s="41">
        <v>26275213.096976332</v>
      </c>
      <c r="FO229" s="41">
        <v>30509092.335605875</v>
      </c>
      <c r="FP229" s="41">
        <v>28690565.779876817</v>
      </c>
      <c r="FQ229" s="41">
        <v>49959164.412414543</v>
      </c>
    </row>
    <row r="230" spans="1:174" ht="30">
      <c r="D230" s="74" t="str">
        <f t="shared" si="19"/>
        <v>7122p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5963049.2000000002</v>
      </c>
      <c r="FG230" s="41">
        <v>15122476.890000001</v>
      </c>
      <c r="FH230" s="41">
        <v>14777265.789999999</v>
      </c>
      <c r="FI230" s="41">
        <v>17925167.550000001</v>
      </c>
      <c r="FJ230" s="41">
        <v>13458982.5</v>
      </c>
      <c r="FK230" s="41">
        <v>15925774.34</v>
      </c>
      <c r="FL230" s="41">
        <v>16394230.760278165</v>
      </c>
      <c r="FM230" s="41">
        <v>14239936.351746917</v>
      </c>
      <c r="FN230" s="41">
        <v>12682409.588332439</v>
      </c>
      <c r="FO230" s="41">
        <v>14130176.222576067</v>
      </c>
      <c r="FP230" s="41">
        <v>13398296.64486525</v>
      </c>
      <c r="FQ230" s="41">
        <v>24833575.886677179</v>
      </c>
    </row>
    <row r="231" spans="1:174" ht="30">
      <c r="D231" s="74" t="str">
        <f t="shared" si="19"/>
        <v>7123p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459881.42</v>
      </c>
      <c r="FG231" s="41">
        <v>1160315.8500000001</v>
      </c>
      <c r="FH231" s="41">
        <v>1135767.8899999999</v>
      </c>
      <c r="FI231" s="41">
        <v>1375720.59</v>
      </c>
      <c r="FJ231" s="41">
        <v>1026106.03</v>
      </c>
      <c r="FK231" s="41">
        <v>1222753.49</v>
      </c>
      <c r="FL231" s="41">
        <v>1142926.9664523243</v>
      </c>
      <c r="FM231" s="41">
        <v>1304199.4730337204</v>
      </c>
      <c r="FN231" s="41">
        <v>1183707.9939274685</v>
      </c>
      <c r="FO231" s="41">
        <v>1329191.3701360417</v>
      </c>
      <c r="FP231" s="41">
        <v>1263549.4031596093</v>
      </c>
      <c r="FQ231" s="41">
        <v>2346588.9629115779</v>
      </c>
    </row>
    <row r="232" spans="1:174">
      <c r="D232" s="74" t="str">
        <f t="shared" si="19"/>
        <v>7124p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380185.28</v>
      </c>
      <c r="FG232" s="41">
        <v>1035686.38</v>
      </c>
      <c r="FH232" s="41">
        <v>1210812.78</v>
      </c>
      <c r="FI232" s="41">
        <v>1339504.93</v>
      </c>
      <c r="FJ232" s="41">
        <v>906261.75</v>
      </c>
      <c r="FK232" s="41">
        <v>1122699.07</v>
      </c>
      <c r="FL232" s="41">
        <v>1231289.271800064</v>
      </c>
      <c r="FM232" s="41">
        <v>1106008.2270068659</v>
      </c>
      <c r="FN232" s="41">
        <v>978940.65414091514</v>
      </c>
      <c r="FO232" s="41">
        <v>960390.70758482651</v>
      </c>
      <c r="FP232" s="41">
        <v>775847.86963662016</v>
      </c>
      <c r="FQ232" s="41">
        <v>1487086.8165227156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49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4">
        <v>851162.27</v>
      </c>
      <c r="FG233" s="444">
        <v>1041125.3899999999</v>
      </c>
      <c r="FH233" s="444">
        <v>1066481.8799999999</v>
      </c>
      <c r="FI233" s="444">
        <v>1290371.49</v>
      </c>
      <c r="FJ233" s="444">
        <v>1208813.17</v>
      </c>
      <c r="FK233" s="444">
        <v>1252534.6599999999</v>
      </c>
      <c r="FL233" s="444">
        <v>1795731.4641523927</v>
      </c>
      <c r="FM233" s="444">
        <v>1701456.5372229549</v>
      </c>
      <c r="FN233" s="444">
        <v>1388736.0694359436</v>
      </c>
      <c r="FO233" s="444">
        <v>1341528.8515351652</v>
      </c>
      <c r="FP233" s="444">
        <v>1134405.6022195939</v>
      </c>
      <c r="FQ233" s="444">
        <v>1246141.5409339513</v>
      </c>
    </row>
    <row r="234" spans="1:174">
      <c r="D234" s="74" t="str">
        <f t="shared" si="19"/>
        <v>7131p</v>
      </c>
      <c r="E234" s="78" t="s">
        <v>51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649124.48</v>
      </c>
      <c r="FG234" s="41">
        <v>818776.7</v>
      </c>
      <c r="FH234" s="41">
        <v>802029.06</v>
      </c>
      <c r="FI234" s="41">
        <v>949723.87</v>
      </c>
      <c r="FJ234" s="41">
        <v>855493.95</v>
      </c>
      <c r="FK234" s="41">
        <v>789796.19</v>
      </c>
      <c r="FL234" s="41">
        <v>984551.17228491185</v>
      </c>
      <c r="FM234" s="41">
        <v>853416.19822953595</v>
      </c>
      <c r="FN234" s="41">
        <v>738178.48497195612</v>
      </c>
      <c r="FO234" s="41">
        <v>784155.59545054846</v>
      </c>
      <c r="FP234" s="41">
        <v>651585.7245731533</v>
      </c>
      <c r="FQ234" s="41">
        <v>736653.25028989522</v>
      </c>
    </row>
    <row r="235" spans="1:174">
      <c r="D235" s="74" t="str">
        <f t="shared" si="19"/>
        <v>7132p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64695</v>
      </c>
      <c r="FG235" s="41">
        <v>85955.36</v>
      </c>
      <c r="FH235" s="41">
        <v>106907.98</v>
      </c>
      <c r="FI235" s="41">
        <v>128950.69</v>
      </c>
      <c r="FJ235" s="41">
        <v>89857.44</v>
      </c>
      <c r="FK235" s="41">
        <v>90814.91</v>
      </c>
      <c r="FL235" s="41">
        <v>134342.02832402792</v>
      </c>
      <c r="FM235" s="41">
        <v>96531.805736688621</v>
      </c>
      <c r="FN235" s="41">
        <v>116877.46348794091</v>
      </c>
      <c r="FO235" s="41">
        <v>123515.88313536895</v>
      </c>
      <c r="FP235" s="41">
        <v>136136.09683521438</v>
      </c>
      <c r="FQ235" s="41">
        <v>158708.71988075945</v>
      </c>
    </row>
    <row r="236" spans="1:174">
      <c r="D236" s="74" t="str">
        <f t="shared" si="19"/>
        <v>7133p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24775.52</v>
      </c>
      <c r="FG236" s="41">
        <v>28443.63</v>
      </c>
      <c r="FH236" s="41">
        <v>40268.589999999997</v>
      </c>
      <c r="FI236" s="41">
        <v>55742.67</v>
      </c>
      <c r="FJ236" s="41">
        <v>91165.22</v>
      </c>
      <c r="FK236" s="41">
        <v>178796.84</v>
      </c>
      <c r="FL236" s="41">
        <v>363731.36010368419</v>
      </c>
      <c r="FM236" s="41">
        <v>436758.62530417839</v>
      </c>
      <c r="FN236" s="41">
        <v>242124.49155094678</v>
      </c>
      <c r="FO236" s="41">
        <v>124295.83034558724</v>
      </c>
      <c r="FP236" s="41">
        <v>81230.494036135831</v>
      </c>
      <c r="FQ236" s="41">
        <v>33134.750159467534</v>
      </c>
    </row>
    <row r="237" spans="1:174">
      <c r="D237" s="74" t="str">
        <f t="shared" ref="D237:D268" si="26">+CONCATENATE(D27,"p")</f>
        <v>7136p</v>
      </c>
      <c r="E237" s="78" t="s">
        <v>61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112567.27</v>
      </c>
      <c r="FG237" s="41">
        <v>107949.7</v>
      </c>
      <c r="FH237" s="41">
        <v>117276.25</v>
      </c>
      <c r="FI237" s="41">
        <v>155954.26</v>
      </c>
      <c r="FJ237" s="41">
        <v>172296.56</v>
      </c>
      <c r="FK237" s="41">
        <v>193126.72</v>
      </c>
      <c r="FL237" s="41">
        <v>313106.90343976865</v>
      </c>
      <c r="FM237" s="41">
        <v>314749.90795255185</v>
      </c>
      <c r="FN237" s="41">
        <v>291555.62942509988</v>
      </c>
      <c r="FO237" s="41">
        <v>309561.54260366061</v>
      </c>
      <c r="FP237" s="41">
        <v>265453.28677509038</v>
      </c>
      <c r="FQ237" s="41">
        <v>317644.82060382888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63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4">
        <v>2315003.25</v>
      </c>
      <c r="FG238" s="444">
        <v>1541397.86</v>
      </c>
      <c r="FH238" s="444">
        <v>2408517.5</v>
      </c>
      <c r="FI238" s="444">
        <v>3310133.38</v>
      </c>
      <c r="FJ238" s="444">
        <v>1792591.2</v>
      </c>
      <c r="FK238" s="444">
        <v>2081141.31</v>
      </c>
      <c r="FL238" s="444">
        <v>3811615.3822946725</v>
      </c>
      <c r="FM238" s="444">
        <v>2369139.8885664819</v>
      </c>
      <c r="FN238" s="444">
        <v>2509036.584840606</v>
      </c>
      <c r="FO238" s="444">
        <v>3286740.3746407013</v>
      </c>
      <c r="FP238" s="444">
        <v>2611990.4957672656</v>
      </c>
      <c r="FQ238" s="444">
        <v>3353537.6354902741</v>
      </c>
      <c r="FR238" s="444"/>
    </row>
    <row r="239" spans="1:174" ht="30">
      <c r="D239" s="74" t="str">
        <f t="shared" si="26"/>
        <v>7141p</v>
      </c>
      <c r="E239" s="78" t="s">
        <v>65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5596.5</v>
      </c>
      <c r="FG239" s="41">
        <v>10696.96</v>
      </c>
      <c r="FH239" s="41">
        <v>76041.279999999999</v>
      </c>
      <c r="FI239" s="41">
        <v>41798.769999999997</v>
      </c>
      <c r="FJ239" s="41">
        <v>88788.45</v>
      </c>
      <c r="FK239" s="41">
        <v>110473.68</v>
      </c>
      <c r="FL239" s="41">
        <v>109565.42037740815</v>
      </c>
      <c r="FM239" s="41">
        <v>124419.69208754679</v>
      </c>
      <c r="FN239" s="41">
        <v>85243.991563833144</v>
      </c>
      <c r="FO239" s="41">
        <v>60882.669422327868</v>
      </c>
      <c r="FP239" s="41">
        <v>95379.222478132157</v>
      </c>
      <c r="FQ239" s="41">
        <v>157547.37047075186</v>
      </c>
    </row>
    <row r="240" spans="1:174" ht="30">
      <c r="D240" s="74" t="str">
        <f t="shared" si="26"/>
        <v>7142p</v>
      </c>
      <c r="E240" s="78" t="s">
        <v>67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111165.46</v>
      </c>
      <c r="FG240" s="41">
        <v>101009.27</v>
      </c>
      <c r="FH240" s="41">
        <v>694197.59</v>
      </c>
      <c r="FI240" s="41">
        <v>315889.09000000003</v>
      </c>
      <c r="FJ240" s="41">
        <v>290980.86</v>
      </c>
      <c r="FK240" s="41">
        <v>135939.44</v>
      </c>
      <c r="FL240" s="41">
        <v>452053.82607907202</v>
      </c>
      <c r="FM240" s="41">
        <v>424603.35461978533</v>
      </c>
      <c r="FN240" s="41">
        <v>298337.42192308779</v>
      </c>
      <c r="FO240" s="41">
        <v>330273.50681300677</v>
      </c>
      <c r="FP240" s="41">
        <v>280701.63213949924</v>
      </c>
      <c r="FQ240" s="41">
        <v>1019182.998025549</v>
      </c>
    </row>
    <row r="241" spans="1:174">
      <c r="D241" s="74" t="str">
        <f t="shared" si="26"/>
        <v>7143p</v>
      </c>
      <c r="E241" s="78" t="s">
        <v>69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45324.14</v>
      </c>
      <c r="FG241" s="41">
        <v>46657.06</v>
      </c>
      <c r="FH241" s="41">
        <v>40888.620000000003</v>
      </c>
      <c r="FI241" s="41">
        <v>41064.94</v>
      </c>
      <c r="FJ241" s="41">
        <v>48239.28</v>
      </c>
      <c r="FK241" s="41">
        <v>41465.49</v>
      </c>
      <c r="FL241" s="41">
        <v>3829.6831968651454</v>
      </c>
      <c r="FM241" s="41">
        <v>1139.1263458106582</v>
      </c>
      <c r="FN241" s="41">
        <v>1590.8014385966756</v>
      </c>
      <c r="FO241" s="41">
        <v>39549.211171301606</v>
      </c>
      <c r="FP241" s="41">
        <v>24470.820853244768</v>
      </c>
      <c r="FQ241" s="41">
        <v>31293.971394181102</v>
      </c>
    </row>
    <row r="242" spans="1:174" ht="30">
      <c r="D242" s="74" t="str">
        <f t="shared" si="26"/>
        <v>7144p</v>
      </c>
      <c r="E242" s="78" t="s">
        <v>71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654304.80000000005</v>
      </c>
      <c r="FG242" s="41">
        <v>660078.18000000005</v>
      </c>
      <c r="FH242" s="41">
        <v>634606.16</v>
      </c>
      <c r="FI242" s="41">
        <v>1775211.97</v>
      </c>
      <c r="FJ242" s="41">
        <v>687337.58</v>
      </c>
      <c r="FK242" s="41">
        <v>695892.2</v>
      </c>
      <c r="FL242" s="41">
        <v>963999.18196154176</v>
      </c>
      <c r="FM242" s="41">
        <v>816976.60377219575</v>
      </c>
      <c r="FN242" s="41">
        <v>918213.34360661427</v>
      </c>
      <c r="FO242" s="41">
        <v>944800.52110534231</v>
      </c>
      <c r="FP242" s="41">
        <v>826436.47532958095</v>
      </c>
      <c r="FQ242" s="41">
        <v>903868.87682472612</v>
      </c>
    </row>
    <row r="243" spans="1:174">
      <c r="D243" s="74" t="str">
        <f t="shared" si="26"/>
        <v>7148p</v>
      </c>
      <c r="E243" s="78" t="s">
        <v>79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106207.67</v>
      </c>
      <c r="FG243" s="41">
        <v>203595.89</v>
      </c>
      <c r="FH243" s="41">
        <v>241900.04</v>
      </c>
      <c r="FI243" s="41">
        <v>248172.78</v>
      </c>
      <c r="FJ243" s="41">
        <v>300826.94</v>
      </c>
      <c r="FK243" s="41">
        <v>367688.93</v>
      </c>
      <c r="FL243" s="41">
        <v>437561.45783439319</v>
      </c>
      <c r="FM243" s="41">
        <v>373492.30937615345</v>
      </c>
      <c r="FN243" s="41">
        <v>267665.67148390395</v>
      </c>
      <c r="FO243" s="41">
        <v>283675.59637904644</v>
      </c>
      <c r="FP243" s="41">
        <v>240308.10538930705</v>
      </c>
      <c r="FQ243" s="41">
        <v>241438.34133719554</v>
      </c>
    </row>
    <row r="244" spans="1:174">
      <c r="D244" s="74" t="str">
        <f t="shared" si="26"/>
        <v>7149p</v>
      </c>
      <c r="E244" s="78" t="s">
        <v>81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1392404.68</v>
      </c>
      <c r="FG244" s="41">
        <v>519360.5</v>
      </c>
      <c r="FH244" s="41">
        <v>720883.81</v>
      </c>
      <c r="FI244" s="41">
        <v>887995.83</v>
      </c>
      <c r="FJ244" s="41">
        <v>376418.09</v>
      </c>
      <c r="FK244" s="41">
        <v>729681.57</v>
      </c>
      <c r="FL244" s="41">
        <v>1844605.8128453919</v>
      </c>
      <c r="FM244" s="41">
        <v>628508.80236498977</v>
      </c>
      <c r="FN244" s="41">
        <v>937985.35482457001</v>
      </c>
      <c r="FO244" s="41">
        <v>1627558.8697496764</v>
      </c>
      <c r="FP244" s="41">
        <v>1144694.2395775015</v>
      </c>
      <c r="FQ244" s="41">
        <v>1000206.07743787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83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4">
        <v>1567288.04</v>
      </c>
      <c r="FG245" s="444">
        <v>2199531.1</v>
      </c>
      <c r="FH245" s="444">
        <v>3194097.81</v>
      </c>
      <c r="FI245" s="444">
        <v>2385711.15</v>
      </c>
      <c r="FJ245" s="444">
        <v>7159438.3900000006</v>
      </c>
      <c r="FK245" s="444">
        <v>3263135.44</v>
      </c>
      <c r="FL245" s="444">
        <v>3782335.0282840966</v>
      </c>
      <c r="FM245" s="444">
        <v>3340173.0404689522</v>
      </c>
      <c r="FN245" s="444">
        <f>37689732.0664406-35000000</f>
        <v>2689732.0664405972</v>
      </c>
      <c r="FO245" s="444">
        <f>2215962.80977053+35000000</f>
        <v>37215962.809770532</v>
      </c>
      <c r="FP245" s="444">
        <v>3512092.3071244648</v>
      </c>
      <c r="FQ245" s="444">
        <v>7138953.7303113183</v>
      </c>
      <c r="FR245" s="444"/>
    </row>
    <row r="246" spans="1:174">
      <c r="D246" s="74" t="str">
        <f t="shared" si="26"/>
        <v>7151p</v>
      </c>
      <c r="E246" s="78" t="s">
        <v>85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319074</v>
      </c>
      <c r="FG246" s="41">
        <v>248883.21</v>
      </c>
      <c r="FH246" s="41">
        <v>186917.08</v>
      </c>
      <c r="FI246" s="41">
        <v>63899.67</v>
      </c>
      <c r="FJ246" s="41">
        <v>3605086.71</v>
      </c>
      <c r="FK246" s="41">
        <v>707894.38</v>
      </c>
      <c r="FL246" s="41">
        <v>69107.90889139846</v>
      </c>
      <c r="FM246" s="41">
        <v>21215.989032920785</v>
      </c>
      <c r="FN246" s="41">
        <f>35641038.6596607-35000000</f>
        <v>641038.65966069698</v>
      </c>
      <c r="FO246" s="41">
        <f>29471.3771226292+35000000</f>
        <v>35029471.377122626</v>
      </c>
      <c r="FP246" s="41">
        <v>82517.189184354618</v>
      </c>
      <c r="FQ246" s="41">
        <v>4275778.4187080413</v>
      </c>
    </row>
    <row r="247" spans="1:174" ht="30">
      <c r="D247" s="74" t="str">
        <f t="shared" si="26"/>
        <v>7152p</v>
      </c>
      <c r="E247" s="78" t="s">
        <v>87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609800.16</v>
      </c>
      <c r="FG247" s="41">
        <v>943704.64</v>
      </c>
      <c r="FH247" s="41">
        <v>1029233.16</v>
      </c>
      <c r="FI247" s="41">
        <v>1018399.18</v>
      </c>
      <c r="FJ247" s="41">
        <v>1673986.28</v>
      </c>
      <c r="FK247" s="41">
        <v>1387978.01</v>
      </c>
      <c r="FL247" s="41">
        <v>1602217.3229380359</v>
      </c>
      <c r="FM247" s="41">
        <v>1482892.3832058141</v>
      </c>
      <c r="FN247" s="41">
        <v>873947.35952687939</v>
      </c>
      <c r="FO247" s="41">
        <v>916958.58916879038</v>
      </c>
      <c r="FP247" s="41">
        <v>740793.46413466823</v>
      </c>
      <c r="FQ247" s="41">
        <v>923598.4442258128</v>
      </c>
    </row>
    <row r="248" spans="1:174" ht="30">
      <c r="D248" s="74" t="str">
        <f t="shared" si="26"/>
        <v>7153p</v>
      </c>
      <c r="E248" s="78" t="s">
        <v>89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164019.29</v>
      </c>
      <c r="FG248" s="41">
        <v>247340.36</v>
      </c>
      <c r="FH248" s="41">
        <v>328409.52</v>
      </c>
      <c r="FI248" s="41">
        <v>261152.7</v>
      </c>
      <c r="FJ248" s="41">
        <v>230706.4</v>
      </c>
      <c r="FK248" s="41">
        <v>289255.07</v>
      </c>
      <c r="FL248" s="41">
        <v>467099.66567019705</v>
      </c>
      <c r="FM248" s="41">
        <v>259070.77173300716</v>
      </c>
      <c r="FN248" s="41">
        <v>301266.9436190718</v>
      </c>
      <c r="FO248" s="41">
        <v>321644.39806882903</v>
      </c>
      <c r="FP248" s="41">
        <v>283758.85796158406</v>
      </c>
      <c r="FQ248" s="41">
        <v>301622.23954731086</v>
      </c>
    </row>
    <row r="249" spans="1:174">
      <c r="D249" s="74" t="str">
        <f t="shared" si="26"/>
        <v>7155p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474394.59</v>
      </c>
      <c r="FG249" s="41">
        <v>759602.89</v>
      </c>
      <c r="FH249" s="41">
        <v>1649538.05</v>
      </c>
      <c r="FI249" s="41">
        <v>1042259.6</v>
      </c>
      <c r="FJ249" s="41">
        <v>1649659</v>
      </c>
      <c r="FK249" s="41">
        <v>878007.98</v>
      </c>
      <c r="FL249" s="41">
        <v>1643910.130784465</v>
      </c>
      <c r="FM249" s="41">
        <v>1576993.8964972103</v>
      </c>
      <c r="FN249" s="41">
        <v>873479.10363403056</v>
      </c>
      <c r="FO249" s="41">
        <v>947888.4454102806</v>
      </c>
      <c r="FP249" s="41">
        <v>2405022.7958438578</v>
      </c>
      <c r="FQ249" s="41">
        <v>1637954.6278301545</v>
      </c>
    </row>
    <row r="250" spans="1:174" s="9" customFormat="1">
      <c r="A250" s="139"/>
      <c r="B250" s="139">
        <v>72</v>
      </c>
      <c r="C250" s="139" t="s">
        <v>94</v>
      </c>
      <c r="D250" s="139" t="str">
        <f t="shared" si="26"/>
        <v>72p</v>
      </c>
      <c r="E250" s="140" t="s">
        <v>95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99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101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69158.880000000005</v>
      </c>
      <c r="FG253" s="9">
        <v>378338.04</v>
      </c>
      <c r="FH253" s="9">
        <v>257172.98</v>
      </c>
      <c r="FI253" s="9">
        <v>349238.34</v>
      </c>
      <c r="FJ253" s="9">
        <v>808656.23</v>
      </c>
      <c r="FK253" s="9">
        <v>1298753.81</v>
      </c>
      <c r="FL253" s="9">
        <v>142080.0960214606</v>
      </c>
      <c r="FM253" s="9">
        <v>117083.56784272524</v>
      </c>
      <c r="FN253" s="9">
        <v>723504.94882674748</v>
      </c>
      <c r="FO253" s="9">
        <v>419152.39381785714</v>
      </c>
      <c r="FP253" s="9">
        <v>3373987.8037220733</v>
      </c>
      <c r="FQ253" s="9">
        <v>574536.91176913551</v>
      </c>
    </row>
    <row r="254" spans="1:174">
      <c r="B254" s="74" t="s">
        <v>94</v>
      </c>
      <c r="C254" s="74">
        <v>731</v>
      </c>
      <c r="D254" s="74" t="str">
        <f t="shared" si="26"/>
        <v>7311p</v>
      </c>
      <c r="E254" s="78" t="s">
        <v>103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69158.880000000005</v>
      </c>
      <c r="FG254" s="41">
        <v>378338.04</v>
      </c>
      <c r="FH254" s="41">
        <v>257172.98</v>
      </c>
      <c r="FI254" s="41">
        <v>349238.34</v>
      </c>
      <c r="FJ254" s="41">
        <v>808656.23</v>
      </c>
      <c r="FK254" s="41">
        <v>1298753.81</v>
      </c>
      <c r="FL254" s="41">
        <v>142080.0960214606</v>
      </c>
      <c r="FM254" s="41">
        <v>117083.56784272524</v>
      </c>
      <c r="FN254" s="41">
        <v>723504.94882674748</v>
      </c>
      <c r="FO254" s="41">
        <v>419152.39381785714</v>
      </c>
      <c r="FP254" s="41">
        <v>3373987.8037220733</v>
      </c>
      <c r="FQ254" s="41">
        <v>574536.91176913551</v>
      </c>
    </row>
    <row r="255" spans="1:174" ht="30">
      <c r="C255" s="74">
        <v>732</v>
      </c>
      <c r="D255" s="74" t="str">
        <f t="shared" si="26"/>
        <v>7321p</v>
      </c>
      <c r="E255" s="78" t="s">
        <v>105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94</v>
      </c>
      <c r="D256" s="139" t="str">
        <f t="shared" si="26"/>
        <v>74p</v>
      </c>
      <c r="E256" s="140" t="s">
        <v>107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13526711.25</v>
      </c>
      <c r="FG256" s="9">
        <v>1001055.74</v>
      </c>
      <c r="FH256" s="9">
        <v>861265.77</v>
      </c>
      <c r="FI256" s="9">
        <v>627154.51</v>
      </c>
      <c r="FJ256" s="9">
        <v>1388870.5</v>
      </c>
      <c r="FK256" s="9">
        <v>827810.06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9532777.6842971519</v>
      </c>
    </row>
    <row r="257" spans="1:174">
      <c r="C257" s="74">
        <v>741</v>
      </c>
      <c r="D257" s="74" t="str">
        <f t="shared" si="26"/>
        <v>7411p</v>
      </c>
      <c r="E257" s="78" t="s">
        <v>109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13526711.25</v>
      </c>
      <c r="FG257" s="41">
        <v>1001055.74</v>
      </c>
      <c r="FH257" s="41">
        <v>861265.77</v>
      </c>
      <c r="FI257" s="41">
        <v>627154.51</v>
      </c>
      <c r="FJ257" s="41">
        <v>1388870.5</v>
      </c>
      <c r="FK257" s="41">
        <v>827810.06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9532777.6842971519</v>
      </c>
    </row>
    <row r="258" spans="1:174">
      <c r="C258" s="74">
        <v>742</v>
      </c>
      <c r="D258" s="74" t="str">
        <f t="shared" si="26"/>
        <v>7421p</v>
      </c>
      <c r="E258" s="78" t="s">
        <v>111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113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115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6">
        <v>24022843.850000001</v>
      </c>
      <c r="FG260" s="446">
        <v>0</v>
      </c>
      <c r="FH260" s="446">
        <v>107399337.39</v>
      </c>
      <c r="FI260" s="446">
        <v>15000000</v>
      </c>
      <c r="FJ260" s="446">
        <v>112000000</v>
      </c>
      <c r="FK260" s="446">
        <v>17000000</v>
      </c>
      <c r="FL260" s="446">
        <v>17000000</v>
      </c>
      <c r="FM260" s="446">
        <v>15000000</v>
      </c>
      <c r="FN260" s="446">
        <v>17000000</v>
      </c>
      <c r="FO260" s="446">
        <v>17000000</v>
      </c>
      <c r="FP260" s="446">
        <v>15000000</v>
      </c>
      <c r="FQ260" s="446">
        <v>13983087.501553783</v>
      </c>
    </row>
    <row r="261" spans="1:174" ht="30">
      <c r="D261" s="74" t="str">
        <f t="shared" si="26"/>
        <v>7511p</v>
      </c>
      <c r="E261" s="78" t="s">
        <v>116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118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13983087.501553783</v>
      </c>
    </row>
    <row r="263" spans="1:174">
      <c r="A263" s="74">
        <v>4</v>
      </c>
      <c r="B263" s="74" t="s">
        <v>94</v>
      </c>
      <c r="D263" s="74" t="str">
        <f t="shared" si="26"/>
        <v>p</v>
      </c>
      <c r="E263" s="78" t="s">
        <v>120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94</v>
      </c>
      <c r="B264" s="74">
        <v>41</v>
      </c>
      <c r="D264" s="74" t="str">
        <f t="shared" si="26"/>
        <v>41p</v>
      </c>
      <c r="E264" s="78" t="s">
        <v>122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124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38858179.001666702</v>
      </c>
      <c r="FR265" s="403">
        <v>472059398.15000004</v>
      </c>
    </row>
    <row r="266" spans="1:174">
      <c r="D266" s="74" t="str">
        <f t="shared" si="26"/>
        <v>4111p</v>
      </c>
      <c r="E266" s="78" t="s">
        <v>126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128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129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135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1240174.31083333</v>
      </c>
      <c r="FR271" s="403">
        <v>15072625.449999999</v>
      </c>
    </row>
    <row r="272" spans="1:174">
      <c r="D272" s="74" t="str">
        <f t="shared" si="41"/>
        <v>4121p</v>
      </c>
      <c r="E272" s="78" t="s">
        <v>137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139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147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81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150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152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154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156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158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160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162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164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5059087.2374999989</v>
      </c>
      <c r="FM286" s="403">
        <v>5071091.2374999989</v>
      </c>
      <c r="FN286" s="403">
        <v>5175886.7374999989</v>
      </c>
      <c r="FO286" s="403">
        <v>5062253.3274999987</v>
      </c>
      <c r="FP286" s="403">
        <v>5061881.6574999988</v>
      </c>
      <c r="FQ286" s="403">
        <v>5000451.0074999994</v>
      </c>
      <c r="FR286" s="403">
        <v>63045731.57</v>
      </c>
    </row>
    <row r="287" spans="1:174">
      <c r="D287" s="74" t="str">
        <f t="shared" si="41"/>
        <v>4141p</v>
      </c>
      <c r="E287" s="78" t="s">
        <v>166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168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176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178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184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188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192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196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198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204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206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208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210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214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4122049.5508333351</v>
      </c>
      <c r="FM311" s="403">
        <v>3027649.6708333334</v>
      </c>
      <c r="FN311" s="403">
        <v>2986649.6408333336</v>
      </c>
      <c r="FO311" s="403">
        <v>2977759.6208333336</v>
      </c>
      <c r="FP311" s="403">
        <v>3014504.6508333334</v>
      </c>
      <c r="FQ311" s="403">
        <v>2914612.7408333337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218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226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228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49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94</v>
      </c>
      <c r="D321" s="139" t="str">
        <f t="shared" si="57"/>
        <v>p</v>
      </c>
      <c r="E321" s="140" t="s">
        <v>232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47329512.010000005</v>
      </c>
      <c r="FP321" s="403">
        <v>47329512.010000005</v>
      </c>
      <c r="FQ321" s="403">
        <v>47329512.010000005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234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94</v>
      </c>
      <c r="D323" s="74" t="str">
        <f t="shared" si="57"/>
        <v>4211p</v>
      </c>
      <c r="E323" s="78" t="s">
        <v>236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238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248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250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2359394.0699999998</v>
      </c>
      <c r="FP330" s="403">
        <v>2359394.0699999998</v>
      </c>
      <c r="FQ330" s="403">
        <v>2359394.0699999998</v>
      </c>
      <c r="FR330" s="403">
        <v>14832382.369999997</v>
      </c>
    </row>
    <row r="331" spans="1:174">
      <c r="D331" s="74" t="str">
        <f t="shared" si="73"/>
        <v>4221p</v>
      </c>
      <c r="E331" s="78" t="s">
        <v>252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258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261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263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265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267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63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276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278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280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94</v>
      </c>
      <c r="B350" s="139">
        <v>43</v>
      </c>
      <c r="C350" s="139"/>
      <c r="D350" s="139" t="str">
        <f t="shared" si="73"/>
        <v>43p</v>
      </c>
      <c r="E350" s="140" t="s">
        <v>288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22848909.595000003</v>
      </c>
      <c r="FM350" s="403">
        <v>17972208.524999999</v>
      </c>
      <c r="FN350" s="403">
        <v>17992208.524999999</v>
      </c>
      <c r="FO350" s="403">
        <v>17923875.184999999</v>
      </c>
      <c r="FP350" s="403">
        <v>17866375.204999998</v>
      </c>
      <c r="FQ350" s="403">
        <v>18024758.024999999</v>
      </c>
      <c r="FR350" s="403">
        <v>208898534.95999995</v>
      </c>
    </row>
    <row r="351" spans="1:174" s="9" customFormat="1" ht="45">
      <c r="A351" s="139" t="s">
        <v>94</v>
      </c>
      <c r="B351" s="139" t="s">
        <v>94</v>
      </c>
      <c r="C351" s="139">
        <v>431</v>
      </c>
      <c r="D351" s="139" t="str">
        <f t="shared" si="73"/>
        <v>431p</v>
      </c>
      <c r="E351" s="140" t="s">
        <v>288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298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94</v>
      </c>
      <c r="B361" s="139" t="s">
        <v>94</v>
      </c>
      <c r="C361" s="139">
        <v>432</v>
      </c>
      <c r="D361" s="139" t="str">
        <f t="shared" si="73"/>
        <v>432p</v>
      </c>
      <c r="E361" s="140" t="s">
        <v>308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318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320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549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14243749.989999998</v>
      </c>
      <c r="FQ368" s="403">
        <v>14243750.109999999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420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5014205.3275000015</v>
      </c>
      <c r="FM369" s="403">
        <v>4967667.1475000018</v>
      </c>
      <c r="FN369" s="403">
        <v>4972709.1475000018</v>
      </c>
      <c r="FO369" s="403">
        <v>4947709.1475000018</v>
      </c>
      <c r="FP369" s="403">
        <v>4786209.1475000018</v>
      </c>
      <c r="FQ369" s="403">
        <v>4798442.6775000012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328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338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5">
        <v>26666.67</v>
      </c>
      <c r="FG377" s="445">
        <v>26666.67</v>
      </c>
      <c r="FH377" s="445">
        <v>26666.67</v>
      </c>
      <c r="FI377" s="445">
        <v>39926666.670000002</v>
      </c>
      <c r="FJ377" s="445">
        <v>26666.67</v>
      </c>
      <c r="FK377" s="445">
        <v>26666.67</v>
      </c>
      <c r="FL377" s="445">
        <v>26666.67</v>
      </c>
      <c r="FM377" s="445">
        <v>26666.67</v>
      </c>
      <c r="FN377" s="445">
        <v>26666.67</v>
      </c>
      <c r="FO377" s="445">
        <v>26666.67</v>
      </c>
      <c r="FP377" s="445">
        <v>26666.67</v>
      </c>
      <c r="FQ377" s="445">
        <v>26666.63</v>
      </c>
      <c r="FR377" s="445">
        <v>40220000.000000015</v>
      </c>
    </row>
    <row r="378" spans="1:174">
      <c r="D378" s="74" t="str">
        <f t="shared" si="95"/>
        <v>4419p</v>
      </c>
      <c r="E378" s="78" t="s">
        <v>340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94</v>
      </c>
      <c r="B379" s="139">
        <v>45</v>
      </c>
      <c r="C379" s="139"/>
      <c r="D379" s="139" t="str">
        <f t="shared" si="95"/>
        <v>p</v>
      </c>
      <c r="E379" s="140" t="s">
        <v>342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115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348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94</v>
      </c>
      <c r="B386" s="139">
        <v>46</v>
      </c>
      <c r="C386" s="139"/>
      <c r="D386" s="139" t="str">
        <f t="shared" si="95"/>
        <v>p</v>
      </c>
      <c r="E386" s="140" t="s">
        <v>354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356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357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5">
        <v>84944.84</v>
      </c>
      <c r="FG388" s="445">
        <v>835385.84</v>
      </c>
      <c r="FH388" s="445">
        <v>1812259.88</v>
      </c>
      <c r="FI388" s="445">
        <v>4541832.53</v>
      </c>
      <c r="FJ388" s="445">
        <v>2836722.65</v>
      </c>
      <c r="FK388" s="445">
        <v>7054086.1200000001</v>
      </c>
      <c r="FL388" s="445">
        <v>87625.45</v>
      </c>
      <c r="FM388" s="445">
        <v>10838080.380000001</v>
      </c>
      <c r="FN388" s="445">
        <v>1831359.63</v>
      </c>
      <c r="FO388" s="445">
        <v>1571862.21</v>
      </c>
      <c r="FP388" s="445">
        <v>839459.36</v>
      </c>
      <c r="FQ388" s="445">
        <v>11766381.15</v>
      </c>
      <c r="FR388" s="445">
        <v>44100000.039999999</v>
      </c>
    </row>
    <row r="389" spans="1:174" ht="30">
      <c r="D389" s="74" t="str">
        <f t="shared" si="95"/>
        <v>4612p</v>
      </c>
      <c r="E389" s="78" t="s">
        <v>359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5">
        <v>1633418.82</v>
      </c>
      <c r="FG389" s="445">
        <v>2527307.11</v>
      </c>
      <c r="FH389" s="445">
        <v>15808665.810000001</v>
      </c>
      <c r="FI389" s="445">
        <v>16675362.76</v>
      </c>
      <c r="FJ389" s="445">
        <v>178652835.22999999</v>
      </c>
      <c r="FK389" s="445">
        <v>9790699.6799999997</v>
      </c>
      <c r="FL389" s="445">
        <v>61633418.82</v>
      </c>
      <c r="FM389" s="445">
        <v>2916660.71</v>
      </c>
      <c r="FN389" s="445">
        <v>15999957.68</v>
      </c>
      <c r="FO389" s="445">
        <v>4579294.0199999996</v>
      </c>
      <c r="FP389" s="445">
        <v>9337046.5099999998</v>
      </c>
      <c r="FQ389" s="445">
        <v>9945332.8100000005</v>
      </c>
      <c r="FR389" s="445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361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2253720.0299999998</v>
      </c>
      <c r="FG390" s="9">
        <v>0</v>
      </c>
      <c r="FH390" s="9">
        <v>7180952.3800000008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363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365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367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1533053.84</v>
      </c>
      <c r="FR393" s="403">
        <v>18530001</v>
      </c>
    </row>
    <row r="394" spans="1:174" s="9" customFormat="1">
      <c r="A394" s="139" t="s">
        <v>94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369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4650583.3333333302</v>
      </c>
      <c r="FM394" s="403">
        <v>1650583.3333333333</v>
      </c>
      <c r="FN394" s="403">
        <v>1650583.3333333333</v>
      </c>
      <c r="FO394" s="403">
        <v>2317250</v>
      </c>
      <c r="FP394" s="403">
        <v>2317250</v>
      </c>
      <c r="FQ394" s="403">
        <v>2317250</v>
      </c>
      <c r="FR394" s="403">
        <v>20000000</v>
      </c>
    </row>
    <row r="395" spans="1:174">
      <c r="A395" s="74" t="s">
        <v>94</v>
      </c>
      <c r="B395" s="74" t="s">
        <v>94</v>
      </c>
      <c r="C395" s="74">
        <v>471</v>
      </c>
      <c r="D395" s="74" t="str">
        <f t="shared" si="113"/>
        <v>4710p</v>
      </c>
      <c r="E395" s="78" t="s">
        <v>371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5">
        <v>1650583.3333333333</v>
      </c>
      <c r="FG395" s="445">
        <v>1843583.3333333333</v>
      </c>
      <c r="FH395" s="445">
        <v>1650583.3333333333</v>
      </c>
      <c r="FI395" s="445">
        <v>1650583.3333333333</v>
      </c>
      <c r="FJ395" s="445">
        <v>1650583.3333333333</v>
      </c>
      <c r="FK395" s="445">
        <v>1650583.3333333333</v>
      </c>
      <c r="FL395" s="445">
        <f>1650583.33333333+3000000</f>
        <v>4650583.3333333302</v>
      </c>
      <c r="FM395" s="445">
        <v>1650583.3333333333</v>
      </c>
      <c r="FN395" s="445">
        <v>1650583.3333333333</v>
      </c>
      <c r="FO395" s="445">
        <f>3317250-1000000</f>
        <v>2317250</v>
      </c>
      <c r="FP395" s="445">
        <f>3317250-1000000</f>
        <v>2317250</v>
      </c>
      <c r="FQ395" s="445">
        <f>3317250-1000000</f>
        <v>2317250</v>
      </c>
      <c r="FR395" s="445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373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5"/>
    </row>
    <row r="397" spans="1:174">
      <c r="C397" s="74">
        <v>473</v>
      </c>
      <c r="D397" s="74" t="str">
        <f t="shared" si="113"/>
        <v>4730p</v>
      </c>
      <c r="E397" s="78" t="s">
        <v>375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694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3" sqref="B3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9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689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792</v>
      </c>
      <c r="F8" s="34" t="s">
        <v>793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41"/>
      <c r="E11" s="11" t="s">
        <v>776</v>
      </c>
      <c r="F11" s="12" t="s">
        <v>777</v>
      </c>
      <c r="G11" s="52" t="str">
        <f t="shared" si="0"/>
        <v>Mjesečni podaci 2019</v>
      </c>
    </row>
    <row r="12" spans="2:7">
      <c r="D12" s="41"/>
      <c r="E12" s="11" t="s">
        <v>774</v>
      </c>
      <c r="F12" s="12" t="s">
        <v>775</v>
      </c>
      <c r="G12" s="52" t="str">
        <f t="shared" si="0"/>
        <v>Mjesečni podaci 2018</v>
      </c>
    </row>
    <row r="13" spans="2:7">
      <c r="D13" s="41"/>
      <c r="E13" s="11" t="s">
        <v>749</v>
      </c>
      <c r="F13" s="12" t="s">
        <v>750</v>
      </c>
      <c r="G13" s="52" t="str">
        <f t="shared" si="0"/>
        <v>Mjesečni podaci 2017</v>
      </c>
    </row>
    <row r="14" spans="2:7">
      <c r="D14" s="41"/>
      <c r="E14" s="11" t="s">
        <v>727</v>
      </c>
      <c r="F14" s="12" t="s">
        <v>728</v>
      </c>
      <c r="G14" s="52" t="str">
        <f t="shared" si="0"/>
        <v>Mjesečni podaci 2016</v>
      </c>
    </row>
    <row r="15" spans="2:7">
      <c r="E15" s="11" t="s">
        <v>698</v>
      </c>
      <c r="F15" s="12" t="s">
        <v>699</v>
      </c>
      <c r="G15" s="52" t="str">
        <f t="shared" si="0"/>
        <v>Mjesečni podaci 2015</v>
      </c>
    </row>
    <row r="16" spans="2:7">
      <c r="E16" s="11" t="s">
        <v>12</v>
      </c>
      <c r="F16" s="12" t="s">
        <v>13</v>
      </c>
      <c r="G16" s="52" t="str">
        <f t="shared" si="0"/>
        <v>Mjesečni podaci 2014</v>
      </c>
    </row>
    <row r="17" spans="2:7">
      <c r="E17" s="11" t="s">
        <v>14</v>
      </c>
      <c r="F17" s="12" t="s">
        <v>15</v>
      </c>
      <c r="G17" s="52" t="str">
        <f t="shared" si="0"/>
        <v>Mjesečni podaci 2013</v>
      </c>
    </row>
    <row r="18" spans="2:7">
      <c r="E18" s="11" t="s">
        <v>751</v>
      </c>
      <c r="F18" s="12" t="s">
        <v>752</v>
      </c>
      <c r="G18" s="52" t="str">
        <f t="shared" si="0"/>
        <v>Mjesečni podaci 2012</v>
      </c>
    </row>
    <row r="19" spans="2:7">
      <c r="E19" s="11" t="s">
        <v>753</v>
      </c>
      <c r="F19" s="12" t="s">
        <v>754</v>
      </c>
      <c r="G19" s="52" t="str">
        <f t="shared" si="0"/>
        <v>Mjesečni podaci 2011</v>
      </c>
    </row>
    <row r="20" spans="2:7">
      <c r="E20" s="11" t="s">
        <v>16</v>
      </c>
      <c r="F20" s="12" t="s">
        <v>407</v>
      </c>
      <c r="G20" s="52" t="str">
        <f t="shared" si="0"/>
        <v>Istorijski podaci, od 2006</v>
      </c>
    </row>
    <row r="21" spans="2:7">
      <c r="E21" s="11" t="s">
        <v>17</v>
      </c>
      <c r="F21" s="12" t="s">
        <v>18</v>
      </c>
      <c r="G21" s="52" t="str">
        <f t="shared" si="0"/>
        <v>Javni dug</v>
      </c>
    </row>
    <row r="22" spans="2:7">
      <c r="E22" s="11" t="s">
        <v>414</v>
      </c>
      <c r="F22" s="12" t="s">
        <v>414</v>
      </c>
      <c r="G22" s="52" t="str">
        <f t="shared" si="0"/>
        <v>Plan</v>
      </c>
    </row>
    <row r="23" spans="2:7">
      <c r="E23" s="11" t="s">
        <v>415</v>
      </c>
      <c r="F23" s="12" t="s">
        <v>416</v>
      </c>
      <c r="G23" s="52" t="str">
        <f t="shared" si="0"/>
        <v>Ostvarenje</v>
      </c>
    </row>
    <row r="24" spans="2:7">
      <c r="D24" s="43"/>
      <c r="E24" s="33" t="s">
        <v>417</v>
      </c>
      <c r="F24" s="34" t="s">
        <v>418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690</v>
      </c>
      <c r="F27" s="16" t="s">
        <v>20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21</v>
      </c>
      <c r="F28" s="16" t="s">
        <v>22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23</v>
      </c>
      <c r="F29" s="19" t="s">
        <v>24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25</v>
      </c>
      <c r="F30" s="22" t="s">
        <v>26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27</v>
      </c>
      <c r="F31" s="22" t="s">
        <v>28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29</v>
      </c>
      <c r="F32" s="22" t="s">
        <v>30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31</v>
      </c>
      <c r="F33" s="22" t="s">
        <v>32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33</v>
      </c>
      <c r="F34" s="22" t="s">
        <v>34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35</v>
      </c>
      <c r="F35" s="22" t="s">
        <v>36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733</v>
      </c>
      <c r="F37" s="22" t="s">
        <v>38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39</v>
      </c>
      <c r="F38" s="19" t="s">
        <v>40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41</v>
      </c>
      <c r="F39" s="22" t="s">
        <v>42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43</v>
      </c>
      <c r="F40" s="22" t="s">
        <v>44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45</v>
      </c>
      <c r="F41" s="22" t="s">
        <v>46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47</v>
      </c>
      <c r="F42" s="22" t="s">
        <v>48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49</v>
      </c>
      <c r="F43" s="19" t="s">
        <v>50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51</v>
      </c>
      <c r="F44" s="22" t="s">
        <v>52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53</v>
      </c>
      <c r="F45" s="22" t="s">
        <v>54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55</v>
      </c>
      <c r="F46" s="22" t="s">
        <v>56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57</v>
      </c>
      <c r="F47" s="22" t="s">
        <v>58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59</v>
      </c>
      <c r="F48" s="22" t="s">
        <v>60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61</v>
      </c>
      <c r="F49" s="22" t="s">
        <v>62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63</v>
      </c>
      <c r="F50" s="19" t="s">
        <v>64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65</v>
      </c>
      <c r="F51" s="22" t="s">
        <v>66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67</v>
      </c>
      <c r="F52" s="22" t="s">
        <v>68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69</v>
      </c>
      <c r="F53" s="22" t="s">
        <v>70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71</v>
      </c>
      <c r="F54" s="22" t="s">
        <v>72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73</v>
      </c>
      <c r="F55" s="22" t="s">
        <v>74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75</v>
      </c>
      <c r="F56" s="22" t="s">
        <v>76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77</v>
      </c>
      <c r="F57" s="22" t="s">
        <v>78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79</v>
      </c>
      <c r="F58" s="22" t="s">
        <v>80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81</v>
      </c>
      <c r="F59" s="22" t="s">
        <v>82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83</v>
      </c>
      <c r="F60" s="19" t="s">
        <v>84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85</v>
      </c>
      <c r="F61" s="22" t="s">
        <v>86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87</v>
      </c>
      <c r="F62" s="22" t="s">
        <v>88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89</v>
      </c>
      <c r="F63" s="22" t="s">
        <v>90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91</v>
      </c>
      <c r="F64" s="22" t="s">
        <v>92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83</v>
      </c>
      <c r="F65" s="22" t="s">
        <v>93</v>
      </c>
      <c r="G65" s="52" t="str">
        <f t="shared" si="0"/>
        <v>Ostali prihodi</v>
      </c>
    </row>
    <row r="66" spans="2:7">
      <c r="B66" s="20"/>
      <c r="C66" s="45" t="s">
        <v>94</v>
      </c>
      <c r="D66" s="45">
        <v>72</v>
      </c>
      <c r="E66" s="23" t="s">
        <v>95</v>
      </c>
      <c r="F66" s="16" t="s">
        <v>96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97</v>
      </c>
      <c r="F67" s="22" t="s">
        <v>98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99</v>
      </c>
      <c r="F68" s="22" t="s">
        <v>100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101</v>
      </c>
      <c r="F69" s="16" t="s">
        <v>102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103</v>
      </c>
      <c r="F70" s="22" t="s">
        <v>104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105</v>
      </c>
      <c r="F71" s="22" t="s">
        <v>106</v>
      </c>
      <c r="G71" s="52" t="str">
        <f t="shared" si="0"/>
        <v>Sredstva prenesena iz prethodne godine</v>
      </c>
    </row>
    <row r="72" spans="2:7">
      <c r="B72" s="20"/>
      <c r="C72" s="45" t="s">
        <v>94</v>
      </c>
      <c r="D72" s="45">
        <v>74</v>
      </c>
      <c r="E72" s="23" t="s">
        <v>107</v>
      </c>
      <c r="F72" s="16" t="s">
        <v>108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109</v>
      </c>
      <c r="F73" s="22" t="s">
        <v>110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111</v>
      </c>
      <c r="F74" s="22" t="s">
        <v>112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113</v>
      </c>
      <c r="F75" s="16" t="s">
        <v>114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115</v>
      </c>
      <c r="F76" s="19" t="s">
        <v>114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116</v>
      </c>
      <c r="F77" s="22" t="s">
        <v>117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118</v>
      </c>
      <c r="F78" s="62" t="s">
        <v>119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771</v>
      </c>
      <c r="F79" s="16" t="s">
        <v>121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796</v>
      </c>
      <c r="F80" s="16" t="s">
        <v>797</v>
      </c>
      <c r="G80" s="52" t="str">
        <f t="shared" si="1"/>
        <v>Tekuća budžetska potrošnja</v>
      </c>
    </row>
    <row r="81" spans="2:7">
      <c r="B81" s="13"/>
      <c r="C81" s="44"/>
      <c r="D81" s="44">
        <v>41</v>
      </c>
      <c r="E81" s="15" t="s">
        <v>122</v>
      </c>
      <c r="F81" s="16" t="s">
        <v>123</v>
      </c>
      <c r="G81" s="52" t="str">
        <f t="shared" si="1"/>
        <v>Tekući izdaci</v>
      </c>
    </row>
    <row r="82" spans="2:7">
      <c r="B82" s="14" t="s">
        <v>94</v>
      </c>
      <c r="C82" s="46"/>
      <c r="D82" s="44">
        <v>411</v>
      </c>
      <c r="E82" s="18" t="s">
        <v>124</v>
      </c>
      <c r="F82" s="19" t="s">
        <v>125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126</v>
      </c>
      <c r="F83" s="22" t="s">
        <v>127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128</v>
      </c>
      <c r="F84" s="22" t="s">
        <v>26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129</v>
      </c>
      <c r="F85" s="22" t="s">
        <v>130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131</v>
      </c>
      <c r="F86" s="22" t="s">
        <v>132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133</v>
      </c>
      <c r="F87" s="22" t="s">
        <v>134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135</v>
      </c>
      <c r="F88" s="19" t="s">
        <v>136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137</v>
      </c>
      <c r="F89" s="22" t="s">
        <v>138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139</v>
      </c>
      <c r="F90" s="22" t="s">
        <v>140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141</v>
      </c>
      <c r="F91" s="22" t="s">
        <v>142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143</v>
      </c>
      <c r="F92" s="22" t="s">
        <v>144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145</v>
      </c>
      <c r="F93" s="22" t="s">
        <v>146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147</v>
      </c>
      <c r="F94" s="22" t="s">
        <v>148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81</v>
      </c>
      <c r="F95" s="22" t="s">
        <v>149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730</v>
      </c>
      <c r="F96" s="22" t="s">
        <v>732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150</v>
      </c>
      <c r="F97" s="19" t="s">
        <v>151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152</v>
      </c>
      <c r="F98" s="22" t="s">
        <v>153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154</v>
      </c>
      <c r="F99" s="22" t="s">
        <v>155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156</v>
      </c>
      <c r="F100" s="22" t="s">
        <v>157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158</v>
      </c>
      <c r="F101" s="22" t="s">
        <v>159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160</v>
      </c>
      <c r="F102" s="22" t="s">
        <v>161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162</v>
      </c>
      <c r="F103" s="22" t="s">
        <v>163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164</v>
      </c>
      <c r="F104" s="19" t="s">
        <v>165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166</v>
      </c>
      <c r="F105" s="22" t="s">
        <v>167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168</v>
      </c>
      <c r="F106" s="22" t="s">
        <v>169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170</v>
      </c>
      <c r="F107" s="22" t="s">
        <v>171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172</v>
      </c>
      <c r="F108" s="22" t="s">
        <v>173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174</v>
      </c>
      <c r="F109" s="22" t="s">
        <v>175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176</v>
      </c>
      <c r="F110" s="22" t="s">
        <v>177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178</v>
      </c>
      <c r="F111" s="22" t="s">
        <v>179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180</v>
      </c>
      <c r="F112" s="22" t="s">
        <v>181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182</v>
      </c>
      <c r="F113" s="22" t="s">
        <v>183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184</v>
      </c>
      <c r="F114" s="19" t="s">
        <v>185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186</v>
      </c>
      <c r="F115" s="22" t="s">
        <v>187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188</v>
      </c>
      <c r="F116" s="22" t="s">
        <v>189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190</v>
      </c>
      <c r="F117" s="22" t="s">
        <v>191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192</v>
      </c>
      <c r="F118" s="19" t="s">
        <v>193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194</v>
      </c>
      <c r="F119" s="22" t="s">
        <v>195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196</v>
      </c>
      <c r="F120" s="22" t="s">
        <v>197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198</v>
      </c>
      <c r="F121" s="19" t="s">
        <v>199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200</v>
      </c>
      <c r="F122" s="22" t="s">
        <v>201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202</v>
      </c>
      <c r="F123" s="22" t="s">
        <v>203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204</v>
      </c>
      <c r="F124" s="22" t="s">
        <v>205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206</v>
      </c>
      <c r="F125" s="19" t="s">
        <v>207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208</v>
      </c>
      <c r="F126" s="22" t="s">
        <v>209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210</v>
      </c>
      <c r="F127" s="22" t="s">
        <v>211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212</v>
      </c>
      <c r="F128" s="22" t="s">
        <v>213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214</v>
      </c>
      <c r="F129" s="19" t="s">
        <v>215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216</v>
      </c>
      <c r="F130" s="22" t="s">
        <v>217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218</v>
      </c>
      <c r="F131" s="22" t="s">
        <v>219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220</v>
      </c>
      <c r="F132" s="22" t="s">
        <v>221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222</v>
      </c>
      <c r="F133" s="22" t="s">
        <v>223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224</v>
      </c>
      <c r="F134" s="22" t="s">
        <v>225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226</v>
      </c>
      <c r="F135" s="22" t="s">
        <v>227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228</v>
      </c>
      <c r="F136" s="22" t="s">
        <v>229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49</v>
      </c>
      <c r="F137" s="22" t="s">
        <v>64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230</v>
      </c>
      <c r="F138" s="22" t="s">
        <v>231</v>
      </c>
      <c r="G138" s="52" t="str">
        <f t="shared" si="1"/>
        <v>Ostalo</v>
      </c>
    </row>
    <row r="139" spans="2:7">
      <c r="B139" s="25"/>
      <c r="C139" s="44" t="s">
        <v>94</v>
      </c>
      <c r="D139" s="44">
        <v>42</v>
      </c>
      <c r="E139" s="15" t="s">
        <v>232</v>
      </c>
      <c r="F139" s="16" t="s">
        <v>233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234</v>
      </c>
      <c r="F140" s="19" t="s">
        <v>235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94</v>
      </c>
      <c r="D141" s="49">
        <v>4211</v>
      </c>
      <c r="E141" s="21" t="s">
        <v>236</v>
      </c>
      <c r="F141" s="22" t="s">
        <v>237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238</v>
      </c>
      <c r="F142" s="22" t="s">
        <v>239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240</v>
      </c>
      <c r="F143" s="22" t="s">
        <v>241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242</v>
      </c>
      <c r="F144" s="22" t="s">
        <v>243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244</v>
      </c>
      <c r="F145" s="22" t="s">
        <v>245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246</v>
      </c>
      <c r="F146" s="22" t="s">
        <v>247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248</v>
      </c>
      <c r="F147" s="22" t="s">
        <v>249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730</v>
      </c>
      <c r="F148" s="22" t="s">
        <v>731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250</v>
      </c>
      <c r="F149" s="19" t="s">
        <v>251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252</v>
      </c>
      <c r="F150" s="22" t="s">
        <v>253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254</v>
      </c>
      <c r="F151" s="22" t="s">
        <v>255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256</v>
      </c>
      <c r="F152" s="22" t="s">
        <v>257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258</v>
      </c>
      <c r="F153" s="22" t="s">
        <v>259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230</v>
      </c>
      <c r="F154" s="22" t="s">
        <v>260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261</v>
      </c>
      <c r="F155" s="19" t="s">
        <v>262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263</v>
      </c>
      <c r="F156" s="22" t="s">
        <v>264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265</v>
      </c>
      <c r="F157" s="22" t="s">
        <v>266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267</v>
      </c>
      <c r="F158" s="22" t="s">
        <v>268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63</v>
      </c>
      <c r="F159" s="22" t="s">
        <v>269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270</v>
      </c>
      <c r="F160" s="22" t="s">
        <v>271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272</v>
      </c>
      <c r="F161" s="22" t="s">
        <v>273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274</v>
      </c>
      <c r="F162" s="22" t="s">
        <v>275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276</v>
      </c>
      <c r="F163" s="19" t="s">
        <v>277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278</v>
      </c>
      <c r="F164" s="22" t="s">
        <v>279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280</v>
      </c>
      <c r="F165" s="19" t="s">
        <v>281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282</v>
      </c>
      <c r="F166" s="22" t="s">
        <v>283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284</v>
      </c>
      <c r="F167" s="22" t="s">
        <v>285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286</v>
      </c>
      <c r="F168" s="22" t="s">
        <v>287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288</v>
      </c>
      <c r="F169" s="16" t="s">
        <v>289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94</v>
      </c>
      <c r="C170" s="46"/>
      <c r="D170" s="44">
        <v>431</v>
      </c>
      <c r="E170" s="18" t="s">
        <v>288</v>
      </c>
      <c r="F170" s="19" t="s">
        <v>289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94</v>
      </c>
      <c r="C171" s="49"/>
      <c r="D171" s="49">
        <v>4311</v>
      </c>
      <c r="E171" s="21" t="s">
        <v>290</v>
      </c>
      <c r="F171" s="22" t="s">
        <v>291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292</v>
      </c>
      <c r="F172" s="22" t="s">
        <v>293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294</v>
      </c>
      <c r="F173" s="22" t="s">
        <v>295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296</v>
      </c>
      <c r="F174" s="22" t="s">
        <v>297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298</v>
      </c>
      <c r="F175" s="22" t="s">
        <v>299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300</v>
      </c>
      <c r="F176" s="22" t="s">
        <v>301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302</v>
      </c>
      <c r="F177" s="22" t="s">
        <v>303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304</v>
      </c>
      <c r="F178" s="22" t="s">
        <v>305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306</v>
      </c>
      <c r="F179" s="22" t="s">
        <v>307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308</v>
      </c>
      <c r="F180" s="19" t="s">
        <v>309</v>
      </c>
      <c r="G180" s="52" t="str">
        <f t="shared" si="2"/>
        <v xml:space="preserve">Ostali transferi </v>
      </c>
    </row>
    <row r="181" spans="2:7" ht="23.25">
      <c r="B181" s="14" t="s">
        <v>94</v>
      </c>
      <c r="C181" s="49"/>
      <c r="D181" s="49">
        <v>4321</v>
      </c>
      <c r="E181" s="21" t="s">
        <v>310</v>
      </c>
      <c r="F181" s="22" t="s">
        <v>311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312</v>
      </c>
      <c r="F182" s="22" t="s">
        <v>313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314</v>
      </c>
      <c r="F183" s="22" t="s">
        <v>315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316</v>
      </c>
      <c r="F184" s="22" t="s">
        <v>317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318</v>
      </c>
      <c r="F185" s="22" t="s">
        <v>319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320</v>
      </c>
      <c r="F186" s="22" t="s">
        <v>321</v>
      </c>
      <c r="G186" s="52" t="str">
        <f t="shared" si="2"/>
        <v>Transferi javnim preduzećima</v>
      </c>
    </row>
    <row r="187" spans="2:7">
      <c r="B187" s="25"/>
      <c r="C187" s="44" t="s">
        <v>94</v>
      </c>
      <c r="D187" s="44">
        <v>44</v>
      </c>
      <c r="E187" s="15" t="s">
        <v>549</v>
      </c>
      <c r="F187" s="16" t="s">
        <v>323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420</v>
      </c>
      <c r="F188" s="16" t="s">
        <v>421</v>
      </c>
      <c r="G188" s="52" t="str">
        <f t="shared" si="2"/>
        <v>Kapitalni izdaci u tekućem budžetu</v>
      </c>
    </row>
    <row r="189" spans="2:7">
      <c r="B189" s="14" t="s">
        <v>94</v>
      </c>
      <c r="C189" s="46"/>
      <c r="D189" s="44">
        <v>441</v>
      </c>
      <c r="E189" s="18" t="s">
        <v>322</v>
      </c>
      <c r="F189" s="19" t="s">
        <v>323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324</v>
      </c>
      <c r="F190" s="22" t="s">
        <v>325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326</v>
      </c>
      <c r="F191" s="22" t="s">
        <v>327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328</v>
      </c>
      <c r="F192" s="22" t="s">
        <v>329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330</v>
      </c>
      <c r="F193" s="22" t="s">
        <v>331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332</v>
      </c>
      <c r="F194" s="22" t="s">
        <v>333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334</v>
      </c>
      <c r="F195" s="22" t="s">
        <v>335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336</v>
      </c>
      <c r="F196" s="22" t="s">
        <v>337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338</v>
      </c>
      <c r="F197" s="22" t="s">
        <v>339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340</v>
      </c>
      <c r="F198" s="22" t="s">
        <v>341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342</v>
      </c>
      <c r="F199" s="16" t="s">
        <v>343</v>
      </c>
      <c r="G199" s="52" t="str">
        <f t="shared" si="2"/>
        <v>Krediti i pozajmice</v>
      </c>
    </row>
    <row r="200" spans="2:7">
      <c r="B200" s="14" t="s">
        <v>94</v>
      </c>
      <c r="C200" s="46"/>
      <c r="D200" s="44">
        <v>451</v>
      </c>
      <c r="E200" s="18" t="s">
        <v>115</v>
      </c>
      <c r="F200" s="19" t="s">
        <v>343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344</v>
      </c>
      <c r="F201" s="22" t="s">
        <v>345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346</v>
      </c>
      <c r="F202" s="22" t="s">
        <v>347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348</v>
      </c>
      <c r="F203" s="22" t="s">
        <v>349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350</v>
      </c>
      <c r="F204" s="22" t="s">
        <v>351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352</v>
      </c>
      <c r="F205" s="22" t="s">
        <v>353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354</v>
      </c>
      <c r="F206" s="16" t="s">
        <v>355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94</v>
      </c>
      <c r="C207" s="46"/>
      <c r="D207" s="44">
        <v>461</v>
      </c>
      <c r="E207" s="18" t="s">
        <v>356</v>
      </c>
      <c r="F207" s="19" t="s">
        <v>355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357</v>
      </c>
      <c r="F208" s="22" t="s">
        <v>358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359</v>
      </c>
      <c r="F209" s="22" t="s">
        <v>360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361</v>
      </c>
      <c r="F210" s="19" t="s">
        <v>362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363</v>
      </c>
      <c r="F211" s="22" t="s">
        <v>364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365</v>
      </c>
      <c r="F212" s="22" t="s">
        <v>366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367</v>
      </c>
      <c r="F213" s="19" t="s">
        <v>368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369</v>
      </c>
      <c r="F214" s="29" t="s">
        <v>370</v>
      </c>
      <c r="G214" s="52" t="str">
        <f t="shared" si="3"/>
        <v>Rezerve</v>
      </c>
    </row>
    <row r="215" spans="2:7">
      <c r="B215" s="14" t="s">
        <v>94</v>
      </c>
      <c r="C215" s="49">
        <v>471</v>
      </c>
      <c r="D215" s="49">
        <v>4710</v>
      </c>
      <c r="E215" s="30" t="s">
        <v>371</v>
      </c>
      <c r="F215" s="31" t="s">
        <v>372</v>
      </c>
      <c r="G215" s="52" t="str">
        <f t="shared" si="3"/>
        <v>Tekuća budžetska rezerva</v>
      </c>
    </row>
    <row r="216" spans="2:7">
      <c r="B216" s="25" t="s">
        <v>94</v>
      </c>
      <c r="C216" s="49">
        <v>472</v>
      </c>
      <c r="D216" s="49">
        <v>4720</v>
      </c>
      <c r="E216" s="30" t="s">
        <v>373</v>
      </c>
      <c r="F216" s="31" t="s">
        <v>374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375</v>
      </c>
      <c r="F217" s="36" t="s">
        <v>376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552</v>
      </c>
      <c r="F219" s="96" t="s">
        <v>553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554</v>
      </c>
      <c r="F220" s="96" t="s">
        <v>555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94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550</v>
      </c>
      <c r="F222" s="96" t="s">
        <v>556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551</v>
      </c>
      <c r="F223" s="96" t="s">
        <v>557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558</v>
      </c>
      <c r="F225" s="96" t="s">
        <v>559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694</v>
      </c>
      <c r="F227" s="96" t="s">
        <v>695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422</v>
      </c>
      <c r="D231" s="49">
        <v>1</v>
      </c>
      <c r="E231" s="9" t="s">
        <v>377</v>
      </c>
      <c r="F231" s="10" t="s">
        <v>378</v>
      </c>
      <c r="G231" s="52" t="str">
        <f t="shared" si="3"/>
        <v>Januar</v>
      </c>
    </row>
    <row r="232" spans="2:7">
      <c r="C232" s="41" t="s">
        <v>427</v>
      </c>
      <c r="D232" s="49">
        <v>2</v>
      </c>
      <c r="E232" s="9" t="s">
        <v>379</v>
      </c>
      <c r="F232" s="10" t="s">
        <v>380</v>
      </c>
      <c r="G232" s="52" t="str">
        <f t="shared" si="3"/>
        <v>Februar</v>
      </c>
    </row>
    <row r="233" spans="2:7">
      <c r="C233" s="41" t="s">
        <v>428</v>
      </c>
      <c r="D233" s="49">
        <v>3</v>
      </c>
      <c r="E233" s="9" t="s">
        <v>381</v>
      </c>
      <c r="F233" s="10" t="s">
        <v>382</v>
      </c>
      <c r="G233" s="52" t="str">
        <f t="shared" si="3"/>
        <v>Mart</v>
      </c>
    </row>
    <row r="234" spans="2:7">
      <c r="D234" s="49">
        <v>4</v>
      </c>
      <c r="E234" s="9" t="s">
        <v>383</v>
      </c>
      <c r="F234" s="10" t="s">
        <v>383</v>
      </c>
      <c r="G234" s="52" t="str">
        <f t="shared" si="3"/>
        <v>April</v>
      </c>
    </row>
    <row r="235" spans="2:7">
      <c r="D235" s="49">
        <v>5</v>
      </c>
      <c r="E235" s="9" t="s">
        <v>384</v>
      </c>
      <c r="F235" s="10" t="s">
        <v>385</v>
      </c>
      <c r="G235" s="52" t="str">
        <f t="shared" si="3"/>
        <v>Maj</v>
      </c>
    </row>
    <row r="236" spans="2:7">
      <c r="D236" s="49">
        <v>6</v>
      </c>
      <c r="E236" s="9" t="s">
        <v>386</v>
      </c>
      <c r="F236" s="10" t="s">
        <v>387</v>
      </c>
      <c r="G236" s="52" t="str">
        <f t="shared" si="3"/>
        <v>Jun</v>
      </c>
    </row>
    <row r="237" spans="2:7">
      <c r="D237" s="49">
        <v>7</v>
      </c>
      <c r="E237" s="9" t="s">
        <v>388</v>
      </c>
      <c r="F237" s="10" t="s">
        <v>389</v>
      </c>
      <c r="G237" s="52" t="str">
        <f t="shared" si="3"/>
        <v>Jul</v>
      </c>
    </row>
    <row r="238" spans="2:7">
      <c r="D238" s="49">
        <v>8</v>
      </c>
      <c r="E238" s="9" t="s">
        <v>390</v>
      </c>
      <c r="F238" s="10" t="s">
        <v>391</v>
      </c>
      <c r="G238" s="52" t="str">
        <f t="shared" si="3"/>
        <v>Avgust</v>
      </c>
    </row>
    <row r="239" spans="2:7">
      <c r="D239" s="49">
        <v>9</v>
      </c>
      <c r="E239" s="9" t="s">
        <v>392</v>
      </c>
      <c r="F239" s="10" t="s">
        <v>393</v>
      </c>
      <c r="G239" s="52" t="str">
        <f t="shared" si="3"/>
        <v>Septembar</v>
      </c>
    </row>
    <row r="240" spans="2:7">
      <c r="D240" s="49">
        <v>10</v>
      </c>
      <c r="E240" s="9" t="s">
        <v>394</v>
      </c>
      <c r="F240" s="10" t="s">
        <v>395</v>
      </c>
      <c r="G240" s="52" t="str">
        <f t="shared" si="3"/>
        <v>Oktobar</v>
      </c>
    </row>
    <row r="241" spans="4:7">
      <c r="D241" s="49">
        <v>11</v>
      </c>
      <c r="E241" s="9" t="s">
        <v>396</v>
      </c>
      <c r="F241" s="10" t="s">
        <v>397</v>
      </c>
      <c r="G241" s="52" t="str">
        <f t="shared" si="3"/>
        <v>Novembar</v>
      </c>
    </row>
    <row r="242" spans="4:7">
      <c r="D242" s="49">
        <v>12</v>
      </c>
      <c r="E242" s="9" t="s">
        <v>398</v>
      </c>
      <c r="F242" s="10" t="s">
        <v>399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Septembar</v>
      </c>
    </row>
    <row r="245" spans="4:7">
      <c r="D245" s="49"/>
      <c r="E245" s="9"/>
      <c r="F245" s="10"/>
      <c r="G245" s="52" t="str">
        <f>+CONCATENATE("Jan - ",LEFT(G244,3))</f>
        <v>Jan - Sep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425</v>
      </c>
      <c r="F248" s="10" t="s">
        <v>426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563</v>
      </c>
      <c r="F251" s="10" t="s">
        <v>560</v>
      </c>
      <c r="G251" s="52" t="str">
        <f t="shared" si="3"/>
        <v>Ostvarenje budžeta</v>
      </c>
    </row>
    <row r="252" spans="4:7">
      <c r="D252" s="46"/>
      <c r="E252" s="9" t="s">
        <v>561</v>
      </c>
      <c r="F252" s="10" t="s">
        <v>562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Septembar</v>
      </c>
      <c r="F253" s="10" t="str">
        <f>+CONCATENATE("Analytics for period ",G244)</f>
        <v>Analytics for period Septembar</v>
      </c>
      <c r="G253" s="52" t="str">
        <f>+IF(ISBLANK(IF($B$2=1,E253,F253)),"",IF($B$2=1,E253,F253))</f>
        <v>Analitika za period Septembar</v>
      </c>
    </row>
    <row r="254" spans="4:7">
      <c r="D254" s="46"/>
      <c r="E254" s="9" t="str">
        <f>+CONCATENATE("Analitika za period ",G245)</f>
        <v>Analitika za period Jan - Sep</v>
      </c>
      <c r="F254" s="10" t="str">
        <f>+CONCATENATE("Analytics for period ",G245)</f>
        <v>Analytics for period Jan - Sep</v>
      </c>
      <c r="G254" s="52" t="str">
        <f>+IF(ISBLANK(IF($B$2=1,E254,F254)),"",IF($B$2=1,E254,F254))</f>
        <v>Analitika za period Jan - Sep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414</v>
      </c>
      <c r="F257" s="10" t="s">
        <v>414</v>
      </c>
      <c r="G257" s="52" t="str">
        <f t="shared" si="3"/>
        <v>Plan</v>
      </c>
    </row>
    <row r="258" spans="4:7">
      <c r="D258" s="46"/>
      <c r="E258" s="9" t="s">
        <v>415</v>
      </c>
      <c r="F258" s="10" t="s">
        <v>416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686</v>
      </c>
      <c r="F260" s="10" t="s">
        <v>687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691</v>
      </c>
      <c r="F262" s="10" t="s">
        <v>692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424</v>
      </c>
      <c r="E269" s="9" t="s">
        <v>400</v>
      </c>
      <c r="F269" s="10" t="s">
        <v>401</v>
      </c>
      <c r="G269" s="52" t="str">
        <f>+CONCATENATE(IF(ISBLANK(IF($B$2=1,E269,F269)),"",IF($B$2=1,E269,F269))," ",$G$244)</f>
        <v>Prihodi za mjesec Septembar</v>
      </c>
    </row>
    <row r="270" spans="4:7">
      <c r="E270" s="9" t="s">
        <v>402</v>
      </c>
      <c r="F270" s="10" t="s">
        <v>403</v>
      </c>
      <c r="G270" s="52" t="str">
        <f>+CONCATENATE(IF(ISBLANK(IF($B$2=1,E270,F270)),"",IF($B$2=1,E270,F270))," ",$G$244)</f>
        <v>Rashodi za mjesec Septembar</v>
      </c>
    </row>
    <row r="271" spans="4:7">
      <c r="E271" s="9" t="s">
        <v>736</v>
      </c>
      <c r="F271" s="10" t="s">
        <v>404</v>
      </c>
      <c r="G271" s="52" t="str">
        <f>+CONCATENATE(IF(ISBLANK(IF($B$2=1,E271,F271)),"",IF($B$2=1,E271,F271))," ",$G$244)</f>
        <v>Suficit/Deficit za mjesec Septembar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",$G$244)</f>
        <v>Prihodi za period Januar - Septembar</v>
      </c>
    </row>
    <row r="274" spans="5:7">
      <c r="E274" s="9" t="s">
        <v>406</v>
      </c>
      <c r="F274" s="10" t="s">
        <v>409</v>
      </c>
      <c r="G274" s="52" t="str">
        <f>+CONCATENATE(IF(ISBLANK(IF($B$2=1,E274,F274)),"",IF($B$2=1,E274,F274))," ",$G$244)</f>
        <v>Rashodi za period Januar - Septembar</v>
      </c>
    </row>
    <row r="275" spans="5:7">
      <c r="E275" s="9" t="s">
        <v>794</v>
      </c>
      <c r="F275" s="10" t="s">
        <v>795</v>
      </c>
      <c r="G275" s="52" t="str">
        <f>+CONCATENATE(IF(ISBLANK(IF($B$2=1,E275,F275)),"",IF($B$2=1,E275,F275))," ",$G$244)</f>
        <v>Suficit/Deficit za period Januar - Septembar</v>
      </c>
    </row>
    <row r="277" spans="5:7">
      <c r="E277" s="9" t="s">
        <v>412</v>
      </c>
      <c r="F277" s="10" t="s">
        <v>413</v>
      </c>
      <c r="G277" s="52" t="str">
        <f t="shared" si="3"/>
        <v>Stanje javnog duga (% BDP)</v>
      </c>
    </row>
    <row r="279" spans="5:7">
      <c r="E279" s="9" t="s">
        <v>410</v>
      </c>
      <c r="F279" s="10" t="s">
        <v>411</v>
      </c>
      <c r="G279" s="52" t="str">
        <f t="shared" si="3"/>
        <v>Pregled</v>
      </c>
    </row>
    <row r="281" spans="5:7" ht="60">
      <c r="E281" s="301" t="s">
        <v>696</v>
      </c>
      <c r="F281" s="60" t="s">
        <v>697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D34" sqref="D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državni budžet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Septembar</v>
      </c>
      <c r="E11" s="157"/>
      <c r="F11" s="157"/>
      <c r="G11" s="157"/>
      <c r="H11" s="318" t="str">
        <f>+Master!G273</f>
        <v>Prihodi za period Januar - Septembar</v>
      </c>
      <c r="I11" s="319"/>
      <c r="J11" s="307"/>
      <c r="K11" s="158"/>
    </row>
    <row r="12" spans="3:11">
      <c r="C12" s="156"/>
      <c r="D12" s="160">
        <f>+'Analitika - 2019'!N10</f>
        <v>165941980.95000002</v>
      </c>
      <c r="E12" s="161">
        <f>+D12/'2019'!T7</f>
        <v>3.4547494628692776E-2</v>
      </c>
      <c r="F12" s="157"/>
      <c r="G12" s="157"/>
      <c r="H12" s="320">
        <f>+'Analitika - 2019'!G10</f>
        <v>1338159888.74</v>
      </c>
      <c r="I12" s="321">
        <f>+H12/'2019'!T7</f>
        <v>0.27859177830658088</v>
      </c>
      <c r="J12" s="307"/>
      <c r="K12" s="158"/>
    </row>
    <row r="13" spans="3:11">
      <c r="C13" s="156"/>
      <c r="D13" s="162" t="s">
        <v>423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Septembar</v>
      </c>
      <c r="E15" s="157"/>
      <c r="F15" s="157"/>
      <c r="G15" s="157"/>
      <c r="H15" s="318" t="str">
        <f>+Master!G274</f>
        <v>Rashodi za period Januar - Septembar</v>
      </c>
      <c r="I15" s="319"/>
      <c r="J15" s="307"/>
      <c r="K15" s="158"/>
    </row>
    <row r="16" spans="3:11">
      <c r="C16" s="156"/>
      <c r="D16" s="160">
        <f>+'Analitika - 2019'!N29</f>
        <v>149255331.76999998</v>
      </c>
      <c r="E16" s="161">
        <f>+D16/'2019'!T7</f>
        <v>3.1073497755709611E-2</v>
      </c>
      <c r="F16" s="157"/>
      <c r="G16" s="157"/>
      <c r="H16" s="320">
        <f>+'Analitika - 2019'!G29</f>
        <v>1376541027.29</v>
      </c>
      <c r="I16" s="321">
        <f>+H16/'2019'!T7</f>
        <v>0.28658235531613679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Septembar</v>
      </c>
      <c r="E19" s="157"/>
      <c r="F19" s="157"/>
      <c r="G19" s="157"/>
      <c r="H19" s="318" t="str">
        <f>+Master!G275</f>
        <v>Suficit/Deficit za period Januar - Septembar</v>
      </c>
      <c r="I19" s="319"/>
      <c r="J19" s="307"/>
      <c r="K19" s="158"/>
    </row>
    <row r="20" spans="3:11">
      <c r="C20" s="156"/>
      <c r="D20" s="160">
        <f>+'Analitika - 2019'!N55</f>
        <v>16686649.180000037</v>
      </c>
      <c r="E20" s="161">
        <f>+D20/'2019'!T7</f>
        <v>3.473996872983165E-3</v>
      </c>
      <c r="F20" s="157"/>
      <c r="G20" s="157"/>
      <c r="H20" s="320">
        <f>+'Analitika - 2019'!G55</f>
        <v>-38381138.549999997</v>
      </c>
      <c r="I20" s="321">
        <f>+H20/'2019'!T7</f>
        <v>-7.9905770095559294E-3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08"/>
      <c r="E22" s="509"/>
      <c r="F22" s="509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3"/>
  <sheetViews>
    <sheetView zoomScaleNormal="100" workbookViewId="0">
      <pane ySplit="5" topLeftCell="A15" activePane="bottomLeft" state="frozen"/>
      <selection activeCell="DK219" sqref="DK219"/>
      <selection pane="bottomLeft" activeCell="G30" sqref="G3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2019-09</v>
      </c>
      <c r="O6" s="168" t="str">
        <f>+CONCATENATE(N6,"p")</f>
        <v>2019-09p</v>
      </c>
      <c r="P6" s="152"/>
      <c r="Q6" s="152"/>
      <c r="R6" s="168" t="str">
        <f>+IF(Master!B3-10&gt;=0,CONCATENATE(Master!B4-1,"-",Master!B3),CONCATENATE(Master!B4-1,"-0",Master!B3))</f>
        <v>2018-09</v>
      </c>
      <c r="S6" s="152"/>
      <c r="T6" s="152"/>
    </row>
    <row r="7" spans="1:20">
      <c r="A7" s="169"/>
      <c r="B7" s="462" t="str">
        <f>+Master!G253</f>
        <v>Analitika za period Septembar</v>
      </c>
      <c r="C7" s="463"/>
      <c r="D7" s="463"/>
      <c r="E7" s="463"/>
      <c r="F7" s="463"/>
      <c r="G7" s="471" t="str">
        <f>+Master!G245</f>
        <v>Jan - Sep</v>
      </c>
      <c r="H7" s="472"/>
      <c r="I7" s="472"/>
      <c r="J7" s="472"/>
      <c r="K7" s="472"/>
      <c r="L7" s="472"/>
      <c r="M7" s="473"/>
      <c r="N7" s="474" t="str">
        <f>+Master!G244</f>
        <v>Septembar</v>
      </c>
      <c r="O7" s="472"/>
      <c r="P7" s="472"/>
      <c r="Q7" s="472"/>
      <c r="R7" s="472"/>
      <c r="S7" s="472"/>
      <c r="T7" s="475"/>
    </row>
    <row r="8" spans="1:20">
      <c r="A8" s="169"/>
      <c r="B8" s="464"/>
      <c r="C8" s="465"/>
      <c r="D8" s="465"/>
      <c r="E8" s="465"/>
      <c r="F8" s="466"/>
      <c r="G8" s="170" t="str">
        <f>+Master!G23</f>
        <v>Ostvarenje</v>
      </c>
      <c r="H8" s="170" t="str">
        <f>+Master!G22</f>
        <v>Plan</v>
      </c>
      <c r="I8" s="458" t="str">
        <f>+Master!G260</f>
        <v>Odstupanje</v>
      </c>
      <c r="J8" s="458"/>
      <c r="K8" s="170" t="str">
        <f>+CONCATENATE(Master!G245," ",Master!B4-1)</f>
        <v>Jan - Sep 2018</v>
      </c>
      <c r="L8" s="458" t="str">
        <f>+I8</f>
        <v>Odstupanje</v>
      </c>
      <c r="M8" s="470"/>
      <c r="N8" s="171" t="str">
        <f>+G8</f>
        <v>Ostvarenje</v>
      </c>
      <c r="O8" s="170" t="str">
        <f>+H8</f>
        <v>Plan</v>
      </c>
      <c r="P8" s="458" t="str">
        <f>+I8</f>
        <v>Odstupanje</v>
      </c>
      <c r="Q8" s="458"/>
      <c r="R8" s="170" t="str">
        <f>+CONCATENATE(Master!G244," ",Master!B4-1)</f>
        <v>Septembar 2018</v>
      </c>
      <c r="S8" s="458" t="str">
        <f>+P8</f>
        <v>Odstupanje</v>
      </c>
      <c r="T8" s="459"/>
    </row>
    <row r="9" spans="1:20" ht="15.7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504" t="str">
        <f>+VLOOKUP($A10,Master!$D$27:$G$225,4,FALSE)</f>
        <v>Prihodi budžeta</v>
      </c>
      <c r="C10" s="505"/>
      <c r="D10" s="505"/>
      <c r="E10" s="505"/>
      <c r="F10" s="505"/>
      <c r="G10" s="176">
        <f>+SUMPRODUCT(('2019'!$G10:$R10)*('2019'!$G$5:$R$5&lt;=Master!$B$3)*($A10='2019'!$A$10:$A$66))</f>
        <v>1338159888.74</v>
      </c>
      <c r="H10" s="176">
        <f>+SUMPRODUCT(('2019'!$G105:$R105)*('2019'!$G$5:$R$5&lt;=Master!$B$3))</f>
        <v>1303552944.387578</v>
      </c>
      <c r="I10" s="177">
        <f>+G10-H10</f>
        <v>34606944.352421999</v>
      </c>
      <c r="J10" s="178">
        <f>+IF(ISNUMBER(G10/H10-1),G10/H10-1,"…")</f>
        <v>2.6548169371579E-2</v>
      </c>
      <c r="K10" s="176">
        <f>+SUMPRODUCT(('2018'!$G10:$R10)*('2018'!$G$5:$R$5&lt;=Master!$B$3))</f>
        <v>1273003066.5300002</v>
      </c>
      <c r="L10" s="177">
        <f>+G10-K10</f>
        <v>65156822.2099998</v>
      </c>
      <c r="M10" s="179">
        <f>+IF(ISNUMBER(G10/K10-1),G10/K10-1,"…")</f>
        <v>5.1183554795045882E-2</v>
      </c>
      <c r="N10" s="176">
        <f>+INDEX('2019'!$1:$1048576,MATCH('Analitika - 2019'!$A10,'2019'!$A:$A,0),MATCH('Analitika - 2019'!$N$6,'2019'!$6:$6,0))</f>
        <v>165941980.95000002</v>
      </c>
      <c r="O10" s="176">
        <f>+INDEX('2019'!$1:$1048576,MATCH(CONCATENATE('Analitika - 2019'!$A10,"p"),'2019'!$A:$A,0),MATCH('Analitika - 2019'!$O$6,'2019'!$101:$101,0))</f>
        <v>151400956.73161691</v>
      </c>
      <c r="P10" s="177">
        <f>+N10-O10</f>
        <v>14541024.218383104</v>
      </c>
      <c r="Q10" s="178">
        <f>+IF(ISNUMBER(N10/O10-1),N10/O10-1,"…")</f>
        <v>9.6043146174825456E-2</v>
      </c>
      <c r="R10" s="176">
        <f>+INDEX('2018'!$1:$1048576,MATCH('Analitika - 2019'!$A10,'2018'!$A:$A,0),MATCH('Analitika - 2019'!$R$6,'2018'!$6:$6,0))</f>
        <v>187333296.65000001</v>
      </c>
      <c r="S10" s="177">
        <f>+N10-R10</f>
        <v>-21391315.699999988</v>
      </c>
      <c r="T10" s="179">
        <f>+IF(ISNUMBER(N10/R10-1),N10/R10-1,"…")</f>
        <v>-0.11418854033175951</v>
      </c>
    </row>
    <row r="11" spans="1:20">
      <c r="A11" s="175">
        <v>711</v>
      </c>
      <c r="B11" s="506" t="str">
        <f>+VLOOKUP($A11,Master!$D$27:$G$225,4,FALSE)</f>
        <v>Porezi</v>
      </c>
      <c r="C11" s="507"/>
      <c r="D11" s="507"/>
      <c r="E11" s="507"/>
      <c r="F11" s="507"/>
      <c r="G11" s="341">
        <f>+SUMPRODUCT(('2019'!$G11:$R11)*('2019'!$G$5:$R$5&lt;=Master!$B$3)*($A11='2019'!$A$10:$A$66))</f>
        <v>878844461.47000003</v>
      </c>
      <c r="H11" s="341">
        <f>+SUMPRODUCT(('2019'!$G106:$R106)*('2019'!$G$5:$R$5&lt;=Master!$B$3))</f>
        <v>849090792.91920161</v>
      </c>
      <c r="I11" s="183">
        <f t="shared" ref="I11:I59" si="0">+G11-H11</f>
        <v>29753668.550798416</v>
      </c>
      <c r="J11" s="184">
        <f t="shared" ref="J11:J59" si="1">+IF(ISNUMBER(G11/H11-1),G11/H11-1,"…")</f>
        <v>3.5041798590824902E-2</v>
      </c>
      <c r="K11" s="341">
        <f>+SUMPRODUCT(('2018'!$G11:$R11)*('2018'!$G$5:$R$5&lt;=Master!$B$3))</f>
        <v>806018384.75999999</v>
      </c>
      <c r="L11" s="183">
        <f>+G11-K11</f>
        <v>72826076.710000038</v>
      </c>
      <c r="M11" s="185">
        <f t="shared" ref="M11:M59" si="2">+IF(ISNUMBER(G11/K11-1),G11/K11-1,"…")</f>
        <v>9.0352872945552942E-2</v>
      </c>
      <c r="N11" s="341">
        <f>+INDEX('2019'!$1:$1048576,MATCH('Analitika - 2019'!$A11,'2019'!$A:$A,0),MATCH('Analitika - 2019'!$N$6,'2019'!$6:$6,0))</f>
        <v>114500270.97</v>
      </c>
      <c r="O11" s="341">
        <f>+INDEX('2019'!$1:$1048576,MATCH(CONCATENATE('Analitika - 2019'!$A11,"p"),'2019'!$A:$A,0),MATCH('Analitika - 2019'!$O$6,'2019'!$101:$101,0))</f>
        <v>101712748.66474015</v>
      </c>
      <c r="P11" s="183">
        <f t="shared" ref="P11:P59" si="3">+N11-O11</f>
        <v>12787522.305259854</v>
      </c>
      <c r="Q11" s="184">
        <f t="shared" ref="Q11:Q59" si="4">+IF(ISNUMBER(N11/O11-1),N11/O11-1,"…")</f>
        <v>0.1257219225036319</v>
      </c>
      <c r="R11" s="341">
        <f>+INDEX('2018'!$1:$1048576,MATCH('Analitika - 2019'!$A11,'2018'!$A:$A,0),MATCH('Analitika - 2019'!$R$6,'2018'!$6:$6,0))</f>
        <v>102839740.52</v>
      </c>
      <c r="S11" s="183">
        <f t="shared" ref="S11:S59" si="5">+N11-R11</f>
        <v>11660530.450000003</v>
      </c>
      <c r="T11" s="185">
        <f t="shared" ref="T11:T59" si="6">+IF(ISNUMBER(N11/R11-1),N11/R11-1,"…")</f>
        <v>0.11338545187920124</v>
      </c>
    </row>
    <row r="12" spans="1:20">
      <c r="A12" s="175">
        <v>7111</v>
      </c>
      <c r="B12" s="492" t="str">
        <f>+VLOOKUP($A12,Master!$D$27:$G$225,4,FALSE)</f>
        <v>Porez na dohodak fizičkih lica</v>
      </c>
      <c r="C12" s="493"/>
      <c r="D12" s="493"/>
      <c r="E12" s="493"/>
      <c r="F12" s="493"/>
      <c r="G12" s="188">
        <f>+SUMPRODUCT(('2019'!$G12:$R12)*('2019'!$G$5:$R$5&lt;=Master!$B$3)*($A12='2019'!$A$10:$A$66))</f>
        <v>85547113.409999996</v>
      </c>
      <c r="H12" s="188">
        <f>+SUMPRODUCT(('2019'!$G107:$R107)*('2019'!$G$5:$R$5&lt;=Master!$B$3))</f>
        <v>83749020.423508063</v>
      </c>
      <c r="I12" s="189">
        <f t="shared" si="0"/>
        <v>1798092.9864919335</v>
      </c>
      <c r="J12" s="190">
        <f t="shared" si="1"/>
        <v>2.1470018125575807E-2</v>
      </c>
      <c r="K12" s="188">
        <f>+SUMPRODUCT(('2018'!$G12:$R12)*('2018'!$G$5:$R$5&lt;=Master!$B$3))</f>
        <v>85245067.910000011</v>
      </c>
      <c r="L12" s="189">
        <f>+G12-K12</f>
        <v>302045.4999999851</v>
      </c>
      <c r="M12" s="191">
        <f t="shared" si="2"/>
        <v>3.5432607117971138E-3</v>
      </c>
      <c r="N12" s="188">
        <f>+INDEX('2019'!$1:$1048576,MATCH('Analitika - 2019'!$A12,'2019'!$A:$A,0),MATCH('Analitika - 2019'!$N$6,'2019'!$6:$6,0))</f>
        <v>10332018.109999999</v>
      </c>
      <c r="O12" s="188">
        <f>+INDEX('2019'!$1:$1048576,MATCH(CONCATENATE('Analitika - 2019'!$A12,"p"),'2019'!$A:$A,0),MATCH('Analitika - 2019'!$O$6,'2019'!$101:$101,0))</f>
        <v>8957410.6319850832</v>
      </c>
      <c r="P12" s="189">
        <f t="shared" si="3"/>
        <v>1374607.4780149162</v>
      </c>
      <c r="Q12" s="190">
        <f t="shared" si="4"/>
        <v>0.15346036198301261</v>
      </c>
      <c r="R12" s="188">
        <f>+INDEX('2018'!$1:$1048576,MATCH('Analitika - 2019'!$A12,'2018'!$A:$A,0),MATCH('Analitika - 2019'!$R$6,'2018'!$6:$6,0))</f>
        <v>9598204.1500000004</v>
      </c>
      <c r="S12" s="189">
        <f t="shared" si="5"/>
        <v>733813.95999999903</v>
      </c>
      <c r="T12" s="191">
        <f t="shared" si="6"/>
        <v>7.6453256102080092E-2</v>
      </c>
    </row>
    <row r="13" spans="1:20">
      <c r="A13" s="175">
        <v>7112</v>
      </c>
      <c r="B13" s="492" t="str">
        <f>+VLOOKUP($A13,Master!$D$27:$G$225,4,FALSE)</f>
        <v>Porez na dobit pravnih lica</v>
      </c>
      <c r="C13" s="493"/>
      <c r="D13" s="493"/>
      <c r="E13" s="493"/>
      <c r="F13" s="493"/>
      <c r="G13" s="188">
        <f>+SUMPRODUCT(('2019'!$G13:$R13)*('2019'!$G$5:$R$5&lt;=Master!$B$3)*($A13='2019'!$A$10:$A$66))</f>
        <v>63460533.5</v>
      </c>
      <c r="H13" s="188">
        <f>+SUMPRODUCT(('2019'!$G108:$R108)*('2019'!$G$5:$R$5&lt;=Master!$B$3))</f>
        <v>63932260.051758736</v>
      </c>
      <c r="I13" s="189">
        <f t="shared" si="0"/>
        <v>-471726.55175873637</v>
      </c>
      <c r="J13" s="190">
        <f t="shared" si="1"/>
        <v>-7.3785370856095378E-3</v>
      </c>
      <c r="K13" s="188">
        <f>+SUMPRODUCT(('2018'!$G13:$R13)*('2018'!$G$5:$R$5&lt;=Master!$B$3))</f>
        <v>64513553.079999991</v>
      </c>
      <c r="L13" s="189">
        <f t="shared" ref="L13:L59" si="7">+G13-K13</f>
        <v>-1053019.5799999908</v>
      </c>
      <c r="M13" s="191">
        <f t="shared" si="2"/>
        <v>-1.6322455200912467E-2</v>
      </c>
      <c r="N13" s="188">
        <f>+INDEX('2019'!$1:$1048576,MATCH('Analitika - 2019'!$A13,'2019'!$A:$A,0),MATCH('Analitika - 2019'!$N$6,'2019'!$6:$6,0))</f>
        <v>2242778.35</v>
      </c>
      <c r="O13" s="188">
        <f>+INDEX('2019'!$1:$1048576,MATCH(CONCATENATE('Analitika - 2019'!$A13,"p"),'2019'!$A:$A,0),MATCH('Analitika - 2019'!$O$6,'2019'!$101:$101,0))</f>
        <v>2555024.3067054804</v>
      </c>
      <c r="P13" s="189">
        <f t="shared" si="3"/>
        <v>-312245.95670548035</v>
      </c>
      <c r="Q13" s="190">
        <f t="shared" si="4"/>
        <v>-0.12220860517295784</v>
      </c>
      <c r="R13" s="188">
        <f>+INDEX('2018'!$1:$1048576,MATCH('Analitika - 2019'!$A13,'2018'!$A:$A,0),MATCH('Analitika - 2019'!$R$6,'2018'!$6:$6,0))</f>
        <v>7173346.1399999997</v>
      </c>
      <c r="S13" s="189">
        <f t="shared" si="5"/>
        <v>-4930567.7899999991</v>
      </c>
      <c r="T13" s="191">
        <f t="shared" si="6"/>
        <v>-0.68734558374454791</v>
      </c>
    </row>
    <row r="14" spans="1:20">
      <c r="A14" s="175">
        <v>7113</v>
      </c>
      <c r="B14" s="492" t="str">
        <f>+VLOOKUP($A14,Master!$D$27:$G$225,4,FALSE)</f>
        <v>Porez na promet nepokretnosti</v>
      </c>
      <c r="C14" s="493"/>
      <c r="D14" s="493"/>
      <c r="E14" s="493"/>
      <c r="F14" s="493"/>
      <c r="G14" s="188">
        <f>+SUMPRODUCT(('2019'!$G14:$R14)*('2019'!$G$5:$R$5&lt;=Master!$B$3)*($A14='2019'!$A$10:$A$66))</f>
        <v>1401042.18</v>
      </c>
      <c r="H14" s="188">
        <f>+SUMPRODUCT(('2019'!$G109:$R109)*('2019'!$G$5:$R$5&lt;=Master!$B$3))</f>
        <v>1363866.611374062</v>
      </c>
      <c r="I14" s="189">
        <f t="shared" si="0"/>
        <v>37175.568625937914</v>
      </c>
      <c r="J14" s="190">
        <f t="shared" si="1"/>
        <v>2.7257481278528006E-2</v>
      </c>
      <c r="K14" s="188">
        <f>+SUMPRODUCT(('2018'!$G14:$R14)*('2018'!$G$5:$R$5&lt;=Master!$B$3))</f>
        <v>1277928.1599999999</v>
      </c>
      <c r="L14" s="189">
        <f t="shared" si="7"/>
        <v>123114.02000000002</v>
      </c>
      <c r="M14" s="191">
        <f t="shared" si="2"/>
        <v>9.633876445762013E-2</v>
      </c>
      <c r="N14" s="188">
        <f>+INDEX('2019'!$1:$1048576,MATCH('Analitika - 2019'!$A14,'2019'!$A:$A,0),MATCH('Analitika - 2019'!$N$6,'2019'!$6:$6,0))</f>
        <v>131658.57</v>
      </c>
      <c r="O14" s="188">
        <f>+INDEX('2019'!$1:$1048576,MATCH(CONCATENATE('Analitika - 2019'!$A14,"p"),'2019'!$A:$A,0),MATCH('Analitika - 2019'!$O$6,'2019'!$101:$101,0))</f>
        <v>127416.86254210871</v>
      </c>
      <c r="P14" s="189">
        <f t="shared" si="3"/>
        <v>4241.7074578913016</v>
      </c>
      <c r="Q14" s="190">
        <f t="shared" si="4"/>
        <v>3.3290000815155096E-2</v>
      </c>
      <c r="R14" s="188">
        <f>+INDEX('2018'!$1:$1048576,MATCH('Analitika - 2019'!$A14,'2018'!$A:$A,0),MATCH('Analitika - 2019'!$R$6,'2018'!$6:$6,0))</f>
        <v>148315.04999999999</v>
      </c>
      <c r="S14" s="189">
        <f t="shared" si="5"/>
        <v>-16656.479999999981</v>
      </c>
      <c r="T14" s="191">
        <f t="shared" si="6"/>
        <v>-0.11230471890748772</v>
      </c>
    </row>
    <row r="15" spans="1:20">
      <c r="A15" s="175">
        <v>7114</v>
      </c>
      <c r="B15" s="492" t="str">
        <f>+VLOOKUP($A15,Master!$D$27:$G$225,4,FALSE)</f>
        <v>Porez na dodatu vrijednost</v>
      </c>
      <c r="C15" s="493"/>
      <c r="D15" s="493"/>
      <c r="E15" s="493"/>
      <c r="F15" s="493"/>
      <c r="G15" s="188">
        <f>+SUMPRODUCT(('2019'!$G15:$R15)*('2019'!$G$5:$R$5&lt;=Master!$B$3)*($A15='2019'!$A$10:$A$66))</f>
        <v>517818183.34000003</v>
      </c>
      <c r="H15" s="188">
        <f>+SUMPRODUCT(('2019'!$G110:$R110)*('2019'!$G$5:$R$5&lt;=Master!$B$3))</f>
        <v>494931132.74945468</v>
      </c>
      <c r="I15" s="189">
        <f t="shared" si="0"/>
        <v>22887050.590545356</v>
      </c>
      <c r="J15" s="190">
        <f t="shared" si="1"/>
        <v>4.6242899417950456E-2</v>
      </c>
      <c r="K15" s="188">
        <f>+SUMPRODUCT(('2018'!$G15:$R15)*('2018'!$G$5:$R$5&lt;=Master!$B$3))</f>
        <v>461468715.59000003</v>
      </c>
      <c r="L15" s="189">
        <f t="shared" si="7"/>
        <v>56349467.75</v>
      </c>
      <c r="M15" s="191">
        <f t="shared" si="2"/>
        <v>0.12210896610392252</v>
      </c>
      <c r="N15" s="188">
        <f>+INDEX('2019'!$1:$1048576,MATCH('Analitika - 2019'!$A15,'2019'!$A:$A,0),MATCH('Analitika - 2019'!$N$6,'2019'!$6:$6,0))</f>
        <v>70816309.909999996</v>
      </c>
      <c r="O15" s="188">
        <f>+INDEX('2019'!$1:$1048576,MATCH(CONCATENATE('Analitika - 2019'!$A15,"p"),'2019'!$A:$A,0),MATCH('Analitika - 2019'!$O$6,'2019'!$101:$101,0))</f>
        <v>59747048.514482997</v>
      </c>
      <c r="P15" s="189">
        <f t="shared" si="3"/>
        <v>11069261.395516999</v>
      </c>
      <c r="Q15" s="190">
        <f t="shared" si="4"/>
        <v>0.18526875671245513</v>
      </c>
      <c r="R15" s="188">
        <f>+INDEX('2018'!$1:$1048576,MATCH('Analitika - 2019'!$A15,'2018'!$A:$A,0),MATCH('Analitika - 2019'!$R$6,'2018'!$6:$6,0))</f>
        <v>57402321.350000001</v>
      </c>
      <c r="S15" s="189">
        <f t="shared" si="5"/>
        <v>13413988.559999995</v>
      </c>
      <c r="T15" s="191">
        <f t="shared" si="6"/>
        <v>0.23368372993507847</v>
      </c>
    </row>
    <row r="16" spans="1:20">
      <c r="A16" s="175">
        <v>7115</v>
      </c>
      <c r="B16" s="492" t="str">
        <f>+VLOOKUP($A16,Master!$D$27:$G$225,4,FALSE)</f>
        <v>Akcize</v>
      </c>
      <c r="C16" s="493"/>
      <c r="D16" s="493"/>
      <c r="E16" s="493"/>
      <c r="F16" s="493"/>
      <c r="G16" s="188">
        <f>+SUMPRODUCT(('2019'!$G16:$R16)*('2019'!$G$5:$R$5&lt;=Master!$B$3)*($A16='2019'!$A$10:$A$66))</f>
        <v>178709360.70000002</v>
      </c>
      <c r="H16" s="188">
        <f>+SUMPRODUCT(('2019'!$G111:$R111)*('2019'!$G$5:$R$5&lt;=Master!$B$3))</f>
        <v>175855385.3949388</v>
      </c>
      <c r="I16" s="189">
        <f t="shared" si="0"/>
        <v>2853975.3050612211</v>
      </c>
      <c r="J16" s="190">
        <f t="shared" si="1"/>
        <v>1.6229103809654255E-2</v>
      </c>
      <c r="K16" s="188">
        <f>+SUMPRODUCT(('2018'!$G16:$R16)*('2018'!$G$5:$R$5&lt;=Master!$B$3))</f>
        <v>166496597.86000001</v>
      </c>
      <c r="L16" s="189">
        <f t="shared" si="7"/>
        <v>12212762.840000004</v>
      </c>
      <c r="M16" s="191">
        <f t="shared" si="2"/>
        <v>7.3351425776694956E-2</v>
      </c>
      <c r="N16" s="188">
        <f>+INDEX('2019'!$1:$1048576,MATCH('Analitika - 2019'!$A16,'2019'!$A:$A,0),MATCH('Analitika - 2019'!$N$6,'2019'!$6:$6,0))</f>
        <v>27417042.280000001</v>
      </c>
      <c r="O16" s="188">
        <f>+INDEX('2019'!$1:$1048576,MATCH(CONCATENATE('Analitika - 2019'!$A16,"p"),'2019'!$A:$A,0),MATCH('Analitika - 2019'!$O$6,'2019'!$101:$101,0))</f>
        <v>27821146.884936411</v>
      </c>
      <c r="P16" s="189">
        <f t="shared" si="3"/>
        <v>-404104.60493640974</v>
      </c>
      <c r="Q16" s="190">
        <f t="shared" si="4"/>
        <v>-1.4525087934286751E-2</v>
      </c>
      <c r="R16" s="188">
        <f>+INDEX('2018'!$1:$1048576,MATCH('Analitika - 2019'!$A16,'2018'!$A:$A,0),MATCH('Analitika - 2019'!$R$6,'2018'!$6:$6,0))</f>
        <v>25504339.800000001</v>
      </c>
      <c r="S16" s="189">
        <f t="shared" si="5"/>
        <v>1912702.4800000004</v>
      </c>
      <c r="T16" s="191">
        <f t="shared" si="6"/>
        <v>7.4995177095311449E-2</v>
      </c>
    </row>
    <row r="17" spans="1:20">
      <c r="A17" s="175">
        <v>7116</v>
      </c>
      <c r="B17" s="492" t="str">
        <f>+VLOOKUP($A17,Master!$D$27:$G$225,4,FALSE)</f>
        <v>Porez na međunarodnu trgovinu i transakcije</v>
      </c>
      <c r="C17" s="493"/>
      <c r="D17" s="493"/>
      <c r="E17" s="493"/>
      <c r="F17" s="493"/>
      <c r="G17" s="188">
        <f>+SUMPRODUCT(('2019'!$G17:$R17)*('2019'!$G$5:$R$5&lt;=Master!$B$3)*($A17='2019'!$A$10:$A$66))</f>
        <v>21570886.120000001</v>
      </c>
      <c r="H17" s="188">
        <f>+SUMPRODUCT(('2019'!$G112:$R112)*('2019'!$G$5:$R$5&lt;=Master!$B$3))</f>
        <v>20809214.705640629</v>
      </c>
      <c r="I17" s="189">
        <f t="shared" si="0"/>
        <v>761671.41435937211</v>
      </c>
      <c r="J17" s="190">
        <f t="shared" si="1"/>
        <v>3.6602602507287862E-2</v>
      </c>
      <c r="K17" s="188">
        <f>+SUMPRODUCT(('2018'!$G17:$R17)*('2018'!$G$5:$R$5&lt;=Master!$B$3))</f>
        <v>20112543.760000002</v>
      </c>
      <c r="L17" s="189">
        <f t="shared" si="7"/>
        <v>1458342.3599999994</v>
      </c>
      <c r="M17" s="191">
        <f t="shared" si="2"/>
        <v>7.2509095686859926E-2</v>
      </c>
      <c r="N17" s="188">
        <f>+INDEX('2019'!$1:$1048576,MATCH('Analitika - 2019'!$A17,'2019'!$A:$A,0),MATCH('Analitika - 2019'!$N$6,'2019'!$6:$6,0))</f>
        <v>2553125.85</v>
      </c>
      <c r="O17" s="188">
        <f>+INDEX('2019'!$1:$1048576,MATCH(CONCATENATE('Analitika - 2019'!$A17,"p"),'2019'!$A:$A,0),MATCH('Analitika - 2019'!$O$6,'2019'!$101:$101,0))</f>
        <v>2149778.7308390578</v>
      </c>
      <c r="P17" s="189">
        <f t="shared" si="3"/>
        <v>403347.11916094227</v>
      </c>
      <c r="Q17" s="190">
        <f t="shared" si="4"/>
        <v>0.18762262058640622</v>
      </c>
      <c r="R17" s="188">
        <f>+INDEX('2018'!$1:$1048576,MATCH('Analitika - 2019'!$A17,'2018'!$A:$A,0),MATCH('Analitika - 2019'!$R$6,'2018'!$6:$6,0))</f>
        <v>2205218.35</v>
      </c>
      <c r="S17" s="189">
        <f t="shared" si="5"/>
        <v>347907.5</v>
      </c>
      <c r="T17" s="191">
        <f t="shared" si="6"/>
        <v>0.1577655564130418</v>
      </c>
    </row>
    <row r="18" spans="1:20">
      <c r="A18" s="175">
        <v>7118</v>
      </c>
      <c r="B18" s="492" t="str">
        <f>+VLOOKUP($A18,Master!$D$27:$G$225,4,FALSE)</f>
        <v>Ostali državni porezi</v>
      </c>
      <c r="C18" s="493"/>
      <c r="D18" s="493"/>
      <c r="E18" s="493"/>
      <c r="F18" s="493"/>
      <c r="G18" s="188">
        <f>+SUMPRODUCT(('2019'!$G18:$R18)*('2019'!$G$5:$R$5&lt;=Master!$B$3)*($A18='2019'!$A$10:$A$66))</f>
        <v>10337342.220000001</v>
      </c>
      <c r="H18" s="188">
        <f>+SUMPRODUCT(('2019'!$G113:$R113)*('2019'!$G$5:$R$5&lt;=Master!$B$3))</f>
        <v>8449912.9825265706</v>
      </c>
      <c r="I18" s="189">
        <f t="shared" si="0"/>
        <v>1887429.2374734301</v>
      </c>
      <c r="J18" s="190">
        <f t="shared" si="1"/>
        <v>0.22336670701537553</v>
      </c>
      <c r="K18" s="188">
        <f>+SUMPRODUCT(('2018'!$G18:$R18)*('2018'!$G$5:$R$5&lt;=Master!$B$3))</f>
        <v>6903978.3999999994</v>
      </c>
      <c r="L18" s="189">
        <f t="shared" si="7"/>
        <v>3433363.8200000012</v>
      </c>
      <c r="M18" s="191">
        <f t="shared" si="2"/>
        <v>0.49730222504751764</v>
      </c>
      <c r="N18" s="188">
        <f>+INDEX('2019'!$1:$1048576,MATCH('Analitika - 2019'!$A18,'2019'!$A:$A,0),MATCH('Analitika - 2019'!$N$6,'2019'!$6:$6,0))</f>
        <v>1007337.9</v>
      </c>
      <c r="O18" s="188">
        <f>+INDEX('2019'!$1:$1048576,MATCH(CONCATENATE('Analitika - 2019'!$A18,"p"),'2019'!$A:$A,0),MATCH('Analitika - 2019'!$O$6,'2019'!$101:$101,0))</f>
        <v>354922.73324901523</v>
      </c>
      <c r="P18" s="189">
        <f t="shared" si="3"/>
        <v>652415.16675098473</v>
      </c>
      <c r="Q18" s="190">
        <f t="shared" si="4"/>
        <v>1.838189289197341</v>
      </c>
      <c r="R18" s="188">
        <f>+INDEX('2018'!$1:$1048576,MATCH('Analitika - 2019'!$A18,'2018'!$A:$A,0),MATCH('Analitika - 2019'!$R$6,'2018'!$6:$6,0))</f>
        <v>807995.68</v>
      </c>
      <c r="S18" s="189">
        <f t="shared" si="5"/>
        <v>199342.21999999997</v>
      </c>
      <c r="T18" s="191">
        <f t="shared" si="6"/>
        <v>0.24671198737102151</v>
      </c>
    </row>
    <row r="19" spans="1:20">
      <c r="A19" s="175">
        <v>712</v>
      </c>
      <c r="B19" s="502" t="str">
        <f>+VLOOKUP($A19,Master!$D$27:$G$225,4,FALSE)</f>
        <v>Doprinosi</v>
      </c>
      <c r="C19" s="503"/>
      <c r="D19" s="503"/>
      <c r="E19" s="503"/>
      <c r="F19" s="503"/>
      <c r="G19" s="194">
        <f>+SUMPRODUCT(('2019'!$G19:$R19)*('2019'!$G$5:$R$5&lt;=Master!$B$3)*($A19='2019'!$A$10:$A$66))</f>
        <v>370571042.34999996</v>
      </c>
      <c r="H19" s="194">
        <f>+SUMPRODUCT(('2019'!$G114:$R114)*('2019'!$G$5:$R$5&lt;=Master!$B$3))</f>
        <v>364529987.66336346</v>
      </c>
      <c r="I19" s="195">
        <f t="shared" si="0"/>
        <v>6041054.6866365075</v>
      </c>
      <c r="J19" s="196">
        <f t="shared" si="1"/>
        <v>1.657217483082718E-2</v>
      </c>
      <c r="K19" s="194">
        <f>+SUMPRODUCT(('2018'!$G19:$R19)*('2018'!$G$5:$R$5&lt;=Master!$B$3))</f>
        <v>351331389.50999999</v>
      </c>
      <c r="L19" s="195">
        <f t="shared" si="7"/>
        <v>19239652.839999974</v>
      </c>
      <c r="M19" s="197">
        <f t="shared" si="2"/>
        <v>5.4762123210321256E-2</v>
      </c>
      <c r="N19" s="194">
        <f>+INDEX('2019'!$1:$1048576,MATCH('Analitika - 2019'!$A19,'2019'!$A:$A,0),MATCH('Analitika - 2019'!$N$6,'2019'!$6:$6,0))</f>
        <v>43611346.450000003</v>
      </c>
      <c r="O19" s="194">
        <f>+INDEX('2019'!$1:$1048576,MATCH(CONCATENATE('Analitika - 2019'!$A19,"p"),'2019'!$A:$A,0),MATCH('Analitika - 2019'!$O$6,'2019'!$101:$101,0))</f>
        <v>41120271.333377153</v>
      </c>
      <c r="P19" s="195">
        <f t="shared" si="3"/>
        <v>2491075.1166228503</v>
      </c>
      <c r="Q19" s="196">
        <f t="shared" si="4"/>
        <v>6.0580220797348039E-2</v>
      </c>
      <c r="R19" s="194">
        <f>+INDEX('2018'!$1:$1048576,MATCH('Analitika - 2019'!$A19,'2018'!$A:$A,0),MATCH('Analitika - 2019'!$R$6,'2018'!$6:$6,0))</f>
        <v>41964422.920000002</v>
      </c>
      <c r="S19" s="195">
        <f t="shared" si="5"/>
        <v>1646923.5300000012</v>
      </c>
      <c r="T19" s="197">
        <f t="shared" si="6"/>
        <v>3.9245708993536299E-2</v>
      </c>
    </row>
    <row r="20" spans="1:20">
      <c r="A20" s="175">
        <v>7121</v>
      </c>
      <c r="B20" s="492" t="str">
        <f>+VLOOKUP($A20,Master!$D$27:$G$225,4,FALSE)</f>
        <v>Doprinosi za penzijsko i invalidsko osiguranje</v>
      </c>
      <c r="C20" s="493"/>
      <c r="D20" s="493"/>
      <c r="E20" s="493"/>
      <c r="F20" s="493"/>
      <c r="G20" s="188">
        <f>+SUMPRODUCT(('2019'!$G20:$R20)*('2019'!$G$5:$R$5&lt;=Master!$B$3)*($A20='2019'!$A$10:$A$66))</f>
        <v>220192746.31</v>
      </c>
      <c r="H20" s="188">
        <f>+SUMPRODUCT(('2019'!$G115:$R115)*('2019'!$G$5:$R$5&lt;=Master!$B$3))</f>
        <v>218717926.64664456</v>
      </c>
      <c r="I20" s="189">
        <f t="shared" si="0"/>
        <v>1474819.6633554399</v>
      </c>
      <c r="J20" s="190">
        <f t="shared" si="1"/>
        <v>6.7430214156067869E-3</v>
      </c>
      <c r="K20" s="188">
        <f>+SUMPRODUCT(('2018'!$G20:$R20)*('2018'!$G$5:$R$5&lt;=Master!$B$3))</f>
        <v>211532835.92000002</v>
      </c>
      <c r="L20" s="189">
        <f t="shared" si="7"/>
        <v>8659910.3899999857</v>
      </c>
      <c r="M20" s="191">
        <f t="shared" si="2"/>
        <v>4.0938846928119998E-2</v>
      </c>
      <c r="N20" s="188">
        <f>+INDEX('2019'!$1:$1048576,MATCH('Analitika - 2019'!$A20,'2019'!$A:$A,0),MATCH('Analitika - 2019'!$N$6,'2019'!$6:$6,0))</f>
        <v>26730921.559999999</v>
      </c>
      <c r="O20" s="188">
        <f>+INDEX('2019'!$1:$1048576,MATCH(CONCATENATE('Analitika - 2019'!$A20,"p"),'2019'!$A:$A,0),MATCH('Analitika - 2019'!$O$6,'2019'!$101:$101,0))</f>
        <v>26275213.096976332</v>
      </c>
      <c r="P20" s="189">
        <f t="shared" si="3"/>
        <v>455708.46302366629</v>
      </c>
      <c r="Q20" s="190">
        <f t="shared" si="4"/>
        <v>1.7343663830308165E-2</v>
      </c>
      <c r="R20" s="188">
        <f>+INDEX('2018'!$1:$1048576,MATCH('Analitika - 2019'!$A20,'2018'!$A:$A,0),MATCH('Analitika - 2019'!$R$6,'2018'!$6:$6,0))</f>
        <v>25382505.710000001</v>
      </c>
      <c r="S20" s="189">
        <f t="shared" si="5"/>
        <v>1348415.8499999978</v>
      </c>
      <c r="T20" s="191">
        <f t="shared" si="6"/>
        <v>5.3123827308694693E-2</v>
      </c>
    </row>
    <row r="21" spans="1:20">
      <c r="A21" s="175">
        <v>7122</v>
      </c>
      <c r="B21" s="492" t="str">
        <f>+VLOOKUP($A21,Master!$D$27:$G$225,4,FALSE)</f>
        <v>Doprinosi za zdravstveno osiguranje</v>
      </c>
      <c r="C21" s="493"/>
      <c r="D21" s="493"/>
      <c r="E21" s="493"/>
      <c r="F21" s="493"/>
      <c r="G21" s="188">
        <f>+SUMPRODUCT(('2019'!$G21:$R21)*('2019'!$G$5:$R$5&lt;=Master!$B$3)*($A21='2019'!$A$10:$A$66))</f>
        <v>130738336.89</v>
      </c>
      <c r="H21" s="188">
        <f>+SUMPRODUCT(('2019'!$G116:$R116)*('2019'!$G$5:$R$5&lt;=Master!$B$3))</f>
        <v>126489292.97035752</v>
      </c>
      <c r="I21" s="189">
        <f t="shared" si="0"/>
        <v>4249043.9196424782</v>
      </c>
      <c r="J21" s="190">
        <f t="shared" si="1"/>
        <v>3.3592123252979444E-2</v>
      </c>
      <c r="K21" s="188">
        <f>+SUMPRODUCT(('2018'!$G21:$R21)*('2018'!$G$5:$R$5&lt;=Master!$B$3))</f>
        <v>122263069.46000001</v>
      </c>
      <c r="L21" s="189">
        <f t="shared" si="7"/>
        <v>8475267.4299999923</v>
      </c>
      <c r="M21" s="191">
        <f t="shared" si="2"/>
        <v>6.9319930109989603E-2</v>
      </c>
      <c r="N21" s="188">
        <f>+INDEX('2019'!$1:$1048576,MATCH('Analitika - 2019'!$A21,'2019'!$A:$A,0),MATCH('Analitika - 2019'!$N$6,'2019'!$6:$6,0))</f>
        <v>14501660.91</v>
      </c>
      <c r="O21" s="188">
        <f>+INDEX('2019'!$1:$1048576,MATCH(CONCATENATE('Analitika - 2019'!$A21,"p"),'2019'!$A:$A,0),MATCH('Analitika - 2019'!$O$6,'2019'!$101:$101,0))</f>
        <v>12682409.588332439</v>
      </c>
      <c r="P21" s="189">
        <f t="shared" si="3"/>
        <v>1819251.3216675613</v>
      </c>
      <c r="Q21" s="190">
        <f t="shared" si="4"/>
        <v>0.14344681970697715</v>
      </c>
      <c r="R21" s="188">
        <f>+INDEX('2018'!$1:$1048576,MATCH('Analitika - 2019'!$A21,'2018'!$A:$A,0),MATCH('Analitika - 2019'!$R$6,'2018'!$6:$6,0))</f>
        <v>14479735.869999999</v>
      </c>
      <c r="S21" s="189">
        <f t="shared" si="5"/>
        <v>21925.040000000969</v>
      </c>
      <c r="T21" s="191">
        <f t="shared" si="6"/>
        <v>1.514187841328507E-3</v>
      </c>
    </row>
    <row r="22" spans="1:20">
      <c r="A22" s="175">
        <v>7123</v>
      </c>
      <c r="B22" s="492" t="str">
        <f>+VLOOKUP($A22,Master!$D$27:$G$225,4,FALSE)</f>
        <v>Doprinosi za osiguranje od nezaposlenosti</v>
      </c>
      <c r="C22" s="493"/>
      <c r="D22" s="493"/>
      <c r="E22" s="493"/>
      <c r="F22" s="493"/>
      <c r="G22" s="188">
        <f>+SUMPRODUCT(('2019'!$G22:$R22)*('2019'!$G$5:$R$5&lt;=Master!$B$3)*($A22='2019'!$A$10:$A$66))</f>
        <v>10196734.950000001</v>
      </c>
      <c r="H22" s="188">
        <f>+SUMPRODUCT(('2019'!$G117:$R117)*('2019'!$G$5:$R$5&lt;=Master!$B$3))</f>
        <v>10011379.703413513</v>
      </c>
      <c r="I22" s="189">
        <f t="shared" si="0"/>
        <v>185355.24658648856</v>
      </c>
      <c r="J22" s="190">
        <f t="shared" si="1"/>
        <v>1.8514455757111081E-2</v>
      </c>
      <c r="K22" s="188">
        <f>+SUMPRODUCT(('2018'!$G22:$R22)*('2018'!$G$5:$R$5&lt;=Master!$B$3))</f>
        <v>9066838.9000000004</v>
      </c>
      <c r="L22" s="189">
        <f t="shared" si="7"/>
        <v>1129896.0500000007</v>
      </c>
      <c r="M22" s="191">
        <f t="shared" si="2"/>
        <v>0.12461852057391254</v>
      </c>
      <c r="N22" s="188">
        <f>+INDEX('2019'!$1:$1048576,MATCH('Analitika - 2019'!$A22,'2019'!$A:$A,0),MATCH('Analitika - 2019'!$N$6,'2019'!$6:$6,0))</f>
        <v>1242677.57</v>
      </c>
      <c r="O22" s="188">
        <f>+INDEX('2019'!$1:$1048576,MATCH(CONCATENATE('Analitika - 2019'!$A22,"p"),'2019'!$A:$A,0),MATCH('Analitika - 2019'!$O$6,'2019'!$101:$101,0))</f>
        <v>1183707.9939274685</v>
      </c>
      <c r="P22" s="189">
        <f t="shared" si="3"/>
        <v>58969.576072531519</v>
      </c>
      <c r="Q22" s="190">
        <f t="shared" si="4"/>
        <v>4.9817671566848354E-2</v>
      </c>
      <c r="R22" s="188">
        <f>+INDEX('2018'!$1:$1048576,MATCH('Analitika - 2019'!$A22,'2018'!$A:$A,0),MATCH('Analitika - 2019'!$R$6,'2018'!$6:$6,0))</f>
        <v>1084116.54</v>
      </c>
      <c r="S22" s="189">
        <f t="shared" si="5"/>
        <v>158561.03000000003</v>
      </c>
      <c r="T22" s="191">
        <f t="shared" si="6"/>
        <v>0.14625828879983693</v>
      </c>
    </row>
    <row r="23" spans="1:20">
      <c r="A23" s="175">
        <v>7124</v>
      </c>
      <c r="B23" s="492" t="str">
        <f>+VLOOKUP($A23,Master!$D$27:$G$225,4,FALSE)</f>
        <v>Ostali doprinosi</v>
      </c>
      <c r="C23" s="493"/>
      <c r="D23" s="493"/>
      <c r="E23" s="493"/>
      <c r="F23" s="493"/>
      <c r="G23" s="188">
        <f>+SUMPRODUCT(('2019'!$G23:$R23)*('2019'!$G$5:$R$5&lt;=Master!$B$3)*($A23='2019'!$A$10:$A$66))</f>
        <v>9443224.1999999993</v>
      </c>
      <c r="H23" s="188">
        <f>+SUMPRODUCT(('2019'!$G118:$R118)*('2019'!$G$5:$R$5&lt;=Master!$B$3))</f>
        <v>9311388.3429478463</v>
      </c>
      <c r="I23" s="189">
        <f t="shared" si="0"/>
        <v>131835.85705215298</v>
      </c>
      <c r="J23" s="190">
        <f t="shared" si="1"/>
        <v>1.4158560699705003E-2</v>
      </c>
      <c r="K23" s="188">
        <f>+SUMPRODUCT(('2018'!$G23:$R23)*('2018'!$G$5:$R$5&lt;=Master!$B$3))</f>
        <v>8468645.2300000004</v>
      </c>
      <c r="L23" s="189">
        <f t="shared" si="7"/>
        <v>974578.96999999881</v>
      </c>
      <c r="M23" s="191">
        <f t="shared" si="2"/>
        <v>0.11508085927930622</v>
      </c>
      <c r="N23" s="188">
        <f>+INDEX('2019'!$1:$1048576,MATCH('Analitika - 2019'!$A23,'2019'!$A:$A,0),MATCH('Analitika - 2019'!$N$6,'2019'!$6:$6,0))</f>
        <v>1136086.4099999999</v>
      </c>
      <c r="O23" s="188">
        <f>+INDEX('2019'!$1:$1048576,MATCH(CONCATENATE('Analitika - 2019'!$A23,"p"),'2019'!$A:$A,0),MATCH('Analitika - 2019'!$O$6,'2019'!$101:$101,0))</f>
        <v>978940.65414091514</v>
      </c>
      <c r="P23" s="189">
        <f t="shared" si="3"/>
        <v>157145.75585908478</v>
      </c>
      <c r="Q23" s="190">
        <f t="shared" si="4"/>
        <v>0.1605263354773947</v>
      </c>
      <c r="R23" s="188">
        <f>+INDEX('2018'!$1:$1048576,MATCH('Analitika - 2019'!$A23,'2018'!$A:$A,0),MATCH('Analitika - 2019'!$R$6,'2018'!$6:$6,0))</f>
        <v>1018064.8</v>
      </c>
      <c r="S23" s="189">
        <f t="shared" si="5"/>
        <v>118021.60999999987</v>
      </c>
      <c r="T23" s="191">
        <f t="shared" si="6"/>
        <v>0.11592740462100237</v>
      </c>
    </row>
    <row r="24" spans="1:20">
      <c r="A24" s="175">
        <v>713</v>
      </c>
      <c r="B24" s="494" t="str">
        <f>+VLOOKUP($A24,Master!$D$27:$G$225,4,FALSE)</f>
        <v>Takse</v>
      </c>
      <c r="C24" s="495"/>
      <c r="D24" s="495"/>
      <c r="E24" s="495"/>
      <c r="F24" s="495"/>
      <c r="G24" s="200">
        <f>+SUMPRODUCT(('2019'!$G24:$R24)*('2019'!$G$5:$R$5&lt;=Master!$B$3)*($A24='2019'!$A$10:$A$66))</f>
        <v>11793221.899999999</v>
      </c>
      <c r="H24" s="200">
        <f>+SUMPRODUCT(('2019'!$G119:$R119)*('2019'!$G$5:$R$5&lt;=Master!$B$3))</f>
        <v>11596412.930811292</v>
      </c>
      <c r="I24" s="201">
        <f t="shared" si="0"/>
        <v>196808.96918870695</v>
      </c>
      <c r="J24" s="202">
        <f t="shared" si="1"/>
        <v>1.6971538557909671E-2</v>
      </c>
      <c r="K24" s="200">
        <f>+SUMPRODUCT(('2018'!$G24:$R24)*('2018'!$G$5:$R$5&lt;=Master!$B$3))</f>
        <v>12549696.83</v>
      </c>
      <c r="L24" s="201">
        <f t="shared" si="7"/>
        <v>-756474.93000000156</v>
      </c>
      <c r="M24" s="203">
        <f t="shared" si="2"/>
        <v>-6.0278342994840473E-2</v>
      </c>
      <c r="N24" s="200">
        <f>+INDEX('2019'!$1:$1048576,MATCH('Analitika - 2019'!$A24,'2019'!$A:$A,0),MATCH('Analitika - 2019'!$N$6,'2019'!$6:$6,0))</f>
        <v>1570845.07</v>
      </c>
      <c r="O24" s="200">
        <f>+INDEX('2019'!$1:$1048576,MATCH(CONCATENATE('Analitika - 2019'!$A24,"p"),'2019'!$A:$A,0),MATCH('Analitika - 2019'!$O$6,'2019'!$101:$101,0))</f>
        <v>1388736.0694359436</v>
      </c>
      <c r="P24" s="201">
        <f t="shared" si="3"/>
        <v>182109.00056405645</v>
      </c>
      <c r="Q24" s="202">
        <f t="shared" si="4"/>
        <v>0.13113290896089613</v>
      </c>
      <c r="R24" s="200">
        <f>+INDEX('2018'!$1:$1048576,MATCH('Analitika - 2019'!$A24,'2018'!$A:$A,0),MATCH('Analitika - 2019'!$R$6,'2018'!$6:$6,0))</f>
        <v>1545122.56</v>
      </c>
      <c r="S24" s="201">
        <f t="shared" si="5"/>
        <v>25722.510000000009</v>
      </c>
      <c r="T24" s="203">
        <f t="shared" si="6"/>
        <v>1.6647553188272601E-2</v>
      </c>
    </row>
    <row r="25" spans="1:20">
      <c r="A25" s="175">
        <v>714</v>
      </c>
      <c r="B25" s="494" t="str">
        <f>+VLOOKUP($A25,Master!$D$27:$G$225,4,FALSE)</f>
        <v>Naknade</v>
      </c>
      <c r="C25" s="495"/>
      <c r="D25" s="495"/>
      <c r="E25" s="495"/>
      <c r="F25" s="495"/>
      <c r="G25" s="200">
        <f>+SUMPRODUCT(('2019'!$G25:$R25)*('2019'!$G$5:$R$5&lt;=Master!$B$3)*($A25='2019'!$A$10:$A$66))</f>
        <v>20484439.07</v>
      </c>
      <c r="H25" s="200">
        <f>+SUMPRODUCT(('2019'!$G120:$R120)*('2019'!$G$5:$R$5&lt;=Master!$B$3))</f>
        <v>22138576.355701763</v>
      </c>
      <c r="I25" s="201">
        <f t="shared" si="0"/>
        <v>-1654137.2857017629</v>
      </c>
      <c r="J25" s="202">
        <f t="shared" si="1"/>
        <v>-7.4717419003130336E-2</v>
      </c>
      <c r="K25" s="200">
        <f>+SUMPRODUCT(('2018'!$G25:$R25)*('2018'!$G$5:$R$5&lt;=Master!$B$3))</f>
        <v>19352293.23</v>
      </c>
      <c r="L25" s="201">
        <f t="shared" si="7"/>
        <v>1132145.8399999999</v>
      </c>
      <c r="M25" s="203">
        <f t="shared" si="2"/>
        <v>5.8501895694973438E-2</v>
      </c>
      <c r="N25" s="200">
        <f>+INDEX('2019'!$1:$1048576,MATCH('Analitika - 2019'!$A25,'2019'!$A:$A,0),MATCH('Analitika - 2019'!$N$6,'2019'!$6:$6,0))</f>
        <v>2352827.11</v>
      </c>
      <c r="O25" s="200">
        <f>+INDEX('2019'!$1:$1048576,MATCH(CONCATENATE('Analitika - 2019'!$A25,"p"),'2019'!$A:$A,0),MATCH('Analitika - 2019'!$O$6,'2019'!$101:$101,0))</f>
        <v>2509036.584840606</v>
      </c>
      <c r="P25" s="201">
        <f t="shared" si="3"/>
        <v>-156209.4748406061</v>
      </c>
      <c r="Q25" s="202">
        <f t="shared" si="4"/>
        <v>-6.2258747355224298E-2</v>
      </c>
      <c r="R25" s="200">
        <f>+INDEX('2018'!$1:$1048576,MATCH('Analitika - 2019'!$A25,'2018'!$A:$A,0),MATCH('Analitika - 2019'!$R$6,'2018'!$6:$6,0))</f>
        <v>1933671.64</v>
      </c>
      <c r="S25" s="201">
        <f t="shared" si="5"/>
        <v>419155.47</v>
      </c>
      <c r="T25" s="203">
        <f t="shared" si="6"/>
        <v>0.21676662227926147</v>
      </c>
    </row>
    <row r="26" spans="1:20">
      <c r="A26" s="175">
        <v>715</v>
      </c>
      <c r="B26" s="494" t="str">
        <f>+VLOOKUP($A26,Master!$D$27:$G$225,4,FALSE)</f>
        <v>Ostali prihodi</v>
      </c>
      <c r="C26" s="495"/>
      <c r="D26" s="495"/>
      <c r="E26" s="495"/>
      <c r="F26" s="495"/>
      <c r="G26" s="200">
        <f>+SUMPRODUCT(('2019'!$G26:$R26)*('2019'!$G$5:$R$5&lt;=Master!$B$3)*($A26='2019'!$A$10:$A$66))</f>
        <v>28702244.289999999</v>
      </c>
      <c r="H26" s="200">
        <f>+SUMPRODUCT(('2019'!$G121:$R121)*('2019'!$G$5:$R$5&lt;=Master!$B$3))</f>
        <v>29581442.065193646</v>
      </c>
      <c r="I26" s="201">
        <f t="shared" si="0"/>
        <v>-879197.77519364655</v>
      </c>
      <c r="J26" s="202">
        <f t="shared" si="1"/>
        <v>-2.9721261500910257E-2</v>
      </c>
      <c r="K26" s="200">
        <f>+SUMPRODUCT(('2018'!$G26:$R26)*('2018'!$G$5:$R$5&lt;=Master!$B$3))</f>
        <v>61250952.480000004</v>
      </c>
      <c r="L26" s="201">
        <f t="shared" si="7"/>
        <v>-32548708.190000005</v>
      </c>
      <c r="M26" s="203">
        <f t="shared" si="2"/>
        <v>-0.5313992170265105</v>
      </c>
      <c r="N26" s="200">
        <f>+INDEX('2019'!$1:$1048576,MATCH('Analitika - 2019'!$A26,'2019'!$A:$A,0),MATCH('Analitika - 2019'!$N$6,'2019'!$6:$6,0))</f>
        <v>2214023.2000000002</v>
      </c>
      <c r="O26" s="200">
        <f>+INDEX('2019'!$1:$1048576,MATCH(CONCATENATE('Analitika - 2019'!$A26,"p"),'2019'!$A:$A,0),MATCH('Analitika - 2019'!$O$6,'2019'!$101:$101,0))</f>
        <v>2689732.0664405972</v>
      </c>
      <c r="P26" s="201">
        <f t="shared" si="3"/>
        <v>-475708.86644059699</v>
      </c>
      <c r="Q26" s="202">
        <f t="shared" si="4"/>
        <v>-0.17686106076361607</v>
      </c>
      <c r="R26" s="200">
        <f>+INDEX('2018'!$1:$1048576,MATCH('Analitika - 2019'!$A26,'2018'!$A:$A,0),MATCH('Analitika - 2019'!$R$6,'2018'!$6:$6,0))</f>
        <v>37485104.390000001</v>
      </c>
      <c r="S26" s="201">
        <f t="shared" si="5"/>
        <v>-35271081.189999998</v>
      </c>
      <c r="T26" s="203" t="s">
        <v>773</v>
      </c>
    </row>
    <row r="27" spans="1:20">
      <c r="A27" s="175">
        <v>73</v>
      </c>
      <c r="B27" s="494" t="str">
        <f>+VLOOKUP($A27,Master!$D$27:$G$225,4,FALSE)</f>
        <v>Primici od otplate kredita i sredstva prenesena iz prethodne godine</v>
      </c>
      <c r="C27" s="495"/>
      <c r="D27" s="495"/>
      <c r="E27" s="495"/>
      <c r="F27" s="495"/>
      <c r="G27" s="200">
        <f>+SUMPRODUCT(('2019'!$G27:$R27)*('2019'!$G$5:$R$5&lt;=Master!$B$3)*($A27='2019'!$A$10:$A$66))</f>
        <v>4775383.3</v>
      </c>
      <c r="H27" s="200">
        <f>+SUMPRODUCT(('2019'!$G122:$R122)*('2019'!$G$5:$R$5&lt;=Master!$B$3))</f>
        <v>4143986.8926909333</v>
      </c>
      <c r="I27" s="201">
        <f t="shared" si="0"/>
        <v>631396.4073090665</v>
      </c>
      <c r="J27" s="202">
        <f t="shared" si="1"/>
        <v>0.15236447982562606</v>
      </c>
      <c r="K27" s="200">
        <f>+SUMPRODUCT(('2018'!$G27:$R27)*('2018'!$G$5:$R$5&lt;=Master!$B$3))</f>
        <v>5587769.7700000005</v>
      </c>
      <c r="L27" s="201">
        <f t="shared" si="7"/>
        <v>-812386.47000000067</v>
      </c>
      <c r="M27" s="203">
        <f t="shared" si="2"/>
        <v>-0.1453865322729645</v>
      </c>
      <c r="N27" s="200">
        <f>+INDEX('2019'!$1:$1048576,MATCH('Analitika - 2019'!$A27,'2019'!$A:$A,0),MATCH('Analitika - 2019'!$N$6,'2019'!$6:$6,0))</f>
        <v>183612.59</v>
      </c>
      <c r="O27" s="200">
        <f>+INDEX('2019'!$1:$1048576,MATCH(CONCATENATE('Analitika - 2019'!$A27,"p"),'2019'!$A:$A,0),MATCH('Analitika - 2019'!$O$6,'2019'!$101:$101,0))</f>
        <v>723504.94882674748</v>
      </c>
      <c r="P27" s="201">
        <f t="shared" si="3"/>
        <v>-539892.35882674751</v>
      </c>
      <c r="Q27" s="202">
        <f t="shared" si="4"/>
        <v>-0.74621792111062901</v>
      </c>
      <c r="R27" s="200">
        <f>+INDEX('2018'!$1:$1048576,MATCH('Analitika - 2019'!$A27,'2018'!$A:$A,0),MATCH('Analitika - 2019'!$R$6,'2018'!$6:$6,0))</f>
        <v>907089.49</v>
      </c>
      <c r="S27" s="201">
        <f t="shared" si="5"/>
        <v>-723476.9</v>
      </c>
      <c r="T27" s="203" t="s">
        <v>773</v>
      </c>
    </row>
    <row r="28" spans="1:20" ht="15.75" thickBot="1">
      <c r="A28" s="175">
        <v>74</v>
      </c>
      <c r="B28" s="496" t="str">
        <f>+VLOOKUP($A28,Master!$D$27:$G$225,4,FALSE)</f>
        <v>Donacije i transferi</v>
      </c>
      <c r="C28" s="497"/>
      <c r="D28" s="497"/>
      <c r="E28" s="497"/>
      <c r="F28" s="497"/>
      <c r="G28" s="200">
        <f>+SUMPRODUCT(('2019'!$G28:$R28)*('2019'!$G$5:$R$5&lt;=Master!$B$3)*($A28='2019'!$A$10:$A$66))</f>
        <v>22989096.359999996</v>
      </c>
      <c r="H28" s="200">
        <f>+SUMPRODUCT(('2019'!$G123:$R123)*('2019'!$G$5:$R$5&lt;=Master!$B$3))</f>
        <v>22471745.560615223</v>
      </c>
      <c r="I28" s="201">
        <f t="shared" si="0"/>
        <v>517350.79938477278</v>
      </c>
      <c r="J28" s="202">
        <f t="shared" si="1"/>
        <v>2.3022279154472969E-2</v>
      </c>
      <c r="K28" s="200">
        <f>+SUMPRODUCT(('2018'!$G28:$R28)*('2018'!$G$5:$R$5&lt;=Master!$B$3))</f>
        <v>16912579.950000003</v>
      </c>
      <c r="L28" s="201">
        <f t="shared" si="7"/>
        <v>6076516.4099999927</v>
      </c>
      <c r="M28" s="203">
        <f t="shared" si="2"/>
        <v>0.3592897374595998</v>
      </c>
      <c r="N28" s="200">
        <f>+INDEX('2019'!$1:$1048576,MATCH('Analitika - 2019'!$A28,'2019'!$A:$A,0),MATCH('Analitika - 2019'!$N$6,'2019'!$6:$6,0))</f>
        <v>1509055.56</v>
      </c>
      <c r="O28" s="200">
        <f>+INDEX('2019'!$1:$1048576,MATCH(CONCATENATE('Analitika - 2019'!$A28,"p"),'2019'!$A:$A,0),MATCH('Analitika - 2019'!$O$6,'2019'!$101:$101,0))</f>
        <v>1256927.0639557138</v>
      </c>
      <c r="P28" s="201">
        <f t="shared" si="3"/>
        <v>252128.49604428629</v>
      </c>
      <c r="Q28" s="202">
        <f t="shared" si="4"/>
        <v>0.20059119043137241</v>
      </c>
      <c r="R28" s="200">
        <f>+INDEX('2018'!$1:$1048576,MATCH('Analitika - 2019'!$A28,'2018'!$A:$A,0),MATCH('Analitika - 2019'!$R$6,'2018'!$6:$6,0))</f>
        <v>658145.13</v>
      </c>
      <c r="S28" s="201">
        <f t="shared" si="5"/>
        <v>850910.43</v>
      </c>
      <c r="T28" s="203">
        <f t="shared" si="6"/>
        <v>1.2928917820906767</v>
      </c>
    </row>
    <row r="29" spans="1:20" ht="15.75" thickBot="1">
      <c r="A29" s="175">
        <v>4</v>
      </c>
      <c r="B29" s="482" t="str">
        <f>+VLOOKUP($A29,Master!$D$27:$G$225,4,FALSE)</f>
        <v>Budžetski izdaci</v>
      </c>
      <c r="C29" s="483"/>
      <c r="D29" s="483"/>
      <c r="E29" s="483"/>
      <c r="F29" s="483"/>
      <c r="G29" s="176">
        <f>+SUMPRODUCT(('2019'!$G29:$R29)*('2019'!$G$5:$R$5&lt;=Master!$B$3)*($A29='2019'!$A$10:$A$66))</f>
        <v>1376541027.29</v>
      </c>
      <c r="H29" s="176">
        <f>+SUMPRODUCT(('2019'!$G124:$R124)*('2019'!$G$5:$R$5&lt;=Master!$B$3))</f>
        <v>1519743214.4375</v>
      </c>
      <c r="I29" s="177">
        <f t="shared" si="0"/>
        <v>-143202187.14750004</v>
      </c>
      <c r="J29" s="178">
        <f t="shared" si="1"/>
        <v>-9.4227883886623065E-2</v>
      </c>
      <c r="K29" s="176">
        <f>+SUMPRODUCT(('2018'!$G29:$R29)*('2018'!$G$5:$R$5&lt;=Master!$B$3))</f>
        <v>1313611388.3700001</v>
      </c>
      <c r="L29" s="177">
        <f t="shared" si="7"/>
        <v>62929638.919999838</v>
      </c>
      <c r="M29" s="179">
        <f t="shared" si="2"/>
        <v>4.7905826241417149E-2</v>
      </c>
      <c r="N29" s="176">
        <f>+INDEX('2019'!$1:$1048576,MATCH('Analitika - 2019'!$A29,'2019'!$A:$A,0),MATCH('Analitika - 2019'!$N$6,'2019'!$6:$6,0))</f>
        <v>149255331.76999998</v>
      </c>
      <c r="O29" s="176">
        <f>+INDEX('2019'!$1:$1048576,MATCH(CONCATENATE('Analitika - 2019'!$A29,"p"),'2019'!$A:$A,0),MATCH('Analitika - 2019'!$O$6,'2019'!$101:$101,0))</f>
        <v>161208966.37416667</v>
      </c>
      <c r="P29" s="177">
        <f t="shared" si="3"/>
        <v>-11953634.604166687</v>
      </c>
      <c r="Q29" s="178">
        <f t="shared" si="4"/>
        <v>-7.4149936402558736E-2</v>
      </c>
      <c r="R29" s="176">
        <f>+INDEX('2018'!$1:$1048576,MATCH('Analitika - 2019'!$A29,'2018'!$A:$A,0),MATCH('Analitika - 2019'!$R$6,'2018'!$6:$6,0))</f>
        <v>166113295.93000001</v>
      </c>
      <c r="S29" s="177">
        <f t="shared" si="5"/>
        <v>-16857964.160000026</v>
      </c>
      <c r="T29" s="179">
        <f t="shared" si="6"/>
        <v>-0.10148473706225147</v>
      </c>
    </row>
    <row r="30" spans="1:20" ht="15.75" thickBot="1">
      <c r="A30" s="175">
        <v>40</v>
      </c>
      <c r="B30" s="498" t="str">
        <f>+VLOOKUP($A30,Master!$D$27:$G$225,4,FALSE)</f>
        <v>Tekuća budžetska potrošnja</v>
      </c>
      <c r="C30" s="499"/>
      <c r="D30" s="499"/>
      <c r="E30" s="499"/>
      <c r="F30" s="499"/>
      <c r="G30" s="342">
        <f>+SUMPRODUCT(('2019'!$G30:$R30)*('2019'!$G$5:$R$5&lt;=Master!$B$3)*($A30='2019'!$A$10:$A$66))</f>
        <v>1216554698.6499999</v>
      </c>
      <c r="H30" s="342">
        <f>+SUMPRODUCT(('2019'!$G125:$R125)*('2019'!$G$5:$R$5&lt;=Master!$B$3))</f>
        <v>1279049464.5275002</v>
      </c>
      <c r="I30" s="207">
        <f t="shared" si="0"/>
        <v>-62494765.877500296</v>
      </c>
      <c r="J30" s="208">
        <f t="shared" si="1"/>
        <v>-4.8860319800522189E-2</v>
      </c>
      <c r="K30" s="342">
        <f>+SUMPRODUCT(('2018'!$G30:$R30)*('2018'!$G$5:$R$5&lt;=Master!$B$3))</f>
        <v>1166805515.6200001</v>
      </c>
      <c r="L30" s="207">
        <f t="shared" si="7"/>
        <v>49749183.029999733</v>
      </c>
      <c r="M30" s="209">
        <f t="shared" si="2"/>
        <v>4.263708249918996E-2</v>
      </c>
      <c r="N30" s="342">
        <f>+INDEX('2019'!$1:$1048576,MATCH('Analitika - 2019'!$A30,'2019'!$A:$A,0),MATCH('Analitika - 2019'!$N$6,'2019'!$6:$6,0))</f>
        <v>135200566.07999998</v>
      </c>
      <c r="O30" s="342">
        <f>+INDEX('2019'!$1:$1048576,MATCH(CONCATENATE('Analitika - 2019'!$A30,"p"),'2019'!$A:$A,0),MATCH('Analitika - 2019'!$O$6,'2019'!$101:$101,0))</f>
        <v>134465216.38416666</v>
      </c>
      <c r="P30" s="207">
        <f t="shared" si="3"/>
        <v>735349.69583332539</v>
      </c>
      <c r="Q30" s="208">
        <f t="shared" si="4"/>
        <v>5.4686982671594553E-3</v>
      </c>
      <c r="R30" s="342">
        <f>+INDEX('2018'!$1:$1048576,MATCH('Analitika - 2019'!$A30,'2018'!$A:$A,0),MATCH('Analitika - 2019'!$R$6,'2018'!$6:$6,0))</f>
        <v>127759879.86000001</v>
      </c>
      <c r="S30" s="207">
        <f t="shared" si="5"/>
        <v>7440686.219999969</v>
      </c>
      <c r="T30" s="209">
        <f t="shared" si="6"/>
        <v>5.8239615035279524E-2</v>
      </c>
    </row>
    <row r="31" spans="1:20">
      <c r="A31" s="175">
        <v>41</v>
      </c>
      <c r="B31" s="500" t="str">
        <f>+VLOOKUP($A31,Master!$D$27:$G$225,4,FALSE)</f>
        <v>Tekući izdaci</v>
      </c>
      <c r="C31" s="501"/>
      <c r="D31" s="501"/>
      <c r="E31" s="501"/>
      <c r="F31" s="501"/>
      <c r="G31" s="389">
        <f>+SUMPRODUCT(('2019'!$G31:$R31)*('2019'!$G$5:$R$5&lt;=Master!$B$3)*($A31='2019'!$A$10:$A$66))</f>
        <v>603594875.94000006</v>
      </c>
      <c r="H31" s="389">
        <f>+SUMPRODUCT(('2019'!$G126:$R126)*('2019'!$G$5:$R$5&lt;=Master!$B$3))</f>
        <v>652694826.47250009</v>
      </c>
      <c r="I31" s="213">
        <f t="shared" si="0"/>
        <v>-49099950.532500029</v>
      </c>
      <c r="J31" s="214">
        <f t="shared" si="1"/>
        <v>-7.522650485505078E-2</v>
      </c>
      <c r="K31" s="389">
        <f>+SUMPRODUCT(('2018'!$G31:$R31)*('2018'!$G$5:$R$5&lt;=Master!$B$3))</f>
        <v>591632003.33999991</v>
      </c>
      <c r="L31" s="213">
        <f t="shared" si="7"/>
        <v>11962872.600000143</v>
      </c>
      <c r="M31" s="215">
        <f t="shared" si="2"/>
        <v>2.0220124219894942E-2</v>
      </c>
      <c r="N31" s="389">
        <f>+INDEX('2019'!$1:$1048576,MATCH('Analitika - 2019'!$A31,'2019'!$A:$A,0),MATCH('Analitika - 2019'!$N$6,'2019'!$6:$6,0))</f>
        <v>63751696.230000004</v>
      </c>
      <c r="O31" s="389">
        <f>+INDEX('2019'!$1:$1048576,MATCH(CONCATENATE('Analitika - 2019'!$A31,"p"),'2019'!$A:$A,0),MATCH('Analitika - 2019'!$O$6,'2019'!$101:$101,0))</f>
        <v>66815564.902500011</v>
      </c>
      <c r="P31" s="213">
        <f t="shared" si="3"/>
        <v>-3063868.6725000069</v>
      </c>
      <c r="Q31" s="214">
        <f t="shared" si="4"/>
        <v>-4.5855612789788225E-2</v>
      </c>
      <c r="R31" s="389">
        <f>+INDEX('2018'!$1:$1048576,MATCH('Analitika - 2019'!$A31,'2018'!$A:$A,0),MATCH('Analitika - 2019'!$R$6,'2018'!$6:$6,0))</f>
        <v>63478184.120000005</v>
      </c>
      <c r="S31" s="213">
        <f t="shared" si="5"/>
        <v>273512.1099999994</v>
      </c>
      <c r="T31" s="215">
        <f t="shared" si="6"/>
        <v>4.3087576273912465E-3</v>
      </c>
    </row>
    <row r="32" spans="1:20">
      <c r="A32" s="175">
        <v>411</v>
      </c>
      <c r="B32" s="492" t="str">
        <f>+VLOOKUP($A32,Master!$D$27:$G$225,4,FALSE)</f>
        <v>Bruto zarade i doprinosi na teret poslodavca</v>
      </c>
      <c r="C32" s="493"/>
      <c r="D32" s="493"/>
      <c r="E32" s="493"/>
      <c r="F32" s="493"/>
      <c r="G32" s="188">
        <f>+SUMPRODUCT(('2019'!$G32:$R32)*('2019'!$G$5:$R$5&lt;=Master!$B$3)*($A32='2019'!$A$10:$A$66))</f>
        <v>350689855.90000004</v>
      </c>
      <c r="H32" s="188">
        <f>+SUMPRODUCT(('2019'!$G127:$R127)*('2019'!$G$5:$R$5&lt;=Master!$B$3))</f>
        <v>354981087.26500005</v>
      </c>
      <c r="I32" s="189">
        <f t="shared" si="0"/>
        <v>-4291231.3650000095</v>
      </c>
      <c r="J32" s="190">
        <f t="shared" si="1"/>
        <v>-1.2088619701016712E-2</v>
      </c>
      <c r="K32" s="188">
        <f>+SUMPRODUCT(('2018'!$G32:$R32)*('2018'!$G$5:$R$5&lt;=Master!$B$3))</f>
        <v>340115718.94</v>
      </c>
      <c r="L32" s="189">
        <f t="shared" si="7"/>
        <v>10574136.960000038</v>
      </c>
      <c r="M32" s="191">
        <f t="shared" si="2"/>
        <v>3.1089821408299745E-2</v>
      </c>
      <c r="N32" s="188">
        <f>+INDEX('2019'!$1:$1048576,MATCH('Analitika - 2019'!$A32,'2019'!$A:$A,0),MATCH('Analitika - 2019'!$N$6,'2019'!$6:$6,0))</f>
        <v>38490166.549999997</v>
      </c>
      <c r="O32" s="188">
        <f>+INDEX('2019'!$1:$1048576,MATCH(CONCATENATE('Analitika - 2019'!$A32,"p"),'2019'!$A:$A,0),MATCH('Analitika - 2019'!$O$6,'2019'!$101:$101,0))</f>
        <v>39030288.911666676</v>
      </c>
      <c r="P32" s="189">
        <f t="shared" si="3"/>
        <v>-540122.36166667938</v>
      </c>
      <c r="Q32" s="190">
        <f t="shared" si="4"/>
        <v>-1.3838543775299361E-2</v>
      </c>
      <c r="R32" s="188">
        <f>+INDEX('2018'!$1:$1048576,MATCH('Analitika - 2019'!$A32,'2018'!$A:$A,0),MATCH('Analitika - 2019'!$R$6,'2018'!$6:$6,0))</f>
        <v>38163535.509999998</v>
      </c>
      <c r="S32" s="189">
        <f t="shared" si="5"/>
        <v>326631.03999999911</v>
      </c>
      <c r="T32" s="191">
        <f t="shared" si="6"/>
        <v>8.5587206645048042E-3</v>
      </c>
    </row>
    <row r="33" spans="1:20">
      <c r="A33" s="175">
        <v>412</v>
      </c>
      <c r="B33" s="492" t="str">
        <f>+VLOOKUP($A33,Master!$D$27:$G$225,4,FALSE)</f>
        <v>Ostala lična primanja</v>
      </c>
      <c r="C33" s="493"/>
      <c r="D33" s="493"/>
      <c r="E33" s="493"/>
      <c r="F33" s="493"/>
      <c r="G33" s="188">
        <f>+SUMPRODUCT(('2019'!$G33:$R33)*('2019'!$G$5:$R$5&lt;=Master!$B$3)*($A33='2019'!$A$10:$A$66))</f>
        <v>9067522.4299999997</v>
      </c>
      <c r="H33" s="188">
        <f>+SUMPRODUCT(('2019'!$G128:$R128)*('2019'!$G$5:$R$5&lt;=Master!$B$3))</f>
        <v>11359195.2875</v>
      </c>
      <c r="I33" s="189">
        <f t="shared" si="0"/>
        <v>-2291672.8574999999</v>
      </c>
      <c r="J33" s="190">
        <f t="shared" si="1"/>
        <v>-0.20174605678465851</v>
      </c>
      <c r="K33" s="188">
        <f>+SUMPRODUCT(('2018'!$G33:$R33)*('2018'!$G$5:$R$5&lt;=Master!$B$3))</f>
        <v>7751391.4900000002</v>
      </c>
      <c r="L33" s="189">
        <f t="shared" si="7"/>
        <v>1316130.9399999995</v>
      </c>
      <c r="M33" s="191">
        <f t="shared" si="2"/>
        <v>0.16979286128147808</v>
      </c>
      <c r="N33" s="188">
        <f>+INDEX('2019'!$1:$1048576,MATCH('Analitika - 2019'!$A33,'2019'!$A:$A,0),MATCH('Analitika - 2019'!$N$6,'2019'!$6:$6,0))</f>
        <v>1077519.06</v>
      </c>
      <c r="O33" s="188">
        <f>+INDEX('2019'!$1:$1048576,MATCH(CONCATENATE('Analitika - 2019'!$A33,"p"),'2019'!$A:$A,0),MATCH('Analitika - 2019'!$O$6,'2019'!$101:$101,0))</f>
        <v>1249658.6108333331</v>
      </c>
      <c r="P33" s="189">
        <f t="shared" si="3"/>
        <v>-172139.55083333305</v>
      </c>
      <c r="Q33" s="190">
        <f t="shared" si="4"/>
        <v>-0.13774926155115441</v>
      </c>
      <c r="R33" s="188">
        <f>+INDEX('2018'!$1:$1048576,MATCH('Analitika - 2019'!$A33,'2018'!$A:$A,0),MATCH('Analitika - 2019'!$R$6,'2018'!$6:$6,0))</f>
        <v>963637.57</v>
      </c>
      <c r="S33" s="189">
        <f t="shared" si="5"/>
        <v>113881.49000000011</v>
      </c>
      <c r="T33" s="191">
        <f t="shared" si="6"/>
        <v>0.11817875677055656</v>
      </c>
    </row>
    <row r="34" spans="1:20">
      <c r="A34" s="175">
        <v>413</v>
      </c>
      <c r="B34" s="492" t="str">
        <f>+VLOOKUP($A34,Master!$D$27:$G$225,4,FALSE)</f>
        <v>Rashodi za materijal</v>
      </c>
      <c r="C34" s="493"/>
      <c r="D34" s="493"/>
      <c r="E34" s="493"/>
      <c r="F34" s="493"/>
      <c r="G34" s="188">
        <f>+SUMPRODUCT(('2019'!$G34:$R34)*('2019'!$G$5:$R$5&lt;=Master!$B$3)*($A34='2019'!$A$10:$A$66))</f>
        <v>21323535.300000001</v>
      </c>
      <c r="H34" s="188">
        <f>+SUMPRODUCT(('2019'!$G129:$R129)*('2019'!$G$5:$R$5&lt;=Master!$B$3))</f>
        <v>27483942.222500004</v>
      </c>
      <c r="I34" s="189">
        <f t="shared" si="0"/>
        <v>-6160406.9225000031</v>
      </c>
      <c r="J34" s="190">
        <f t="shared" si="1"/>
        <v>-0.22414568014397607</v>
      </c>
      <c r="K34" s="188">
        <f>+SUMPRODUCT(('2018'!$G34:$R34)*('2018'!$G$5:$R$5&lt;=Master!$B$3))</f>
        <v>21811610.740000002</v>
      </c>
      <c r="L34" s="189">
        <f t="shared" si="7"/>
        <v>-488075.44000000134</v>
      </c>
      <c r="M34" s="191">
        <f t="shared" si="2"/>
        <v>-2.2376863672196712E-2</v>
      </c>
      <c r="N34" s="188">
        <f>+INDEX('2019'!$1:$1048576,MATCH('Analitika - 2019'!$A34,'2019'!$A:$A,0),MATCH('Analitika - 2019'!$N$6,'2019'!$6:$6,0))</f>
        <v>2778192.64</v>
      </c>
      <c r="O34" s="188">
        <f>+INDEX('2019'!$1:$1048576,MATCH(CONCATENATE('Analitika - 2019'!$A34,"p"),'2019'!$A:$A,0),MATCH('Analitika - 2019'!$O$6,'2019'!$101:$101,0))</f>
        <v>3059040.8058333341</v>
      </c>
      <c r="P34" s="189">
        <f t="shared" si="3"/>
        <v>-280848.16583333397</v>
      </c>
      <c r="Q34" s="190">
        <f t="shared" si="4"/>
        <v>-9.1809225067472133E-2</v>
      </c>
      <c r="R34" s="188">
        <f>+INDEX('2018'!$1:$1048576,MATCH('Analitika - 2019'!$A34,'2018'!$A:$A,0),MATCH('Analitika - 2019'!$R$6,'2018'!$6:$6,0))</f>
        <v>1933588.85</v>
      </c>
      <c r="S34" s="189">
        <f t="shared" si="5"/>
        <v>844603.79</v>
      </c>
      <c r="T34" s="191">
        <f t="shared" si="6"/>
        <v>0.43680629933297355</v>
      </c>
    </row>
    <row r="35" spans="1:20">
      <c r="A35" s="175">
        <v>414</v>
      </c>
      <c r="B35" s="492" t="str">
        <f>+VLOOKUP($A35,Master!$D$27:$G$225,4,FALSE)</f>
        <v>Rashodi za usluge</v>
      </c>
      <c r="C35" s="493"/>
      <c r="D35" s="493"/>
      <c r="E35" s="493"/>
      <c r="F35" s="493"/>
      <c r="G35" s="188">
        <f>+SUMPRODUCT(('2019'!$G35:$R35)*('2019'!$G$5:$R$5&lt;=Master!$B$3)*($A35='2019'!$A$10:$A$66))</f>
        <v>47197487.410000004</v>
      </c>
      <c r="H35" s="188">
        <f>+SUMPRODUCT(('2019'!$G130:$R130)*('2019'!$G$5:$R$5&lt;=Master!$B$3))</f>
        <v>48002459.977499992</v>
      </c>
      <c r="I35" s="189">
        <f t="shared" si="0"/>
        <v>-804972.56749998778</v>
      </c>
      <c r="J35" s="190">
        <f t="shared" si="1"/>
        <v>-1.6769402398904121E-2</v>
      </c>
      <c r="K35" s="188">
        <f>+SUMPRODUCT(('2018'!$G35:$R35)*('2018'!$G$5:$R$5&lt;=Master!$B$3))</f>
        <v>46940257.049999997</v>
      </c>
      <c r="L35" s="189">
        <f t="shared" si="7"/>
        <v>257230.36000000685</v>
      </c>
      <c r="M35" s="191">
        <f t="shared" si="2"/>
        <v>5.4799520958312975E-3</v>
      </c>
      <c r="N35" s="188">
        <f>+INDEX('2019'!$1:$1048576,MATCH('Analitika - 2019'!$A35,'2019'!$A:$A,0),MATCH('Analitika - 2019'!$N$6,'2019'!$6:$6,0))</f>
        <v>5727454.2199999997</v>
      </c>
      <c r="O35" s="188">
        <f>+INDEX('2019'!$1:$1048576,MATCH(CONCATENATE('Analitika - 2019'!$A35,"p"),'2019'!$A:$A,0),MATCH('Analitika - 2019'!$O$6,'2019'!$101:$101,0))</f>
        <v>5175886.7374999989</v>
      </c>
      <c r="P35" s="189">
        <f t="shared" si="3"/>
        <v>551567.48250000086</v>
      </c>
      <c r="Q35" s="190">
        <f t="shared" si="4"/>
        <v>0.10656482849669402</v>
      </c>
      <c r="R35" s="188">
        <f>+INDEX('2018'!$1:$1048576,MATCH('Analitika - 2019'!$A35,'2018'!$A:$A,0),MATCH('Analitika - 2019'!$R$6,'2018'!$6:$6,0))</f>
        <v>5520674.5999999996</v>
      </c>
      <c r="S35" s="189">
        <f t="shared" si="5"/>
        <v>206779.62000000011</v>
      </c>
      <c r="T35" s="191">
        <f t="shared" si="6"/>
        <v>3.7455498645038832E-2</v>
      </c>
    </row>
    <row r="36" spans="1:20">
      <c r="A36" s="175">
        <v>415</v>
      </c>
      <c r="B36" s="492" t="str">
        <f>+VLOOKUP($A36,Master!$D$27:$G$225,4,FALSE)</f>
        <v>Rashodi za tekuće održavanje</v>
      </c>
      <c r="C36" s="493"/>
      <c r="D36" s="493"/>
      <c r="E36" s="493"/>
      <c r="F36" s="493"/>
      <c r="G36" s="188">
        <f>+SUMPRODUCT(('2019'!$G36:$R36)*('2019'!$G$5:$R$5&lt;=Master!$B$3)*($A36='2019'!$A$10:$A$66))</f>
        <v>12787106.299999999</v>
      </c>
      <c r="H36" s="188">
        <f>+SUMPRODUCT(('2019'!$G131:$R131)*('2019'!$G$5:$R$5&lt;=Master!$B$3))</f>
        <v>17355445.824999999</v>
      </c>
      <c r="I36" s="189">
        <f t="shared" si="0"/>
        <v>-4568339.5250000004</v>
      </c>
      <c r="J36" s="190">
        <f t="shared" si="1"/>
        <v>-0.26322225145144029</v>
      </c>
      <c r="K36" s="188">
        <f>+SUMPRODUCT(('2018'!$G36:$R36)*('2018'!$G$5:$R$5&lt;=Master!$B$3))</f>
        <v>13156245.33</v>
      </c>
      <c r="L36" s="189">
        <f t="shared" si="7"/>
        <v>-369139.03000000119</v>
      </c>
      <c r="M36" s="191">
        <f t="shared" si="2"/>
        <v>-2.8058083498812447E-2</v>
      </c>
      <c r="N36" s="188">
        <f>+INDEX('2019'!$1:$1048576,MATCH('Analitika - 2019'!$A36,'2019'!$A:$A,0),MATCH('Analitika - 2019'!$N$6,'2019'!$6:$6,0))</f>
        <v>1711631.24</v>
      </c>
      <c r="O36" s="188">
        <f>+INDEX('2019'!$1:$1048576,MATCH(CONCATENATE('Analitika - 2019'!$A36,"p"),'2019'!$A:$A,0),MATCH('Analitika - 2019'!$O$6,'2019'!$101:$101,0))</f>
        <v>1926953.7016666669</v>
      </c>
      <c r="P36" s="189">
        <f t="shared" si="3"/>
        <v>-215322.4616666669</v>
      </c>
      <c r="Q36" s="190">
        <f t="shared" si="4"/>
        <v>-0.11174241575209076</v>
      </c>
      <c r="R36" s="188">
        <f>+INDEX('2018'!$1:$1048576,MATCH('Analitika - 2019'!$A36,'2018'!$A:$A,0),MATCH('Analitika - 2019'!$R$6,'2018'!$6:$6,0))</f>
        <v>2309329.44</v>
      </c>
      <c r="S36" s="189">
        <f t="shared" si="5"/>
        <v>-597698.19999999995</v>
      </c>
      <c r="T36" s="191">
        <f t="shared" si="6"/>
        <v>-0.25881894096495817</v>
      </c>
    </row>
    <row r="37" spans="1:20">
      <c r="A37" s="175">
        <v>416</v>
      </c>
      <c r="B37" s="492" t="str">
        <f>+VLOOKUP($A37,Master!$D$27:$G$225,4,FALSE)</f>
        <v>Kamate</v>
      </c>
      <c r="C37" s="493"/>
      <c r="D37" s="493"/>
      <c r="E37" s="493"/>
      <c r="F37" s="493"/>
      <c r="G37" s="188">
        <f>+SUMPRODUCT(('2019'!$G37:$R37)*('2019'!$G$5:$R$5&lt;=Master!$B$3)*($A37='2019'!$A$10:$A$66))</f>
        <v>83053577.350000009</v>
      </c>
      <c r="H37" s="188">
        <f>+SUMPRODUCT(('2019'!$G132:$R132)*('2019'!$G$5:$R$5&lt;=Master!$B$3))</f>
        <v>84790322.819999993</v>
      </c>
      <c r="I37" s="189">
        <f t="shared" si="0"/>
        <v>-1736745.4699999839</v>
      </c>
      <c r="J37" s="190">
        <f t="shared" si="1"/>
        <v>-2.0482826485834882E-2</v>
      </c>
      <c r="K37" s="188">
        <f>+SUMPRODUCT(('2018'!$G37:$R37)*('2018'!$G$5:$R$5&lt;=Master!$B$3))</f>
        <v>86097723.319999978</v>
      </c>
      <c r="L37" s="189">
        <f t="shared" si="7"/>
        <v>-3044145.969999969</v>
      </c>
      <c r="M37" s="191">
        <f t="shared" si="2"/>
        <v>-3.5356869527034651E-2</v>
      </c>
      <c r="N37" s="188">
        <f>+INDEX('2019'!$1:$1048576,MATCH('Analitika - 2019'!$A37,'2019'!$A:$A,0),MATCH('Analitika - 2019'!$N$6,'2019'!$6:$6,0))</f>
        <v>2999385.93</v>
      </c>
      <c r="O37" s="188">
        <f>+INDEX('2019'!$1:$1048576,MATCH(CONCATENATE('Analitika - 2019'!$A37,"p"),'2019'!$A:$A,0),MATCH('Analitika - 2019'!$O$6,'2019'!$101:$101,0))</f>
        <v>3140325.8000000007</v>
      </c>
      <c r="P37" s="189">
        <f t="shared" si="3"/>
        <v>-140939.87000000058</v>
      </c>
      <c r="Q37" s="190">
        <f t="shared" si="4"/>
        <v>-4.4880652192202608E-2</v>
      </c>
      <c r="R37" s="188">
        <f>+INDEX('2018'!$1:$1048576,MATCH('Analitika - 2019'!$A37,'2018'!$A:$A,0),MATCH('Analitika - 2019'!$R$6,'2018'!$6:$6,0))</f>
        <v>3617355.6</v>
      </c>
      <c r="S37" s="189">
        <f t="shared" si="5"/>
        <v>-617969.66999999993</v>
      </c>
      <c r="T37" s="191">
        <f t="shared" si="6"/>
        <v>-0.17083464782948077</v>
      </c>
    </row>
    <row r="38" spans="1:20">
      <c r="A38" s="175">
        <v>417</v>
      </c>
      <c r="B38" s="492" t="str">
        <f>+VLOOKUP($A38,Master!$D$27:$G$225,4,FALSE)</f>
        <v>Renta</v>
      </c>
      <c r="C38" s="493"/>
      <c r="D38" s="493"/>
      <c r="E38" s="493"/>
      <c r="F38" s="493"/>
      <c r="G38" s="188">
        <f>+SUMPRODUCT(('2019'!$G38:$R38)*('2019'!$G$5:$R$5&lt;=Master!$B$3)*($A38='2019'!$A$10:$A$66))</f>
        <v>7407218.8200000003</v>
      </c>
      <c r="H38" s="188">
        <f>+SUMPRODUCT(('2019'!$G133:$R133)*('2019'!$G$5:$R$5&lt;=Master!$B$3))</f>
        <v>7322390.5899999989</v>
      </c>
      <c r="I38" s="189">
        <f t="shared" si="0"/>
        <v>84828.230000001378</v>
      </c>
      <c r="J38" s="190">
        <f t="shared" si="1"/>
        <v>1.1584772617271977E-2</v>
      </c>
      <c r="K38" s="188">
        <f>+SUMPRODUCT(('2018'!$G38:$R38)*('2018'!$G$5:$R$5&lt;=Master!$B$3))</f>
        <v>6570072.1200000001</v>
      </c>
      <c r="L38" s="189">
        <f t="shared" si="7"/>
        <v>837146.70000000019</v>
      </c>
      <c r="M38" s="191">
        <f t="shared" si="2"/>
        <v>0.12741819035009327</v>
      </c>
      <c r="N38" s="188">
        <f>+INDEX('2019'!$1:$1048576,MATCH('Analitika - 2019'!$A38,'2019'!$A:$A,0),MATCH('Analitika - 2019'!$N$6,'2019'!$6:$6,0))</f>
        <v>656314.94999999995</v>
      </c>
      <c r="O38" s="188">
        <f>+INDEX('2019'!$1:$1048576,MATCH(CONCATENATE('Analitika - 2019'!$A38,"p"),'2019'!$A:$A,0),MATCH('Analitika - 2019'!$O$6,'2019'!$101:$101,0))</f>
        <v>826570.39</v>
      </c>
      <c r="P38" s="189">
        <f t="shared" si="3"/>
        <v>-170255.44000000006</v>
      </c>
      <c r="Q38" s="190">
        <f t="shared" si="4"/>
        <v>-0.20597815026981559</v>
      </c>
      <c r="R38" s="188">
        <f>+INDEX('2018'!$1:$1048576,MATCH('Analitika - 2019'!$A38,'2018'!$A:$A,0),MATCH('Analitika - 2019'!$R$6,'2018'!$6:$6,0))</f>
        <v>949304.64</v>
      </c>
      <c r="S38" s="189">
        <f t="shared" si="5"/>
        <v>-292989.69000000006</v>
      </c>
      <c r="T38" s="191">
        <f t="shared" si="6"/>
        <v>-0.3086361086363173</v>
      </c>
    </row>
    <row r="39" spans="1:20">
      <c r="A39" s="175">
        <v>418</v>
      </c>
      <c r="B39" s="492" t="str">
        <f>+VLOOKUP($A39,Master!$D$27:$G$225,4,FALSE)</f>
        <v>Subvencije</v>
      </c>
      <c r="C39" s="493"/>
      <c r="D39" s="493"/>
      <c r="E39" s="493"/>
      <c r="F39" s="493"/>
      <c r="G39" s="188">
        <f>+SUMPRODUCT(('2019'!$G39:$R39)*('2019'!$G$5:$R$5&lt;=Master!$B$3)*($A39='2019'!$A$10:$A$66))</f>
        <v>18961258.32</v>
      </c>
      <c r="H39" s="188">
        <f>+SUMPRODUCT(('2019'!$G134:$R134)*('2019'!$G$5:$R$5&lt;=Master!$B$3))</f>
        <v>24585837.449999996</v>
      </c>
      <c r="I39" s="189">
        <f t="shared" si="0"/>
        <v>-5624579.1299999952</v>
      </c>
      <c r="J39" s="190">
        <f t="shared" si="1"/>
        <v>-0.22877313581197523</v>
      </c>
      <c r="K39" s="188">
        <f>+SUMPRODUCT(('2018'!$G39:$R39)*('2018'!$G$5:$R$5&lt;=Master!$B$3))</f>
        <v>17985849.389999997</v>
      </c>
      <c r="L39" s="189">
        <f t="shared" si="7"/>
        <v>975408.93000000343</v>
      </c>
      <c r="M39" s="191">
        <f t="shared" si="2"/>
        <v>5.4232019230758377E-2</v>
      </c>
      <c r="N39" s="188">
        <f>+INDEX('2019'!$1:$1048576,MATCH('Analitika - 2019'!$A39,'2019'!$A:$A,0),MATCH('Analitika - 2019'!$N$6,'2019'!$6:$6,0))</f>
        <v>3742161.66</v>
      </c>
      <c r="O39" s="188">
        <f>+INDEX('2019'!$1:$1048576,MATCH(CONCATENATE('Analitika - 2019'!$A39,"p"),'2019'!$A:$A,0),MATCH('Analitika - 2019'!$O$6,'2019'!$101:$101,0))</f>
        <v>4447481.1566666672</v>
      </c>
      <c r="P39" s="189">
        <f t="shared" si="3"/>
        <v>-705319.49666666705</v>
      </c>
      <c r="Q39" s="190">
        <f t="shared" si="4"/>
        <v>-0.15858852951167879</v>
      </c>
      <c r="R39" s="188">
        <f>+INDEX('2018'!$1:$1048576,MATCH('Analitika - 2019'!$A39,'2018'!$A:$A,0),MATCH('Analitika - 2019'!$R$6,'2018'!$6:$6,0))</f>
        <v>3480196.8</v>
      </c>
      <c r="S39" s="189">
        <f t="shared" si="5"/>
        <v>261964.86000000034</v>
      </c>
      <c r="T39" s="191">
        <f t="shared" si="6"/>
        <v>7.5273001802656836E-2</v>
      </c>
    </row>
    <row r="40" spans="1:20">
      <c r="A40" s="175">
        <v>419</v>
      </c>
      <c r="B40" s="492" t="str">
        <f>+VLOOKUP($A40,Master!$D$27:$G$225,4,FALSE)</f>
        <v>Ostali izdaci</v>
      </c>
      <c r="C40" s="493"/>
      <c r="D40" s="493"/>
      <c r="E40" s="493"/>
      <c r="F40" s="493"/>
      <c r="G40" s="188">
        <f>+SUMPRODUCT(('2019'!$G40:$R40)*('2019'!$G$5:$R$5&lt;=Master!$B$3)*($A40='2019'!$A$10:$A$66))</f>
        <v>30283143.110000003</v>
      </c>
      <c r="H40" s="188">
        <f>+SUMPRODUCT(('2019'!$G135:$R135)*('2019'!$G$5:$R$5&lt;=Master!$B$3))</f>
        <v>32289446.38750001</v>
      </c>
      <c r="I40" s="189">
        <f t="shared" si="0"/>
        <v>-2006303.2775000073</v>
      </c>
      <c r="J40" s="190">
        <f t="shared" si="1"/>
        <v>-6.2134954356996785E-2</v>
      </c>
      <c r="K40" s="188">
        <f>+SUMPRODUCT(('2018'!$G40:$R40)*('2018'!$G$5:$R$5&lt;=Master!$B$3))</f>
        <v>24857600.639999997</v>
      </c>
      <c r="L40" s="189">
        <f t="shared" si="7"/>
        <v>5425542.4700000063</v>
      </c>
      <c r="M40" s="191">
        <f t="shared" si="2"/>
        <v>0.21826493025515137</v>
      </c>
      <c r="N40" s="188">
        <f>+INDEX('2019'!$1:$1048576,MATCH('Analitika - 2019'!$A40,'2019'!$A:$A,0),MATCH('Analitika - 2019'!$N$6,'2019'!$6:$6,0))</f>
        <v>4101848.07</v>
      </c>
      <c r="O40" s="188">
        <f>+INDEX('2019'!$1:$1048576,MATCH(CONCATENATE('Analitika - 2019'!$A40,"p"),'2019'!$A:$A,0),MATCH('Analitika - 2019'!$O$6,'2019'!$101:$101,0))</f>
        <v>2986649.6408333336</v>
      </c>
      <c r="P40" s="189">
        <f t="shared" si="3"/>
        <v>1115198.4291666662</v>
      </c>
      <c r="Q40" s="190">
        <f t="shared" si="4"/>
        <v>0.37339445977182106</v>
      </c>
      <c r="R40" s="188">
        <f>+INDEX('2018'!$1:$1048576,MATCH('Analitika - 2019'!$A40,'2018'!$A:$A,0),MATCH('Analitika - 2019'!$R$6,'2018'!$6:$6,0))</f>
        <v>3201193.66</v>
      </c>
      <c r="S40" s="189">
        <f t="shared" si="5"/>
        <v>900654.40999999968</v>
      </c>
      <c r="T40" s="191">
        <f t="shared" si="6"/>
        <v>0.28134955446587995</v>
      </c>
    </row>
    <row r="41" spans="1:20">
      <c r="A41" s="175">
        <v>440</v>
      </c>
      <c r="B41" s="492" t="str">
        <f>+VLOOKUP($A41,Master!$D$27:$G$225,4,FALSE)</f>
        <v>Kapitalni izdaci u tekućem budžetu</v>
      </c>
      <c r="C41" s="493"/>
      <c r="D41" s="493"/>
      <c r="E41" s="493"/>
      <c r="F41" s="493"/>
      <c r="G41" s="188">
        <f>+SUMPRODUCT(('2019'!$G41:$R41)*('2019'!$G$5:$R$5&lt;=Master!$B$3)*($A41='2019'!$A$10:$A$66))</f>
        <v>22824171.000000004</v>
      </c>
      <c r="H41" s="188">
        <f>+SUMPRODUCT(('2019'!$G136:$R136)*('2019'!$G$5:$R$5&lt;=Master!$B$3))</f>
        <v>44524698.647500008</v>
      </c>
      <c r="I41" s="189">
        <f t="shared" si="0"/>
        <v>-21700527.647500005</v>
      </c>
      <c r="J41" s="190">
        <f t="shared" si="1"/>
        <v>-0.48738179722005726</v>
      </c>
      <c r="K41" s="188">
        <f>+SUMPRODUCT(('2018'!$G41:$R41)*('2018'!$G$5:$R$5&lt;=Master!$B$3))</f>
        <v>26345534.320000004</v>
      </c>
      <c r="L41" s="189">
        <f t="shared" si="7"/>
        <v>-3521363.3200000003</v>
      </c>
      <c r="M41" s="191">
        <f t="shared" si="2"/>
        <v>-0.13366072888211589</v>
      </c>
      <c r="N41" s="188">
        <f>+INDEX('2019'!$1:$1048576,MATCH('Analitika - 2019'!$A41,'2019'!$A:$A,0),MATCH('Analitika - 2019'!$N$6,'2019'!$6:$6,0))</f>
        <v>2467021.91</v>
      </c>
      <c r="O41" s="188">
        <f>+INDEX('2019'!$1:$1048576,MATCH(CONCATENATE('Analitika - 2019'!$A41,"p"),'2019'!$A:$A,0),MATCH('Analitika - 2019'!$O$6,'2019'!$101:$101,0))</f>
        <v>4972709.1475000018</v>
      </c>
      <c r="P41" s="189">
        <f t="shared" si="3"/>
        <v>-2505687.2375000017</v>
      </c>
      <c r="Q41" s="190">
        <f t="shared" si="4"/>
        <v>-0.50388775276746678</v>
      </c>
      <c r="R41" s="188">
        <f>+INDEX('2018'!$1:$1048576,MATCH('Analitika - 2019'!$A41,'2018'!$A:$A,0),MATCH('Analitika - 2019'!$R$6,'2018'!$6:$6,0))</f>
        <v>3339367.45</v>
      </c>
      <c r="S41" s="189">
        <f t="shared" si="5"/>
        <v>-872345.54</v>
      </c>
      <c r="T41" s="191">
        <f t="shared" si="6"/>
        <v>-0.26123077291179797</v>
      </c>
    </row>
    <row r="42" spans="1:20">
      <c r="A42" s="175">
        <v>42</v>
      </c>
      <c r="B42" s="488" t="str">
        <f>+VLOOKUP($A42,Master!$D$27:$G$225,4,FALSE)</f>
        <v>Transferi za socijalnu zaštitu</v>
      </c>
      <c r="C42" s="489"/>
      <c r="D42" s="489"/>
      <c r="E42" s="489"/>
      <c r="F42" s="489"/>
      <c r="G42" s="200">
        <f>+SUMPRODUCT(('2019'!$G42:$R42)*('2019'!$G$5:$R$5&lt;=Master!$B$3)*($A42='2019'!$A$10:$A$66))</f>
        <v>409354319.35000002</v>
      </c>
      <c r="H42" s="200">
        <f>+SUMPRODUCT(('2019'!$G137:$R137)*('2019'!$G$5:$R$5&lt;=Master!$B$3))</f>
        <v>415854048.38999999</v>
      </c>
      <c r="I42" s="219">
        <f t="shared" si="0"/>
        <v>-6499729.0399999619</v>
      </c>
      <c r="J42" s="220">
        <f t="shared" si="1"/>
        <v>-1.5629832305742775E-2</v>
      </c>
      <c r="K42" s="200">
        <f>+SUMPRODUCT(('2018'!$G42:$R42)*('2018'!$G$5:$R$5&lt;=Master!$B$3))</f>
        <v>401668860.72000003</v>
      </c>
      <c r="L42" s="219">
        <f t="shared" si="7"/>
        <v>7685458.6299999952</v>
      </c>
      <c r="M42" s="221">
        <f t="shared" si="2"/>
        <v>1.9133817384358931E-2</v>
      </c>
      <c r="N42" s="200">
        <f>+INDEX('2019'!$1:$1048576,MATCH('Analitika - 2019'!$A42,'2019'!$A:$A,0),MATCH('Analitika - 2019'!$N$6,'2019'!$6:$6,0))</f>
        <v>45931841.649999999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3"/>
        <v>-274308.16000000387</v>
      </c>
      <c r="Q42" s="220">
        <f t="shared" si="4"/>
        <v>-5.9366158212263986E-3</v>
      </c>
      <c r="R42" s="200">
        <f>+INDEX('2018'!$1:$1048576,MATCH('Analitika - 2019'!$A42,'2018'!$A:$A,0),MATCH('Analitika - 2019'!$R$6,'2018'!$6:$6,0))</f>
        <v>45439390.599999994</v>
      </c>
      <c r="S42" s="219">
        <f t="shared" si="5"/>
        <v>492451.05000000447</v>
      </c>
      <c r="T42" s="221">
        <f t="shared" si="6"/>
        <v>1.0837536408333959E-2</v>
      </c>
    </row>
    <row r="43" spans="1:20">
      <c r="A43" s="175">
        <v>421</v>
      </c>
      <c r="B43" s="492" t="str">
        <f>+VLOOKUP($A43,Master!$D$27:$G$225,4,FALSE)</f>
        <v>Prava iz oblasti socijalne zaštite</v>
      </c>
      <c r="C43" s="493"/>
      <c r="D43" s="493"/>
      <c r="E43" s="493"/>
      <c r="F43" s="493"/>
      <c r="G43" s="188">
        <f>+SUMPRODUCT(('2019'!$G43:$R43)*('2019'!$G$5:$R$5&lt;=Master!$B$3)*($A43='2019'!$A$10:$A$66))</f>
        <v>59182028.149999991</v>
      </c>
      <c r="H43" s="188">
        <f>+SUMPRODUCT(('2019'!$G138:$R138)*('2019'!$G$5:$R$5&lt;=Master!$B$3))</f>
        <v>60742175.000000015</v>
      </c>
      <c r="I43" s="189">
        <f t="shared" si="0"/>
        <v>-1560146.8500000238</v>
      </c>
      <c r="J43" s="190">
        <f t="shared" si="1"/>
        <v>-2.5684737993001083E-2</v>
      </c>
      <c r="K43" s="188">
        <f>+SUMPRODUCT(('2018'!$G43:$R43)*('2018'!$G$5:$R$5&lt;=Master!$B$3))</f>
        <v>57665219.339999996</v>
      </c>
      <c r="L43" s="189">
        <f t="shared" si="7"/>
        <v>1516808.8099999949</v>
      </c>
      <c r="M43" s="191">
        <f t="shared" si="2"/>
        <v>2.6303703122270816E-2</v>
      </c>
      <c r="N43" s="188">
        <f>+INDEX('2019'!$1:$1048576,MATCH('Analitika - 2019'!$A43,'2019'!$A:$A,0),MATCH('Analitika - 2019'!$N$6,'2019'!$6:$6,0))</f>
        <v>6430517.1200000001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3"/>
        <v>-318757.88000000268</v>
      </c>
      <c r="Q43" s="190">
        <f t="shared" si="4"/>
        <v>-4.7228462316323272E-2</v>
      </c>
      <c r="R43" s="188">
        <f>+INDEX('2018'!$1:$1048576,MATCH('Analitika - 2019'!$A43,'2018'!$A:$A,0),MATCH('Analitika - 2019'!$R$6,'2018'!$6:$6,0))</f>
        <v>6862261.6200000001</v>
      </c>
      <c r="S43" s="189">
        <f t="shared" si="5"/>
        <v>-431744.5</v>
      </c>
      <c r="T43" s="191">
        <f t="shared" si="6"/>
        <v>-6.2915773823266186E-2</v>
      </c>
    </row>
    <row r="44" spans="1:20">
      <c r="A44" s="175">
        <v>422</v>
      </c>
      <c r="B44" s="492" t="str">
        <f>+VLOOKUP($A44,Master!$D$27:$G$225,4,FALSE)</f>
        <v>Sredstva za tehnološke viškove</v>
      </c>
      <c r="C44" s="493"/>
      <c r="D44" s="493"/>
      <c r="E44" s="493"/>
      <c r="F44" s="493"/>
      <c r="G44" s="188">
        <f>+SUMPRODUCT(('2019'!$G44:$R44)*('2019'!$G$5:$R$5&lt;=Master!$B$3)*($A44='2019'!$A$10:$A$66))</f>
        <v>10963721.089999998</v>
      </c>
      <c r="H44" s="188">
        <f>+SUMPRODUCT(('2019'!$G139:$R139)*('2019'!$G$5:$R$5&lt;=Master!$B$3))</f>
        <v>11124286.76</v>
      </c>
      <c r="I44" s="189">
        <f t="shared" si="0"/>
        <v>-160565.67000000179</v>
      </c>
      <c r="J44" s="190">
        <f t="shared" si="1"/>
        <v>-1.4433794585137272E-2</v>
      </c>
      <c r="K44" s="188">
        <f>+SUMPRODUCT(('2018'!$G44:$R44)*('2018'!$G$5:$R$5&lt;=Master!$B$3))</f>
        <v>8986781.6399999987</v>
      </c>
      <c r="L44" s="189">
        <f t="shared" si="7"/>
        <v>1976939.4499999993</v>
      </c>
      <c r="M44" s="191">
        <f t="shared" si="2"/>
        <v>0.21998302943076742</v>
      </c>
      <c r="N44" s="188">
        <f>+INDEX('2019'!$1:$1048576,MATCH('Analitika - 2019'!$A44,'2019'!$A:$A,0),MATCH('Analitika - 2019'!$N$6,'2019'!$6:$6,0))</f>
        <v>1701766.69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3"/>
        <v>465734.82000000007</v>
      </c>
      <c r="Q44" s="190">
        <f t="shared" si="4"/>
        <v>0.37679839112886304</v>
      </c>
      <c r="R44" s="188">
        <f>+INDEX('2018'!$1:$1048576,MATCH('Analitika - 2019'!$A44,'2018'!$A:$A,0),MATCH('Analitika - 2019'!$R$6,'2018'!$6:$6,0))</f>
        <v>1031337.39</v>
      </c>
      <c r="S44" s="189">
        <f t="shared" si="5"/>
        <v>670429.29999999993</v>
      </c>
      <c r="T44" s="191">
        <f t="shared" si="6"/>
        <v>0.65005817349451456</v>
      </c>
    </row>
    <row r="45" spans="1:20">
      <c r="A45" s="175">
        <v>423</v>
      </c>
      <c r="B45" s="492" t="str">
        <f>+VLOOKUP($A45,Master!$D$27:$G$225,4,FALSE)</f>
        <v>Prava iz oblasti penzijskog i invalidskog osiguranja</v>
      </c>
      <c r="C45" s="493"/>
      <c r="D45" s="493"/>
      <c r="E45" s="493"/>
      <c r="F45" s="493"/>
      <c r="G45" s="188">
        <f>+SUMPRODUCT(('2019'!$G45:$R45)*('2019'!$G$5:$R$5&lt;=Master!$B$3)*($A45='2019'!$A$10:$A$66))</f>
        <v>316011984.42000002</v>
      </c>
      <c r="H45" s="188">
        <f>+SUMPRODUCT(('2019'!$G140:$R140)*('2019'!$G$5:$R$5&lt;=Master!$B$3))</f>
        <v>321768760.86000001</v>
      </c>
      <c r="I45" s="189">
        <f t="shared" si="0"/>
        <v>-5756776.4399999976</v>
      </c>
      <c r="J45" s="190">
        <f t="shared" si="1"/>
        <v>-1.7891035862567017E-2</v>
      </c>
      <c r="K45" s="188">
        <f>+SUMPRODUCT(('2018'!$G45:$R45)*('2018'!$G$5:$R$5&lt;=Master!$B$3))</f>
        <v>311063911.84999996</v>
      </c>
      <c r="L45" s="189">
        <f t="shared" si="7"/>
        <v>4948072.5700000525</v>
      </c>
      <c r="M45" s="191">
        <f t="shared" si="2"/>
        <v>1.5906932246084748E-2</v>
      </c>
      <c r="N45" s="188">
        <f>+INDEX('2019'!$1:$1048576,MATCH('Analitika - 2019'!$A45,'2019'!$A:$A,0),MATCH('Analitika - 2019'!$N$6,'2019'!$6:$6,0))</f>
        <v>35022901.990000002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3"/>
        <v>-729182.53999999911</v>
      </c>
      <c r="Q45" s="190">
        <f t="shared" si="4"/>
        <v>-2.0395525172473006E-2</v>
      </c>
      <c r="R45" s="188">
        <f>+INDEX('2018'!$1:$1048576,MATCH('Analitika - 2019'!$A45,'2018'!$A:$A,0),MATCH('Analitika - 2019'!$R$6,'2018'!$6:$6,0))</f>
        <v>34579708.640000001</v>
      </c>
      <c r="S45" s="189">
        <f t="shared" si="5"/>
        <v>443193.35000000149</v>
      </c>
      <c r="T45" s="191">
        <f t="shared" si="6"/>
        <v>1.2816572707825991E-2</v>
      </c>
    </row>
    <row r="46" spans="1:20">
      <c r="A46" s="175">
        <v>424</v>
      </c>
      <c r="B46" s="492" t="str">
        <f>+VLOOKUP($A46,Master!$D$27:$G$225,4,FALSE)</f>
        <v>Ostala prava iz oblasti zdravstvene zaštite</v>
      </c>
      <c r="C46" s="493"/>
      <c r="D46" s="493"/>
      <c r="E46" s="493"/>
      <c r="F46" s="493"/>
      <c r="G46" s="188">
        <f>+SUMPRODUCT(('2019'!$G46:$R46)*('2019'!$G$5:$R$5&lt;=Master!$B$3)*($A46='2019'!$A$10:$A$66))</f>
        <v>15065425.640000001</v>
      </c>
      <c r="H46" s="188">
        <f>+SUMPRODUCT(('2019'!$G141:$R141)*('2019'!$G$5:$R$5&lt;=Master!$B$3))</f>
        <v>14250075.02</v>
      </c>
      <c r="I46" s="189">
        <f t="shared" si="0"/>
        <v>815350.62000000104</v>
      </c>
      <c r="J46" s="190">
        <f t="shared" si="1"/>
        <v>5.7217286144504831E-2</v>
      </c>
      <c r="K46" s="188">
        <f>+SUMPRODUCT(('2018'!$G46:$R46)*('2018'!$G$5:$R$5&lt;=Master!$B$3))</f>
        <v>13953541.960000001</v>
      </c>
      <c r="L46" s="189">
        <f t="shared" si="7"/>
        <v>1111883.6799999997</v>
      </c>
      <c r="M46" s="191">
        <f t="shared" si="2"/>
        <v>7.9684691040266875E-2</v>
      </c>
      <c r="N46" s="188">
        <f>+INDEX('2019'!$1:$1048576,MATCH('Analitika - 2019'!$A46,'2019'!$A:$A,0),MATCH('Analitika - 2019'!$N$6,'2019'!$6:$6,0))</f>
        <v>1671066.3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3"/>
        <v>87724.639999999898</v>
      </c>
      <c r="Q46" s="190">
        <f t="shared" si="4"/>
        <v>5.5404744418838803E-2</v>
      </c>
      <c r="R46" s="188">
        <f>+INDEX('2018'!$1:$1048576,MATCH('Analitika - 2019'!$A46,'2018'!$A:$A,0),MATCH('Analitika - 2019'!$R$6,'2018'!$6:$6,0))</f>
        <v>1736713.62</v>
      </c>
      <c r="S46" s="189">
        <f t="shared" si="5"/>
        <v>-65647.320000000065</v>
      </c>
      <c r="T46" s="191">
        <f t="shared" si="6"/>
        <v>-3.7799738105353309E-2</v>
      </c>
    </row>
    <row r="47" spans="1:20">
      <c r="A47" s="175">
        <v>425</v>
      </c>
      <c r="B47" s="492" t="str">
        <f>+VLOOKUP($A47,Master!$D$27:$G$225,4,FALSE)</f>
        <v>Ostala prava iz zdravstvenog osiguranja</v>
      </c>
      <c r="C47" s="493"/>
      <c r="D47" s="493"/>
      <c r="E47" s="493"/>
      <c r="F47" s="493"/>
      <c r="G47" s="188">
        <f>+SUMPRODUCT(('2019'!$G47:$R47)*('2019'!$G$5:$R$5&lt;=Master!$B$3)*($A47='2019'!$A$10:$A$66))</f>
        <v>8131160.0500000007</v>
      </c>
      <c r="H47" s="188">
        <f>+SUMPRODUCT(('2019'!$G142:$R142)*('2019'!$G$5:$R$5&lt;=Master!$B$3))</f>
        <v>7968750.75</v>
      </c>
      <c r="I47" s="189">
        <f t="shared" si="0"/>
        <v>162409.30000000075</v>
      </c>
      <c r="J47" s="190">
        <f t="shared" si="1"/>
        <v>2.038077298377039E-2</v>
      </c>
      <c r="K47" s="188">
        <f>+SUMPRODUCT(('2018'!$G47:$R47)*('2018'!$G$5:$R$5&lt;=Master!$B$3))</f>
        <v>9999405.9299999997</v>
      </c>
      <c r="L47" s="189">
        <f t="shared" si="7"/>
        <v>-1868245.879999999</v>
      </c>
      <c r="M47" s="191">
        <f t="shared" si="2"/>
        <v>-0.18683568734767819</v>
      </c>
      <c r="N47" s="188">
        <f>+INDEX('2019'!$1:$1048576,MATCH('Analitika - 2019'!$A47,'2019'!$A:$A,0),MATCH('Analitika - 2019'!$N$6,'2019'!$6:$6,0))</f>
        <v>1105589.55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220172.80000000005</v>
      </c>
      <c r="Q47" s="190">
        <f t="shared" si="4"/>
        <v>0.24866572718440216</v>
      </c>
      <c r="R47" s="188">
        <f>+INDEX('2018'!$1:$1048576,MATCH('Analitika - 2019'!$A47,'2018'!$A:$A,0),MATCH('Analitika - 2019'!$R$6,'2018'!$6:$6,0))</f>
        <v>1229369.33</v>
      </c>
      <c r="S47" s="189">
        <f t="shared" si="5"/>
        <v>-123779.78000000003</v>
      </c>
      <c r="T47" s="191">
        <f t="shared" si="6"/>
        <v>-0.10068559299425506</v>
      </c>
    </row>
    <row r="48" spans="1:20">
      <c r="A48" s="175">
        <v>43</v>
      </c>
      <c r="B48" s="490" t="str">
        <f>+VLOOKUP($A48,Master!$D$27:$G$225,4,FALSE)</f>
        <v xml:space="preserve">Transferi institucijama, pojedincima, nevladinom i javnom sektoru </v>
      </c>
      <c r="C48" s="491"/>
      <c r="D48" s="491"/>
      <c r="E48" s="491"/>
      <c r="F48" s="491"/>
      <c r="G48" s="200">
        <f>+SUMPRODUCT(('2019'!$G48:$R48)*('2019'!$G$5:$R$5&lt;=Master!$B$3)*($A48='2019'!$A$10:$A$66))</f>
        <v>161398172.50999999</v>
      </c>
      <c r="H48" s="200">
        <f>+SUMPRODUCT(('2019'!$G143:$R143)*('2019'!$G$5:$R$5&lt;=Master!$B$3))</f>
        <v>167132778.54499999</v>
      </c>
      <c r="I48" s="201">
        <f t="shared" si="0"/>
        <v>-5734606.0349999964</v>
      </c>
      <c r="J48" s="202">
        <f t="shared" si="1"/>
        <v>-3.4311677726676315E-2</v>
      </c>
      <c r="K48" s="200">
        <f>+SUMPRODUCT(('2018'!$G48:$R48)*('2018'!$G$5:$R$5&lt;=Master!$B$3))</f>
        <v>140860830.34999999</v>
      </c>
      <c r="L48" s="201">
        <f t="shared" si="7"/>
        <v>20537342.159999996</v>
      </c>
      <c r="M48" s="203">
        <f t="shared" si="2"/>
        <v>0.1457988151068712</v>
      </c>
      <c r="N48" s="200">
        <f>+INDEX('2019'!$1:$1048576,MATCH('Analitika - 2019'!$A48,'2019'!$A:$A,0),MATCH('Analitika - 2019'!$N$6,'2019'!$6:$6,0))</f>
        <v>22891347.969999999</v>
      </c>
      <c r="O48" s="200">
        <f>+INDEX('2019'!$1:$1048576,MATCH(CONCATENATE('Analitika - 2019'!$A48,"p"),'2019'!$A:$A,0),MATCH('Analitika - 2019'!$O$6,'2019'!$101:$101,0))</f>
        <v>17992208.524999999</v>
      </c>
      <c r="P48" s="201">
        <f t="shared" si="3"/>
        <v>4899139.4450000003</v>
      </c>
      <c r="Q48" s="202">
        <f t="shared" si="4"/>
        <v>0.27229227797091693</v>
      </c>
      <c r="R48" s="200">
        <f>+INDEX('2018'!$1:$1048576,MATCH('Analitika - 2019'!$A48,'2018'!$A:$A,0),MATCH('Analitika - 2019'!$R$6,'2018'!$6:$6,0))</f>
        <v>16100951.01</v>
      </c>
      <c r="S48" s="201">
        <f t="shared" si="5"/>
        <v>6790396.959999999</v>
      </c>
      <c r="T48" s="203">
        <f t="shared" si="6"/>
        <v>0.42173887466539162</v>
      </c>
    </row>
    <row r="49" spans="1:23">
      <c r="A49" s="175">
        <v>44</v>
      </c>
      <c r="B49" s="490" t="str">
        <f>+VLOOKUP($A49,Master!$D$27:$G$225,4,FALSE)</f>
        <v>Kapitalni budžet</v>
      </c>
      <c r="C49" s="491"/>
      <c r="D49" s="491"/>
      <c r="E49" s="491"/>
      <c r="F49" s="491"/>
      <c r="G49" s="200">
        <f>+SUMPRODUCT(('2019'!$G49:$R49)*('2019'!$G$5:$R$5&lt;=Master!$B$3)*($A49='2019'!$A$10:$A$66))</f>
        <v>159986328.64000002</v>
      </c>
      <c r="H49" s="200">
        <f>+SUMPRODUCT(('2019'!$G144:$R144)*('2019'!$G$5:$R$5&lt;=Master!$B$3))</f>
        <v>240693749.90999997</v>
      </c>
      <c r="I49" s="201">
        <f t="shared" si="0"/>
        <v>-80707421.269999951</v>
      </c>
      <c r="J49" s="202">
        <f t="shared" si="1"/>
        <v>-0.33531166181165073</v>
      </c>
      <c r="K49" s="200">
        <f>+SUMPRODUCT(('2018'!$G49:$R49)*('2018'!$G$5:$R$5&lt;=Master!$B$3))</f>
        <v>146805872.75</v>
      </c>
      <c r="L49" s="201">
        <f t="shared" si="7"/>
        <v>13180455.890000015</v>
      </c>
      <c r="M49" s="203">
        <f t="shared" si="2"/>
        <v>8.9781530146586075E-2</v>
      </c>
      <c r="N49" s="200">
        <f>+INDEX('2019'!$1:$1048576,MATCH('Analitika - 2019'!$A49,'2019'!$A:$A,0),MATCH('Analitika - 2019'!$N$6,'2019'!$6:$6,0))</f>
        <v>14054765.689999999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3"/>
        <v>-12688984.299999995</v>
      </c>
      <c r="Q49" s="202">
        <f t="shared" si="4"/>
        <v>-0.47446540985256935</v>
      </c>
      <c r="R49" s="200">
        <f>+INDEX('2018'!$1:$1048576,MATCH('Analitika - 2019'!$A49,'2018'!$A:$A,0),MATCH('Analitika - 2019'!$R$6,'2018'!$6:$6,0))</f>
        <v>38353416.07</v>
      </c>
      <c r="S49" s="201">
        <f t="shared" si="5"/>
        <v>-24298650.380000003</v>
      </c>
      <c r="T49" s="203" t="s">
        <v>773</v>
      </c>
    </row>
    <row r="50" spans="1:23">
      <c r="A50" s="175">
        <v>451</v>
      </c>
      <c r="B50" s="460" t="str">
        <f>+VLOOKUP($A50,Master!$D$27:$G$225,4,FALSE)</f>
        <v>Pozajmice i krediti</v>
      </c>
      <c r="C50" s="461"/>
      <c r="D50" s="461"/>
      <c r="E50" s="461"/>
      <c r="F50" s="461"/>
      <c r="G50" s="188">
        <f>+SUMPRODUCT(('2019'!$G50:$R50)*('2019'!$G$5:$R$5&lt;=Master!$B$3)*($A50='2019'!$A$10:$A$66))</f>
        <v>2084501.98</v>
      </c>
      <c r="H50" s="188">
        <f>+SUMPRODUCT(('2019'!$G145:$R145)*('2019'!$G$5:$R$5&lt;=Master!$B$3))</f>
        <v>1710000.7499999998</v>
      </c>
      <c r="I50" s="189">
        <f>G50-H50</f>
        <v>374501.23000000021</v>
      </c>
      <c r="J50" s="343">
        <f t="shared" si="1"/>
        <v>0.21900647119599226</v>
      </c>
      <c r="K50" s="188">
        <f>+SUMPRODUCT(('2018'!$G50:$R50)*('2018'!$G$5:$R$5&lt;=Master!$B$3))</f>
        <v>1944281</v>
      </c>
      <c r="L50" s="349">
        <f t="shared" si="7"/>
        <v>140220.97999999998</v>
      </c>
      <c r="M50" s="352">
        <f t="shared" si="2"/>
        <v>7.2119709033827917E-2</v>
      </c>
      <c r="N50" s="188">
        <f>+INDEX('2019'!$1:$1048576,MATCH('Analitika - 2019'!$A50,'2019'!$A:$A,0),MATCH('Analitika - 2019'!$N$6,'2019'!$6:$6,0))</f>
        <v>298894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108893.91666666666</v>
      </c>
      <c r="Q50" s="343">
        <f t="shared" si="4"/>
        <v>0.57312562582209381</v>
      </c>
      <c r="R50" s="188">
        <f>+INDEX('2018'!$1:$1048576,MATCH('Analitika - 2019'!$A50,'2018'!$A:$A,0),MATCH('Analitika - 2019'!$R$6,'2018'!$6:$6,0))</f>
        <v>359390</v>
      </c>
      <c r="S50" s="349">
        <f t="shared" si="5"/>
        <v>-60496</v>
      </c>
      <c r="T50" s="352" t="s">
        <v>773</v>
      </c>
    </row>
    <row r="51" spans="1:23">
      <c r="A51" s="175">
        <v>47</v>
      </c>
      <c r="B51" s="460" t="str">
        <f>+VLOOKUP($A51,Master!$D$27:$G$225,4,FALSE)</f>
        <v>Rezerve</v>
      </c>
      <c r="C51" s="461"/>
      <c r="D51" s="461"/>
      <c r="E51" s="461"/>
      <c r="F51" s="461"/>
      <c r="G51" s="188">
        <f>+SUMPRODUCT(('2019'!$G51:$R51)*('2019'!$G$5:$R$5&lt;=Master!$B$3)*($A51='2019'!$A$10:$A$66))</f>
        <v>14407054.720000001</v>
      </c>
      <c r="H51" s="188">
        <f>+SUMPRODUCT(('2019'!$G146:$R146)*('2019'!$G$5:$R$5&lt;=Master!$B$3))</f>
        <v>18048249.999999996</v>
      </c>
      <c r="I51" s="189">
        <f t="shared" ref="I51:I52" si="8">G51-H51</f>
        <v>-3641195.2799999956</v>
      </c>
      <c r="J51" s="344">
        <f t="shared" si="1"/>
        <v>-0.20174783039906896</v>
      </c>
      <c r="K51" s="188">
        <f>+SUMPRODUCT(('2018'!$G51:$R51)*('2018'!$G$5:$R$5&lt;=Master!$B$3))</f>
        <v>12675761.970000001</v>
      </c>
      <c r="L51" s="350">
        <f t="shared" si="7"/>
        <v>1731292.75</v>
      </c>
      <c r="M51" s="353">
        <f t="shared" si="2"/>
        <v>0.13658293316784342</v>
      </c>
      <c r="N51" s="188">
        <f>+INDEX('2019'!$1:$1048576,MATCH('Analitika - 2019'!$A51,'2019'!$A:$A,0),MATCH('Analitika - 2019'!$N$6,'2019'!$6:$6,0))</f>
        <v>745665.27</v>
      </c>
      <c r="O51" s="188">
        <f>+INDEX('2019'!$1:$1048576,MATCH(CONCATENATE('Analitika - 2019'!$A51,"p"),'2019'!$A:$A,0),MATCH('Analitika - 2019'!$O$6,'2019'!$101:$101,0))</f>
        <v>1650583.3333333333</v>
      </c>
      <c r="P51" s="189">
        <f t="shared" si="3"/>
        <v>-904918.06333333324</v>
      </c>
      <c r="Q51" s="344">
        <f t="shared" si="4"/>
        <v>-0.54824136719341643</v>
      </c>
      <c r="R51" s="188">
        <f>+INDEX('2018'!$1:$1048576,MATCH('Analitika - 2019'!$A51,'2018'!$A:$A,0),MATCH('Analitika - 2019'!$R$6,'2018'!$6:$6,0))</f>
        <v>1509208.74</v>
      </c>
      <c r="S51" s="350">
        <f t="shared" si="5"/>
        <v>-763543.47</v>
      </c>
      <c r="T51" s="353">
        <f t="shared" si="6"/>
        <v>-0.50592303752494838</v>
      </c>
      <c r="W51" s="441"/>
    </row>
    <row r="52" spans="1:23" ht="15.75" thickBot="1">
      <c r="A52" s="175">
        <v>462</v>
      </c>
      <c r="B52" s="478" t="str">
        <f>+VLOOKUP($A52,Master!$D$27:$G$225,4,FALSE)</f>
        <v>Otplata garancija</v>
      </c>
      <c r="C52" s="479"/>
      <c r="D52" s="479"/>
      <c r="E52" s="479"/>
      <c r="F52" s="479"/>
      <c r="G52" s="188">
        <f>+SUMPRODUCT(('2019'!$G52:$R52)*('2019'!$G$5:$R$5&lt;=Master!$B$3)*($A52='2019'!$A$10:$A$66))</f>
        <v>9434699.4100000001</v>
      </c>
      <c r="H52" s="188">
        <f>+SUMPRODUCT(('2019'!$G147:$R147)*('2019'!$G$5:$R$5&lt;=Master!$B$3))</f>
        <v>9434672.4100000001</v>
      </c>
      <c r="I52" s="189">
        <f t="shared" si="8"/>
        <v>27</v>
      </c>
      <c r="J52" s="345">
        <f t="shared" si="1"/>
        <v>2.8617845777567652E-6</v>
      </c>
      <c r="K52" s="188">
        <f>+SUMPRODUCT(('2018'!$G52:$R52)*('2018'!$G$5:$R$5&lt;=Master!$B$3))</f>
        <v>0</v>
      </c>
      <c r="L52" s="350">
        <f t="shared" si="7"/>
        <v>9434699.4100000001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0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78" t="str">
        <f>+VLOOKUP($A53,Master!$D$27:$G$225,4,FALSE)</f>
        <v>Otplata obaveza iz prethodnih godina</v>
      </c>
      <c r="C53" s="479"/>
      <c r="D53" s="479"/>
      <c r="E53" s="479"/>
      <c r="F53" s="479"/>
      <c r="G53" s="452">
        <f>+SUMPRODUCT(('2019'!$G53:$R53)*('2019'!$G$5:$R$5&lt;=Master!$B$3)*($A53='2019'!$A$10:$A$66))</f>
        <v>16281074.739999998</v>
      </c>
      <c r="H53" s="390">
        <f>+SUMPRODUCT(('2019'!$G148:$R148)*('2019'!$G$5:$R$5&lt;=Master!$B$3))</f>
        <v>14174887.960000001</v>
      </c>
      <c r="I53" s="351">
        <f>G53-H53</f>
        <v>2106186.7799999975</v>
      </c>
      <c r="J53" s="346">
        <f t="shared" si="1"/>
        <v>0.14858577972139386</v>
      </c>
      <c r="K53" s="390">
        <f>+SUMPRODUCT(('2018'!$G53:$R53)*('2018'!$G$5:$R$5&lt;=Master!$B$3))</f>
        <v>18023778.240000002</v>
      </c>
      <c r="L53" s="357">
        <f t="shared" si="7"/>
        <v>-1742703.5000000037</v>
      </c>
      <c r="M53" s="355">
        <f t="shared" si="2"/>
        <v>-9.6689133476600242E-2</v>
      </c>
      <c r="N53" s="390">
        <f>+INDEX('2019'!$1:$1048576,MATCH('Analitika - 2019'!$A53,'2019'!$A:$A,0),MATCH('Analitika - 2019'!$N$6,'2019'!$6:$6,0))</f>
        <v>1581120.96</v>
      </c>
      <c r="O53" s="390">
        <f>+INDEX('2019'!$1:$1048576,MATCH(CONCATENATE('Analitika - 2019'!$A53,"p"),'2019'!$A:$A,0),MATCH('Analitika - 2019'!$O$6,'2019'!$101:$101,0))</f>
        <v>1610709.73</v>
      </c>
      <c r="P53" s="351">
        <f>N53-O53</f>
        <v>-29588.770000000019</v>
      </c>
      <c r="Q53" s="346">
        <f t="shared" si="4"/>
        <v>-1.8370020028375955E-2</v>
      </c>
      <c r="R53" s="390">
        <f>+INDEX('2018'!$1:$1048576,MATCH('Analitika - 2019'!$A53,'2018'!$A:$A,0),MATCH('Analitika - 2019'!$R$6,'2018'!$6:$6,0))</f>
        <v>872755.39</v>
      </c>
      <c r="S53" s="357">
        <f>+N53-R53</f>
        <v>708365.57</v>
      </c>
      <c r="T53" s="355">
        <f>+IF(ISNUMBER(N53/R53-1),N53/R53-1,"…")</f>
        <v>0.8116427330228233</v>
      </c>
    </row>
    <row r="54" spans="1:23" ht="15.75" thickBot="1">
      <c r="A54" s="169">
        <v>1005</v>
      </c>
      <c r="B54" s="478" t="str">
        <f>+VLOOKUP($A54,Master!$D$27:$G$227,4,FALSE)</f>
        <v>Neto povećanje obaveza</v>
      </c>
      <c r="C54" s="479"/>
      <c r="D54" s="479"/>
      <c r="E54" s="479"/>
      <c r="F54" s="479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84" t="str">
        <f>+VLOOKUP($A55,Master!$D$27:$G$225,4,FALSE)</f>
        <v>Suficit / deficit</v>
      </c>
      <c r="C55" s="485"/>
      <c r="D55" s="485"/>
      <c r="E55" s="485"/>
      <c r="F55" s="485"/>
      <c r="G55" s="176">
        <f>+SUMPRODUCT(('2019'!$G55:$R55)*('2019'!$G$5:$R$5&lt;=Master!$B$3)*($A55='2019'!$A$10:$A$66))</f>
        <v>-38381138.549999997</v>
      </c>
      <c r="H55" s="176">
        <f>+SUMPRODUCT(('2019'!$G150:$R150)*('2019'!$G$5:$R$5&lt;=Master!$B$3))</f>
        <v>-216190270.0499222</v>
      </c>
      <c r="I55" s="397">
        <f>+G55-H55</f>
        <v>177809131.49992222</v>
      </c>
      <c r="J55" s="348">
        <f t="shared" si="1"/>
        <v>-0.8224659299369157</v>
      </c>
      <c r="K55" s="176">
        <f>+SUMPRODUCT(('2018'!$G55:$R55)*('2018'!$G$5:$R$5&lt;=Master!$B$3))</f>
        <v>-40608321.839999959</v>
      </c>
      <c r="L55" s="358">
        <f t="shared" si="7"/>
        <v>2227183.2899999619</v>
      </c>
      <c r="M55" s="356">
        <f t="shared" si="2"/>
        <v>-5.4845489522449165E-2</v>
      </c>
      <c r="N55" s="176">
        <f>+INDEX('2019'!$1:$1048576,MATCH('Analitika - 2019'!$A55,'2019'!$A:$A,0),MATCH('Analitika - 2019'!$N$6,'2019'!$6:$6,0))</f>
        <v>16686649.180000037</v>
      </c>
      <c r="O55" s="176">
        <f>+INDEX('2019'!$1:$1048576,MATCH(CONCATENATE('Analitika - 2019'!$A55,"p"),'2019'!$A:$A,0),MATCH('Analitika - 2019'!$O$6,'2019'!$101:$101,0))</f>
        <v>-9808009.6425497532</v>
      </c>
      <c r="P55" s="397">
        <f>N55-O55</f>
        <v>26494658.82254979</v>
      </c>
      <c r="Q55" s="348">
        <f t="shared" si="4"/>
        <v>-2.7013287902582106</v>
      </c>
      <c r="R55" s="176">
        <f>+INDEX('2018'!$1:$1048576,MATCH('Analitika - 2019'!$A55,'2018'!$A:$A,0),MATCH('Analitika - 2019'!$R$6,'2018'!$6:$6,0))</f>
        <v>21220000.719999999</v>
      </c>
      <c r="S55" s="358">
        <f t="shared" si="5"/>
        <v>-4533351.5399999619</v>
      </c>
      <c r="T55" s="348">
        <f>+IF(ISNUMBER(N55/R55-1),N55/R55-1,"…")</f>
        <v>-0.21363578634223357</v>
      </c>
    </row>
    <row r="56" spans="1:23" ht="15.75" thickBot="1">
      <c r="A56" s="169">
        <v>1001</v>
      </c>
      <c r="B56" s="486" t="str">
        <f>+VLOOKUP($A56,Master!$D$27:$G$225,4,FALSE)</f>
        <v>Primarni bilans</v>
      </c>
      <c r="C56" s="487"/>
      <c r="D56" s="487"/>
      <c r="E56" s="487"/>
      <c r="F56" s="487"/>
      <c r="G56" s="176">
        <f>+SUMPRODUCT(('2019'!$G56:$R56)*('2019'!$G$5:$R$5&lt;=Master!$B$3)*($A56='2019'!$A$10:$A$66))</f>
        <v>44672438.799999997</v>
      </c>
      <c r="H56" s="176">
        <f>+SUMPRODUCT(('2019'!$G151:$R151)*('2019'!$G$5:$R$5&lt;=Master!$B$3))</f>
        <v>-131399947.22992221</v>
      </c>
      <c r="I56" s="231">
        <f t="shared" si="0"/>
        <v>176072386.02992219</v>
      </c>
      <c r="J56" s="232">
        <f t="shared" si="1"/>
        <v>-1.3399730345540599</v>
      </c>
      <c r="K56" s="176">
        <f>+SUMPRODUCT(('2018'!$G57:$R57)*('2018'!$G$5:$R$5&lt;=Master!$B$3))</f>
        <v>45489401.480000049</v>
      </c>
      <c r="L56" s="231">
        <f t="shared" si="7"/>
        <v>-816962.68000005186</v>
      </c>
      <c r="M56" s="233">
        <f t="shared" si="2"/>
        <v>-1.7959407101877156E-2</v>
      </c>
      <c r="N56" s="176">
        <f>+INDEX('2019'!$1:$1048576,MATCH('Analitika - 2019'!$A56,'2019'!$A:$A,0),MATCH('Analitika - 2019'!$N$6,'2019'!$6:$6,0))</f>
        <v>19686035.110000037</v>
      </c>
      <c r="O56" s="176">
        <f>+INDEX('2019'!$1:$1048576,MATCH(CONCATENATE('Analitika - 2019'!$A56,"p"),'2019'!$A:$A,0),MATCH('Analitika - 2019'!$O$6,'2019'!$101:$101,0))</f>
        <v>-6667683.8425497524</v>
      </c>
      <c r="P56" s="231">
        <f t="shared" si="3"/>
        <v>26353718.952549789</v>
      </c>
      <c r="Q56" s="232">
        <f t="shared" si="4"/>
        <v>-3.9524547916285138</v>
      </c>
      <c r="R56" s="176">
        <f>+INDEX('2018'!$1:$1048576,MATCH('Analitika - 2019'!$A56,'2018'!$A:$A,0),MATCH('Analitika - 2019'!$R$6,'2018'!$6:$6,0))</f>
        <v>24837356.32</v>
      </c>
      <c r="S56" s="231">
        <f t="shared" si="5"/>
        <v>-5151321.2099999636</v>
      </c>
      <c r="T56" s="348">
        <f>+IF(ISNUMBER(N56/R56-1),N56/R56-1,"…")</f>
        <v>-0.20740215438516374</v>
      </c>
    </row>
    <row r="57" spans="1:23">
      <c r="A57" s="169">
        <v>46</v>
      </c>
      <c r="B57" s="488" t="str">
        <f>+VLOOKUP($A57,Master!$D$27:$G$225,4,FALSE)</f>
        <v>Otplata dugova</v>
      </c>
      <c r="C57" s="489"/>
      <c r="D57" s="489"/>
      <c r="E57" s="489"/>
      <c r="F57" s="489"/>
      <c r="G57" s="182">
        <f>+SUMPRODUCT(('2019'!$G57:$R57)*('2019'!$G$5:$R$5&lt;=Master!$B$3)*($A57='2019'!$A$10:$A$66))</f>
        <v>473865899.43000001</v>
      </c>
      <c r="H57" s="182">
        <f>+SUMPRODUCT(('2019'!$G152:$R152)*('2019'!$G$5:$R$5&lt;=Master!$B$3))</f>
        <v>335560623.94</v>
      </c>
      <c r="I57" s="219">
        <f t="shared" si="0"/>
        <v>138305275.49000001</v>
      </c>
      <c r="J57" s="220">
        <f t="shared" si="1"/>
        <v>0.41216181405935681</v>
      </c>
      <c r="K57" s="182">
        <f>+SUMPRODUCT(('2018'!$G58:$R58)*('2018'!$G$5:$R$5&lt;=Master!$B$3))</f>
        <v>669747456.85000002</v>
      </c>
      <c r="L57" s="219">
        <f t="shared" si="7"/>
        <v>-195881557.42000002</v>
      </c>
      <c r="M57" s="221">
        <f t="shared" si="2"/>
        <v>-0.29247077449354264</v>
      </c>
      <c r="N57" s="182">
        <f>+INDEX('2019'!$1:$1048576,MATCH('Analitika - 2019'!$A57,'2019'!$A:$A,0),MATCH('Analitika - 2019'!$N$6,'2019'!$6:$6,0))</f>
        <v>17889318.350000001</v>
      </c>
      <c r="O57" s="182">
        <f>+INDEX('2019'!$1:$1048576,MATCH(CONCATENATE('Analitika - 2019'!$A57,"p"),'2019'!$A:$A,0),MATCH('Analitika - 2019'!$O$6,'2019'!$101:$101,0))</f>
        <v>17831317.309999999</v>
      </c>
      <c r="P57" s="219">
        <f t="shared" si="3"/>
        <v>58001.040000002831</v>
      </c>
      <c r="Q57" s="220">
        <f t="shared" si="4"/>
        <v>3.2527624847702441E-3</v>
      </c>
      <c r="R57" s="182">
        <f>+INDEX('2018'!$1:$1048576,MATCH('Analitika - 2019'!$A57,'2018'!$A:$A,0),MATCH('Analitika - 2019'!$R$6,'2018'!$6:$6,0))</f>
        <v>17423705.899999999</v>
      </c>
      <c r="S57" s="219">
        <f t="shared" si="5"/>
        <v>465612.45000000298</v>
      </c>
      <c r="T57" s="221">
        <f t="shared" si="6"/>
        <v>2.6722928673859281E-2</v>
      </c>
    </row>
    <row r="58" spans="1:23">
      <c r="A58" s="169">
        <v>4611</v>
      </c>
      <c r="B58" s="476" t="str">
        <f>+VLOOKUP($A58,Master!$D$27:$G$225,4,FALSE)</f>
        <v>Otplata hartija od vrijednosti i kredita rezidentima</v>
      </c>
      <c r="C58" s="477"/>
      <c r="D58" s="477"/>
      <c r="E58" s="477"/>
      <c r="F58" s="477"/>
      <c r="G58" s="188">
        <f>+SUMPRODUCT(('2019'!$G58:$R58)*('2019'!$G$5:$R$5&lt;=Master!$B$3)*($A58='2019'!$A$10:$A$66))</f>
        <v>168922253.71000001</v>
      </c>
      <c r="H58" s="188">
        <f>+SUMPRODUCT(('2019'!$G153:$R153)*('2019'!$G$5:$R$5&lt;=Master!$B$3))</f>
        <v>29922297.319999997</v>
      </c>
      <c r="I58" s="237">
        <f t="shared" si="0"/>
        <v>138999956.39000002</v>
      </c>
      <c r="J58" s="238">
        <f t="shared" si="1"/>
        <v>4.645363786860468</v>
      </c>
      <c r="K58" s="188">
        <f>+SUMPRODUCT(('2018'!$G59:$R59)*('2018'!$G$5:$R$5&lt;=Master!$B$3))</f>
        <v>229527212.72</v>
      </c>
      <c r="L58" s="237">
        <f t="shared" si="7"/>
        <v>-60604959.00999999</v>
      </c>
      <c r="M58" s="239">
        <f t="shared" si="2"/>
        <v>-0.26404258689766735</v>
      </c>
      <c r="N58" s="188">
        <f>+INDEX('2019'!$1:$1048576,MATCH('Analitika - 2019'!$A58,'2019'!$A:$A,0),MATCH('Analitika - 2019'!$N$6,'2019'!$6:$6,0))</f>
        <v>1831381.37</v>
      </c>
      <c r="O58" s="188">
        <f>+INDEX('2019'!$1:$1048576,MATCH(CONCATENATE('Analitika - 2019'!$A58,"p"),'2019'!$A:$A,0),MATCH('Analitika - 2019'!$O$6,'2019'!$101:$101,0))</f>
        <v>1831359.63</v>
      </c>
      <c r="P58" s="237">
        <f t="shared" si="3"/>
        <v>21.740000000223517</v>
      </c>
      <c r="Q58" s="238">
        <f t="shared" si="4"/>
        <v>1.1870961685644943E-5</v>
      </c>
      <c r="R58" s="188">
        <f>+INDEX('2018'!$1:$1048576,MATCH('Analitika - 2019'!$A58,'2018'!$A:$A,0),MATCH('Analitika - 2019'!$R$6,'2018'!$6:$6,0))</f>
        <v>1208382.96</v>
      </c>
      <c r="S58" s="237">
        <f t="shared" si="5"/>
        <v>622998.41000000015</v>
      </c>
      <c r="T58" s="239">
        <f t="shared" si="6"/>
        <v>0.51556371665485923</v>
      </c>
    </row>
    <row r="59" spans="1:23">
      <c r="A59" s="169">
        <v>4612</v>
      </c>
      <c r="B59" s="460" t="str">
        <f>+VLOOKUP($A59,Master!$D$27:$G$225,4,FALSE)</f>
        <v>Otplata hartija od vrijednosti i kredita nerezidentima</v>
      </c>
      <c r="C59" s="461"/>
      <c r="D59" s="461"/>
      <c r="E59" s="461"/>
      <c r="F59" s="461"/>
      <c r="G59" s="188">
        <f>+SUMPRODUCT(('2019'!$G59:$R59)*('2019'!$G$5:$R$5&lt;=Master!$B$3)*($A59='2019'!$A$10:$A$66))</f>
        <v>304943645.71999997</v>
      </c>
      <c r="H59" s="188">
        <f>+SUMPRODUCT(('2019'!$G154:$R154)*('2019'!$G$5:$R$5&lt;=Master!$B$3))</f>
        <v>305638326.62</v>
      </c>
      <c r="I59" s="237">
        <f t="shared" si="0"/>
        <v>-694680.90000003576</v>
      </c>
      <c r="J59" s="238">
        <f t="shared" si="1"/>
        <v>-2.2728854318840863E-3</v>
      </c>
      <c r="K59" s="188">
        <f>+SUMPRODUCT(('2018'!$G60:$R60)*('2018'!$G$5:$R$5&lt;=Master!$B$3))</f>
        <v>440220244.13</v>
      </c>
      <c r="L59" s="237">
        <f t="shared" si="7"/>
        <v>-135276598.41000003</v>
      </c>
      <c r="M59" s="239">
        <f t="shared" si="2"/>
        <v>-0.30729299757067041</v>
      </c>
      <c r="N59" s="188">
        <f>+INDEX('2019'!$1:$1048576,MATCH('Analitika - 2019'!$A59,'2019'!$A:$A,0),MATCH('Analitika - 2019'!$N$6,'2019'!$6:$6,0))</f>
        <v>16057936.98</v>
      </c>
      <c r="O59" s="188">
        <f>+INDEX('2019'!$1:$1048576,MATCH(CONCATENATE('Analitika - 2019'!$A59,"p"),'2019'!$A:$A,0),MATCH('Analitika - 2019'!$O$6,'2019'!$101:$101,0))</f>
        <v>15999957.68</v>
      </c>
      <c r="P59" s="237">
        <f t="shared" si="3"/>
        <v>57979.300000000745</v>
      </c>
      <c r="Q59" s="238">
        <f t="shared" si="4"/>
        <v>3.6237158347285359E-3</v>
      </c>
      <c r="R59" s="188">
        <f>+INDEX('2018'!$1:$1048576,MATCH('Analitika - 2019'!$A59,'2018'!$A:$A,0),MATCH('Analitika - 2019'!$R$6,'2018'!$6:$6,0))</f>
        <v>16215322.939999999</v>
      </c>
      <c r="S59" s="237">
        <f t="shared" si="5"/>
        <v>-157385.95999999903</v>
      </c>
      <c r="T59" s="239">
        <f t="shared" si="6"/>
        <v>-9.7060021920228889E-3</v>
      </c>
    </row>
    <row r="60" spans="1:23" ht="15.75" thickBot="1">
      <c r="A60" s="169">
        <v>4418</v>
      </c>
      <c r="B60" s="488" t="str">
        <f>+VLOOKUP($A60,Master!$D$27:$G$225,4,FALSE)</f>
        <v>Izdaci za kupovinu hartija od vrijednosti</v>
      </c>
      <c r="C60" s="489"/>
      <c r="D60" s="489"/>
      <c r="E60" s="489"/>
      <c r="F60" s="489"/>
      <c r="G60" s="425">
        <f>+SUMPRODUCT(('2019'!$G60:$R60)*('2019'!$G$5:$R$5&lt;=Master!$B$3)*($A60='2019'!$A$10:$A$66))</f>
        <v>39983668.460000001</v>
      </c>
      <c r="H60" s="425">
        <f>+SUMPRODUCT(('2019'!$G155:$R155)*('2019'!$G$5:$R$5&lt;=Master!$B$3))</f>
        <v>40140000.030000009</v>
      </c>
      <c r="I60" s="426">
        <f t="shared" ref="I60:I66" si="9">+G60-H60</f>
        <v>-156331.57000000775</v>
      </c>
      <c r="J60" s="427">
        <f>+IF(ISNUMBER(G60/H60-1),G60/H61-1,"…")</f>
        <v>-1.0675524304630613</v>
      </c>
      <c r="K60" s="425">
        <f>+SUMPRODUCT(('2018'!$G61:$R61)*('2018'!$G$5:$R$5&lt;=Master!$B$3))</f>
        <v>68939595.359999999</v>
      </c>
      <c r="L60" s="426">
        <f>+G60-K60</f>
        <v>-28955926.899999999</v>
      </c>
      <c r="M60" s="428">
        <f>+IF(ISNUMBER(G60/K60-1),G60/K61-1,"…")</f>
        <v>-1.0513074628586652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0">+N60-O60</f>
        <v>0</v>
      </c>
      <c r="Q60" s="427" t="str">
        <f t="shared" ref="Q60:Q66" si="11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2">+N60-R60</f>
        <v>0</v>
      </c>
      <c r="T60" s="428" t="str">
        <f t="shared" ref="T60:T66" si="13">+IF(ISNUMBER(N60/R60-1),N60/R60-1,"…")</f>
        <v>…</v>
      </c>
    </row>
    <row r="61" spans="1:23" ht="15.75" thickBot="1">
      <c r="A61" s="169">
        <v>1002</v>
      </c>
      <c r="B61" s="480" t="str">
        <f>+VLOOKUP($A61,Master!$D$27:$G$225,4,FALSE)</f>
        <v>Nedostajuća sredstva</v>
      </c>
      <c r="C61" s="481"/>
      <c r="D61" s="481"/>
      <c r="E61" s="481"/>
      <c r="F61" s="481"/>
      <c r="G61" s="396">
        <f>+SUMPRODUCT(('2019'!$G61:$R61)*('2019'!$G$5:$R$5&lt;=Master!$B$3)*($A61='2019'!$A$10:$A$66))</f>
        <v>-552230706.44000006</v>
      </c>
      <c r="H61" s="396">
        <f>+SUMPRODUCT(('2019'!$G156:$R156)*('2019'!$G$5:$R$5&lt;=Master!$B$3))</f>
        <v>-591890894.01992226</v>
      </c>
      <c r="I61" s="398">
        <f t="shared" si="9"/>
        <v>39660187.579922199</v>
      </c>
      <c r="J61" s="399">
        <f t="shared" ref="J61:J66" si="14">+IF(ISNUMBER(G61/H61-1),G61/H61-1,"…")</f>
        <v>-6.7005909333329394E-2</v>
      </c>
      <c r="K61" s="396">
        <f>+SUMPRODUCT(('2018'!$G62:$R62)*('2018'!$G$5:$R$5&lt;=Master!$B$3))</f>
        <v>-779295374.04999971</v>
      </c>
      <c r="L61" s="398">
        <f>+G61-K62</f>
        <v>-1331526080.4899998</v>
      </c>
      <c r="M61" s="401">
        <f>+IF(ISNUMBER(G61/K62-1),G61/K62-1,"…")</f>
        <v>-1.7086282362617604</v>
      </c>
      <c r="N61" s="396">
        <f>+INDEX('2019'!$1:$1048576,MATCH('Analitika - 2019'!$A61,'2019'!$A:$A,0),MATCH('Analitika - 2019'!$N$6,'2019'!$6:$6,0))</f>
        <v>-1202669.1699999645</v>
      </c>
      <c r="O61" s="396">
        <f>+INDEX('2019'!$1:$1048576,MATCH(CONCATENATE('Analitika - 2019'!$A61,"p"),'2019'!$A:$A,0),MATCH('Analitika - 2019'!$O$6,'2019'!$101:$101,0))</f>
        <v>-27665993.622549754</v>
      </c>
      <c r="P61" s="398">
        <f t="shared" si="10"/>
        <v>26463324.452549789</v>
      </c>
      <c r="Q61" s="399">
        <f t="shared" si="11"/>
        <v>-0.95652897248484492</v>
      </c>
      <c r="R61" s="396">
        <f>+INDEX('2018'!$1:$1048576,MATCH('Analitika - 2019'!$A61,'2018'!$A:$A,0),MATCH('Analitika - 2019'!$R$6,'2018'!$6:$6,0))</f>
        <v>3796294.8200000003</v>
      </c>
      <c r="S61" s="398">
        <f t="shared" si="12"/>
        <v>-4998963.9899999648</v>
      </c>
      <c r="T61" s="401">
        <f t="shared" si="13"/>
        <v>-1.3168007826114949</v>
      </c>
    </row>
    <row r="62" spans="1:23" ht="15.75" thickBot="1">
      <c r="A62" s="169">
        <v>1003</v>
      </c>
      <c r="B62" s="482" t="str">
        <f>+VLOOKUP($A62,Master!$D$27:$G$225,4,FALSE)</f>
        <v>Finansiranje</v>
      </c>
      <c r="C62" s="483"/>
      <c r="D62" s="483"/>
      <c r="E62" s="483"/>
      <c r="F62" s="483"/>
      <c r="G62" s="176">
        <f>+SUMPRODUCT(('2019'!$G62:$R62)*('2019'!$G$5:$R$5&lt;=Master!$B$3)*($A62='2019'!$A$10:$A$66))</f>
        <v>552230706.44000006</v>
      </c>
      <c r="H62" s="176">
        <f>+SUMPRODUCT(('2019'!$G157:$R157)*('2019'!$G$5:$R$5&lt;=Master!$B$3))</f>
        <v>591890894.01992226</v>
      </c>
      <c r="I62" s="397">
        <f t="shared" si="9"/>
        <v>-39660187.579922199</v>
      </c>
      <c r="J62" s="400">
        <f t="shared" si="14"/>
        <v>-6.7005909333329394E-2</v>
      </c>
      <c r="K62" s="176">
        <f>+SUMPRODUCT(('2018'!$G63:$R63)*('2018'!$G$5:$R$5&lt;=Master!$B$3))</f>
        <v>779295374.04999971</v>
      </c>
      <c r="L62" s="397">
        <f>+G62-K63</f>
        <v>338630706.44000006</v>
      </c>
      <c r="M62" s="402">
        <f>+IF(ISNUMBER(G62/K63-1),G62/K63-1,"…")</f>
        <v>1.5853497492509367</v>
      </c>
      <c r="N62" s="176">
        <f>+INDEX('2019'!$1:$1048576,MATCH('Analitika - 2019'!$A62,'2019'!$A:$A,0),MATCH('Analitika - 2019'!$N$6,'2019'!$6:$6,0))</f>
        <v>1202669.1699999645</v>
      </c>
      <c r="O62" s="176">
        <f>+INDEX('2019'!$1:$1048576,MATCH(CONCATENATE('Analitika - 2019'!$A62,"p"),'2019'!$A:$A,0),MATCH('Analitika - 2019'!$O$6,'2019'!$101:$101,0))</f>
        <v>27665993.622549754</v>
      </c>
      <c r="P62" s="397">
        <f t="shared" si="10"/>
        <v>-26463324.452549789</v>
      </c>
      <c r="Q62" s="400">
        <f t="shared" si="11"/>
        <v>-0.95652897248484492</v>
      </c>
      <c r="R62" s="176">
        <f>+INDEX('2018'!$1:$1048576,MATCH('Analitika - 2019'!$A62,'2018'!$A:$A,0),MATCH('Analitika - 2019'!$R$6,'2018'!$6:$6,0))</f>
        <v>-3796294.8200000003</v>
      </c>
      <c r="S62" s="397">
        <f t="shared" si="12"/>
        <v>4998963.9899999648</v>
      </c>
      <c r="T62" s="402">
        <f t="shared" si="13"/>
        <v>-1.3168007826114949</v>
      </c>
    </row>
    <row r="63" spans="1:23">
      <c r="A63" s="169">
        <v>7511</v>
      </c>
      <c r="B63" s="476" t="str">
        <f>+VLOOKUP($A63,Master!$D$27:$G$225,4,FALSE)</f>
        <v>Pozajmice i krediti od domaćih izvora</v>
      </c>
      <c r="C63" s="477"/>
      <c r="D63" s="477"/>
      <c r="E63" s="477"/>
      <c r="F63" s="477"/>
      <c r="G63" s="188">
        <f>+SUMPRODUCT(('2019'!$G63:$R63)*('2019'!$G$5:$R$5&lt;=Master!$B$3)*($A63='2019'!$A$10:$A$66))</f>
        <v>286438000</v>
      </c>
      <c r="H63" s="188">
        <f>+SUMPRODUCT(('2019'!$G158:$R158)*('2019'!$G$5:$R$5&lt;=Master!$B$3))</f>
        <v>190000000</v>
      </c>
      <c r="I63" s="237">
        <f t="shared" si="9"/>
        <v>96438000</v>
      </c>
      <c r="J63" s="238">
        <f t="shared" si="14"/>
        <v>0.50756842105263167</v>
      </c>
      <c r="K63" s="188">
        <f>+SUMPRODUCT(('2018'!$G64:$R64)*('2018'!$G$5:$R$5&lt;=Master!$B$3))</f>
        <v>213600000</v>
      </c>
      <c r="L63" s="237">
        <f>+G63-K64</f>
        <v>-541255300.07000005</v>
      </c>
      <c r="M63" s="239">
        <f>+IF(ISNUMBER(G63/K63-1),G63/K63-1,"…")</f>
        <v>0.34100187265917592</v>
      </c>
      <c r="N63" s="188">
        <f>+INDEX('2019'!$1:$1048576,MATCH('Analitika - 2019'!$A63,'2019'!$A:$A,0),MATCH('Analitika - 2019'!$N$6,'2019'!$6:$6,0))</f>
        <v>0</v>
      </c>
      <c r="O63" s="188">
        <f>+INDEX('2019'!$1:$1048576,MATCH(CONCATENATE('Analitika - 2019'!$A63,"p"),'2019'!$A:$A,0),MATCH('Analitika - 2019'!$O$6,'2019'!$101:$101,0))</f>
        <v>0</v>
      </c>
      <c r="P63" s="237">
        <f t="shared" si="10"/>
        <v>0</v>
      </c>
      <c r="Q63" s="238" t="str">
        <f t="shared" si="11"/>
        <v>…</v>
      </c>
      <c r="R63" s="188">
        <f>+INDEX('2018'!$1:$1048576,MATCH('Analitika - 2019'!$A63,'2018'!$A:$A,0),MATCH('Analitika - 2019'!$R$6,'2018'!$6:$6,0))</f>
        <v>0</v>
      </c>
      <c r="S63" s="237">
        <f t="shared" si="12"/>
        <v>0</v>
      </c>
      <c r="T63" s="239" t="str">
        <f t="shared" si="13"/>
        <v>…</v>
      </c>
    </row>
    <row r="64" spans="1:23">
      <c r="A64" s="169">
        <v>7512</v>
      </c>
      <c r="B64" s="460" t="str">
        <f>+VLOOKUP($A64,Master!$D$27:$G$225,4,FALSE)</f>
        <v>Pozajmice i krediti od inostranih izvora</v>
      </c>
      <c r="C64" s="461"/>
      <c r="D64" s="461"/>
      <c r="E64" s="461"/>
      <c r="F64" s="461"/>
      <c r="G64" s="188">
        <f>+SUMPRODUCT(('2019'!$G64:$R64)*('2019'!$G$5:$R$5&lt;=Master!$B$3)*($A64='2019'!$A$10:$A$66))</f>
        <v>103789215.92</v>
      </c>
      <c r="H64" s="188">
        <f>+SUMPRODUCT(('2019'!$G159:$R159)*('2019'!$G$5:$R$5&lt;=Master!$B$3))</f>
        <v>134422181.24000001</v>
      </c>
      <c r="I64" s="237">
        <f t="shared" si="9"/>
        <v>-30632965.320000008</v>
      </c>
      <c r="J64" s="238">
        <f t="shared" si="14"/>
        <v>-0.22788623899285865</v>
      </c>
      <c r="K64" s="188">
        <f>+SUMPRODUCT(('2018'!$G65:$R65)*('2018'!$G$5:$R$5&lt;=Master!$B$3))</f>
        <v>827693300.07000005</v>
      </c>
      <c r="L64" s="237">
        <f>+G64-K65</f>
        <v>89512038.420000002</v>
      </c>
      <c r="M64" s="239" t="s">
        <v>773</v>
      </c>
      <c r="N64" s="188">
        <f>+INDEX('2019'!$1:$1048576,MATCH('Analitika - 2019'!$A64,'2019'!$A:$A,0),MATCH('Analitika - 2019'!$N$6,'2019'!$6:$6,0))</f>
        <v>1935839.29</v>
      </c>
      <c r="O64" s="188">
        <f>+INDEX('2019'!$1:$1048576,MATCH(CONCATENATE('Analitika - 2019'!$A64,"p"),'2019'!$A:$A,0),MATCH('Analitika - 2019'!$O$6,'2019'!$101:$101,0))</f>
        <v>17000000</v>
      </c>
      <c r="P64" s="237">
        <f t="shared" si="10"/>
        <v>-15064160.710000001</v>
      </c>
      <c r="Q64" s="238">
        <f t="shared" si="11"/>
        <v>-0.88612710058823529</v>
      </c>
      <c r="R64" s="188">
        <f>+INDEX('2018'!$1:$1048576,MATCH('Analitika - 2019'!$A64,'2018'!$A:$A,0),MATCH('Analitika - 2019'!$R$6,'2018'!$6:$6,0))</f>
        <v>16543113.73</v>
      </c>
      <c r="S64" s="237">
        <f t="shared" si="12"/>
        <v>-14607274.440000001</v>
      </c>
      <c r="T64" s="239" t="s">
        <v>773</v>
      </c>
    </row>
    <row r="65" spans="1:20">
      <c r="A65" s="169">
        <v>72</v>
      </c>
      <c r="B65" s="460" t="str">
        <f>+VLOOKUP($A65,Master!$D$27:$G$225,4,FALSE)</f>
        <v>Primici od prodaje imovine</v>
      </c>
      <c r="C65" s="461"/>
      <c r="D65" s="461"/>
      <c r="E65" s="461"/>
      <c r="F65" s="461"/>
      <c r="G65" s="188">
        <f>+SUMPRODUCT(('2019'!$G65:$R65)*('2019'!$G$5:$R$5&lt;=Master!$B$3)*($A65='2019'!$A$10:$A$66))</f>
        <v>2262360.16</v>
      </c>
      <c r="H65" s="188">
        <f>+SUMPRODUCT(('2019'!$G160:$R160)*('2019'!$G$5:$R$5&lt;=Master!$B$3))</f>
        <v>4500000</v>
      </c>
      <c r="I65" s="237">
        <f t="shared" si="9"/>
        <v>-2237639.84</v>
      </c>
      <c r="J65" s="238">
        <f t="shared" si="14"/>
        <v>-0.49725329777777771</v>
      </c>
      <c r="K65" s="188">
        <f>+SUMPRODUCT(('2018'!$G66:$R66)*('2018'!$G$5:$R$5&lt;=Master!$B$3))</f>
        <v>14277177.5</v>
      </c>
      <c r="L65" s="237">
        <f>+G65-K66</f>
        <v>278537463.68000007</v>
      </c>
      <c r="M65" s="239">
        <f>+IF(ISNUMBER(G65/K65-1),G65/K65-1,"…")</f>
        <v>-0.84154009712353861</v>
      </c>
      <c r="N65" s="188">
        <f>+INDEX('2019'!$1:$1048576,MATCH('Analitika - 2019'!$A65,'2019'!$A:$A,0),MATCH('Analitika - 2019'!$N$6,'2019'!$6:$6,0))</f>
        <v>225833.46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0"/>
        <v>-274166.54000000004</v>
      </c>
      <c r="Q65" s="238">
        <f t="shared" si="11"/>
        <v>-0.54833308000000003</v>
      </c>
      <c r="R65" s="188">
        <f>+INDEX('2018'!$1:$1048576,MATCH('Analitika - 2019'!$A65,'2018'!$A:$A,0),MATCH('Analitika - 2019'!$R$6,'2018'!$6:$6,0))</f>
        <v>223709.29</v>
      </c>
      <c r="S65" s="237">
        <f t="shared" si="12"/>
        <v>2124.1699999999837</v>
      </c>
      <c r="T65" s="239">
        <f t="shared" si="13"/>
        <v>9.4952248071593637E-3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159741130.36000004</v>
      </c>
      <c r="H66" s="394">
        <f>+SUMPRODUCT(('2019'!$G161:$R161)*('2019'!$G$5:$R$5&lt;=Master!$B$3))</f>
        <v>262968712.77992219</v>
      </c>
      <c r="I66" s="251">
        <f t="shared" si="9"/>
        <v>-103227582.41992214</v>
      </c>
      <c r="J66" s="252">
        <f t="shared" si="14"/>
        <v>-0.39254701188088881</v>
      </c>
      <c r="K66" s="394">
        <f>+SUMPRODUCT(('2018'!$G67:$R67)*('2018'!$G$5:$R$5&lt;=Master!$B$3))</f>
        <v>-276275103.52000004</v>
      </c>
      <c r="L66" s="251">
        <f>+G66-K66</f>
        <v>436016233.88000011</v>
      </c>
      <c r="M66" s="253" t="s">
        <v>773</v>
      </c>
      <c r="N66" s="394">
        <f>+INDEX('2019'!$1:$1048576,MATCH('Analitika - 2019'!$A66,'2019'!$A:$A,0),MATCH('Analitika - 2019'!$N$6,'2019'!$6:$6,0))</f>
        <v>-959003.58000003546</v>
      </c>
      <c r="O66" s="394">
        <f>+INDEX('2019'!$1:$1048576,MATCH(CONCATENATE('Analitika - 2019'!$A66,"p"),'2019'!$A:$A,0),MATCH('Analitika - 2019'!$O$6,'2019'!$101:$101,0))</f>
        <v>10165993.622549754</v>
      </c>
      <c r="P66" s="251">
        <f t="shared" si="10"/>
        <v>-11124997.202549789</v>
      </c>
      <c r="Q66" s="252">
        <f t="shared" si="11"/>
        <v>-1.0943344660253196</v>
      </c>
      <c r="R66" s="394">
        <f>+INDEX('2018'!$1:$1048576,MATCH('Analitika - 2019'!$A66,'2018'!$A:$A,0),MATCH('Analitika - 2019'!$R$6,'2018'!$6:$6,0))</f>
        <v>-20563117.84</v>
      </c>
      <c r="S66" s="251">
        <f t="shared" si="12"/>
        <v>19604114.259999964</v>
      </c>
      <c r="T66" s="253">
        <f t="shared" si="13"/>
        <v>-0.95336292932511657</v>
      </c>
    </row>
    <row r="68" spans="1:20">
      <c r="H68" s="391"/>
    </row>
    <row r="69" spans="1:20">
      <c r="H69" s="364"/>
    </row>
    <row r="71" spans="1:20">
      <c r="R71" s="442"/>
    </row>
    <row r="73" spans="1:20">
      <c r="G73" s="453">
        <f>G10+SUM(G63:G65)</f>
        <v>1730649464.8200002</v>
      </c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topLeftCell="J1"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23" width="13.85546875" style="303" bestFit="1" customWidth="1"/>
    <col min="24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778</v>
      </c>
      <c r="H6" s="259" t="s">
        <v>779</v>
      </c>
      <c r="I6" s="259" t="s">
        <v>780</v>
      </c>
      <c r="J6" s="259" t="s">
        <v>781</v>
      </c>
      <c r="K6" s="259" t="s">
        <v>782</v>
      </c>
      <c r="L6" s="259" t="s">
        <v>783</v>
      </c>
      <c r="M6" s="259" t="s">
        <v>784</v>
      </c>
      <c r="N6" s="259" t="s">
        <v>785</v>
      </c>
      <c r="O6" s="259" t="s">
        <v>786</v>
      </c>
      <c r="P6" s="259" t="s">
        <v>787</v>
      </c>
      <c r="Q6" s="259" t="s">
        <v>788</v>
      </c>
      <c r="R6" s="259" t="s">
        <v>789</v>
      </c>
      <c r="S6" s="258"/>
      <c r="T6" s="258"/>
    </row>
    <row r="7" spans="1:20" ht="15" customHeight="1" thickBot="1">
      <c r="A7" s="169"/>
      <c r="B7" s="565" t="str">
        <f>+Master!G251</f>
        <v>Ostvarenje budžeta</v>
      </c>
      <c r="C7" s="463"/>
      <c r="D7" s="463"/>
      <c r="E7" s="463"/>
      <c r="F7" s="463"/>
      <c r="G7" s="471">
        <v>2019</v>
      </c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5"/>
      <c r="S7" s="260" t="str">
        <f>+Master!G248</f>
        <v>BDP</v>
      </c>
      <c r="T7" s="261">
        <v>4803300000</v>
      </c>
    </row>
    <row r="8" spans="1:20" ht="16.5" customHeight="1">
      <c r="A8" s="169"/>
      <c r="B8" s="464"/>
      <c r="C8" s="465"/>
      <c r="D8" s="465"/>
      <c r="E8" s="465"/>
      <c r="F8" s="46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1" t="str">
        <f>+Master!G245</f>
        <v>Jan - Sep</v>
      </c>
      <c r="T8" s="475"/>
    </row>
    <row r="9" spans="1:20" ht="13.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4" t="str">
        <f>+VLOOKUP($A10,Master!$D$27:$G$225,4,FALSE)</f>
        <v>Prihodi budžeta</v>
      </c>
      <c r="C10" s="505"/>
      <c r="D10" s="505"/>
      <c r="E10" s="505"/>
      <c r="F10" s="505"/>
      <c r="G10" s="176">
        <f t="shared" ref="G10:R10" si="1">+G11+G19+SUM(G24:G28)</f>
        <v>107257794.96000001</v>
      </c>
      <c r="H10" s="176">
        <f t="shared" si="1"/>
        <v>116544625.95</v>
      </c>
      <c r="I10" s="176">
        <f t="shared" si="1"/>
        <v>147544399.37</v>
      </c>
      <c r="J10" s="176">
        <f t="shared" si="1"/>
        <v>165045275.70000002</v>
      </c>
      <c r="K10" s="176">
        <f t="shared" si="1"/>
        <v>144226472.26999998</v>
      </c>
      <c r="L10" s="176">
        <f t="shared" si="1"/>
        <v>143393460.84999999</v>
      </c>
      <c r="M10" s="176">
        <f t="shared" si="1"/>
        <v>174124444.44</v>
      </c>
      <c r="N10" s="176">
        <f t="shared" si="1"/>
        <v>174081434.25</v>
      </c>
      <c r="O10" s="176">
        <f t="shared" si="1"/>
        <v>165941980.95000002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1338159888.74</v>
      </c>
      <c r="T10" s="265">
        <f>+S10/$T$7</f>
        <v>0.27859177830658088</v>
      </c>
    </row>
    <row r="11" spans="1:20">
      <c r="A11" s="175">
        <v>711</v>
      </c>
      <c r="B11" s="506" t="str">
        <f>+VLOOKUP($A11,Master!$D$27:$G$225,4,FALSE)</f>
        <v>Porezi</v>
      </c>
      <c r="C11" s="507"/>
      <c r="D11" s="507"/>
      <c r="E11" s="507"/>
      <c r="F11" s="507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94372185.030000001</v>
      </c>
      <c r="L11" s="182">
        <f t="shared" si="2"/>
        <v>89389439.689999998</v>
      </c>
      <c r="M11" s="182">
        <f t="shared" si="2"/>
        <v>115363471.45</v>
      </c>
      <c r="N11" s="182">
        <f t="shared" si="2"/>
        <v>118817091.44</v>
      </c>
      <c r="O11" s="182">
        <f t="shared" si="2"/>
        <v>114500270.97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878844461.47000003</v>
      </c>
      <c r="T11" s="268">
        <f t="shared" ref="T11:T66" si="4">+S11/$T$7</f>
        <v>0.18296680646014199</v>
      </c>
    </row>
    <row r="12" spans="1:20">
      <c r="A12" s="175">
        <v>7111</v>
      </c>
      <c r="B12" s="492" t="str">
        <f>+VLOOKUP($A12,Master!$D$27:$G$225,4,FALSE)</f>
        <v>Porez na dohodak fizičkih lica</v>
      </c>
      <c r="C12" s="493"/>
      <c r="D12" s="493"/>
      <c r="E12" s="493"/>
      <c r="F12" s="493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10210712.41</v>
      </c>
      <c r="L12" s="188">
        <f>+INDEX(DataEx!$1:$1048576,MATCH('2019'!$A12,DataEx!$D:$D,0),MATCH('2019'!L$6,DataEx!$7:$7,0))</f>
        <v>10125793.029999999</v>
      </c>
      <c r="M12" s="188">
        <f>+INDEX(DataEx!$1:$1048576,MATCH('2019'!$A12,DataEx!$D:$D,0),MATCH('2019'!M$6,DataEx!$7:$7,0))</f>
        <v>10986746.67</v>
      </c>
      <c r="N12" s="188">
        <f>+INDEX(DataEx!$1:$1048576,MATCH('2019'!$A12,DataEx!$D:$D,0),MATCH('2019'!N$6,DataEx!$7:$7,0))</f>
        <v>10477204.85</v>
      </c>
      <c r="O12" s="188">
        <f>+INDEX(DataEx!$1:$1048576,MATCH('2019'!$A12,DataEx!$D:$D,0),MATCH('2019'!O$6,DataEx!$7:$7,0))</f>
        <v>10332018.109999999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85547113.409999996</v>
      </c>
      <c r="T12" s="270">
        <f t="shared" si="4"/>
        <v>1.7810070870026857E-2</v>
      </c>
    </row>
    <row r="13" spans="1:20">
      <c r="A13" s="175">
        <v>7112</v>
      </c>
      <c r="B13" s="492" t="str">
        <f>+VLOOKUP($A13,Master!$D$27:$G$225,4,FALSE)</f>
        <v>Porez na dobit pravnih lica</v>
      </c>
      <c r="C13" s="493"/>
      <c r="D13" s="493"/>
      <c r="E13" s="493"/>
      <c r="F13" s="493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4781744.7</v>
      </c>
      <c r="L13" s="188">
        <f>+INDEX(DataEx!$1:$1048576,MATCH('2019'!$A13,DataEx!$D:$D,0),MATCH('2019'!L$6,DataEx!$7:$7,0))</f>
        <v>3678815</v>
      </c>
      <c r="M13" s="188">
        <f>+INDEX(DataEx!$1:$1048576,MATCH('2019'!$A13,DataEx!$D:$D,0),MATCH('2019'!M$6,DataEx!$7:$7,0))</f>
        <v>3890710.55</v>
      </c>
      <c r="N13" s="188">
        <f>+INDEX(DataEx!$1:$1048576,MATCH('2019'!$A13,DataEx!$D:$D,0),MATCH('2019'!N$6,DataEx!$7:$7,0))</f>
        <v>3092994.24</v>
      </c>
      <c r="O13" s="188">
        <f>+INDEX(DataEx!$1:$1048576,MATCH('2019'!$A13,DataEx!$D:$D,0),MATCH('2019'!O$6,DataEx!$7:$7,0))</f>
        <v>2242778.35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63460533.5</v>
      </c>
      <c r="T13" s="270">
        <f t="shared" si="4"/>
        <v>1.3211861324506068E-2</v>
      </c>
    </row>
    <row r="14" spans="1:20">
      <c r="A14" s="175">
        <v>7113</v>
      </c>
      <c r="B14" s="492" t="str">
        <f>+VLOOKUP($A14,Master!$D$27:$G$225,4,FALSE)</f>
        <v>Porez na promet nepokretnosti</v>
      </c>
      <c r="C14" s="493"/>
      <c r="D14" s="493"/>
      <c r="E14" s="493"/>
      <c r="F14" s="493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147510.5</v>
      </c>
      <c r="L14" s="188">
        <f>+INDEX(DataEx!$1:$1048576,MATCH('2019'!$A14,DataEx!$D:$D,0),MATCH('2019'!L$6,DataEx!$7:$7,0))</f>
        <v>158253.64000000001</v>
      </c>
      <c r="M14" s="188">
        <f>+INDEX(DataEx!$1:$1048576,MATCH('2019'!$A14,DataEx!$D:$D,0),MATCH('2019'!M$6,DataEx!$7:$7,0))</f>
        <v>152687.82</v>
      </c>
      <c r="N14" s="188">
        <f>+INDEX(DataEx!$1:$1048576,MATCH('2019'!$A14,DataEx!$D:$D,0),MATCH('2019'!N$6,DataEx!$7:$7,0))</f>
        <v>172408.19</v>
      </c>
      <c r="O14" s="188">
        <f>+INDEX(DataEx!$1:$1048576,MATCH('2019'!$A14,DataEx!$D:$D,0),MATCH('2019'!O$6,DataEx!$7:$7,0))</f>
        <v>131658.57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1401042.18</v>
      </c>
      <c r="T14" s="270">
        <f t="shared" si="4"/>
        <v>2.9168325526200738E-4</v>
      </c>
    </row>
    <row r="15" spans="1:20">
      <c r="A15" s="175">
        <v>7114</v>
      </c>
      <c r="B15" s="492" t="str">
        <f>+VLOOKUP($A15,Master!$D$27:$G$225,4,FALSE)</f>
        <v>Porez na dodatu vrijednost</v>
      </c>
      <c r="C15" s="493"/>
      <c r="D15" s="493"/>
      <c r="E15" s="493"/>
      <c r="F15" s="493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56428341.859999999</v>
      </c>
      <c r="L15" s="188">
        <f>+INDEX(DataEx!$1:$1048576,MATCH('2019'!$A15,DataEx!$D:$D,0),MATCH('2019'!L$6,DataEx!$7:$7,0))</f>
        <v>52810087.229999997</v>
      </c>
      <c r="M15" s="188">
        <f>+INDEX(DataEx!$1:$1048576,MATCH('2019'!$A15,DataEx!$D:$D,0),MATCH('2019'!M$6,DataEx!$7:$7,0))</f>
        <v>71626480.939999998</v>
      </c>
      <c r="N15" s="188">
        <f>+INDEX(DataEx!$1:$1048576,MATCH('2019'!$A15,DataEx!$D:$D,0),MATCH('2019'!N$6,DataEx!$7:$7,0))</f>
        <v>71690318.180000007</v>
      </c>
      <c r="O15" s="188">
        <f>+INDEX(DataEx!$1:$1048576,MATCH('2019'!$A15,DataEx!$D:$D,0),MATCH('2019'!O$6,DataEx!$7:$7,0))</f>
        <v>70816309.909999996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517818183.34000003</v>
      </c>
      <c r="T15" s="270">
        <f t="shared" si="4"/>
        <v>0.10780467248350094</v>
      </c>
    </row>
    <row r="16" spans="1:20">
      <c r="A16" s="175">
        <v>7115</v>
      </c>
      <c r="B16" s="492" t="str">
        <f>+VLOOKUP($A16,Master!$D$27:$G$225,4,FALSE)</f>
        <v>Akcize</v>
      </c>
      <c r="C16" s="493"/>
      <c r="D16" s="493"/>
      <c r="E16" s="493"/>
      <c r="F16" s="493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19442485.359999999</v>
      </c>
      <c r="L16" s="188">
        <f>+INDEX(DataEx!$1:$1048576,MATCH('2019'!$A16,DataEx!$D:$D,0),MATCH('2019'!L$6,DataEx!$7:$7,0))</f>
        <v>19205497.870000001</v>
      </c>
      <c r="M16" s="188">
        <f>+INDEX(DataEx!$1:$1048576,MATCH('2019'!$A16,DataEx!$D:$D,0),MATCH('2019'!M$6,DataEx!$7:$7,0))</f>
        <v>24612824.059999999</v>
      </c>
      <c r="N16" s="188">
        <f>+INDEX(DataEx!$1:$1048576,MATCH('2019'!$A16,DataEx!$D:$D,0),MATCH('2019'!N$6,DataEx!$7:$7,0))</f>
        <v>29562766.32</v>
      </c>
      <c r="O16" s="188">
        <f>+INDEX(DataEx!$1:$1048576,MATCH('2019'!$A16,DataEx!$D:$D,0),MATCH('2019'!O$6,DataEx!$7:$7,0))</f>
        <v>27417042.280000001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178709360.70000002</v>
      </c>
      <c r="T16" s="270">
        <f t="shared" si="4"/>
        <v>3.7205538005121483E-2</v>
      </c>
    </row>
    <row r="17" spans="1:25">
      <c r="A17" s="175">
        <v>7116</v>
      </c>
      <c r="B17" s="492" t="str">
        <f>+VLOOKUP($A17,Master!$D$27:$G$225,4,FALSE)</f>
        <v>Porez na međunarodnu trgovinu i transakcije</v>
      </c>
      <c r="C17" s="493"/>
      <c r="D17" s="493"/>
      <c r="E17" s="493"/>
      <c r="F17" s="493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2502520.2799999998</v>
      </c>
      <c r="L17" s="188">
        <f>+INDEX(DataEx!$1:$1048576,MATCH('2019'!$A17,DataEx!$D:$D,0),MATCH('2019'!L$6,DataEx!$7:$7,0))</f>
        <v>2485583.9700000002</v>
      </c>
      <c r="M17" s="188">
        <f>+INDEX(DataEx!$1:$1048576,MATCH('2019'!$A17,DataEx!$D:$D,0),MATCH('2019'!M$6,DataEx!$7:$7,0))</f>
        <v>3088089.4</v>
      </c>
      <c r="N17" s="188">
        <f>+INDEX(DataEx!$1:$1048576,MATCH('2019'!$A17,DataEx!$D:$D,0),MATCH('2019'!N$6,DataEx!$7:$7,0))</f>
        <v>2788700.72</v>
      </c>
      <c r="O17" s="188">
        <f>+INDEX(DataEx!$1:$1048576,MATCH('2019'!$A17,DataEx!$D:$D,0),MATCH('2019'!O$6,DataEx!$7:$7,0))</f>
        <v>2553125.85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21570886.120000001</v>
      </c>
      <c r="T17" s="270">
        <f t="shared" si="4"/>
        <v>4.4908471509170784E-3</v>
      </c>
    </row>
    <row r="18" spans="1:25">
      <c r="A18" s="175">
        <v>7118</v>
      </c>
      <c r="B18" s="492" t="str">
        <f>+VLOOKUP($A18,Master!$D$27:$G$225,4,FALSE)</f>
        <v>Ostali državni porezi</v>
      </c>
      <c r="C18" s="493"/>
      <c r="D18" s="493"/>
      <c r="E18" s="493"/>
      <c r="F18" s="493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858869.92</v>
      </c>
      <c r="L18" s="188">
        <f>+INDEX(DataEx!$1:$1048576,MATCH('2019'!$A18,DataEx!$D:$D,0),MATCH('2019'!L$6,DataEx!$7:$7,0))</f>
        <v>925408.95</v>
      </c>
      <c r="M18" s="188">
        <f>+INDEX(DataEx!$1:$1048576,MATCH('2019'!$A18,DataEx!$D:$D,0),MATCH('2019'!M$6,DataEx!$7:$7,0))</f>
        <v>1005932.01</v>
      </c>
      <c r="N18" s="188">
        <f>+INDEX(DataEx!$1:$1048576,MATCH('2019'!$A18,DataEx!$D:$D,0),MATCH('2019'!N$6,DataEx!$7:$7,0))</f>
        <v>1032698.94</v>
      </c>
      <c r="O18" s="188">
        <f>+INDEX(DataEx!$1:$1048576,MATCH('2019'!$A18,DataEx!$D:$D,0),MATCH('2019'!O$6,DataEx!$7:$7,0))</f>
        <v>1007337.9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10337342.220000001</v>
      </c>
      <c r="T18" s="270">
        <f t="shared" si="4"/>
        <v>2.1521333708075701E-3</v>
      </c>
    </row>
    <row r="19" spans="1:25">
      <c r="A19" s="175">
        <v>712</v>
      </c>
      <c r="B19" s="502" t="str">
        <f>+VLOOKUP($A19,Master!$D$27:$G$225,4,FALSE)</f>
        <v>Doprinosi</v>
      </c>
      <c r="C19" s="503"/>
      <c r="D19" s="503"/>
      <c r="E19" s="503"/>
      <c r="F19" s="503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41912269.38000001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50290988.940000005</v>
      </c>
      <c r="K19" s="194">
        <f>+INDEX(DataEx!$1:$1048576,MATCH('2019'!$A19,DataEx!$D:$D,0),MATCH('2019'!K$6,DataEx!$7:$7,0))</f>
        <v>37496285.130000003</v>
      </c>
      <c r="L19" s="194">
        <f>+INDEX(DataEx!$1:$1048576,MATCH('2019'!$A19,DataEx!$D:$D,0),MATCH('2019'!L$6,DataEx!$7:$7,0))</f>
        <v>45280786.510000005</v>
      </c>
      <c r="M19" s="194">
        <f>+INDEX(DataEx!$1:$1048576,MATCH('2019'!$A19,DataEx!$D:$D,0),MATCH('2019'!M$6,DataEx!$7:$7,0))</f>
        <v>48662139.43999999</v>
      </c>
      <c r="N19" s="194">
        <f>+INDEX(DataEx!$1:$1048576,MATCH('2019'!$A19,DataEx!$D:$D,0),MATCH('2019'!N$6,DataEx!$7:$7,0))</f>
        <v>45770745.839999996</v>
      </c>
      <c r="O19" s="194">
        <f>+INDEX(DataEx!$1:$1048576,MATCH('2019'!$A19,DataEx!$D:$D,0),MATCH('2019'!O$6,DataEx!$7:$7,0))</f>
        <v>43611346.450000003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370571042.34999996</v>
      </c>
      <c r="T19" s="273">
        <f t="shared" si="4"/>
        <v>7.7149260373076831E-2</v>
      </c>
    </row>
    <row r="20" spans="1:25">
      <c r="A20" s="175">
        <v>7121</v>
      </c>
      <c r="B20" s="492" t="str">
        <f>+VLOOKUP($A20,Master!$D$27:$G$225,4,FALSE)</f>
        <v>Doprinosi za penzijsko i invalidsko osiguranje</v>
      </c>
      <c r="C20" s="493"/>
      <c r="D20" s="493"/>
      <c r="E20" s="493"/>
      <c r="F20" s="493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22104934.850000001</v>
      </c>
      <c r="L20" s="188">
        <f>+INDEX(DataEx!$1:$1048576,MATCH('2019'!$A20,DataEx!$D:$D,0),MATCH('2019'!L$6,DataEx!$7:$7,0))</f>
        <v>27009559.609999999</v>
      </c>
      <c r="M20" s="188">
        <f>+INDEX(DataEx!$1:$1048576,MATCH('2019'!$A20,DataEx!$D:$D,0),MATCH('2019'!M$6,DataEx!$7:$7,0))</f>
        <v>28964205.43</v>
      </c>
      <c r="N20" s="188">
        <f>+INDEX(DataEx!$1:$1048576,MATCH('2019'!$A20,DataEx!$D:$D,0),MATCH('2019'!N$6,DataEx!$7:$7,0))</f>
        <v>27519220.43</v>
      </c>
      <c r="O20" s="188">
        <f>+INDEX(DataEx!$1:$1048576,MATCH('2019'!$A20,DataEx!$D:$D,0),MATCH('2019'!O$6,DataEx!$7:$7,0))</f>
        <v>26730921.559999999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>+SUM(G20:R20)</f>
        <v>220192746.31</v>
      </c>
      <c r="T20" s="270">
        <f t="shared" si="4"/>
        <v>4.58419724585181E-2</v>
      </c>
    </row>
    <row r="21" spans="1:25">
      <c r="A21" s="175">
        <v>7122</v>
      </c>
      <c r="B21" s="492" t="str">
        <f>+VLOOKUP($A21,Master!$D$27:$G$225,4,FALSE)</f>
        <v>Doprinosi za zdravstveno osiguranje</v>
      </c>
      <c r="C21" s="493"/>
      <c r="D21" s="493"/>
      <c r="E21" s="493"/>
      <c r="F21" s="493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13458982.5</v>
      </c>
      <c r="L21" s="188">
        <f>+INDEX(DataEx!$1:$1048576,MATCH('2019'!$A21,DataEx!$D:$D,0),MATCH('2019'!L$6,DataEx!$7:$7,0))</f>
        <v>15925774.34</v>
      </c>
      <c r="M21" s="188">
        <f>+INDEX(DataEx!$1:$1048576,MATCH('2019'!$A21,DataEx!$D:$D,0),MATCH('2019'!M$6,DataEx!$7:$7,0))</f>
        <v>17203285.449999999</v>
      </c>
      <c r="N21" s="188">
        <f>+INDEX(DataEx!$1:$1048576,MATCH('2019'!$A21,DataEx!$D:$D,0),MATCH('2019'!N$6,DataEx!$7:$7,0))</f>
        <v>15860674.26</v>
      </c>
      <c r="O21" s="188">
        <f>+INDEX(DataEx!$1:$1048576,MATCH('2019'!$A21,DataEx!$D:$D,0),MATCH('2019'!O$6,DataEx!$7:$7,0))</f>
        <v>14501660.91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130738336.89</v>
      </c>
      <c r="T21" s="270">
        <f t="shared" si="4"/>
        <v>2.7218440840672039E-2</v>
      </c>
    </row>
    <row r="22" spans="1:25">
      <c r="A22" s="175">
        <v>7123</v>
      </c>
      <c r="B22" s="492" t="str">
        <f>+VLOOKUP($A22,Master!$D$27:$G$225,4,FALSE)</f>
        <v>Doprinosi za osiguranje od nezaposlenosti</v>
      </c>
      <c r="C22" s="493"/>
      <c r="D22" s="493"/>
      <c r="E22" s="493"/>
      <c r="F22" s="493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1026106.03</v>
      </c>
      <c r="L22" s="188">
        <f>+INDEX(DataEx!$1:$1048576,MATCH('2019'!$A22,DataEx!$D:$D,0),MATCH('2019'!L$6,DataEx!$7:$7,0))</f>
        <v>1222753.49</v>
      </c>
      <c r="M22" s="188">
        <f>+INDEX(DataEx!$1:$1048576,MATCH('2019'!$A22,DataEx!$D:$D,0),MATCH('2019'!M$6,DataEx!$7:$7,0))</f>
        <v>1316999.83</v>
      </c>
      <c r="N22" s="188">
        <f>+INDEX(DataEx!$1:$1048576,MATCH('2019'!$A22,DataEx!$D:$D,0),MATCH('2019'!N$6,DataEx!$7:$7,0))</f>
        <v>1256512.28</v>
      </c>
      <c r="O22" s="188">
        <f>+INDEX(DataEx!$1:$1048576,MATCH('2019'!$A22,DataEx!$D:$D,0),MATCH('2019'!O$6,DataEx!$7:$7,0))</f>
        <v>1242677.57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10196734.950000001</v>
      </c>
      <c r="T22" s="270">
        <f t="shared" si="4"/>
        <v>2.1228603147835866E-3</v>
      </c>
    </row>
    <row r="23" spans="1:25">
      <c r="A23" s="175">
        <v>7124</v>
      </c>
      <c r="B23" s="492" t="str">
        <f>+VLOOKUP($A23,Master!$D$27:$G$225,4,FALSE)</f>
        <v>Ostali doprinosi</v>
      </c>
      <c r="C23" s="493"/>
      <c r="D23" s="493"/>
      <c r="E23" s="493"/>
      <c r="F23" s="493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906261.75</v>
      </c>
      <c r="L23" s="188">
        <f>+INDEX(DataEx!$1:$1048576,MATCH('2019'!$A23,DataEx!$D:$D,0),MATCH('2019'!L$6,DataEx!$7:$7,0))</f>
        <v>1122699.07</v>
      </c>
      <c r="M23" s="188">
        <f>+INDEX(DataEx!$1:$1048576,MATCH('2019'!$A23,DataEx!$D:$D,0),MATCH('2019'!M$6,DataEx!$7:$7,0))</f>
        <v>1177648.73</v>
      </c>
      <c r="N23" s="188">
        <f>+INDEX(DataEx!$1:$1048576,MATCH('2019'!$A23,DataEx!$D:$D,0),MATCH('2019'!N$6,DataEx!$7:$7,0))</f>
        <v>1134338.8700000001</v>
      </c>
      <c r="O23" s="188">
        <f>+INDEX(DataEx!$1:$1048576,MATCH('2019'!$A23,DataEx!$D:$D,0),MATCH('2019'!O$6,DataEx!$7:$7,0))</f>
        <v>1136086.4099999999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9443224.1999999993</v>
      </c>
      <c r="T23" s="270">
        <f t="shared" si="4"/>
        <v>1.9659867591031166E-3</v>
      </c>
      <c r="Y23" s="379"/>
    </row>
    <row r="24" spans="1:25">
      <c r="A24" s="175">
        <v>713</v>
      </c>
      <c r="B24" s="494" t="str">
        <f>+VLOOKUP($A24,Master!$D$27:$G$225,4,FALSE)</f>
        <v>Takse</v>
      </c>
      <c r="C24" s="495"/>
      <c r="D24" s="495"/>
      <c r="E24" s="495"/>
      <c r="F24" s="495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1041125.3899999999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1208813.17</v>
      </c>
      <c r="L24" s="200">
        <f>+INDEX(DataEx!$1:$1048576,MATCH('2019'!$A24,DataEx!$D:$D,0),MATCH('2019'!L$6,DataEx!$7:$7,0))</f>
        <v>1252534.6599999999</v>
      </c>
      <c r="M24" s="200">
        <f>+INDEX(DataEx!$1:$1048576,MATCH('2019'!$A24,DataEx!$D:$D,0),MATCH('2019'!M$6,DataEx!$7:$7,0))</f>
        <v>1880947.5899999999</v>
      </c>
      <c r="N24" s="200">
        <f>+INDEX(DataEx!$1:$1048576,MATCH('2019'!$A24,DataEx!$D:$D,0),MATCH('2019'!N$6,DataEx!$7:$7,0))</f>
        <v>1630940.38</v>
      </c>
      <c r="O24" s="200">
        <f>+INDEX(DataEx!$1:$1048576,MATCH('2019'!$A24,DataEx!$D:$D,0),MATCH('2019'!O$6,DataEx!$7:$7,0))</f>
        <v>1570845.07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11793221.899999999</v>
      </c>
      <c r="T24" s="273">
        <f t="shared" si="4"/>
        <v>2.4552332563029583E-3</v>
      </c>
      <c r="Y24" s="379"/>
    </row>
    <row r="25" spans="1:25">
      <c r="A25" s="175">
        <v>714</v>
      </c>
      <c r="B25" s="494" t="str">
        <f>+VLOOKUP($A25,Master!$D$27:$G$225,4,FALSE)</f>
        <v>Naknade</v>
      </c>
      <c r="C25" s="495"/>
      <c r="D25" s="495"/>
      <c r="E25" s="495"/>
      <c r="F25" s="495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1792591.2</v>
      </c>
      <c r="L25" s="200">
        <f>+INDEX(DataEx!$1:$1048576,MATCH('2019'!$A25,DataEx!$D:$D,0),MATCH('2019'!L$6,DataEx!$7:$7,0))</f>
        <v>2081141.31</v>
      </c>
      <c r="M25" s="200">
        <f>+INDEX(DataEx!$1:$1048576,MATCH('2019'!$A25,DataEx!$D:$D,0),MATCH('2019'!M$6,DataEx!$7:$7,0))</f>
        <v>2697450.35</v>
      </c>
      <c r="N25" s="200">
        <f>+INDEX(DataEx!$1:$1048576,MATCH('2019'!$A25,DataEx!$D:$D,0),MATCH('2019'!N$6,DataEx!$7:$7,0))</f>
        <v>1985377.1099999999</v>
      </c>
      <c r="O25" s="200">
        <f>+INDEX(DataEx!$1:$1048576,MATCH('2019'!$A25,DataEx!$D:$D,0),MATCH('2019'!O$6,DataEx!$7:$7,0))</f>
        <v>2352827.11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20484439.07</v>
      </c>
      <c r="T25" s="273">
        <f t="shared" si="4"/>
        <v>4.2646595194970128E-3</v>
      </c>
      <c r="W25" s="366"/>
    </row>
    <row r="26" spans="1:25">
      <c r="A26" s="175">
        <v>715</v>
      </c>
      <c r="B26" s="494" t="str">
        <f>+VLOOKUP($A26,Master!$D$27:$G$225,4,FALSE)</f>
        <v>Ostali prihodi</v>
      </c>
      <c r="C26" s="495"/>
      <c r="D26" s="495"/>
      <c r="E26" s="495"/>
      <c r="F26" s="495"/>
      <c r="G26" s="200">
        <f>+INDEX(DataEx!$1:$1048576,MATCH('2019'!$A26,DataEx!$D:$D,0),MATCH('2019'!G$6,DataEx!$7:$7,0))</f>
        <v>1567147.41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3193816.55</v>
      </c>
      <c r="J26" s="200">
        <f>+INDEX(DataEx!$1:$1048576,MATCH('2019'!$A26,DataEx!$D:$D,0),MATCH('2019'!J$6,DataEx!$7:$7,0))</f>
        <v>2385570.52</v>
      </c>
      <c r="K26" s="200">
        <f>+INDEX(DataEx!$1:$1048576,MATCH('2019'!$A26,DataEx!$D:$D,0),MATCH('2019'!K$6,DataEx!$7:$7,0))</f>
        <v>7159071.0099999998</v>
      </c>
      <c r="L26" s="200">
        <f>+INDEX(DataEx!$1:$1048576,MATCH('2019'!$A26,DataEx!$D:$D,0),MATCH('2019'!L$6,DataEx!$7:$7,0))</f>
        <v>3262994.81</v>
      </c>
      <c r="M26" s="200">
        <f>+INDEX(DataEx!$1:$1048576,MATCH('2019'!$A26,DataEx!$D:$D,0),MATCH('2019'!M$6,DataEx!$7:$7,0))</f>
        <v>3734626.12</v>
      </c>
      <c r="N26" s="200">
        <f>+INDEX(DataEx!$1:$1048576,MATCH('2019'!$A26,DataEx!$D:$D,0),MATCH('2019'!N$6,DataEx!$7:$7,0))</f>
        <v>2985463.57</v>
      </c>
      <c r="O26" s="200">
        <f>+INDEX(DataEx!$1:$1048576,MATCH('2019'!$A26,DataEx!$D:$D,0),MATCH('2019'!O$6,DataEx!$7:$7,0))</f>
        <v>2214023.2000000002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28702244.289999999</v>
      </c>
      <c r="T26" s="273">
        <f t="shared" si="4"/>
        <v>5.975526052921949E-3</v>
      </c>
      <c r="W26" s="385"/>
    </row>
    <row r="27" spans="1:25">
      <c r="A27" s="175">
        <v>73</v>
      </c>
      <c r="B27" s="494" t="str">
        <f>+VLOOKUP($A27,Master!$D$27:$G$225,4,FALSE)</f>
        <v>Primici od otplate kredita i sredstva prenesena iz prethodne godine</v>
      </c>
      <c r="C27" s="495"/>
      <c r="D27" s="495"/>
      <c r="E27" s="495"/>
      <c r="F27" s="495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808656.23</v>
      </c>
      <c r="L27" s="200">
        <f>+INDEX(DataEx!$1:$1048576,MATCH('2019'!$A27,DataEx!$D:$D,0),MATCH('2019'!L$6,DataEx!$7:$7,0))</f>
        <v>1298753.81</v>
      </c>
      <c r="M27" s="200">
        <f>+INDEX(DataEx!$1:$1048576,MATCH('2019'!$A27,DataEx!$D:$D,0),MATCH('2019'!M$6,DataEx!$7:$7,0))</f>
        <v>134648.84</v>
      </c>
      <c r="N27" s="200">
        <f>+INDEX(DataEx!$1:$1048576,MATCH('2019'!$A27,DataEx!$D:$D,0),MATCH('2019'!N$6,DataEx!$7:$7,0))</f>
        <v>1295803.5900000001</v>
      </c>
      <c r="O27" s="200">
        <f>+INDEX(DataEx!$1:$1048576,MATCH('2019'!$A27,DataEx!$D:$D,0),MATCH('2019'!O$6,DataEx!$7:$7,0))</f>
        <v>183612.59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4775383.3</v>
      </c>
      <c r="T27" s="273">
        <f t="shared" si="4"/>
        <v>9.9418801657194002E-4</v>
      </c>
    </row>
    <row r="28" spans="1:25" ht="13.5" thickBot="1">
      <c r="A28" s="175">
        <v>74</v>
      </c>
      <c r="B28" s="496" t="str">
        <f>+VLOOKUP($A28,Master!$D$27:$G$225,4,FALSE)</f>
        <v>Donacije i transferi</v>
      </c>
      <c r="C28" s="497"/>
      <c r="D28" s="497"/>
      <c r="E28" s="497"/>
      <c r="F28" s="497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1388870.5</v>
      </c>
      <c r="L28" s="200">
        <f>+INDEX(DataEx!$1:$1048576,MATCH('2019'!$A28,DataEx!$D:$D,0),MATCH('2019'!L$6,DataEx!$7:$7,0))</f>
        <v>827810.06</v>
      </c>
      <c r="M28" s="200">
        <f>+INDEX(DataEx!$1:$1048576,MATCH('2019'!$A28,DataEx!$D:$D,0),MATCH('2019'!M$6,DataEx!$7:$7,0))</f>
        <v>1651160.65</v>
      </c>
      <c r="N28" s="200">
        <f>+INDEX(DataEx!$1:$1048576,MATCH('2019'!$A28,DataEx!$D:$D,0),MATCH('2019'!N$6,DataEx!$7:$7,0))</f>
        <v>1596012.32</v>
      </c>
      <c r="O28" s="200">
        <f>+INDEX(DataEx!$1:$1048576,MATCH('2019'!$A28,DataEx!$D:$D,0),MATCH('2019'!O$6,DataEx!$7:$7,0))</f>
        <v>1509055.56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22989096.359999996</v>
      </c>
      <c r="T28" s="276">
        <f t="shared" si="4"/>
        <v>4.7861046280682018E-3</v>
      </c>
    </row>
    <row r="29" spans="1:25" ht="13.5" thickBot="1">
      <c r="A29" s="175">
        <v>4</v>
      </c>
      <c r="B29" s="482" t="str">
        <f>+VLOOKUP($A29,Master!$D$27:$G$225,4,FALSE)</f>
        <v>Budžetski izdaci</v>
      </c>
      <c r="C29" s="483"/>
      <c r="D29" s="483"/>
      <c r="E29" s="483"/>
      <c r="F29" s="483"/>
      <c r="G29" s="176">
        <f>+G31+G42+G48+SUM(G49:G53)</f>
        <v>139590114.27000004</v>
      </c>
      <c r="H29" s="176">
        <f t="shared" ref="H29:R29" si="5">+H31+H42+H48+SUM(H49:H53)</f>
        <v>130880885.69</v>
      </c>
      <c r="I29" s="176">
        <f t="shared" si="5"/>
        <v>172163990.72000003</v>
      </c>
      <c r="J29" s="176">
        <f t="shared" si="5"/>
        <v>154925194.25999996</v>
      </c>
      <c r="K29" s="176">
        <f t="shared" si="5"/>
        <v>146568323.63999999</v>
      </c>
      <c r="L29" s="176">
        <f t="shared" si="5"/>
        <v>144199284.44</v>
      </c>
      <c r="M29" s="176">
        <f t="shared" si="5"/>
        <v>179381945.48000002</v>
      </c>
      <c r="N29" s="176">
        <f t="shared" si="5"/>
        <v>159575957.02000001</v>
      </c>
      <c r="O29" s="176">
        <f t="shared" si="5"/>
        <v>149255331.76999998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1376541027.29</v>
      </c>
      <c r="T29" s="278">
        <f t="shared" si="4"/>
        <v>0.28658235531613679</v>
      </c>
    </row>
    <row r="30" spans="1:25" ht="13.5" thickBot="1">
      <c r="A30" s="175">
        <v>40</v>
      </c>
      <c r="B30" s="498" t="str">
        <f>+VLOOKUP($A30,Master!$D$27:$G$225,4,FALSE)</f>
        <v>Tekuća budžetska potrošnja</v>
      </c>
      <c r="C30" s="499"/>
      <c r="D30" s="499"/>
      <c r="E30" s="499"/>
      <c r="F30" s="499"/>
      <c r="G30" s="206">
        <f>+G29-G49</f>
        <v>112761759.32000004</v>
      </c>
      <c r="H30" s="206">
        <f t="shared" ref="H30:R30" si="6">+H29-H49</f>
        <v>127190435.67999999</v>
      </c>
      <c r="I30" s="206">
        <f t="shared" si="6"/>
        <v>157233793.12000003</v>
      </c>
      <c r="J30" s="206">
        <f t="shared" si="6"/>
        <v>142829076.86999995</v>
      </c>
      <c r="K30" s="206">
        <f t="shared" si="6"/>
        <v>135103946.07999998</v>
      </c>
      <c r="L30" s="206">
        <f t="shared" si="6"/>
        <v>131357063.20999999</v>
      </c>
      <c r="M30" s="206">
        <f t="shared" si="6"/>
        <v>156176224.39000002</v>
      </c>
      <c r="N30" s="206">
        <f t="shared" si="6"/>
        <v>118701833.90000001</v>
      </c>
      <c r="O30" s="206">
        <f t="shared" si="6"/>
        <v>135200566.07999998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1216554698.6499999</v>
      </c>
      <c r="T30" s="280">
        <f t="shared" si="4"/>
        <v>0.25327476914829383</v>
      </c>
    </row>
    <row r="31" spans="1:25">
      <c r="A31" s="175">
        <v>41</v>
      </c>
      <c r="B31" s="500" t="str">
        <f>+VLOOKUP($A31,Master!$D$27:$G$225,4,FALSE)</f>
        <v>Tekući izdaci</v>
      </c>
      <c r="C31" s="501"/>
      <c r="D31" s="501"/>
      <c r="E31" s="501"/>
      <c r="F31" s="501"/>
      <c r="G31" s="212">
        <f>+SUM(G32:G41)</f>
        <v>50999254.180000007</v>
      </c>
      <c r="H31" s="212">
        <f t="shared" ref="H31:R31" si="7">+SUM(H32:H41)</f>
        <v>58405330.32</v>
      </c>
      <c r="I31" s="212">
        <f t="shared" si="7"/>
        <v>85883180.63000001</v>
      </c>
      <c r="J31" s="212">
        <f t="shared" si="7"/>
        <v>77286244.589999974</v>
      </c>
      <c r="K31" s="212">
        <f t="shared" si="7"/>
        <v>68965938.739999995</v>
      </c>
      <c r="L31" s="212">
        <f t="shared" si="7"/>
        <v>68528549.039999992</v>
      </c>
      <c r="M31" s="212">
        <f t="shared" si="7"/>
        <v>73051651.219999999</v>
      </c>
      <c r="N31" s="212">
        <f t="shared" si="7"/>
        <v>56723030.990000002</v>
      </c>
      <c r="O31" s="212">
        <f t="shared" si="7"/>
        <v>63751696.230000004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603594875.94000006</v>
      </c>
      <c r="T31" s="268">
        <f t="shared" si="4"/>
        <v>0.12566253949159953</v>
      </c>
    </row>
    <row r="32" spans="1:25">
      <c r="A32" s="175">
        <v>411</v>
      </c>
      <c r="B32" s="492" t="str">
        <f>+VLOOKUP($A32,Master!$D$27:$G$225,4,FALSE)</f>
        <v>Bruto zarade i doprinosi na teret poslodavca</v>
      </c>
      <c r="C32" s="493"/>
      <c r="D32" s="493"/>
      <c r="E32" s="493"/>
      <c r="F32" s="493"/>
      <c r="G32" s="188">
        <f>+INDEX(DataEx!$1:$1048576,MATCH('2019'!$A32,DataEx!$D:$D,0),MATCH('2019'!G$6,DataEx!$7:$7,0))</f>
        <v>38898615.609999999</v>
      </c>
      <c r="H32" s="188">
        <f>+INDEX(DataEx!$1:$1048576,MATCH('2019'!$A32,DataEx!$D:$D,0),MATCH('2019'!H$6,DataEx!$7:$7,0))</f>
        <v>38602776.109999999</v>
      </c>
      <c r="I32" s="188">
        <f>+INDEX(DataEx!$1:$1048576,MATCH('2019'!$A32,DataEx!$D:$D,0),MATCH('2019'!I$6,DataEx!$7:$7,0))</f>
        <v>39176968.049999997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39904782.170000002</v>
      </c>
      <c r="L32" s="188">
        <f>+INDEX(DataEx!$1:$1048576,MATCH('2019'!$A32,DataEx!$D:$D,0),MATCH('2019'!L$6,DataEx!$7:$7,0))</f>
        <v>41491994.170000002</v>
      </c>
      <c r="M32" s="188">
        <f>+INDEX(DataEx!$1:$1048576,MATCH('2019'!$A32,DataEx!$D:$D,0),MATCH('2019'!M$6,DataEx!$7:$7,0))</f>
        <v>38031107.149999999</v>
      </c>
      <c r="N32" s="188">
        <f>+INDEX(DataEx!$1:$1048576,MATCH('2019'!$A32,DataEx!$D:$D,0),MATCH('2019'!N$6,DataEx!$7:$7,0))</f>
        <v>37169894.039999999</v>
      </c>
      <c r="O32" s="188">
        <f>+INDEX(DataEx!$1:$1048576,MATCH('2019'!$A32,DataEx!$D:$D,0),MATCH('2019'!O$6,DataEx!$7:$7,0))</f>
        <v>38490166.549999997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350689855.90000004</v>
      </c>
      <c r="T32" s="270">
        <f t="shared" si="4"/>
        <v>7.3010192138737953E-2</v>
      </c>
    </row>
    <row r="33" spans="1:22">
      <c r="A33" s="175">
        <v>412</v>
      </c>
      <c r="B33" s="492" t="str">
        <f>+VLOOKUP($A33,Master!$D$27:$G$225,4,FALSE)</f>
        <v>Ostala lična primanja</v>
      </c>
      <c r="C33" s="493"/>
      <c r="D33" s="493"/>
      <c r="E33" s="493"/>
      <c r="F33" s="493"/>
      <c r="G33" s="188">
        <f>+INDEX(DataEx!$1:$1048576,MATCH('2019'!$A33,DataEx!$D:$D,0),MATCH('2019'!G$6,DataEx!$7:$7,0))</f>
        <v>432711.77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1606928.02</v>
      </c>
      <c r="K33" s="188">
        <f>+INDEX(DataEx!$1:$1048576,MATCH('2019'!$A33,DataEx!$D:$D,0),MATCH('2019'!K$6,DataEx!$7:$7,0))</f>
        <v>1045480.66</v>
      </c>
      <c r="L33" s="188">
        <f>+INDEX(DataEx!$1:$1048576,MATCH('2019'!$A33,DataEx!$D:$D,0),MATCH('2019'!L$6,DataEx!$7:$7,0))</f>
        <v>650585.03</v>
      </c>
      <c r="M33" s="188">
        <f>+INDEX(DataEx!$1:$1048576,MATCH('2019'!$A33,DataEx!$D:$D,0),MATCH('2019'!M$6,DataEx!$7:$7,0))</f>
        <v>1612572.32</v>
      </c>
      <c r="N33" s="188">
        <f>+INDEX(DataEx!$1:$1048576,MATCH('2019'!$A33,DataEx!$D:$D,0),MATCH('2019'!N$6,DataEx!$7:$7,0))</f>
        <v>864258.85</v>
      </c>
      <c r="O33" s="188">
        <f>+INDEX(DataEx!$1:$1048576,MATCH('2019'!$A33,DataEx!$D:$D,0),MATCH('2019'!O$6,DataEx!$7:$7,0))</f>
        <v>1077519.06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9067522.4299999997</v>
      </c>
      <c r="T33" s="270">
        <f t="shared" si="4"/>
        <v>1.8877693315012595E-3</v>
      </c>
      <c r="U33" s="367"/>
    </row>
    <row r="34" spans="1:22">
      <c r="A34" s="175">
        <v>413</v>
      </c>
      <c r="B34" s="492" t="str">
        <f>+VLOOKUP($A34,Master!$D$27:$G$225,4,FALSE)</f>
        <v>Rashodi za materijal</v>
      </c>
      <c r="C34" s="493"/>
      <c r="D34" s="493"/>
      <c r="E34" s="493"/>
      <c r="F34" s="493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2488394.38</v>
      </c>
      <c r="K34" s="188">
        <f>+INDEX(DataEx!$1:$1048576,MATCH('2019'!$A34,DataEx!$D:$D,0),MATCH('2019'!K$6,DataEx!$7:$7,0))</f>
        <v>2262319.3199999998</v>
      </c>
      <c r="L34" s="188">
        <f>+INDEX(DataEx!$1:$1048576,MATCH('2019'!$A34,DataEx!$D:$D,0),MATCH('2019'!L$6,DataEx!$7:$7,0))</f>
        <v>3143597.69</v>
      </c>
      <c r="M34" s="188">
        <f>+INDEX(DataEx!$1:$1048576,MATCH('2019'!$A34,DataEx!$D:$D,0),MATCH('2019'!M$6,DataEx!$7:$7,0))</f>
        <v>2242317.38</v>
      </c>
      <c r="N34" s="188">
        <f>+INDEX(DataEx!$1:$1048576,MATCH('2019'!$A34,DataEx!$D:$D,0),MATCH('2019'!N$6,DataEx!$7:$7,0))</f>
        <v>2462726.48</v>
      </c>
      <c r="O34" s="188">
        <f>+INDEX(DataEx!$1:$1048576,MATCH('2019'!$A34,DataEx!$D:$D,0),MATCH('2019'!O$6,DataEx!$7:$7,0))</f>
        <v>2778192.64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21323535.300000001</v>
      </c>
      <c r="T34" s="270">
        <f t="shared" si="4"/>
        <v>4.439351133595653E-3</v>
      </c>
      <c r="U34" s="385"/>
      <c r="V34" s="365"/>
    </row>
    <row r="35" spans="1:22">
      <c r="A35" s="175">
        <v>414</v>
      </c>
      <c r="B35" s="492" t="str">
        <f>+VLOOKUP($A35,Master!$D$27:$G$225,4,FALSE)</f>
        <v>Rashodi za usluge</v>
      </c>
      <c r="C35" s="493"/>
      <c r="D35" s="493"/>
      <c r="E35" s="493"/>
      <c r="F35" s="493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4317384.79</v>
      </c>
      <c r="I35" s="188">
        <f>+INDEX(DataEx!$1:$1048576,MATCH('2019'!$A35,DataEx!$D:$D,0),MATCH('2019'!I$6,DataEx!$7:$7,0))</f>
        <v>4690729.2300000004</v>
      </c>
      <c r="J35" s="188">
        <f>+INDEX(DataEx!$1:$1048576,MATCH('2019'!$A35,DataEx!$D:$D,0),MATCH('2019'!J$6,DataEx!$7:$7,0))</f>
        <v>4354180.1100000003</v>
      </c>
      <c r="K35" s="188">
        <f>+INDEX(DataEx!$1:$1048576,MATCH('2019'!$A35,DataEx!$D:$D,0),MATCH('2019'!K$6,DataEx!$7:$7,0))</f>
        <v>6607764.25</v>
      </c>
      <c r="L35" s="188">
        <f>+INDEX(DataEx!$1:$1048576,MATCH('2019'!$A35,DataEx!$D:$D,0),MATCH('2019'!L$6,DataEx!$7:$7,0))</f>
        <v>6806179.8200000003</v>
      </c>
      <c r="M35" s="188">
        <f>+INDEX(DataEx!$1:$1048576,MATCH('2019'!$A35,DataEx!$D:$D,0),MATCH('2019'!M$6,DataEx!$7:$7,0))</f>
        <v>8577720.9299999997</v>
      </c>
      <c r="N35" s="188">
        <f>+INDEX(DataEx!$1:$1048576,MATCH('2019'!$A35,DataEx!$D:$D,0),MATCH('2019'!N$6,DataEx!$7:$7,0))</f>
        <v>3302685.24</v>
      </c>
      <c r="O35" s="188">
        <f>+INDEX(DataEx!$1:$1048576,MATCH('2019'!$A35,DataEx!$D:$D,0),MATCH('2019'!O$6,DataEx!$7:$7,0))</f>
        <v>5727454.2199999997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47197487.410000004</v>
      </c>
      <c r="T35" s="270">
        <f t="shared" si="4"/>
        <v>9.8260544646388941E-3</v>
      </c>
    </row>
    <row r="36" spans="1:22">
      <c r="A36" s="175">
        <v>415</v>
      </c>
      <c r="B36" s="492" t="str">
        <f>+VLOOKUP($A36,Master!$D$27:$G$225,4,FALSE)</f>
        <v>Rashodi za tekuće održavanje</v>
      </c>
      <c r="C36" s="493"/>
      <c r="D36" s="493"/>
      <c r="E36" s="493"/>
      <c r="F36" s="493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1602730.43</v>
      </c>
      <c r="K36" s="188">
        <f>+INDEX(DataEx!$1:$1048576,MATCH('2019'!$A36,DataEx!$D:$D,0),MATCH('2019'!K$6,DataEx!$7:$7,0))</f>
        <v>1719004.83</v>
      </c>
      <c r="L36" s="188">
        <f>+INDEX(DataEx!$1:$1048576,MATCH('2019'!$A36,DataEx!$D:$D,0),MATCH('2019'!L$6,DataEx!$7:$7,0))</f>
        <v>1361111.43</v>
      </c>
      <c r="M36" s="188">
        <f>+INDEX(DataEx!$1:$1048576,MATCH('2019'!$A36,DataEx!$D:$D,0),MATCH('2019'!M$6,DataEx!$7:$7,0))</f>
        <v>2074263.46</v>
      </c>
      <c r="N36" s="188">
        <f>+INDEX(DataEx!$1:$1048576,MATCH('2019'!$A36,DataEx!$D:$D,0),MATCH('2019'!N$6,DataEx!$7:$7,0))</f>
        <v>1121425.77</v>
      </c>
      <c r="O36" s="188">
        <f>+INDEX(DataEx!$1:$1048576,MATCH('2019'!$A36,DataEx!$D:$D,0),MATCH('2019'!O$6,DataEx!$7:$7,0))</f>
        <v>1711631.24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12787106.299999999</v>
      </c>
      <c r="T36" s="270">
        <f t="shared" si="4"/>
        <v>2.6621502508691938E-3</v>
      </c>
    </row>
    <row r="37" spans="1:22">
      <c r="A37" s="175">
        <v>416</v>
      </c>
      <c r="B37" s="492" t="str">
        <f>+VLOOKUP($A37,Master!$D$27:$G$225,4,FALSE)</f>
        <v>Kamate</v>
      </c>
      <c r="C37" s="493"/>
      <c r="D37" s="493"/>
      <c r="E37" s="493"/>
      <c r="F37" s="493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999341.54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18435271.789999999</v>
      </c>
      <c r="K37" s="188">
        <f>+INDEX(DataEx!$1:$1048576,MATCH('2019'!$A37,DataEx!$D:$D,0),MATCH('2019'!K$6,DataEx!$7:$7,0))</f>
        <v>10258844.07</v>
      </c>
      <c r="L37" s="188">
        <f>+INDEX(DataEx!$1:$1048576,MATCH('2019'!$A37,DataEx!$D:$D,0),MATCH('2019'!L$6,DataEx!$7:$7,0))</f>
        <v>5411766.9400000004</v>
      </c>
      <c r="M37" s="188">
        <f>+INDEX(DataEx!$1:$1048576,MATCH('2019'!$A37,DataEx!$D:$D,0),MATCH('2019'!M$6,DataEx!$7:$7,0))</f>
        <v>9047333.1999999993</v>
      </c>
      <c r="N37" s="188">
        <f>+INDEX(DataEx!$1:$1048576,MATCH('2019'!$A37,DataEx!$D:$D,0),MATCH('2019'!N$6,DataEx!$7:$7,0))</f>
        <v>1051267.33</v>
      </c>
      <c r="O37" s="188">
        <f>+INDEX(DataEx!$1:$1048576,MATCH('2019'!$A37,DataEx!$D:$D,0),MATCH('2019'!O$6,DataEx!$7:$7,0))</f>
        <v>2999385.93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83053577.350000009</v>
      </c>
      <c r="T37" s="270">
        <f t="shared" si="4"/>
        <v>1.7290941092582186E-2</v>
      </c>
    </row>
    <row r="38" spans="1:22">
      <c r="A38" s="175">
        <v>417</v>
      </c>
      <c r="B38" s="492" t="str">
        <f>+VLOOKUP($A38,Master!$D$27:$G$225,4,FALSE)</f>
        <v>Renta</v>
      </c>
      <c r="C38" s="493"/>
      <c r="D38" s="493"/>
      <c r="E38" s="493"/>
      <c r="F38" s="493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1122402.21</v>
      </c>
      <c r="K38" s="188">
        <f>+INDEX(DataEx!$1:$1048576,MATCH('2019'!$A38,DataEx!$D:$D,0),MATCH('2019'!K$6,DataEx!$7:$7,0))</f>
        <v>989005.29</v>
      </c>
      <c r="L38" s="188">
        <f>+INDEX(DataEx!$1:$1048576,MATCH('2019'!$A38,DataEx!$D:$D,0),MATCH('2019'!L$6,DataEx!$7:$7,0))</f>
        <v>608826.98</v>
      </c>
      <c r="M38" s="188">
        <f>+INDEX(DataEx!$1:$1048576,MATCH('2019'!$A38,DataEx!$D:$D,0),MATCH('2019'!M$6,DataEx!$7:$7,0))</f>
        <v>1399544.86</v>
      </c>
      <c r="N38" s="188">
        <f>+INDEX(DataEx!$1:$1048576,MATCH('2019'!$A38,DataEx!$D:$D,0),MATCH('2019'!N$6,DataEx!$7:$7,0))</f>
        <v>827493.89</v>
      </c>
      <c r="O38" s="188">
        <f>+INDEX(DataEx!$1:$1048576,MATCH('2019'!$A38,DataEx!$D:$D,0),MATCH('2019'!O$6,DataEx!$7:$7,0))</f>
        <v>656314.94999999995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7407218.8200000003</v>
      </c>
      <c r="T38" s="270">
        <f t="shared" si="4"/>
        <v>1.5421103866092062E-3</v>
      </c>
    </row>
    <row r="39" spans="1:22">
      <c r="A39" s="175">
        <v>418</v>
      </c>
      <c r="B39" s="492" t="str">
        <f>+VLOOKUP($A39,Master!$D$27:$G$225,4,FALSE)</f>
        <v>Subvencije</v>
      </c>
      <c r="C39" s="493"/>
      <c r="D39" s="493"/>
      <c r="E39" s="493"/>
      <c r="F39" s="493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2194236.0299999998</v>
      </c>
      <c r="L39" s="188">
        <f>+INDEX(DataEx!$1:$1048576,MATCH('2019'!$A39,DataEx!$D:$D,0),MATCH('2019'!L$6,DataEx!$7:$7,0))</f>
        <v>1487101.06</v>
      </c>
      <c r="M39" s="188">
        <f>+INDEX(DataEx!$1:$1048576,MATCH('2019'!$A39,DataEx!$D:$D,0),MATCH('2019'!M$6,DataEx!$7:$7,0))</f>
        <v>3695060.6</v>
      </c>
      <c r="N39" s="188">
        <f>+INDEX(DataEx!$1:$1048576,MATCH('2019'!$A39,DataEx!$D:$D,0),MATCH('2019'!N$6,DataEx!$7:$7,0))</f>
        <v>1069449</v>
      </c>
      <c r="O39" s="188">
        <f>+INDEX(DataEx!$1:$1048576,MATCH('2019'!$A39,DataEx!$D:$D,0),MATCH('2019'!O$6,DataEx!$7:$7,0))</f>
        <v>3742161.66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18961258.32</v>
      </c>
      <c r="T39" s="270">
        <f t="shared" si="4"/>
        <v>3.947548210605209E-3</v>
      </c>
    </row>
    <row r="40" spans="1:22">
      <c r="A40" s="175">
        <v>419</v>
      </c>
      <c r="B40" s="492" t="str">
        <f>+VLOOKUP($A40,Master!$D$27:$G$225,4,FALSE)</f>
        <v>Ostali izdaci</v>
      </c>
      <c r="C40" s="493"/>
      <c r="D40" s="493"/>
      <c r="E40" s="493"/>
      <c r="F40" s="493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3360527.27</v>
      </c>
      <c r="I40" s="188">
        <f>+INDEX(DataEx!$1:$1048576,MATCH('2019'!$A40,DataEx!$D:$D,0),MATCH('2019'!I$6,DataEx!$7:$7,0))</f>
        <v>2294447.6800000002</v>
      </c>
      <c r="J40" s="188">
        <f>+INDEX(DataEx!$1:$1048576,MATCH('2019'!$A40,DataEx!$D:$D,0),MATCH('2019'!J$6,DataEx!$7:$7,0))</f>
        <v>5380146.8200000003</v>
      </c>
      <c r="K40" s="188">
        <f>+INDEX(DataEx!$1:$1048576,MATCH('2019'!$A40,DataEx!$D:$D,0),MATCH('2019'!K$6,DataEx!$7:$7,0))</f>
        <v>2122463.62</v>
      </c>
      <c r="L40" s="188">
        <f>+INDEX(DataEx!$1:$1048576,MATCH('2019'!$A40,DataEx!$D:$D,0),MATCH('2019'!L$6,DataEx!$7:$7,0))</f>
        <v>4483387.37</v>
      </c>
      <c r="M40" s="188">
        <f>+INDEX(DataEx!$1:$1048576,MATCH('2019'!$A40,DataEx!$D:$D,0),MATCH('2019'!M$6,DataEx!$7:$7,0))</f>
        <v>3829539.86</v>
      </c>
      <c r="N40" s="188">
        <f>+INDEX(DataEx!$1:$1048576,MATCH('2019'!$A40,DataEx!$D:$D,0),MATCH('2019'!N$6,DataEx!$7:$7,0))</f>
        <v>4015195.5</v>
      </c>
      <c r="O40" s="188">
        <f>+INDEX(DataEx!$1:$1048576,MATCH('2019'!$A40,DataEx!$D:$D,0),MATCH('2019'!O$6,DataEx!$7:$7,0))</f>
        <v>4101848.07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30283143.110000003</v>
      </c>
      <c r="T40" s="270">
        <f t="shared" si="4"/>
        <v>6.3046536984989491E-3</v>
      </c>
    </row>
    <row r="41" spans="1:22">
      <c r="A41" s="175">
        <v>440</v>
      </c>
      <c r="B41" s="492" t="str">
        <f>+VLOOKUP($A41,Master!$D$27:$G$225,4,FALSE)</f>
        <v>Kapitalni izdaci u tekućem budžetu</v>
      </c>
      <c r="C41" s="493"/>
      <c r="D41" s="493"/>
      <c r="E41" s="493"/>
      <c r="F41" s="493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3462137.8600000003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1862038.5</v>
      </c>
      <c r="L41" s="188">
        <f>+INDEX(DataEx!$1:$1048576,MATCH('2019'!$A41,DataEx!$D:$D,0),MATCH('2019'!L$6,DataEx!$7:$7,0))</f>
        <v>3083998.55</v>
      </c>
      <c r="M41" s="188">
        <f>+INDEX(DataEx!$1:$1048576,MATCH('2019'!$A41,DataEx!$D:$D,0),MATCH('2019'!M$6,DataEx!$7:$7,0))</f>
        <v>2542191.46</v>
      </c>
      <c r="N41" s="188">
        <f>+INDEX(DataEx!$1:$1048576,MATCH('2019'!$A41,DataEx!$D:$D,0),MATCH('2019'!N$6,DataEx!$7:$7,0))</f>
        <v>4838634.8899999997</v>
      </c>
      <c r="O41" s="188">
        <f>+INDEX(DataEx!$1:$1048576,MATCH('2019'!$A41,DataEx!$D:$D,0),MATCH('2019'!O$6,DataEx!$7:$7,0))</f>
        <v>2467021.91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22824171.000000004</v>
      </c>
      <c r="T41" s="270">
        <f t="shared" si="4"/>
        <v>4.751768783961028E-3</v>
      </c>
    </row>
    <row r="42" spans="1:22">
      <c r="A42" s="175">
        <v>42</v>
      </c>
      <c r="B42" s="488" t="str">
        <f>+VLOOKUP($A42,Master!$D$27:$G$225,4,FALSE)</f>
        <v>Transferi za socijalnu zaštitu</v>
      </c>
      <c r="C42" s="489"/>
      <c r="D42" s="489"/>
      <c r="E42" s="489"/>
      <c r="F42" s="489"/>
      <c r="G42" s="218">
        <f>+SUM(G43:G47)</f>
        <v>42563180.95000001</v>
      </c>
      <c r="H42" s="218">
        <f t="shared" ref="H42:R42" si="8">+SUM(H43:H47)</f>
        <v>46594709.649999999</v>
      </c>
      <c r="I42" s="218">
        <f t="shared" si="8"/>
        <v>45429673.470000006</v>
      </c>
      <c r="J42" s="200">
        <f t="shared" si="8"/>
        <v>45454458.559999995</v>
      </c>
      <c r="K42" s="218">
        <f t="shared" si="8"/>
        <v>45755730.580000006</v>
      </c>
      <c r="L42" s="218">
        <f t="shared" si="8"/>
        <v>45746699.100000001</v>
      </c>
      <c r="M42" s="218">
        <f t="shared" si="8"/>
        <v>46178800.580000006</v>
      </c>
      <c r="N42" s="218">
        <f t="shared" si="8"/>
        <v>45699224.809999995</v>
      </c>
      <c r="O42" s="218">
        <f t="shared" si="8"/>
        <v>45931841.649999999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409354319.35000002</v>
      </c>
      <c r="T42" s="273">
        <f t="shared" si="4"/>
        <v>8.5223558667999091E-2</v>
      </c>
    </row>
    <row r="43" spans="1:22">
      <c r="A43" s="175">
        <v>421</v>
      </c>
      <c r="B43" s="492" t="str">
        <f>+VLOOKUP($A43,Master!$D$27:$G$225,4,FALSE)</f>
        <v>Prava iz oblasti socijalne zaštite</v>
      </c>
      <c r="C43" s="493"/>
      <c r="D43" s="493"/>
      <c r="E43" s="493"/>
      <c r="F43" s="493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6410465.4699999997</v>
      </c>
      <c r="L43" s="188">
        <f>+INDEX(DataEx!$1:$1048576,MATCH('2019'!$A43,DataEx!$D:$D,0),MATCH('2019'!L$6,DataEx!$7:$7,0))</f>
        <v>6536921.0899999999</v>
      </c>
      <c r="M43" s="188">
        <f>+INDEX(DataEx!$1:$1048576,MATCH('2019'!$A43,DataEx!$D:$D,0),MATCH('2019'!M$6,DataEx!$7:$7,0))</f>
        <v>6798455.0999999996</v>
      </c>
      <c r="N43" s="188">
        <f>+INDEX(DataEx!$1:$1048576,MATCH('2019'!$A43,DataEx!$D:$D,0),MATCH('2019'!N$6,DataEx!$7:$7,0))</f>
        <v>6916329.6100000003</v>
      </c>
      <c r="O43" s="188">
        <f>+INDEX(DataEx!$1:$1048576,MATCH('2019'!$A43,DataEx!$D:$D,0),MATCH('2019'!O$6,DataEx!$7:$7,0))</f>
        <v>6430517.1200000001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59182028.149999991</v>
      </c>
      <c r="T43" s="270">
        <f t="shared" si="4"/>
        <v>1.2321118428996729E-2</v>
      </c>
    </row>
    <row r="44" spans="1:22">
      <c r="A44" s="175">
        <v>422</v>
      </c>
      <c r="B44" s="492" t="str">
        <f>+VLOOKUP($A44,Master!$D$27:$G$225,4,FALSE)</f>
        <v>Sredstva za tehnološke viškove</v>
      </c>
      <c r="C44" s="493"/>
      <c r="D44" s="493"/>
      <c r="E44" s="493"/>
      <c r="F44" s="493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1341095.6299999999</v>
      </c>
      <c r="L44" s="188">
        <f>+INDEX(DataEx!$1:$1048576,MATCH('2019'!$A44,DataEx!$D:$D,0),MATCH('2019'!L$6,DataEx!$7:$7,0))</f>
        <v>1381621.25</v>
      </c>
      <c r="M44" s="188">
        <f>+INDEX(DataEx!$1:$1048576,MATCH('2019'!$A44,DataEx!$D:$D,0),MATCH('2019'!M$6,DataEx!$7:$7,0))</f>
        <v>1512829.9</v>
      </c>
      <c r="N44" s="188">
        <f>+INDEX(DataEx!$1:$1048576,MATCH('2019'!$A44,DataEx!$D:$D,0),MATCH('2019'!N$6,DataEx!$7:$7,0))</f>
        <v>1577705.79</v>
      </c>
      <c r="O44" s="188">
        <f>+INDEX(DataEx!$1:$1048576,MATCH('2019'!$A44,DataEx!$D:$D,0),MATCH('2019'!O$6,DataEx!$7:$7,0))</f>
        <v>1701766.69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10963721.089999998</v>
      </c>
      <c r="T44" s="270">
        <f t="shared" si="4"/>
        <v>2.2825393146378528E-3</v>
      </c>
    </row>
    <row r="45" spans="1:22">
      <c r="A45" s="175">
        <v>423</v>
      </c>
      <c r="B45" s="492" t="str">
        <f>+VLOOKUP($A45,Master!$D$27:$G$225,4,FALSE)</f>
        <v>Prava iz oblasti penzijskog i invalidskog osiguranja</v>
      </c>
      <c r="C45" s="493"/>
      <c r="D45" s="493"/>
      <c r="E45" s="493"/>
      <c r="F45" s="493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35184087.420000002</v>
      </c>
      <c r="L45" s="188">
        <f>+INDEX(DataEx!$1:$1048576,MATCH('2019'!$A45,DataEx!$D:$D,0),MATCH('2019'!L$6,DataEx!$7:$7,0))</f>
        <v>35185457.75</v>
      </c>
      <c r="M45" s="188">
        <f>+INDEX(DataEx!$1:$1048576,MATCH('2019'!$A45,DataEx!$D:$D,0),MATCH('2019'!M$6,DataEx!$7:$7,0))</f>
        <v>35081479.57</v>
      </c>
      <c r="N45" s="188">
        <f>+INDEX(DataEx!$1:$1048576,MATCH('2019'!$A45,DataEx!$D:$D,0),MATCH('2019'!N$6,DataEx!$7:$7,0))</f>
        <v>35015332.57</v>
      </c>
      <c r="O45" s="188">
        <f>+INDEX(DataEx!$1:$1048576,MATCH('2019'!$A45,DataEx!$D:$D,0),MATCH('2019'!O$6,DataEx!$7:$7,0))</f>
        <v>35022901.990000002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316011984.42000002</v>
      </c>
      <c r="T45" s="270">
        <f t="shared" si="4"/>
        <v>6.5790599050652682E-2</v>
      </c>
    </row>
    <row r="46" spans="1:22">
      <c r="A46" s="175">
        <v>424</v>
      </c>
      <c r="B46" s="492" t="str">
        <f>+VLOOKUP($A46,Master!$D$27:$G$225,4,FALSE)</f>
        <v>Ostala prava iz oblasti zdravstvene zaštite</v>
      </c>
      <c r="C46" s="493"/>
      <c r="D46" s="493"/>
      <c r="E46" s="493"/>
      <c r="F46" s="493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1914804.54</v>
      </c>
      <c r="L46" s="188">
        <f>+INDEX(DataEx!$1:$1048576,MATCH('2019'!$A46,DataEx!$D:$D,0),MATCH('2019'!L$6,DataEx!$7:$7,0))</f>
        <v>1732967.4</v>
      </c>
      <c r="M46" s="188">
        <f>+INDEX(DataEx!$1:$1048576,MATCH('2019'!$A46,DataEx!$D:$D,0),MATCH('2019'!M$6,DataEx!$7:$7,0))</f>
        <v>1746404.92</v>
      </c>
      <c r="N46" s="188">
        <f>+INDEX(DataEx!$1:$1048576,MATCH('2019'!$A46,DataEx!$D:$D,0),MATCH('2019'!N$6,DataEx!$7:$7,0))</f>
        <v>1448048.69</v>
      </c>
      <c r="O46" s="188">
        <f>+INDEX(DataEx!$1:$1048576,MATCH('2019'!$A46,DataEx!$D:$D,0),MATCH('2019'!O$6,DataEx!$7:$7,0))</f>
        <v>1671066.3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15065425.640000001</v>
      </c>
      <c r="T46" s="270">
        <f t="shared" si="4"/>
        <v>3.1364740157808174E-3</v>
      </c>
    </row>
    <row r="47" spans="1:22">
      <c r="A47" s="175">
        <v>425</v>
      </c>
      <c r="B47" s="563" t="str">
        <f>+VLOOKUP($A47,Master!$D$27:$G$225,4,FALSE)</f>
        <v>Ostala prava iz zdravstvenog osiguranja</v>
      </c>
      <c r="C47" s="564"/>
      <c r="D47" s="564"/>
      <c r="E47" s="564"/>
      <c r="F47" s="564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1081000.8899999999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905277.52</v>
      </c>
      <c r="L47" s="188">
        <f>+INDEX(DataEx!$1:$1048576,MATCH('2019'!$A47,DataEx!$D:$D,0),MATCH('2019'!L$6,DataEx!$7:$7,0))</f>
        <v>909731.61</v>
      </c>
      <c r="M47" s="188">
        <f>+INDEX(DataEx!$1:$1048576,MATCH('2019'!$A47,DataEx!$D:$D,0),MATCH('2019'!M$6,DataEx!$7:$7,0))</f>
        <v>1039631.09</v>
      </c>
      <c r="N47" s="188">
        <f>+INDEX(DataEx!$1:$1048576,MATCH('2019'!$A47,DataEx!$D:$D,0),MATCH('2019'!N$6,DataEx!$7:$7,0))</f>
        <v>741808.15</v>
      </c>
      <c r="O47" s="188">
        <f>+INDEX(DataEx!$1:$1048576,MATCH('2019'!$A47,DataEx!$D:$D,0),MATCH('2019'!O$6,DataEx!$7:$7,0))</f>
        <v>1105589.55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8131160.0500000007</v>
      </c>
      <c r="T47" s="270">
        <f t="shared" si="4"/>
        <v>1.692827857931006E-3</v>
      </c>
    </row>
    <row r="48" spans="1:22">
      <c r="A48" s="175">
        <v>43</v>
      </c>
      <c r="B48" s="490" t="str">
        <f>+VLOOKUP($A48,Master!$D$27:$G$225,4,FALSE)</f>
        <v xml:space="preserve">Transferi institucijama, pojedincima, nevladinom i javnom sektoru </v>
      </c>
      <c r="C48" s="491"/>
      <c r="D48" s="491"/>
      <c r="E48" s="491"/>
      <c r="F48" s="491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16108536.07</v>
      </c>
      <c r="K48" s="200">
        <f>+INDEX(DataEx!$1:$1048576,MATCH('2019'!$A48,DataEx!$D:$D,0),MATCH('2019'!K$6,DataEx!$7:$7,0))</f>
        <v>17254969.68</v>
      </c>
      <c r="L48" s="200">
        <f>+INDEX(DataEx!$1:$1048576,MATCH('2019'!$A48,DataEx!$D:$D,0),MATCH('2019'!L$6,DataEx!$7:$7,0))</f>
        <v>13582731.800000001</v>
      </c>
      <c r="M48" s="200">
        <f>+INDEX(DataEx!$1:$1048576,MATCH('2019'!$A48,DataEx!$D:$D,0),MATCH('2019'!M$6,DataEx!$7:$7,0))</f>
        <v>25674739.879999999</v>
      </c>
      <c r="N48" s="200">
        <f>+INDEX(DataEx!$1:$1048576,MATCH('2019'!$A48,DataEx!$D:$D,0),MATCH('2019'!N$6,DataEx!$7:$7,0))</f>
        <v>14819789.789999999</v>
      </c>
      <c r="O48" s="200">
        <f>+INDEX(DataEx!$1:$1048576,MATCH('2019'!$A48,DataEx!$D:$D,0),MATCH('2019'!O$6,DataEx!$7:$7,0))</f>
        <v>22891347.969999999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161398172.50999999</v>
      </c>
      <c r="T48" s="273">
        <f t="shared" si="4"/>
        <v>3.3601518229134132E-2</v>
      </c>
    </row>
    <row r="49" spans="1:22">
      <c r="A49" s="175">
        <v>44</v>
      </c>
      <c r="B49" s="490" t="str">
        <f>+VLOOKUP($A49,Master!$D$27:$G$225,4,FALSE)</f>
        <v>Kapitalni budžet</v>
      </c>
      <c r="C49" s="491"/>
      <c r="D49" s="491"/>
      <c r="E49" s="491"/>
      <c r="F49" s="491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11464377.560000001</v>
      </c>
      <c r="L49" s="200">
        <f>+INDEX(DataEx!$1:$1048576,MATCH('2019'!$A49,DataEx!$D:$D,0),MATCH('2019'!L$6,DataEx!$7:$7,0))</f>
        <v>12842221.23</v>
      </c>
      <c r="M49" s="200">
        <f>+INDEX(DataEx!$1:$1048576,MATCH('2019'!$A49,DataEx!$D:$D,0),MATCH('2019'!M$6,DataEx!$7:$7,0))</f>
        <v>23205721.09</v>
      </c>
      <c r="N49" s="200">
        <f>+INDEX(DataEx!$1:$1048576,MATCH('2019'!$A49,DataEx!$D:$D,0),MATCH('2019'!N$6,DataEx!$7:$7,0))</f>
        <v>40874123.119999997</v>
      </c>
      <c r="O49" s="200">
        <f>+INDEX(DataEx!$1:$1048576,MATCH('2019'!$A49,DataEx!$D:$D,0),MATCH('2019'!O$6,DataEx!$7:$7,0))</f>
        <v>14054765.689999999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159986328.64000002</v>
      </c>
      <c r="T49" s="273">
        <f t="shared" si="4"/>
        <v>3.3307586167842941E-2</v>
      </c>
    </row>
    <row r="50" spans="1:22">
      <c r="A50" s="175">
        <v>451</v>
      </c>
      <c r="B50" s="557" t="str">
        <f>+VLOOKUP($A50,Master!$D$27:$G$225,4,FALSE)</f>
        <v>Pozajmice i krediti</v>
      </c>
      <c r="C50" s="558"/>
      <c r="D50" s="558"/>
      <c r="E50" s="558"/>
      <c r="F50" s="558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236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260000</v>
      </c>
      <c r="L50" s="188">
        <f>+INDEX(DataEx!$1:$1048576,MATCH('2019'!$A50,DataEx!$D:$D,0),MATCH('2019'!L$6,DataEx!$7:$7,0))</f>
        <v>358750</v>
      </c>
      <c r="M50" s="188">
        <f>+INDEX(DataEx!$1:$1048576,MATCH('2019'!$A50,DataEx!$D:$D,0),MATCH('2019'!M$6,DataEx!$7:$7,0))</f>
        <v>335000</v>
      </c>
      <c r="N50" s="188">
        <f>+INDEX(DataEx!$1:$1048576,MATCH('2019'!$A50,DataEx!$D:$D,0),MATCH('2019'!N$6,DataEx!$7:$7,0))</f>
        <v>145000</v>
      </c>
      <c r="O50" s="188">
        <f>+INDEX(DataEx!$1:$1048576,MATCH('2019'!$A50,DataEx!$D:$D,0),MATCH('2019'!O$6,DataEx!$7:$7,0))</f>
        <v>298894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2084501.98</v>
      </c>
      <c r="T50" s="270">
        <f t="shared" si="4"/>
        <v>4.3397288947182147E-4</v>
      </c>
    </row>
    <row r="51" spans="1:22">
      <c r="A51" s="175">
        <v>47</v>
      </c>
      <c r="B51" s="460" t="str">
        <f>+VLOOKUP($A51,Master!$D$27:$G$225,4,FALSE)</f>
        <v>Rezerve</v>
      </c>
      <c r="C51" s="461"/>
      <c r="D51" s="461"/>
      <c r="E51" s="461"/>
      <c r="F51" s="461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236">
        <f>+INDEX(DataEx!$1:$1048576,MATCH('2019'!$A51,DataEx!$D:$D,0),MATCH('2019'!J$6,DataEx!$7:$7,0))</f>
        <v>1806704.1</v>
      </c>
      <c r="K51" s="188">
        <f>+INDEX(DataEx!$1:$1048576,MATCH('2019'!$A51,DataEx!$D:$D,0),MATCH('2019'!K$6,DataEx!$7:$7,0))</f>
        <v>1407800</v>
      </c>
      <c r="L51" s="188">
        <f>+INDEX(DataEx!$1:$1048576,MATCH('2019'!$A51,DataEx!$D:$D,0),MATCH('2019'!L$6,DataEx!$7:$7,0))</f>
        <v>1291723.94</v>
      </c>
      <c r="M51" s="188">
        <f>+INDEX(DataEx!$1:$1048576,MATCH('2019'!$A51,DataEx!$D:$D,0),MATCH('2019'!M$6,DataEx!$7:$7,0))</f>
        <v>6489528.9000000004</v>
      </c>
      <c r="N51" s="188">
        <f>+INDEX(DataEx!$1:$1048576,MATCH('2019'!$A51,DataEx!$D:$D,0),MATCH('2019'!N$6,DataEx!$7:$7,0))</f>
        <v>433973.31</v>
      </c>
      <c r="O51" s="188">
        <f>+INDEX(DataEx!$1:$1048576,MATCH('2019'!$A51,DataEx!$D:$D,0),MATCH('2019'!O$6,DataEx!$7:$7,0))</f>
        <v>745665.27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14407054.720000001</v>
      </c>
      <c r="T51" s="270">
        <f t="shared" si="4"/>
        <v>2.9994076405804346E-3</v>
      </c>
    </row>
    <row r="52" spans="1:22" ht="13.5" thickBot="1">
      <c r="A52" s="175">
        <v>462</v>
      </c>
      <c r="B52" s="478" t="str">
        <f>+VLOOKUP($A52,Master!$D$27:$G$225,4,FALSE)</f>
        <v>Otplata garancija</v>
      </c>
      <c r="C52" s="479"/>
      <c r="D52" s="479"/>
      <c r="E52" s="479"/>
      <c r="F52" s="479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7180485.3399999999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9434699.4100000001</v>
      </c>
      <c r="T52" s="284">
        <f t="shared" si="4"/>
        <v>1.964211981346158E-3</v>
      </c>
      <c r="U52" s="366"/>
    </row>
    <row r="53" spans="1:22" ht="13.5" thickBot="1">
      <c r="A53" s="169">
        <v>4630</v>
      </c>
      <c r="B53" s="559" t="str">
        <f>+VLOOKUP($A53,Master!$D$27:$G$225,4,TRUE)</f>
        <v>Otplata obaveza iz prethodnih godina</v>
      </c>
      <c r="C53" s="560"/>
      <c r="D53" s="560"/>
      <c r="E53" s="560"/>
      <c r="F53" s="560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1736748.41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1459507.08</v>
      </c>
      <c r="L53" s="224">
        <f>+INDEX(DataEx!$1:$1048576,MATCH('2019'!$A53,DataEx!$D:$D,0),MATCH('2019'!L$6,DataEx!$7:$7,0))</f>
        <v>1848609.33</v>
      </c>
      <c r="M53" s="224">
        <f>+INDEX(DataEx!$1:$1048576,MATCH('2019'!$A53,DataEx!$D:$D,0),MATCH('2019'!M$6,DataEx!$7:$7,0))</f>
        <v>4446503.8099999996</v>
      </c>
      <c r="N53" s="224">
        <f>+INDEX(DataEx!$1:$1048576,MATCH('2019'!$A53,DataEx!$D:$D,0),MATCH('2019'!N$6,DataEx!$7:$7,0))</f>
        <v>880815</v>
      </c>
      <c r="O53" s="224">
        <f>+INDEX(DataEx!$1:$1048576,MATCH('2019'!$A53,DataEx!$D:$D,0),MATCH('2019'!O$6,DataEx!$7:$7,0))</f>
        <v>1581120.96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16281074.739999998</v>
      </c>
      <c r="T53" s="284">
        <f>+S53/$T$7</f>
        <v>3.3895602481627211E-3</v>
      </c>
    </row>
    <row r="54" spans="1:22" ht="13.5" thickBot="1">
      <c r="A54" s="71">
        <v>1005</v>
      </c>
      <c r="B54" s="561" t="str">
        <f>+VLOOKUP($A54,Master!$D$27:$G$227,4,FALSE)</f>
        <v>Neto povećanje obaveza</v>
      </c>
      <c r="C54" s="562"/>
      <c r="D54" s="562"/>
      <c r="E54" s="562"/>
      <c r="F54" s="562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84" t="str">
        <f>+VLOOKUP($A55,Master!$D$27:$G$225,4,FALSE)</f>
        <v>Suficit / deficit</v>
      </c>
      <c r="C55" s="485"/>
      <c r="D55" s="485"/>
      <c r="E55" s="485"/>
      <c r="F55" s="485"/>
      <c r="G55" s="176">
        <f t="shared" ref="G55:R55" si="9">+G10-G29</f>
        <v>-32332319.310000032</v>
      </c>
      <c r="H55" s="176">
        <f t="shared" si="9"/>
        <v>-14336259.739999995</v>
      </c>
      <c r="I55" s="176">
        <f t="shared" si="9"/>
        <v>-24619591.350000024</v>
      </c>
      <c r="J55" s="176">
        <f t="shared" si="9"/>
        <v>10120081.440000057</v>
      </c>
      <c r="K55" s="176">
        <f t="shared" si="9"/>
        <v>-2341851.3700000048</v>
      </c>
      <c r="L55" s="176">
        <f t="shared" si="9"/>
        <v>-805823.59000000358</v>
      </c>
      <c r="M55" s="176">
        <f t="shared" si="9"/>
        <v>-5257501.0400000215</v>
      </c>
      <c r="N55" s="176">
        <f t="shared" si="9"/>
        <v>14505477.229999989</v>
      </c>
      <c r="O55" s="176">
        <f t="shared" si="9"/>
        <v>16686649.180000037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-38381138.549999997</v>
      </c>
      <c r="T55" s="286">
        <f t="shared" si="4"/>
        <v>-7.9905770095559294E-3</v>
      </c>
    </row>
    <row r="56" spans="1:22" ht="13.5" thickBot="1">
      <c r="A56" s="169">
        <v>1001</v>
      </c>
      <c r="B56" s="486" t="str">
        <f>+VLOOKUP($A56,Master!$D$27:$G$225,4,FALSE)</f>
        <v>Primarni bilans</v>
      </c>
      <c r="C56" s="487"/>
      <c r="D56" s="487"/>
      <c r="E56" s="487"/>
      <c r="F56" s="487"/>
      <c r="G56" s="230">
        <f>+G55+G37</f>
        <v>-26177466.410000034</v>
      </c>
      <c r="H56" s="230">
        <f t="shared" ref="H56:R56" si="10">+H55+H37</f>
        <v>-13336918.199999996</v>
      </c>
      <c r="I56" s="230">
        <f t="shared" si="10"/>
        <v>4075922.2999999747</v>
      </c>
      <c r="J56" s="230">
        <f t="shared" si="10"/>
        <v>28555353.230000056</v>
      </c>
      <c r="K56" s="230">
        <f t="shared" si="10"/>
        <v>7916992.6999999955</v>
      </c>
      <c r="L56" s="230">
        <f t="shared" si="10"/>
        <v>4605943.3499999968</v>
      </c>
      <c r="M56" s="230">
        <f t="shared" si="10"/>
        <v>3789832.1599999778</v>
      </c>
      <c r="N56" s="230">
        <f t="shared" si="10"/>
        <v>15556744.559999989</v>
      </c>
      <c r="O56" s="230">
        <f t="shared" si="10"/>
        <v>19686035.110000037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44672438.799999997</v>
      </c>
      <c r="T56" s="286">
        <f t="shared" si="4"/>
        <v>9.3003640830262527E-3</v>
      </c>
    </row>
    <row r="57" spans="1:22">
      <c r="A57" s="169">
        <v>46</v>
      </c>
      <c r="B57" s="555" t="str">
        <f>+VLOOKUP($A57,Master!$D$27:$G$225,4,FALSE)</f>
        <v>Otplata dugova</v>
      </c>
      <c r="C57" s="556"/>
      <c r="D57" s="556"/>
      <c r="E57" s="556"/>
      <c r="F57" s="556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00">
        <f t="shared" si="11"/>
        <v>18302050.879999999</v>
      </c>
      <c r="K57" s="218">
        <f t="shared" si="11"/>
        <v>183682731.81999999</v>
      </c>
      <c r="L57" s="218">
        <f t="shared" si="11"/>
        <v>11094774.199999999</v>
      </c>
      <c r="M57" s="218">
        <f t="shared" si="11"/>
        <v>80471032.019999996</v>
      </c>
      <c r="N57" s="218">
        <f t="shared" si="11"/>
        <v>57755617.170000002</v>
      </c>
      <c r="O57" s="218">
        <f t="shared" si="11"/>
        <v>17889318.350000001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473865899.43000001</v>
      </c>
      <c r="T57" s="288">
        <f t="shared" si="4"/>
        <v>9.8654237592904884E-2</v>
      </c>
      <c r="V57" s="383"/>
    </row>
    <row r="58" spans="1:22">
      <c r="A58" s="169">
        <v>4611</v>
      </c>
      <c r="B58" s="476" t="str">
        <f>+VLOOKUP($A58,Master!$D$27:$G$225,4,FALSE)</f>
        <v>Otplata hartija od vrijednosti i kredita rezidentima</v>
      </c>
      <c r="C58" s="477"/>
      <c r="D58" s="477"/>
      <c r="E58" s="477"/>
      <c r="F58" s="477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5836708.6600000001</v>
      </c>
      <c r="L58" s="236">
        <f>+INDEX(DataEx!$1:$1048576,MATCH('2019'!$A58,DataEx!$D:$D,0),MATCH('2019'!L$6,DataEx!$7:$7,0))</f>
        <v>1304074.52</v>
      </c>
      <c r="M58" s="236">
        <f>+INDEX(DataEx!$1:$1048576,MATCH('2019'!$A58,DataEx!$D:$D,0),MATCH('2019'!M$6,DataEx!$7:$7,0))</f>
        <v>18837613.199999999</v>
      </c>
      <c r="N58" s="236">
        <f>+INDEX(DataEx!$1:$1048576,MATCH('2019'!$A58,DataEx!$D:$D,0),MATCH('2019'!N$6,DataEx!$7:$7,0))</f>
        <v>54838105.140000001</v>
      </c>
      <c r="O58" s="236">
        <f>+INDEX(DataEx!$1:$1048576,MATCH('2019'!$A58,DataEx!$D:$D,0),MATCH('2019'!O$6,DataEx!$7:$7,0))</f>
        <v>1831381.37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168922253.71000001</v>
      </c>
      <c r="T58" s="290">
        <f t="shared" si="4"/>
        <v>3.5167958218308246E-2</v>
      </c>
    </row>
    <row r="59" spans="1:22" ht="13.5" thickBot="1">
      <c r="A59" s="169">
        <v>4612</v>
      </c>
      <c r="B59" s="460" t="str">
        <f>+VLOOKUP($A59,Master!$D$27:$G$225,4,FALSE)</f>
        <v>Otplata hartija od vrijednosti i kredita nerezidentima</v>
      </c>
      <c r="C59" s="461"/>
      <c r="D59" s="461"/>
      <c r="E59" s="461"/>
      <c r="F59" s="461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177846023.16</v>
      </c>
      <c r="L59" s="236">
        <f>+INDEX(DataEx!$1:$1048576,MATCH('2019'!$A59,DataEx!$D:$D,0),MATCH('2019'!L$6,DataEx!$7:$7,0))</f>
        <v>9790699.6799999997</v>
      </c>
      <c r="M59" s="236">
        <f>+INDEX(DataEx!$1:$1048576,MATCH('2019'!$A59,DataEx!$D:$D,0),MATCH('2019'!M$6,DataEx!$7:$7,0))</f>
        <v>61633418.82</v>
      </c>
      <c r="N59" s="236">
        <f>+INDEX(DataEx!$1:$1048576,MATCH('2019'!$A59,DataEx!$D:$D,0),MATCH('2019'!N$6,DataEx!$7:$7,0))</f>
        <v>2917512.03</v>
      </c>
      <c r="O59" s="236">
        <f>+INDEX(DataEx!$1:$1048576,MATCH('2019'!$A59,DataEx!$D:$D,0),MATCH('2019'!O$6,DataEx!$7:$7,0))</f>
        <v>16057936.98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304943645.71999997</v>
      </c>
      <c r="T59" s="290">
        <f t="shared" si="4"/>
        <v>6.3486279374596624E-2</v>
      </c>
      <c r="V59" s="395"/>
    </row>
    <row r="60" spans="1:22" ht="13.5" thickBot="1">
      <c r="A60" s="169">
        <v>4418</v>
      </c>
      <c r="B60" s="555" t="str">
        <f>+VLOOKUP($A60,Master!$D$27:$G$225,4,FALSE)</f>
        <v>Izdaci za kupovinu hartija od vrijednosti</v>
      </c>
      <c r="C60" s="556"/>
      <c r="D60" s="556"/>
      <c r="E60" s="556"/>
      <c r="F60" s="556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39983668.460000001</v>
      </c>
      <c r="T60" s="288">
        <f>+S60/$T$7</f>
        <v>8.32420803614182E-3</v>
      </c>
      <c r="V60" s="395"/>
    </row>
    <row r="61" spans="1:22" ht="13.5" thickBot="1">
      <c r="A61" s="169">
        <v>1002</v>
      </c>
      <c r="B61" s="480" t="str">
        <f>+VLOOKUP($A61,Master!$D$27:$G$225,4,FALSE)</f>
        <v>Nedostajuća sredstva</v>
      </c>
      <c r="C61" s="481"/>
      <c r="D61" s="481"/>
      <c r="E61" s="481"/>
      <c r="F61" s="481"/>
      <c r="G61" s="242">
        <f>+G55-G57-G60</f>
        <v>-51850686.710000031</v>
      </c>
      <c r="H61" s="242">
        <f t="shared" ref="H61:R61" si="12">+H55-H57-H60</f>
        <v>-81736954.950000003</v>
      </c>
      <c r="I61" s="242">
        <f t="shared" si="12"/>
        <v>-42406175.820000023</v>
      </c>
      <c r="J61" s="242">
        <f t="shared" si="12"/>
        <v>-48130365.809999943</v>
      </c>
      <c r="K61" s="242">
        <f t="shared" si="12"/>
        <v>-186024583.19</v>
      </c>
      <c r="L61" s="242">
        <f t="shared" si="12"/>
        <v>-11900597.790000003</v>
      </c>
      <c r="M61" s="242">
        <f t="shared" si="12"/>
        <v>-85728533.060000017</v>
      </c>
      <c r="N61" s="242">
        <f t="shared" si="12"/>
        <v>-43250139.940000013</v>
      </c>
      <c r="O61" s="242">
        <f t="shared" si="12"/>
        <v>-1202669.1699999645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-552230706.44000006</v>
      </c>
      <c r="T61" s="292">
        <f t="shared" si="4"/>
        <v>-0.11496902263860263</v>
      </c>
    </row>
    <row r="62" spans="1:22" ht="13.5" thickBot="1">
      <c r="A62" s="169">
        <v>1003</v>
      </c>
      <c r="B62" s="482" t="str">
        <f>+VLOOKUP($A62,Master!$D$27:$G$225,4,FALSE)</f>
        <v>Finansiranje</v>
      </c>
      <c r="C62" s="483"/>
      <c r="D62" s="483"/>
      <c r="E62" s="483"/>
      <c r="F62" s="483"/>
      <c r="G62" s="176">
        <f>+SUM(G63:G66)</f>
        <v>51850686.710000031</v>
      </c>
      <c r="H62" s="176">
        <f t="shared" ref="H62:R62" si="13">+SUM(H63:H66)</f>
        <v>81736954.950000003</v>
      </c>
      <c r="I62" s="176">
        <f t="shared" si="13"/>
        <v>42406175.820000023</v>
      </c>
      <c r="J62" s="176">
        <f t="shared" si="13"/>
        <v>48130365.809999943</v>
      </c>
      <c r="K62" s="176">
        <f t="shared" si="13"/>
        <v>186024583.19</v>
      </c>
      <c r="L62" s="176">
        <f t="shared" si="13"/>
        <v>11900597.790000003</v>
      </c>
      <c r="M62" s="176">
        <f t="shared" si="13"/>
        <v>85728533.060000017</v>
      </c>
      <c r="N62" s="176">
        <f t="shared" si="13"/>
        <v>43250139.940000013</v>
      </c>
      <c r="O62" s="176">
        <f t="shared" si="13"/>
        <v>1202669.1699999645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552230706.44000006</v>
      </c>
      <c r="T62" s="294">
        <f t="shared" si="4"/>
        <v>0.11496902263860263</v>
      </c>
    </row>
    <row r="63" spans="1:22">
      <c r="A63" s="169">
        <v>7511</v>
      </c>
      <c r="B63" s="476" t="str">
        <f>+VLOOKUP($A63,Master!$D$27:$G$225,4,FALSE)</f>
        <v>Pozajmice i krediti od domaćih izvora</v>
      </c>
      <c r="C63" s="477"/>
      <c r="D63" s="477"/>
      <c r="E63" s="477"/>
      <c r="F63" s="477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67815000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18000000</v>
      </c>
      <c r="N63" s="236">
        <f>+INDEX(DataEx!$1:$1048576,MATCH('2019'!$A63,DataEx!$D:$D,0),MATCH('2019'!N$6,DataEx!$7:$7,0))</f>
        <v>54000000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286438000</v>
      </c>
      <c r="T63" s="290">
        <f t="shared" si="4"/>
        <v>5.9633585243478442E-2</v>
      </c>
    </row>
    <row r="64" spans="1:22">
      <c r="A64" s="169">
        <v>7512</v>
      </c>
      <c r="B64" s="460" t="str">
        <f>+VLOOKUP($A64,Master!$D$27:$G$225,4,FALSE)</f>
        <v>Pozajmice i krediti od inostranih izvora</v>
      </c>
      <c r="C64" s="461"/>
      <c r="D64" s="461"/>
      <c r="E64" s="461"/>
      <c r="F64" s="461"/>
      <c r="G64" s="236">
        <f>+INDEX(DataEx!$1:$1048576,MATCH('2019'!$A64,DataEx!$D:$D,0),MATCH('2019'!G$6,DataEx!$7:$7,0))</f>
        <v>25748930.140000001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7856343.8600000003</v>
      </c>
      <c r="L64" s="236">
        <f>+INDEX(DataEx!$1:$1048576,MATCH('2019'!$A64,DataEx!$D:$D,0),MATCH('2019'!L$6,DataEx!$7:$7,0))</f>
        <v>8784836.1999999993</v>
      </c>
      <c r="M64" s="236">
        <f>+INDEX(DataEx!$1:$1048576,MATCH('2019'!$A64,DataEx!$D:$D,0),MATCH('2019'!M$6,DataEx!$7:$7,0))</f>
        <v>2698966.86</v>
      </c>
      <c r="N64" s="236">
        <f>+INDEX(DataEx!$1:$1048576,MATCH('2019'!$A64,DataEx!$D:$D,0),MATCH('2019'!N$6,DataEx!$7:$7,0))</f>
        <v>32388565.289999999</v>
      </c>
      <c r="O64" s="236">
        <f>+INDEX(DataEx!$1:$1048576,MATCH('2019'!$A64,DataEx!$D:$D,0),MATCH('2019'!O$6,DataEx!$7:$7,0))</f>
        <v>1935839.29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103789215.92</v>
      </c>
      <c r="T64" s="290">
        <f t="shared" si="4"/>
        <v>2.1607897886869443E-2</v>
      </c>
    </row>
    <row r="65" spans="1:20">
      <c r="A65" s="169">
        <v>72</v>
      </c>
      <c r="B65" s="460" t="str">
        <f>+VLOOKUP($A65,Master!$D$27:$G$225,4,FALSE)</f>
        <v>Primici od prodaje imovine</v>
      </c>
      <c r="C65" s="461"/>
      <c r="D65" s="461"/>
      <c r="E65" s="461"/>
      <c r="F65" s="461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223780.48000000001</v>
      </c>
      <c r="L65" s="236">
        <f>+INDEX(DataEx!$1:$1048576,MATCH('2019'!$A65,DataEx!$D:$D,0),MATCH('2019'!L$6,DataEx!$7:$7,0))</f>
        <v>722176.42</v>
      </c>
      <c r="M65" s="236">
        <f>+INDEX(DataEx!$1:$1048576,MATCH('2019'!$A65,DataEx!$D:$D,0),MATCH('2019'!M$6,DataEx!$7:$7,0))</f>
        <v>359609.29</v>
      </c>
      <c r="N65" s="236">
        <f>+INDEX(DataEx!$1:$1048576,MATCH('2019'!$A65,DataEx!$D:$D,0),MATCH('2019'!N$6,DataEx!$7:$7,0))</f>
        <v>176786.46</v>
      </c>
      <c r="O65" s="236">
        <f>+INDEX(DataEx!$1:$1048576,MATCH('2019'!$A65,DataEx!$D:$D,0),MATCH('2019'!O$6,DataEx!$7:$7,0))</f>
        <v>225833.46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2262360.16</v>
      </c>
      <c r="T65" s="290">
        <f t="shared" si="4"/>
        <v>4.7100121999458708E-4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8075162.4400000274</v>
      </c>
      <c r="H66" s="250">
        <f t="shared" ref="H66:R66" si="14">-H61-SUM(H63:H65)</f>
        <v>23740109.350000009</v>
      </c>
      <c r="I66" s="250">
        <f t="shared" si="14"/>
        <v>28165629.150000021</v>
      </c>
      <c r="J66" s="250">
        <f t="shared" si="14"/>
        <v>-33158556.120000049</v>
      </c>
      <c r="K66" s="250">
        <f t="shared" si="14"/>
        <v>110129458.84999999</v>
      </c>
      <c r="L66" s="250">
        <f t="shared" si="14"/>
        <v>2393585.1700000037</v>
      </c>
      <c r="M66" s="250">
        <f t="shared" si="14"/>
        <v>64669956.910000019</v>
      </c>
      <c r="N66" s="250">
        <f t="shared" si="14"/>
        <v>-43315211.809999973</v>
      </c>
      <c r="O66" s="250">
        <f t="shared" si="14"/>
        <v>-959003.58000003546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159741130.36000004</v>
      </c>
      <c r="T66" s="296">
        <f t="shared" si="4"/>
        <v>3.3256538288260161E-2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47" t="str">
        <f>+Master!G252</f>
        <v>Plan ostvarenja budžeta</v>
      </c>
      <c r="C102" s="548"/>
      <c r="D102" s="548"/>
      <c r="E102" s="548"/>
      <c r="F102" s="548"/>
      <c r="G102" s="540">
        <v>2019</v>
      </c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42"/>
      <c r="S102" s="115" t="str">
        <f>+S7</f>
        <v>BDP</v>
      </c>
      <c r="T102" s="116">
        <f>+T7</f>
        <v>4803300000</v>
      </c>
    </row>
    <row r="103" spans="1:21" ht="15.75" customHeight="1">
      <c r="B103" s="549"/>
      <c r="C103" s="550"/>
      <c r="D103" s="550"/>
      <c r="E103" s="550"/>
      <c r="F103" s="55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40" t="str">
        <f>+Master!G246</f>
        <v>Jan - Dec</v>
      </c>
      <c r="T103" s="542">
        <f>+T8</f>
        <v>0</v>
      </c>
    </row>
    <row r="104" spans="1:21" ht="13.5" thickBot="1">
      <c r="B104" s="552"/>
      <c r="C104" s="553"/>
      <c r="D104" s="553"/>
      <c r="E104" s="553"/>
      <c r="F104" s="55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43" t="str">
        <f>+VLOOKUP(LEFT($A105,LEN(A105)-1)*1,Master!$D$27:$G$225,4,FALSE)</f>
        <v>Prihodi budžeta</v>
      </c>
      <c r="C105" s="544"/>
      <c r="D105" s="544"/>
      <c r="E105" s="544"/>
      <c r="F105" s="544"/>
      <c r="G105" s="97">
        <f t="shared" ref="G105:R105" si="18">+G106+G114+SUM(G119:G123)</f>
        <v>107257935.59</v>
      </c>
      <c r="H105" s="97">
        <f t="shared" si="18"/>
        <v>116544625.95</v>
      </c>
      <c r="I105" s="97">
        <f t="shared" si="18"/>
        <v>147544680.63</v>
      </c>
      <c r="J105" s="97">
        <f t="shared" si="18"/>
        <v>165045416.33000001</v>
      </c>
      <c r="K105" s="97">
        <f t="shared" si="18"/>
        <v>144226839.65000001</v>
      </c>
      <c r="L105" s="97">
        <f t="shared" si="18"/>
        <v>143393601.47999999</v>
      </c>
      <c r="M105" s="97">
        <f t="shared" si="18"/>
        <v>163636678.97122747</v>
      </c>
      <c r="N105" s="97">
        <f t="shared" si="18"/>
        <v>164502209.05473346</v>
      </c>
      <c r="O105" s="97">
        <f t="shared" si="18"/>
        <v>151400956.73161691</v>
      </c>
      <c r="P105" s="97">
        <f t="shared" si="18"/>
        <v>188402533.23753721</v>
      </c>
      <c r="Q105" s="97">
        <f t="shared" si="18"/>
        <v>148714658.46197224</v>
      </c>
      <c r="R105" s="97">
        <f t="shared" si="18"/>
        <v>193362777.67647338</v>
      </c>
      <c r="S105" s="121">
        <f>+SUM(G105:R105)</f>
        <v>1834032913.7635608</v>
      </c>
      <c r="T105" s="122">
        <f>+S105/$T$7</f>
        <v>0.38182768383477211</v>
      </c>
    </row>
    <row r="106" spans="1:21">
      <c r="A106" s="137" t="str">
        <f t="shared" si="17"/>
        <v>711p</v>
      </c>
      <c r="B106" s="545" t="str">
        <f>+VLOOKUP(LEFT($A106,LEN(A106)-1)*1,Master!$D$27:$G$225,4,FALSE)</f>
        <v>Porezi</v>
      </c>
      <c r="C106" s="546"/>
      <c r="D106" s="546"/>
      <c r="E106" s="546"/>
      <c r="F106" s="546"/>
      <c r="G106" s="81">
        <f t="shared" ref="G106:R106" si="19">+SUM(G107:G113)</f>
        <v>72429730.420000002</v>
      </c>
      <c r="H106" s="81">
        <f t="shared" si="19"/>
        <v>68470908.439999998</v>
      </c>
      <c r="I106" s="81">
        <f t="shared" si="19"/>
        <v>98709545.510000005</v>
      </c>
      <c r="J106" s="81">
        <f t="shared" si="19"/>
        <v>106791818.52</v>
      </c>
      <c r="K106" s="81">
        <f t="shared" si="19"/>
        <v>94372185.030000001</v>
      </c>
      <c r="L106" s="81">
        <f t="shared" si="19"/>
        <v>89389439.689999998</v>
      </c>
      <c r="M106" s="81">
        <f t="shared" si="19"/>
        <v>106366803.00672032</v>
      </c>
      <c r="N106" s="81">
        <f t="shared" si="19"/>
        <v>110847613.63774106</v>
      </c>
      <c r="O106" s="81">
        <f t="shared" si="19"/>
        <v>101712748.66474015</v>
      </c>
      <c r="P106" s="81">
        <f t="shared" si="19"/>
        <v>96295636.228585869</v>
      </c>
      <c r="Q106" s="81">
        <f t="shared" si="19"/>
        <v>84393107.743797168</v>
      </c>
      <c r="R106" s="82">
        <f t="shared" si="19"/>
        <v>92890414.095145509</v>
      </c>
      <c r="S106" s="123">
        <f t="shared" ref="S106:S161" si="20">+SUM(G106:R106)</f>
        <v>1122669950.9867301</v>
      </c>
      <c r="T106" s="124">
        <f t="shared" ref="T106:T161" si="21">+S106/$T$7</f>
        <v>0.23372888451413198</v>
      </c>
      <c r="U106" s="302"/>
    </row>
    <row r="107" spans="1:21">
      <c r="A107" s="137" t="str">
        <f t="shared" si="17"/>
        <v>7111p</v>
      </c>
      <c r="B107" s="526" t="str">
        <f>+VLOOKUP(LEFT($A107,LEN(A107)-1)*1,Master!$D$27:$G$225,4,FALSE)</f>
        <v>Porez na dohodak fizičkih lica</v>
      </c>
      <c r="C107" s="527"/>
      <c r="D107" s="527"/>
      <c r="E107" s="527"/>
      <c r="F107" s="527"/>
      <c r="G107" s="91">
        <f>+SUM(DataEx!FF220)</f>
        <v>4240913.8099999996</v>
      </c>
      <c r="H107" s="91">
        <f>+SUM(DataEx!FG220)</f>
        <v>9361661.1500000004</v>
      </c>
      <c r="I107" s="91">
        <f>+SUM(DataEx!FH220)</f>
        <v>9044961.5800000001</v>
      </c>
      <c r="J107" s="91">
        <f>+SUM(DataEx!FI220)</f>
        <v>10767101.800000001</v>
      </c>
      <c r="K107" s="91">
        <f>+SUM(DataEx!FJ220)</f>
        <v>10210712.41</v>
      </c>
      <c r="L107" s="91">
        <f>+SUM(DataEx!FK220)</f>
        <v>10125793.029999999</v>
      </c>
      <c r="M107" s="91">
        <f>+SUM(DataEx!FL220)</f>
        <v>10562928.102170853</v>
      </c>
      <c r="N107" s="91">
        <f>+SUM(DataEx!FM220)</f>
        <v>10477537.909352116</v>
      </c>
      <c r="O107" s="91">
        <f>+SUM(DataEx!FN220)</f>
        <v>8957410.6319850832</v>
      </c>
      <c r="P107" s="91">
        <f>+SUM(DataEx!FO220)</f>
        <v>9589847.5886837803</v>
      </c>
      <c r="Q107" s="91">
        <f>+SUM(DataEx!FP220)</f>
        <v>9803639.4384757541</v>
      </c>
      <c r="R107" s="91">
        <f>+SUM(DataEx!FQ220)</f>
        <v>17095010.594302431</v>
      </c>
      <c r="S107" s="125">
        <f t="shared" si="20"/>
        <v>120237518.04497004</v>
      </c>
      <c r="T107" s="126">
        <f t="shared" si="21"/>
        <v>2.5032273238184171E-2</v>
      </c>
    </row>
    <row r="108" spans="1:21">
      <c r="A108" s="137" t="str">
        <f t="shared" si="17"/>
        <v>7112p</v>
      </c>
      <c r="B108" s="526" t="str">
        <f>+VLOOKUP(LEFT($A108,LEN(A108)-1)*1,Master!$D$27:$G$225,4,FALSE)</f>
        <v>Porez na dobit pravnih lica</v>
      </c>
      <c r="C108" s="527"/>
      <c r="D108" s="527"/>
      <c r="E108" s="527"/>
      <c r="F108" s="527"/>
      <c r="G108" s="91">
        <f>+SUM(DataEx!FF221)</f>
        <v>936843.13</v>
      </c>
      <c r="H108" s="91">
        <f>+SUM(DataEx!FG221)</f>
        <v>1962550.32</v>
      </c>
      <c r="I108" s="91">
        <f>+SUM(DataEx!FH221)</f>
        <v>22465664.23</v>
      </c>
      <c r="J108" s="91">
        <f>+SUM(DataEx!FI221)</f>
        <v>20408432.98</v>
      </c>
      <c r="K108" s="91">
        <f>+SUM(DataEx!FJ221)</f>
        <v>4781744.7</v>
      </c>
      <c r="L108" s="91">
        <f>+SUM(DataEx!FK221)</f>
        <v>3678815</v>
      </c>
      <c r="M108" s="91">
        <f>+SUM(DataEx!FL221)</f>
        <v>4457741.7110314406</v>
      </c>
      <c r="N108" s="91">
        <f>+SUM(DataEx!FM221)</f>
        <v>2685443.6740218201</v>
      </c>
      <c r="O108" s="91">
        <f>+SUM(DataEx!FN221)</f>
        <v>2555024.3067054804</v>
      </c>
      <c r="P108" s="91">
        <f>+SUM(DataEx!FO221)</f>
        <v>5099414.7304318398</v>
      </c>
      <c r="Q108" s="91">
        <f>+SUM(DataEx!FP221)</f>
        <v>845177.9860074711</v>
      </c>
      <c r="R108" s="91">
        <f>+SUM(DataEx!FQ221)</f>
        <v>1318007.3637119438</v>
      </c>
      <c r="S108" s="125">
        <f t="shared" si="20"/>
        <v>71194860.131909981</v>
      </c>
      <c r="T108" s="126">
        <f t="shared" si="21"/>
        <v>1.4822072352738738E-2</v>
      </c>
    </row>
    <row r="109" spans="1:21">
      <c r="A109" s="137" t="str">
        <f t="shared" si="17"/>
        <v>7113p</v>
      </c>
      <c r="B109" s="526" t="str">
        <f>+VLOOKUP(LEFT($A109,LEN(A109)-1)*1,Master!$D$27:$G$225,4,FALSE)</f>
        <v>Porez na promet nepokretnosti</v>
      </c>
      <c r="C109" s="527"/>
      <c r="D109" s="527"/>
      <c r="E109" s="527"/>
      <c r="F109" s="527"/>
      <c r="G109" s="91">
        <f>+SUM(DataEx!FF222)</f>
        <v>118243.45</v>
      </c>
      <c r="H109" s="91">
        <f>+SUM(DataEx!FG222)</f>
        <v>169568.16</v>
      </c>
      <c r="I109" s="91">
        <f>+SUM(DataEx!FH222)</f>
        <v>146352.49</v>
      </c>
      <c r="J109" s="91">
        <f>+SUM(DataEx!FI222)</f>
        <v>204359.36</v>
      </c>
      <c r="K109" s="91">
        <f>+SUM(DataEx!FJ222)</f>
        <v>147510.5</v>
      </c>
      <c r="L109" s="91">
        <f>+SUM(DataEx!FK222)</f>
        <v>158253.64000000001</v>
      </c>
      <c r="M109" s="91">
        <f>+SUM(DataEx!FL222)</f>
        <v>92289.827047712693</v>
      </c>
      <c r="N109" s="91">
        <f>+SUM(DataEx!FM222)</f>
        <v>199872.32178424072</v>
      </c>
      <c r="O109" s="91">
        <f>+SUM(DataEx!FN222)</f>
        <v>127416.86254210871</v>
      </c>
      <c r="P109" s="91">
        <f>+SUM(DataEx!FO222)</f>
        <v>134863.8150111227</v>
      </c>
      <c r="Q109" s="91">
        <f>+SUM(DataEx!FP222)</f>
        <v>174166.77614709371</v>
      </c>
      <c r="R109" s="91">
        <f>+SUM(DataEx!FQ222)</f>
        <v>189919.20786772171</v>
      </c>
      <c r="S109" s="125">
        <f t="shared" si="20"/>
        <v>1862816.4104000002</v>
      </c>
      <c r="T109" s="126">
        <f t="shared" si="21"/>
        <v>3.8782012583015845E-4</v>
      </c>
    </row>
    <row r="110" spans="1:21">
      <c r="A110" s="137" t="str">
        <f t="shared" si="17"/>
        <v>7114p</v>
      </c>
      <c r="B110" s="526" t="str">
        <f>+VLOOKUP(LEFT($A110,LEN(A110)-1)*1,Master!$D$27:$G$225,4,FALSE)</f>
        <v>Porez na dodatu vrijednost</v>
      </c>
      <c r="C110" s="527"/>
      <c r="D110" s="527"/>
      <c r="E110" s="527"/>
      <c r="F110" s="527"/>
      <c r="G110" s="91">
        <f>+SUM(DataEx!FF223)</f>
        <v>49847223.18</v>
      </c>
      <c r="H110" s="91">
        <f>+SUM(DataEx!FG223)</f>
        <v>38958365.399999999</v>
      </c>
      <c r="I110" s="91">
        <f>+SUM(DataEx!FH223)</f>
        <v>50498218.18</v>
      </c>
      <c r="J110" s="91">
        <f>+SUM(DataEx!FI223)</f>
        <v>55142838.460000001</v>
      </c>
      <c r="K110" s="91">
        <f>+SUM(DataEx!FJ223)</f>
        <v>56428341.859999999</v>
      </c>
      <c r="L110" s="91">
        <f>+SUM(DataEx!FK223)</f>
        <v>52810087.229999997</v>
      </c>
      <c r="M110" s="91">
        <f>+SUM(DataEx!FL223)</f>
        <v>64608697.993098304</v>
      </c>
      <c r="N110" s="91">
        <f>+SUM(DataEx!FM223)</f>
        <v>66890311.931873396</v>
      </c>
      <c r="O110" s="91">
        <f>+SUM(DataEx!FN223)</f>
        <v>59747048.514482997</v>
      </c>
      <c r="P110" s="91">
        <f>+SUM(DataEx!FO223)</f>
        <v>59046360.535818897</v>
      </c>
      <c r="Q110" s="91">
        <f>+SUM(DataEx!FP223)</f>
        <v>50298426.623042099</v>
      </c>
      <c r="R110" s="91">
        <f>+SUM(DataEx!FQ223)</f>
        <v>53629737.7635343</v>
      </c>
      <c r="S110" s="125">
        <f t="shared" si="20"/>
        <v>657905657.67184997</v>
      </c>
      <c r="T110" s="126">
        <f t="shared" si="21"/>
        <v>0.13696951214203776</v>
      </c>
    </row>
    <row r="111" spans="1:21">
      <c r="A111" s="137" t="str">
        <f t="shared" si="17"/>
        <v>7115p</v>
      </c>
      <c r="B111" s="526" t="str">
        <f>+VLOOKUP(LEFT($A111,LEN(A111)-1)*1,Master!$D$27:$G$225,4,FALSE)</f>
        <v>Akcize</v>
      </c>
      <c r="C111" s="527"/>
      <c r="D111" s="527"/>
      <c r="E111" s="527"/>
      <c r="F111" s="527"/>
      <c r="G111" s="91">
        <f>+SUM(DataEx!FF224)</f>
        <v>15141217.210000001</v>
      </c>
      <c r="H111" s="91">
        <f>+SUM(DataEx!FG224)</f>
        <v>13186126.23</v>
      </c>
      <c r="I111" s="91">
        <f>+SUM(DataEx!FH224)</f>
        <v>13315087.640000001</v>
      </c>
      <c r="J111" s="91">
        <f>+SUM(DataEx!FI224)</f>
        <v>16826313.73</v>
      </c>
      <c r="K111" s="91">
        <f>+SUM(DataEx!FJ224)</f>
        <v>19442485.359999999</v>
      </c>
      <c r="L111" s="91">
        <f>+SUM(DataEx!FK224)</f>
        <v>19205497.870000001</v>
      </c>
      <c r="M111" s="91">
        <f>+SUM(DataEx!FL224)</f>
        <v>23502946.676267412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234801605.29820004</v>
      </c>
      <c r="T111" s="126">
        <f t="shared" si="21"/>
        <v>4.8883393770574407E-2</v>
      </c>
    </row>
    <row r="112" spans="1:21">
      <c r="A112" s="137" t="str">
        <f t="shared" si="17"/>
        <v>7116p</v>
      </c>
      <c r="B112" s="526" t="str">
        <f>+VLOOKUP(LEFT($A112,LEN(A112)-1)*1,Master!$D$27:$G$225,4,FALSE)</f>
        <v>Porez na međunarodnu trgovinu i transakcije</v>
      </c>
      <c r="C112" s="527"/>
      <c r="D112" s="527"/>
      <c r="E112" s="527"/>
      <c r="F112" s="527"/>
      <c r="G112" s="91">
        <f>+SUM(DataEx!FF225)</f>
        <v>1424968.68</v>
      </c>
      <c r="H112" s="91">
        <f>+SUM(DataEx!FG225)</f>
        <v>1733788.33</v>
      </c>
      <c r="I112" s="91">
        <f>+SUM(DataEx!FH225)</f>
        <v>2462209.73</v>
      </c>
      <c r="J112" s="91">
        <f>+SUM(DataEx!FI225)</f>
        <v>2531899.16</v>
      </c>
      <c r="K112" s="91">
        <f>+SUM(DataEx!FJ225)</f>
        <v>2502520.2799999998</v>
      </c>
      <c r="L112" s="91">
        <f>+SUM(DataEx!FK225)</f>
        <v>2485583.9700000002</v>
      </c>
      <c r="M112" s="91">
        <f>+SUM(DataEx!FL225)</f>
        <v>2731455.7201732523</v>
      </c>
      <c r="N112" s="91">
        <f>+SUM(DataEx!FM225)</f>
        <v>2787010.1046283157</v>
      </c>
      <c r="O112" s="91">
        <f>+SUM(DataEx!FN225)</f>
        <v>2149778.7308390578</v>
      </c>
      <c r="P112" s="91">
        <f>+SUM(DataEx!FO225)</f>
        <v>2505449.340977564</v>
      </c>
      <c r="Q112" s="91">
        <f>+SUM(DataEx!FP225)</f>
        <v>1854095.8458453817</v>
      </c>
      <c r="R112" s="91">
        <f>+SUM(DataEx!FQ225)</f>
        <v>1998829.9373364251</v>
      </c>
      <c r="S112" s="125">
        <f t="shared" si="20"/>
        <v>27167589.829800002</v>
      </c>
      <c r="T112" s="126">
        <f t="shared" si="21"/>
        <v>5.6560260299793894E-3</v>
      </c>
    </row>
    <row r="113" spans="1:20">
      <c r="A113" s="137" t="str">
        <f t="shared" si="17"/>
        <v>7118p</v>
      </c>
      <c r="B113" s="526" t="str">
        <f>+VLOOKUP(LEFT($A113,LEN(A113)-1)*1,Master!$D$27:$G$225,4,FALSE)</f>
        <v>Ostali državni porezi</v>
      </c>
      <c r="C113" s="527"/>
      <c r="D113" s="527"/>
      <c r="E113" s="527"/>
      <c r="F113" s="527"/>
      <c r="G113" s="91">
        <f>+SUM(DataEx!FF227)</f>
        <v>720320.96</v>
      </c>
      <c r="H113" s="91">
        <f>+SUM(DataEx!FG227)</f>
        <v>3098848.85</v>
      </c>
      <c r="I113" s="91">
        <f>+SUM(DataEx!FH227)</f>
        <v>777051.66</v>
      </c>
      <c r="J113" s="91">
        <f>+SUM(DataEx!FI227)</f>
        <v>910873.03</v>
      </c>
      <c r="K113" s="91">
        <f>+SUM(DataEx!FJ227)</f>
        <v>858869.92</v>
      </c>
      <c r="L113" s="91">
        <f>+SUM(DataEx!FK227)</f>
        <v>925408.95</v>
      </c>
      <c r="M113" s="91">
        <f>+SUM(DataEx!FL227)</f>
        <v>410742.9769313393</v>
      </c>
      <c r="N113" s="91">
        <f>+SUM(DataEx!FM227)</f>
        <v>392873.90234621655</v>
      </c>
      <c r="O113" s="91">
        <f>+SUM(DataEx!FN227)</f>
        <v>354922.73324901523</v>
      </c>
      <c r="P113" s="91">
        <f>+SUM(DataEx!FO227)</f>
        <v>325827.84998510586</v>
      </c>
      <c r="Q113" s="91">
        <f>+SUM(DataEx!FP227)</f>
        <v>340887.93377701013</v>
      </c>
      <c r="R113" s="91">
        <f>+SUM(DataEx!FQ227)</f>
        <v>383274.83331131347</v>
      </c>
      <c r="S113" s="125">
        <f t="shared" si="20"/>
        <v>9499903.5996000003</v>
      </c>
      <c r="T113" s="126">
        <f t="shared" si="21"/>
        <v>1.9777868547873338E-3</v>
      </c>
    </row>
    <row r="114" spans="1:20">
      <c r="A114" s="137" t="str">
        <f t="shared" si="17"/>
        <v>712p</v>
      </c>
      <c r="B114" s="538" t="str">
        <f>+VLOOKUP(LEFT($A114,LEN(A114)-1)*1,Master!$D$27:$G$225,4,FALSE)</f>
        <v>Doprinosi</v>
      </c>
      <c r="C114" s="539"/>
      <c r="D114" s="539"/>
      <c r="E114" s="539"/>
      <c r="F114" s="539"/>
      <c r="G114" s="83">
        <f>+SUM(G115:G118)</f>
        <v>16498881.48</v>
      </c>
      <c r="H114" s="83">
        <f t="shared" ref="H114:R114" si="22">+SUM(H115:H118)</f>
        <v>41912269.38000001</v>
      </c>
      <c r="I114" s="83">
        <f t="shared" si="22"/>
        <v>41047599.18</v>
      </c>
      <c r="J114" s="83">
        <f t="shared" si="22"/>
        <v>50290988.940000005</v>
      </c>
      <c r="K114" s="83">
        <f t="shared" si="22"/>
        <v>37496285.130000003</v>
      </c>
      <c r="L114" s="83">
        <f t="shared" si="22"/>
        <v>45280786.510000005</v>
      </c>
      <c r="M114" s="83">
        <f t="shared" si="22"/>
        <v>46250891.035691187</v>
      </c>
      <c r="N114" s="83">
        <f t="shared" si="22"/>
        <v>44632014.674295112</v>
      </c>
      <c r="O114" s="83">
        <f t="shared" si="22"/>
        <v>41120271.333377153</v>
      </c>
      <c r="P114" s="83">
        <f t="shared" si="22"/>
        <v>46928850.635902815</v>
      </c>
      <c r="Q114" s="83">
        <f t="shared" si="22"/>
        <v>44128259.697538294</v>
      </c>
      <c r="R114" s="84">
        <f t="shared" si="22"/>
        <v>78626416.07852602</v>
      </c>
      <c r="S114" s="127">
        <f t="shared" si="20"/>
        <v>534213514.07533062</v>
      </c>
      <c r="T114" s="128">
        <f t="shared" si="21"/>
        <v>0.11121801971047626</v>
      </c>
    </row>
    <row r="115" spans="1:20">
      <c r="A115" s="137" t="str">
        <f t="shared" si="17"/>
        <v>7121p</v>
      </c>
      <c r="B115" s="526" t="str">
        <f>+VLOOKUP(LEFT($A115,LEN(A115)-1)*1,Master!$D$27:$G$225,4,FALSE)</f>
        <v>Doprinosi za penzijsko i invalidsko osiguranje</v>
      </c>
      <c r="C115" s="527"/>
      <c r="D115" s="527"/>
      <c r="E115" s="527"/>
      <c r="F115" s="527"/>
      <c r="G115" s="91">
        <f>+SUM(DataEx!FF229)</f>
        <v>9695765.5800000001</v>
      </c>
      <c r="H115" s="91">
        <f>+SUM(DataEx!FG229)</f>
        <v>24593790.260000002</v>
      </c>
      <c r="I115" s="91">
        <f>+SUM(DataEx!FH229)</f>
        <v>23923752.719999999</v>
      </c>
      <c r="J115" s="91">
        <f>+SUM(DataEx!FI229)</f>
        <v>29650595.870000001</v>
      </c>
      <c r="K115" s="91">
        <f>+SUM(DataEx!FJ229)</f>
        <v>22104934.850000001</v>
      </c>
      <c r="L115" s="91">
        <f>+SUM(DataEx!FK229)</f>
        <v>27009559.609999999</v>
      </c>
      <c r="M115" s="91">
        <f>+SUM(DataEx!FL229)</f>
        <v>27482444.037160631</v>
      </c>
      <c r="N115" s="91">
        <f>+SUM(DataEx!FM229)</f>
        <v>27981870.622507609</v>
      </c>
      <c r="O115" s="91">
        <f>+SUM(DataEx!FN229)</f>
        <v>26275213.096976332</v>
      </c>
      <c r="P115" s="91">
        <f>+SUM(DataEx!FO229)</f>
        <v>30509092.335605875</v>
      </c>
      <c r="Q115" s="91">
        <f>+SUM(DataEx!FP229)</f>
        <v>28690565.779876817</v>
      </c>
      <c r="R115" s="91">
        <f>+SUM(DataEx!FQ229)</f>
        <v>49959164.412414543</v>
      </c>
      <c r="S115" s="125">
        <f t="shared" si="20"/>
        <v>327876749.17454183</v>
      </c>
      <c r="T115" s="126">
        <f t="shared" si="21"/>
        <v>6.8260726828335061E-2</v>
      </c>
    </row>
    <row r="116" spans="1:20">
      <c r="A116" s="137" t="str">
        <f t="shared" si="17"/>
        <v>7122p</v>
      </c>
      <c r="B116" s="526" t="str">
        <f>+VLOOKUP(LEFT($A116,LEN(A116)-1)*1,Master!$D$27:$G$225,4,FALSE)</f>
        <v>Doprinosi za zdravstveno osiguranje</v>
      </c>
      <c r="C116" s="527"/>
      <c r="D116" s="527"/>
      <c r="E116" s="527"/>
      <c r="F116" s="527"/>
      <c r="G116" s="91">
        <f>+SUM(DataEx!FF230)</f>
        <v>5963049.2000000002</v>
      </c>
      <c r="H116" s="91">
        <f>+SUM(DataEx!FG230)</f>
        <v>15122476.890000001</v>
      </c>
      <c r="I116" s="91">
        <f>+SUM(DataEx!FH230)</f>
        <v>14777265.789999999</v>
      </c>
      <c r="J116" s="91">
        <f>+SUM(DataEx!FI230)</f>
        <v>17925167.550000001</v>
      </c>
      <c r="K116" s="91">
        <f>+SUM(DataEx!FJ230)</f>
        <v>13458982.5</v>
      </c>
      <c r="L116" s="91">
        <f>+SUM(DataEx!FK230)</f>
        <v>15925774.34</v>
      </c>
      <c r="M116" s="91">
        <f>+SUM(DataEx!FL230)</f>
        <v>16394230.760278165</v>
      </c>
      <c r="N116" s="91">
        <f>+SUM(DataEx!FM230)</f>
        <v>14239936.351746917</v>
      </c>
      <c r="O116" s="91">
        <f>+SUM(DataEx!FN230)</f>
        <v>12682409.588332439</v>
      </c>
      <c r="P116" s="91">
        <f>+SUM(DataEx!FO230)</f>
        <v>14130176.222576067</v>
      </c>
      <c r="Q116" s="91">
        <f>+SUM(DataEx!FP230)</f>
        <v>13398296.64486525</v>
      </c>
      <c r="R116" s="91">
        <f>+SUM(DataEx!FQ230)</f>
        <v>24833575.886677179</v>
      </c>
      <c r="S116" s="125">
        <f t="shared" si="20"/>
        <v>178851341.72447601</v>
      </c>
      <c r="T116" s="126">
        <f t="shared" si="21"/>
        <v>3.7235097063368104E-2</v>
      </c>
    </row>
    <row r="117" spans="1:20">
      <c r="A117" s="137" t="str">
        <f t="shared" si="17"/>
        <v>7123p</v>
      </c>
      <c r="B117" s="526" t="str">
        <f>+VLOOKUP(LEFT($A117,LEN(A117)-1)*1,Master!$D$27:$G$225,4,FALSE)</f>
        <v>Doprinosi za osiguranje od nezaposlenosti</v>
      </c>
      <c r="C117" s="527"/>
      <c r="D117" s="527"/>
      <c r="E117" s="527"/>
      <c r="F117" s="527"/>
      <c r="G117" s="91">
        <f>+SUM(DataEx!FF231)</f>
        <v>459881.42</v>
      </c>
      <c r="H117" s="91">
        <f>+SUM(DataEx!FG231)</f>
        <v>1160315.8500000001</v>
      </c>
      <c r="I117" s="91">
        <f>+SUM(DataEx!FH231)</f>
        <v>1135767.8899999999</v>
      </c>
      <c r="J117" s="91">
        <f>+SUM(DataEx!FI231)</f>
        <v>1375720.59</v>
      </c>
      <c r="K117" s="91">
        <f>+SUM(DataEx!FJ231)</f>
        <v>1026106.03</v>
      </c>
      <c r="L117" s="91">
        <f>+SUM(DataEx!FK231)</f>
        <v>1222753.49</v>
      </c>
      <c r="M117" s="91">
        <f>+SUM(DataEx!FL231)</f>
        <v>1142926.9664523243</v>
      </c>
      <c r="N117" s="91">
        <f>+SUM(DataEx!FM231)</f>
        <v>1304199.4730337204</v>
      </c>
      <c r="O117" s="91">
        <f>+SUM(DataEx!FN231)</f>
        <v>1183707.9939274685</v>
      </c>
      <c r="P117" s="91">
        <f>+SUM(DataEx!FO231)</f>
        <v>1329191.3701360417</v>
      </c>
      <c r="Q117" s="91">
        <f>+SUM(DataEx!FP231)</f>
        <v>1263549.4031596093</v>
      </c>
      <c r="R117" s="91">
        <f>+SUM(DataEx!FQ231)</f>
        <v>2346588.9629115779</v>
      </c>
      <c r="S117" s="125">
        <f t="shared" si="20"/>
        <v>14950709.439620741</v>
      </c>
      <c r="T117" s="126">
        <f t="shared" si="21"/>
        <v>3.1125912267859056E-3</v>
      </c>
    </row>
    <row r="118" spans="1:20">
      <c r="A118" s="137" t="str">
        <f t="shared" si="17"/>
        <v>7124p</v>
      </c>
      <c r="B118" s="526" t="str">
        <f>+VLOOKUP(LEFT($A118,LEN(A118)-1)*1,Master!$D$27:$G$225,4,FALSE)</f>
        <v>Ostali doprinosi</v>
      </c>
      <c r="C118" s="527"/>
      <c r="D118" s="527"/>
      <c r="E118" s="527"/>
      <c r="F118" s="527"/>
      <c r="G118" s="91">
        <f>+SUM(DataEx!FF232)</f>
        <v>380185.28</v>
      </c>
      <c r="H118" s="91">
        <f>+SUM(DataEx!FG232)</f>
        <v>1035686.38</v>
      </c>
      <c r="I118" s="91">
        <f>+SUM(DataEx!FH232)</f>
        <v>1210812.78</v>
      </c>
      <c r="J118" s="91">
        <f>+SUM(DataEx!FI232)</f>
        <v>1339504.93</v>
      </c>
      <c r="K118" s="91">
        <f>+SUM(DataEx!FJ232)</f>
        <v>906261.75</v>
      </c>
      <c r="L118" s="91">
        <f>+SUM(DataEx!FK232)</f>
        <v>1122699.07</v>
      </c>
      <c r="M118" s="91">
        <f>+SUM(DataEx!FL232)</f>
        <v>1231289.271800064</v>
      </c>
      <c r="N118" s="91">
        <f>+SUM(DataEx!FM232)</f>
        <v>1106008.2270068659</v>
      </c>
      <c r="O118" s="91">
        <f>+SUM(DataEx!FN232)</f>
        <v>978940.65414091514</v>
      </c>
      <c r="P118" s="91">
        <f>+SUM(DataEx!FO232)</f>
        <v>960390.70758482651</v>
      </c>
      <c r="Q118" s="91">
        <f>+SUM(DataEx!FP232)</f>
        <v>775847.86963662016</v>
      </c>
      <c r="R118" s="91">
        <f>+SUM(DataEx!FQ232)</f>
        <v>1487086.8165227156</v>
      </c>
      <c r="S118" s="125">
        <f t="shared" si="20"/>
        <v>12534713.736692008</v>
      </c>
      <c r="T118" s="126">
        <f t="shared" si="21"/>
        <v>2.6096045919871769E-3</v>
      </c>
    </row>
    <row r="119" spans="1:20">
      <c r="A119" s="137" t="str">
        <f t="shared" si="17"/>
        <v>713p</v>
      </c>
      <c r="B119" s="530" t="str">
        <f>+VLOOKUP(LEFT($A119,LEN(A119)-1)*1,Master!$D$27:$G$225,4,FALSE)</f>
        <v>Takse</v>
      </c>
      <c r="C119" s="531"/>
      <c r="D119" s="531"/>
      <c r="E119" s="531"/>
      <c r="F119" s="531"/>
      <c r="G119" s="85">
        <f>+SUM(DataEx!FF233)</f>
        <v>851162.27</v>
      </c>
      <c r="H119" s="85">
        <f>+SUM(DataEx!FG233)</f>
        <v>1041125.3899999999</v>
      </c>
      <c r="I119" s="85">
        <f>+SUM(DataEx!FH233)</f>
        <v>1066481.8799999999</v>
      </c>
      <c r="J119" s="85">
        <f>+SUM(DataEx!FI233)</f>
        <v>1290371.49</v>
      </c>
      <c r="K119" s="85">
        <f>+SUM(DataEx!FJ233)</f>
        <v>1208813.17</v>
      </c>
      <c r="L119" s="85">
        <f>+SUM(DataEx!FK233)</f>
        <v>1252534.6599999999</v>
      </c>
      <c r="M119" s="85">
        <f>+SUM(DataEx!FL233)</f>
        <v>1795731.4641523927</v>
      </c>
      <c r="N119" s="85">
        <f>+SUM(DataEx!FM233)</f>
        <v>1701456.5372229549</v>
      </c>
      <c r="O119" s="85">
        <f>+SUM(DataEx!FN233)</f>
        <v>1388736.0694359436</v>
      </c>
      <c r="P119" s="85">
        <f>+SUM(DataEx!FO233)</f>
        <v>1341528.8515351652</v>
      </c>
      <c r="Q119" s="85">
        <f>+SUM(DataEx!FP233)</f>
        <v>1134405.6022195939</v>
      </c>
      <c r="R119" s="85">
        <f>+SUM(DataEx!FQ233)</f>
        <v>1246141.5409339513</v>
      </c>
      <c r="S119" s="127">
        <f t="shared" si="20"/>
        <v>15318488.925500004</v>
      </c>
      <c r="T119" s="128">
        <f t="shared" si="21"/>
        <v>3.1891593124518569E-3</v>
      </c>
    </row>
    <row r="120" spans="1:20">
      <c r="A120" s="137" t="str">
        <f t="shared" si="17"/>
        <v>714p</v>
      </c>
      <c r="B120" s="530" t="str">
        <f>+VLOOKUP(LEFT($A120,LEN(A120)-1)*1,Master!$D$27:$G$225,4,FALSE)</f>
        <v>Naknade</v>
      </c>
      <c r="C120" s="531"/>
      <c r="D120" s="531"/>
      <c r="E120" s="531"/>
      <c r="F120" s="531"/>
      <c r="G120" s="85">
        <f>+SUM(DataEx!FF238)</f>
        <v>2315003.25</v>
      </c>
      <c r="H120" s="85">
        <f>+SUM(DataEx!FG238)</f>
        <v>1541397.86</v>
      </c>
      <c r="I120" s="85">
        <f>+SUM(DataEx!FH238)</f>
        <v>2408517.5</v>
      </c>
      <c r="J120" s="85">
        <f>+SUM(DataEx!FI238)</f>
        <v>3310133.38</v>
      </c>
      <c r="K120" s="85">
        <f>+SUM(DataEx!FJ238)</f>
        <v>1792591.2</v>
      </c>
      <c r="L120" s="85">
        <f>+SUM(DataEx!FK238)</f>
        <v>2081141.31</v>
      </c>
      <c r="M120" s="85">
        <f>+SUM(DataEx!FL238)</f>
        <v>3811615.3822946725</v>
      </c>
      <c r="N120" s="85">
        <f>+SUM(DataEx!FM238)</f>
        <v>2369139.8885664819</v>
      </c>
      <c r="O120" s="85">
        <f>+SUM(DataEx!FN238)</f>
        <v>2509036.584840606</v>
      </c>
      <c r="P120" s="85">
        <f>+SUM(DataEx!FO238)</f>
        <v>3286740.3746407013</v>
      </c>
      <c r="Q120" s="85">
        <f>+SUM(DataEx!FP238)</f>
        <v>2611990.4957672656</v>
      </c>
      <c r="R120" s="85">
        <f>+SUM(DataEx!FQ238)</f>
        <v>3353537.6354902741</v>
      </c>
      <c r="S120" s="127">
        <f t="shared" si="20"/>
        <v>31390844.861600004</v>
      </c>
      <c r="T120" s="128">
        <f t="shared" si="21"/>
        <v>6.5352663505506637E-3</v>
      </c>
    </row>
    <row r="121" spans="1:20">
      <c r="A121" s="137" t="str">
        <f t="shared" si="17"/>
        <v>715p</v>
      </c>
      <c r="B121" s="530" t="str">
        <f>+VLOOKUP(LEFT($A121,LEN(A121)-1)*1,Master!$D$27:$G$225,4,FALSE)</f>
        <v>Ostali prihodi</v>
      </c>
      <c r="C121" s="531"/>
      <c r="D121" s="531"/>
      <c r="E121" s="531"/>
      <c r="F121" s="531"/>
      <c r="G121" s="85">
        <f>+SUM(DataEx!FF245)</f>
        <v>1567288.04</v>
      </c>
      <c r="H121" s="85">
        <f>+SUM(DataEx!FG245)</f>
        <v>2199531.1</v>
      </c>
      <c r="I121" s="85">
        <f>+SUM(DataEx!FH245)</f>
        <v>3194097.81</v>
      </c>
      <c r="J121" s="85">
        <f>+SUM(DataEx!FI245)</f>
        <v>2385711.15</v>
      </c>
      <c r="K121" s="85">
        <f>+SUM(DataEx!FJ245)</f>
        <v>7159438.3900000006</v>
      </c>
      <c r="L121" s="85">
        <f>+SUM(DataEx!FK245)</f>
        <v>3263135.44</v>
      </c>
      <c r="M121" s="85">
        <f>+SUM(DataEx!FL245)</f>
        <v>3782335.0282840966</v>
      </c>
      <c r="N121" s="85">
        <f>+SUM(DataEx!FM245)</f>
        <v>3340173.0404689522</v>
      </c>
      <c r="O121" s="85">
        <f>+SUM(DataEx!FN245)</f>
        <v>2689732.0664405972</v>
      </c>
      <c r="P121" s="85">
        <f>+SUM(DataEx!FO245)</f>
        <v>37215962.809770532</v>
      </c>
      <c r="Q121" s="85">
        <f>+SUM(DataEx!FP245)</f>
        <v>3512092.3071244648</v>
      </c>
      <c r="R121" s="85">
        <f>+SUM(DataEx!FQ245)</f>
        <v>7138953.7303113183</v>
      </c>
      <c r="S121" s="127">
        <f t="shared" si="20"/>
        <v>77448450.912399963</v>
      </c>
      <c r="T121" s="128">
        <f t="shared" si="21"/>
        <v>1.6124008684112998E-2</v>
      </c>
    </row>
    <row r="122" spans="1:20">
      <c r="A122" s="137" t="str">
        <f t="shared" si="17"/>
        <v>73p</v>
      </c>
      <c r="B122" s="530" t="str">
        <f>+VLOOKUP(LEFT($A122,LEN(A122)-1)*1,Master!$D$27:$G$225,4,FALSE)</f>
        <v>Primici od otplate kredita i sredstva prenesena iz prethodne godine</v>
      </c>
      <c r="C122" s="531"/>
      <c r="D122" s="531"/>
      <c r="E122" s="531"/>
      <c r="F122" s="531"/>
      <c r="G122" s="85">
        <f>+SUM(DataEx!FF253)</f>
        <v>69158.880000000005</v>
      </c>
      <c r="H122" s="85">
        <f>+SUM(DataEx!FG253)</f>
        <v>378338.04</v>
      </c>
      <c r="I122" s="85">
        <f>+SUM(DataEx!FH253)</f>
        <v>257172.98</v>
      </c>
      <c r="J122" s="85">
        <f>+SUM(DataEx!FI253)</f>
        <v>349238.34</v>
      </c>
      <c r="K122" s="85">
        <f>+SUM(DataEx!FJ253)</f>
        <v>808656.23</v>
      </c>
      <c r="L122" s="85">
        <f>+SUM(DataEx!FK253)</f>
        <v>1298753.81</v>
      </c>
      <c r="M122" s="85">
        <f>+SUM(DataEx!FL253)</f>
        <v>142080.0960214606</v>
      </c>
      <c r="N122" s="85">
        <f>+SUM(DataEx!FM253)</f>
        <v>117083.56784272524</v>
      </c>
      <c r="O122" s="85">
        <f>+SUM(DataEx!FN253)</f>
        <v>723504.94882674748</v>
      </c>
      <c r="P122" s="85">
        <f>+SUM(DataEx!FO253)</f>
        <v>419152.39381785714</v>
      </c>
      <c r="Q122" s="85">
        <f>+SUM(DataEx!FP253)</f>
        <v>3373987.8037220733</v>
      </c>
      <c r="R122" s="85">
        <f>+SUM(DataEx!FQ253)</f>
        <v>574536.91176913551</v>
      </c>
      <c r="S122" s="127">
        <f t="shared" si="20"/>
        <v>8511664.0019999985</v>
      </c>
      <c r="T122" s="128">
        <f t="shared" si="21"/>
        <v>1.772045052776216E-3</v>
      </c>
    </row>
    <row r="123" spans="1:20" ht="13.5" thickBot="1">
      <c r="A123" s="137" t="str">
        <f t="shared" si="17"/>
        <v>74p</v>
      </c>
      <c r="B123" s="532" t="str">
        <f>+VLOOKUP(LEFT($A123,LEN(A123)-1)*1,Master!$D$27:$G$225,4,FALSE)</f>
        <v>Donacije i transferi</v>
      </c>
      <c r="C123" s="533"/>
      <c r="D123" s="533"/>
      <c r="E123" s="533"/>
      <c r="F123" s="533"/>
      <c r="G123" s="85">
        <f>+SUM(DataEx!FF256)</f>
        <v>13526711.25</v>
      </c>
      <c r="H123" s="85">
        <f>+SUM(DataEx!FG256)</f>
        <v>1001055.74</v>
      </c>
      <c r="I123" s="85">
        <f>+SUM(DataEx!FH256)</f>
        <v>861265.77</v>
      </c>
      <c r="J123" s="85">
        <f>+SUM(DataEx!FI256)</f>
        <v>627154.51</v>
      </c>
      <c r="K123" s="85">
        <f>+SUM(DataEx!FJ256)</f>
        <v>1388870.5</v>
      </c>
      <c r="L123" s="85">
        <f>+SUM(DataEx!FK256)</f>
        <v>827810.06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9532777.6842971519</v>
      </c>
      <c r="S123" s="129">
        <f t="shared" si="20"/>
        <v>44480000</v>
      </c>
      <c r="T123" s="130">
        <f t="shared" si="21"/>
        <v>9.2603002102721044E-3</v>
      </c>
    </row>
    <row r="124" spans="1:20" ht="13.5" thickBot="1">
      <c r="A124" s="137" t="str">
        <f t="shared" si="17"/>
        <v>4p</v>
      </c>
      <c r="B124" s="516" t="str">
        <f>+VLOOKUP(LEFT($A124,LEN(A124)-1)*1,Master!$D$27:$G$225,4,FALSE)</f>
        <v>Budžetski izdaci</v>
      </c>
      <c r="C124" s="517"/>
      <c r="D124" s="517"/>
      <c r="E124" s="517"/>
      <c r="F124" s="517"/>
      <c r="G124" s="97">
        <f>+G126+G137+G143+SUM(G144:G148)</f>
        <v>169675887.19749999</v>
      </c>
      <c r="H124" s="97">
        <f t="shared" ref="H124:R124" si="23">+H126+H137+H143+SUM(H144:H148)</f>
        <v>163118817.50749999</v>
      </c>
      <c r="I124" s="97">
        <f t="shared" si="23"/>
        <v>195750967.64750001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173593221.77416667</v>
      </c>
      <c r="N124" s="97">
        <f t="shared" si="23"/>
        <v>157395422.72416666</v>
      </c>
      <c r="O124" s="97">
        <f t="shared" si="23"/>
        <v>161208966.37416667</v>
      </c>
      <c r="P124" s="97">
        <f t="shared" si="23"/>
        <v>158508019.66083336</v>
      </c>
      <c r="Q124" s="97">
        <f t="shared" si="23"/>
        <v>152277719.94083336</v>
      </c>
      <c r="R124" s="97">
        <f t="shared" si="23"/>
        <v>146102024.36083338</v>
      </c>
      <c r="S124" s="131">
        <f>+SUM(G124:R124)</f>
        <v>1976630978.4000001</v>
      </c>
      <c r="T124" s="132">
        <f t="shared" si="21"/>
        <v>0.41151520379738932</v>
      </c>
    </row>
    <row r="125" spans="1:20" ht="13.5" thickBot="1">
      <c r="A125" s="137" t="str">
        <f t="shared" si="17"/>
        <v>40p</v>
      </c>
      <c r="B125" s="534" t="str">
        <f>+VLOOKUP(LEFT($A125,LEN(A125)-1)*1,Master!$D$27:$G$225,4,FALSE)</f>
        <v>Tekuća budžetska potrošnja</v>
      </c>
      <c r="C125" s="535"/>
      <c r="D125" s="535"/>
      <c r="E125" s="535"/>
      <c r="F125" s="535"/>
      <c r="G125" s="80">
        <f t="shared" ref="G125:R125" si="24">+G124-G144</f>
        <v>142932137.20749998</v>
      </c>
      <c r="H125" s="80">
        <f t="shared" si="24"/>
        <v>136375067.51749998</v>
      </c>
      <c r="I125" s="80">
        <f t="shared" si="24"/>
        <v>169007217.65750003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146849471.78416669</v>
      </c>
      <c r="N125" s="80">
        <f t="shared" si="24"/>
        <v>130651672.73416667</v>
      </c>
      <c r="O125" s="80">
        <f t="shared" si="24"/>
        <v>134465216.38416666</v>
      </c>
      <c r="P125" s="80">
        <f t="shared" si="24"/>
        <v>131764269.67083336</v>
      </c>
      <c r="Q125" s="80">
        <f t="shared" si="24"/>
        <v>138033969.95083335</v>
      </c>
      <c r="R125" s="80">
        <f t="shared" si="24"/>
        <v>131858274.25083338</v>
      </c>
      <c r="S125" s="133">
        <f t="shared" si="20"/>
        <v>1680705978.4000001</v>
      </c>
      <c r="T125" s="134">
        <f t="shared" si="21"/>
        <v>0.34990651810213813</v>
      </c>
    </row>
    <row r="126" spans="1:20">
      <c r="A126" s="137" t="str">
        <f t="shared" si="17"/>
        <v>41p</v>
      </c>
      <c r="B126" s="536" t="str">
        <f>+VLOOKUP(LEFT($A126,LEN(A126)-1)*1,Master!$D$27:$G$225,4,FALSE)</f>
        <v>Tekući izdaci</v>
      </c>
      <c r="C126" s="537"/>
      <c r="D126" s="537"/>
      <c r="E126" s="537"/>
      <c r="F126" s="537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71113855.702500001</v>
      </c>
      <c r="N126" s="89">
        <f t="shared" si="25"/>
        <v>62800153.3125</v>
      </c>
      <c r="O126" s="89">
        <f t="shared" si="25"/>
        <v>66815564.902500011</v>
      </c>
      <c r="P126" s="89">
        <f t="shared" si="25"/>
        <v>62629581.782500006</v>
      </c>
      <c r="Q126" s="89">
        <f t="shared" si="25"/>
        <v>68882826.062500015</v>
      </c>
      <c r="R126" s="90">
        <f t="shared" si="25"/>
        <v>62463700.292500041</v>
      </c>
      <c r="S126" s="123">
        <f t="shared" si="20"/>
        <v>846670934.61000013</v>
      </c>
      <c r="T126" s="124">
        <f t="shared" si="21"/>
        <v>0.17626859338579728</v>
      </c>
    </row>
    <row r="127" spans="1:20">
      <c r="A127" s="137" t="str">
        <f t="shared" si="17"/>
        <v>411p</v>
      </c>
      <c r="B127" s="526" t="str">
        <f>+VLOOKUP(LEFT($A127,LEN(A127)-1)*1,Master!$D$27:$G$225,4,FALSE)</f>
        <v>Bruto zarade i doprinosi na teret poslodavca</v>
      </c>
      <c r="C127" s="527"/>
      <c r="D127" s="527"/>
      <c r="E127" s="527"/>
      <c r="F127" s="527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38858179.001666702</v>
      </c>
      <c r="S127" s="125">
        <f t="shared" si="20"/>
        <v>472054247.1500001</v>
      </c>
      <c r="T127" s="126">
        <f t="shared" si="21"/>
        <v>9.8277069337746992E-2</v>
      </c>
    </row>
    <row r="128" spans="1:20">
      <c r="A128" s="137" t="str">
        <f t="shared" si="17"/>
        <v>412p</v>
      </c>
      <c r="B128" s="526" t="str">
        <f>+VLOOKUP(LEFT($A128,LEN(A128)-1)*1,Master!$D$27:$G$225,4,FALSE)</f>
        <v>Ostala lična primanja</v>
      </c>
      <c r="C128" s="527"/>
      <c r="D128" s="527"/>
      <c r="E128" s="527"/>
      <c r="F128" s="527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1240174.31083333</v>
      </c>
      <c r="S128" s="125">
        <f t="shared" si="20"/>
        <v>15077125.449999996</v>
      </c>
      <c r="T128" s="126">
        <f t="shared" si="21"/>
        <v>3.138909801594736E-3</v>
      </c>
    </row>
    <row r="129" spans="1:20">
      <c r="A129" s="137" t="str">
        <f t="shared" si="17"/>
        <v>413p</v>
      </c>
      <c r="B129" s="526" t="str">
        <f>+VLOOKUP(LEFT($A129,LEN(A129)-1)*1,Master!$D$27:$G$225,4,FALSE)</f>
        <v>Rashodi za materijal</v>
      </c>
      <c r="C129" s="527"/>
      <c r="D129" s="527"/>
      <c r="E129" s="527"/>
      <c r="F129" s="527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7.6307596152645069E-3</v>
      </c>
    </row>
    <row r="130" spans="1:20">
      <c r="A130" s="137" t="str">
        <f t="shared" si="17"/>
        <v>414p</v>
      </c>
      <c r="B130" s="526" t="str">
        <f>+VLOOKUP(LEFT($A130,LEN(A130)-1)*1,Master!$D$27:$G$225,4,FALSE)</f>
        <v>Rashodi za usluge</v>
      </c>
      <c r="C130" s="527"/>
      <c r="D130" s="527"/>
      <c r="E130" s="527"/>
      <c r="F130" s="527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5059087.2374999989</v>
      </c>
      <c r="N130" s="91">
        <f>+SUM(DataEx!FM286)</f>
        <v>5071091.2374999989</v>
      </c>
      <c r="O130" s="91">
        <f>+SUM(DataEx!FN286)</f>
        <v>5175886.7374999989</v>
      </c>
      <c r="P130" s="91">
        <f>+SUM(DataEx!FO286)</f>
        <v>5062253.3274999987</v>
      </c>
      <c r="Q130" s="91">
        <f>+SUM(DataEx!FP286)</f>
        <v>5061881.6574999988</v>
      </c>
      <c r="R130" s="91">
        <f>+SUM(DataEx!FQ286)</f>
        <v>5000451.0074999994</v>
      </c>
      <c r="S130" s="125">
        <f t="shared" si="20"/>
        <v>63127045.969999991</v>
      </c>
      <c r="T130" s="126">
        <f t="shared" si="21"/>
        <v>1.3142432488081109E-2</v>
      </c>
    </row>
    <row r="131" spans="1:20">
      <c r="A131" s="137" t="str">
        <f t="shared" si="17"/>
        <v>415p</v>
      </c>
      <c r="B131" s="526" t="str">
        <f>+VLOOKUP(LEFT($A131,LEN(A131)-1)*1,Master!$D$27:$G$225,4,FALSE)</f>
        <v>Rashodi za tekuće održavanje</v>
      </c>
      <c r="C131" s="527"/>
      <c r="D131" s="527"/>
      <c r="E131" s="527"/>
      <c r="F131" s="527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4.8129210334561662E-3</v>
      </c>
    </row>
    <row r="132" spans="1:20">
      <c r="A132" s="137" t="str">
        <f t="shared" si="17"/>
        <v>416p</v>
      </c>
      <c r="B132" s="526" t="str">
        <f>+VLOOKUP(LEFT($A132,LEN(A132)-1)*1,Master!$D$27:$G$225,4,FALSE)</f>
        <v>Kamate</v>
      </c>
      <c r="C132" s="527"/>
      <c r="D132" s="527"/>
      <c r="E132" s="527"/>
      <c r="F132" s="527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1.9934774009535108E-2</v>
      </c>
    </row>
    <row r="133" spans="1:20">
      <c r="A133" s="137" t="str">
        <f t="shared" si="17"/>
        <v>417p</v>
      </c>
      <c r="B133" s="526" t="str">
        <f>+VLOOKUP(LEFT($A133,LEN(A133)-1)*1,Master!$D$27:$G$225,4,FALSE)</f>
        <v>Renta</v>
      </c>
      <c r="C133" s="527"/>
      <c r="D133" s="527"/>
      <c r="E133" s="527"/>
      <c r="F133" s="527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2.0446571648658212E-3</v>
      </c>
    </row>
    <row r="134" spans="1:20">
      <c r="A134" s="137" t="str">
        <f t="shared" si="17"/>
        <v>418p</v>
      </c>
      <c r="B134" s="526" t="str">
        <f>+VLOOKUP(LEFT($A134,LEN(A134)-1)*1,Master!$D$27:$G$225,4,FALSE)</f>
        <v>Subvencije</v>
      </c>
      <c r="C134" s="527"/>
      <c r="D134" s="527"/>
      <c r="E134" s="527"/>
      <c r="F134" s="527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6.4152978160847739E-3</v>
      </c>
    </row>
    <row r="135" spans="1:20">
      <c r="A135" s="137" t="str">
        <f t="shared" si="17"/>
        <v>419p</v>
      </c>
      <c r="B135" s="526" t="str">
        <f>+VLOOKUP(LEFT($A135,LEN(A135)-1)*1,Master!$D$27:$G$225,4,FALSE)</f>
        <v>Ostali izdaci</v>
      </c>
      <c r="C135" s="527"/>
      <c r="D135" s="527"/>
      <c r="E135" s="527"/>
      <c r="F135" s="527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4122049.5508333351</v>
      </c>
      <c r="N135" s="91">
        <f>+SUM(DataEx!FM311)</f>
        <v>3027649.6708333334</v>
      </c>
      <c r="O135" s="91">
        <f>+SUM(DataEx!FN311)</f>
        <v>2986649.6408333336</v>
      </c>
      <c r="P135" s="91">
        <f>+SUM(DataEx!FO311)</f>
        <v>2977759.6208333336</v>
      </c>
      <c r="Q135" s="91">
        <f>+SUM(DataEx!FP311)</f>
        <v>3014504.6508333334</v>
      </c>
      <c r="R135" s="91">
        <f>+SUM(DataEx!FQ311)</f>
        <v>2914612.7408333337</v>
      </c>
      <c r="S135" s="125">
        <f t="shared" si="20"/>
        <v>41196323.400000006</v>
      </c>
      <c r="T135" s="126">
        <f t="shared" si="21"/>
        <v>8.5766709137468002E-3</v>
      </c>
    </row>
    <row r="136" spans="1:20">
      <c r="A136" s="137" t="str">
        <f t="shared" si="17"/>
        <v>440p</v>
      </c>
      <c r="B136" s="526" t="str">
        <f>+VLOOKUP(LEFT($A136,LEN(A136)-1)*1,Master!$D$27:$G$225,4,FALSE)</f>
        <v>Kapitalni izdaci u tekućem budžetu</v>
      </c>
      <c r="C136" s="527"/>
      <c r="D136" s="527"/>
      <c r="E136" s="527"/>
      <c r="F136" s="527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5014205.3275000015</v>
      </c>
      <c r="N136" s="91">
        <f>+SUM(DataEx!FM369)</f>
        <v>4967667.1475000018</v>
      </c>
      <c r="O136" s="91">
        <f>+SUM(DataEx!FN369)</f>
        <v>4972709.1475000018</v>
      </c>
      <c r="P136" s="91">
        <f>+SUM(DataEx!FO369)</f>
        <v>4947709.1475000018</v>
      </c>
      <c r="Q136" s="91">
        <f>+SUM(DataEx!FP369)</f>
        <v>4786209.1475000018</v>
      </c>
      <c r="R136" s="91">
        <f>+SUM(DataEx!FQ369)</f>
        <v>4798442.6775000012</v>
      </c>
      <c r="S136" s="125">
        <f t="shared" si="20"/>
        <v>59057059.620000012</v>
      </c>
      <c r="T136" s="126">
        <f t="shared" si="21"/>
        <v>1.2295101205421275E-2</v>
      </c>
    </row>
    <row r="137" spans="1:20">
      <c r="A137" s="137" t="str">
        <f t="shared" si="17"/>
        <v>42p</v>
      </c>
      <c r="B137" s="522" t="str">
        <f>+VLOOKUP(LEFT($A137,LEN(A137)-1)*1,Master!$D$27:$G$225,4,FALSE)</f>
        <v>Transferi za socijalnu zaštitu</v>
      </c>
      <c r="C137" s="523"/>
      <c r="D137" s="523"/>
      <c r="E137" s="523"/>
      <c r="F137" s="523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47329512.010000005</v>
      </c>
      <c r="Q137" s="87">
        <f t="shared" si="26"/>
        <v>47329512.010000005</v>
      </c>
      <c r="R137" s="87">
        <f t="shared" si="26"/>
        <v>47329512.010000005</v>
      </c>
      <c r="S137" s="127">
        <f t="shared" si="20"/>
        <v>557842584.41999996</v>
      </c>
      <c r="T137" s="128">
        <f t="shared" si="21"/>
        <v>0.1161373606520517</v>
      </c>
    </row>
    <row r="138" spans="1:20">
      <c r="A138" s="137" t="str">
        <f t="shared" si="17"/>
        <v>421p</v>
      </c>
      <c r="B138" s="526" t="str">
        <f>+VLOOKUP(LEFT($A138,LEN(A138)-1)*1,Master!$D$27:$G$225,4,FALSE)</f>
        <v>Prava iz oblasti socijalne zaštite</v>
      </c>
      <c r="C138" s="527"/>
      <c r="D138" s="527"/>
      <c r="E138" s="527"/>
      <c r="F138" s="527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1.6861324506068746E-2</v>
      </c>
    </row>
    <row r="139" spans="1:20">
      <c r="A139" s="137" t="str">
        <f t="shared" si="17"/>
        <v>422p</v>
      </c>
      <c r="B139" s="526" t="str">
        <f>+VLOOKUP(LEFT($A139,LEN(A139)-1)*1,Master!$D$27:$G$225,4,FALSE)</f>
        <v>Sredstva za tehnološke viškove</v>
      </c>
      <c r="C139" s="527"/>
      <c r="D139" s="527"/>
      <c r="E139" s="527"/>
      <c r="F139" s="527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2359394.0699999998</v>
      </c>
      <c r="Q139" s="91">
        <f>SUM(DataEx!FP330)</f>
        <v>2359394.0699999998</v>
      </c>
      <c r="R139" s="91">
        <f>SUM(DataEx!FQ330)</f>
        <v>2359394.0699999998</v>
      </c>
      <c r="S139" s="125">
        <f t="shared" si="20"/>
        <v>18202468.969999999</v>
      </c>
      <c r="T139" s="126">
        <f t="shared" si="21"/>
        <v>3.7895757021214581E-3</v>
      </c>
    </row>
    <row r="140" spans="1:20">
      <c r="A140" s="137" t="str">
        <f t="shared" si="17"/>
        <v>423p</v>
      </c>
      <c r="B140" s="526" t="str">
        <f>+VLOOKUP(LEFT($A140,LEN(A140)-1)*1,Master!$D$27:$G$225,4,FALSE)</f>
        <v>Prava iz oblasti penzijskog i invalidskog osiguranja</v>
      </c>
      <c r="C140" s="527"/>
      <c r="D140" s="527"/>
      <c r="E140" s="527"/>
      <c r="F140" s="527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8.9318804665542428E-2</v>
      </c>
    </row>
    <row r="141" spans="1:20">
      <c r="A141" s="137" t="str">
        <f t="shared" si="17"/>
        <v>424p</v>
      </c>
      <c r="B141" s="526" t="str">
        <f>+VLOOKUP(LEFT($A141,LEN(A141)-1)*1,Master!$D$27:$G$225,4,FALSE)</f>
        <v>Ostala prava iz oblasti zdravstvene zaštite</v>
      </c>
      <c r="C141" s="527"/>
      <c r="D141" s="527"/>
      <c r="E141" s="527"/>
      <c r="F141" s="527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3.9556346678325319E-3</v>
      </c>
    </row>
    <row r="142" spans="1:20">
      <c r="A142" s="137" t="str">
        <f t="shared" si="17"/>
        <v>425p</v>
      </c>
      <c r="B142" s="526" t="str">
        <f>+VLOOKUP(LEFT($A142,LEN(A142)-1)*1,Master!$D$27:$G$225,4,FALSE)</f>
        <v>Ostala prava iz zdravstvenog osiguranja</v>
      </c>
      <c r="C142" s="527"/>
      <c r="D142" s="527"/>
      <c r="E142" s="527"/>
      <c r="F142" s="527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2.2120211104865407E-3</v>
      </c>
    </row>
    <row r="143" spans="1:20">
      <c r="A143" s="137" t="str">
        <f t="shared" si="17"/>
        <v>43p</v>
      </c>
      <c r="B143" s="528" t="str">
        <f>+VLOOKUP(LEFT($A143,LEN(A143)-1)*1,Master!$D$27:$G$225,4,FALSE)</f>
        <v xml:space="preserve">Transferi institucijama, pojedincima, nevladinom i javnom sektoru </v>
      </c>
      <c r="C143" s="529"/>
      <c r="D143" s="529"/>
      <c r="E143" s="529"/>
      <c r="F143" s="529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22848909.595000003</v>
      </c>
      <c r="N143" s="85">
        <f>SUM(DataEx!FM350)</f>
        <v>17972208.524999999</v>
      </c>
      <c r="O143" s="85">
        <f>SUM(DataEx!FN350)</f>
        <v>17992208.524999999</v>
      </c>
      <c r="P143" s="85">
        <f>SUM(DataEx!FO350)</f>
        <v>17923875.184999999</v>
      </c>
      <c r="Q143" s="85">
        <f>SUM(DataEx!FP350)</f>
        <v>17866375.204999998</v>
      </c>
      <c r="R143" s="85">
        <f>SUM(DataEx!FQ350)</f>
        <v>18024758.024999999</v>
      </c>
      <c r="S143" s="127">
        <f>+SUM(G143:R143)</f>
        <v>220947786.96000001</v>
      </c>
      <c r="T143" s="128">
        <f t="shared" si="21"/>
        <v>4.5999164524389485E-2</v>
      </c>
    </row>
    <row r="144" spans="1:20">
      <c r="A144" s="137" t="str">
        <f t="shared" si="17"/>
        <v>44p</v>
      </c>
      <c r="B144" s="528" t="str">
        <f>+VLOOKUP(LEFT($A144,LEN(A144)-1)*1,Master!$D$27:$G$225,4,FALSE)</f>
        <v>Kapitalni budžet</v>
      </c>
      <c r="C144" s="529"/>
      <c r="D144" s="529"/>
      <c r="E144" s="529"/>
      <c r="F144" s="529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14243749.989999998</v>
      </c>
      <c r="R144" s="85">
        <f>SUM(DataEx!FQ368)</f>
        <v>14243750.109999999</v>
      </c>
      <c r="S144" s="127">
        <f t="shared" si="20"/>
        <v>295925000</v>
      </c>
      <c r="T144" s="128">
        <f t="shared" si="21"/>
        <v>6.1608685695251179E-2</v>
      </c>
    </row>
    <row r="145" spans="1:20">
      <c r="A145" s="137" t="str">
        <f t="shared" si="17"/>
        <v>451p</v>
      </c>
      <c r="B145" s="510" t="str">
        <f>+VLOOKUP(LEFT($A145,LEN(A145)-1)*1,Master!$D$27:$G$225,4,FALSE)</f>
        <v>Pozajmice i krediti</v>
      </c>
      <c r="C145" s="511"/>
      <c r="D145" s="511"/>
      <c r="E145" s="511"/>
      <c r="F145" s="511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4.7467387004767545E-4</v>
      </c>
    </row>
    <row r="146" spans="1:20">
      <c r="A146" s="137" t="str">
        <f t="shared" si="17"/>
        <v>47p</v>
      </c>
      <c r="B146" s="510" t="str">
        <f>+VLOOKUP(LEFT($A146,LEN(A146)-1)*1,Master!$D$27:$G$225,4,FALSE)</f>
        <v>Rezerve</v>
      </c>
      <c r="C146" s="511"/>
      <c r="D146" s="511"/>
      <c r="E146" s="511"/>
      <c r="F146" s="511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4650583.3333333302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2317250</v>
      </c>
      <c r="Q146" s="91">
        <f>SUM(DataEx!FP394)</f>
        <v>2317250</v>
      </c>
      <c r="R146" s="91">
        <f>SUM(DataEx!FQ394)</f>
        <v>2317250</v>
      </c>
      <c r="S146" s="125">
        <f t="shared" si="20"/>
        <v>24999999.999999996</v>
      </c>
      <c r="T146" s="126">
        <f t="shared" si="21"/>
        <v>5.2047550642266771E-3</v>
      </c>
    </row>
    <row r="147" spans="1:20">
      <c r="A147" s="137" t="str">
        <f t="shared" si="17"/>
        <v>462p</v>
      </c>
      <c r="B147" s="510" t="str">
        <f>+VLOOKUP(LEFT($A147,LEN(A147)-1)*1,Master!$D$27:$G$225,4,FALSE)</f>
        <v>Otplata garancija</v>
      </c>
      <c r="C147" s="511"/>
      <c r="D147" s="511"/>
      <c r="E147" s="511"/>
      <c r="F147" s="511"/>
      <c r="G147" s="91">
        <f>SUM(DataEx!FF390)</f>
        <v>2253720.0299999998</v>
      </c>
      <c r="H147" s="91">
        <f>SUM(DataEx!FG390)</f>
        <v>0</v>
      </c>
      <c r="I147" s="91">
        <f>SUM(DataEx!FH390)</f>
        <v>7180952.3800000008</v>
      </c>
      <c r="J147" s="91">
        <f>SUM(DataEx!FI390)</f>
        <v>0</v>
      </c>
      <c r="K147" s="91">
        <f>SUM(DataEx!FJ390)</f>
        <v>0</v>
      </c>
      <c r="L147" s="91">
        <f>SUM(DataEx!FK390)</f>
        <v>0</v>
      </c>
      <c r="M147" s="91">
        <f>SUM(DataEx!FL390)</f>
        <v>0</v>
      </c>
      <c r="N147" s="91">
        <f>SUM(DataEx!FM390)</f>
        <v>0</v>
      </c>
      <c r="O147" s="91">
        <f>SUM(DataEx!FN390)</f>
        <v>0</v>
      </c>
      <c r="P147" s="91">
        <f>SUM(DataEx!FO390)</f>
        <v>0</v>
      </c>
      <c r="Q147" s="91">
        <f>SUM(DataEx!FP390)</f>
        <v>0</v>
      </c>
      <c r="R147" s="91">
        <f>SUM(DataEx!FQ390)</f>
        <v>0</v>
      </c>
      <c r="S147" s="125">
        <f t="shared" si="20"/>
        <v>9434672.4100000001</v>
      </c>
      <c r="T147" s="126">
        <f t="shared" si="21"/>
        <v>1.9642063602106886E-3</v>
      </c>
    </row>
    <row r="148" spans="1:20">
      <c r="A148" s="138" t="str">
        <f>+CONCATENATE(A53,"p")</f>
        <v>4630p</v>
      </c>
      <c r="B148" s="510" t="str">
        <f>+VLOOKUP(LEFT($A148,LEN(A148)-1)*1,Master!$D$27:$G$225,4,FALSE)</f>
        <v>Otplata obaveza iz prethodnih godina</v>
      </c>
      <c r="C148" s="511"/>
      <c r="D148" s="511"/>
      <c r="E148" s="511"/>
      <c r="F148" s="511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1533053.84</v>
      </c>
      <c r="S148" s="107">
        <f>+SUM(G148:R148)</f>
        <v>18529999</v>
      </c>
      <c r="T148" s="108">
        <f>+S148/$T$7</f>
        <v>3.8577642454146106E-3</v>
      </c>
    </row>
    <row r="149" spans="1:20" ht="13.5" thickBot="1">
      <c r="A149" s="137"/>
      <c r="B149" s="524" t="s">
        <v>695</v>
      </c>
      <c r="C149" s="525"/>
      <c r="D149" s="525"/>
      <c r="E149" s="525"/>
      <c r="F149" s="525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18" t="str">
        <f>+VLOOKUP(LEFT($A150,LEN(A150)-1)*1,Master!$D$27:$G$225,4,FALSE)</f>
        <v>Suficit / deficit</v>
      </c>
      <c r="C150" s="519"/>
      <c r="D150" s="519"/>
      <c r="E150" s="519"/>
      <c r="F150" s="519"/>
      <c r="G150" s="97">
        <f t="shared" ref="G150:R150" si="27">+G105-G124</f>
        <v>-62417951.607499987</v>
      </c>
      <c r="H150" s="97">
        <f t="shared" si="27"/>
        <v>-46574191.55749999</v>
      </c>
      <c r="I150" s="97">
        <f t="shared" si="27"/>
        <v>-48206287.017500013</v>
      </c>
      <c r="J150" s="97">
        <f t="shared" si="27"/>
        <v>-7552535.5874999762</v>
      </c>
      <c r="K150" s="97">
        <f t="shared" si="27"/>
        <v>-23536603.497500032</v>
      </c>
      <c r="L150" s="97">
        <f t="shared" si="27"/>
        <v>-15244934.667500019</v>
      </c>
      <c r="M150" s="97">
        <f t="shared" si="27"/>
        <v>-9956542.8029392064</v>
      </c>
      <c r="N150" s="97">
        <f t="shared" si="27"/>
        <v>7106786.3305667937</v>
      </c>
      <c r="O150" s="97">
        <f t="shared" si="27"/>
        <v>-9808009.6425497532</v>
      </c>
      <c r="P150" s="97">
        <f t="shared" si="27"/>
        <v>29894513.576703846</v>
      </c>
      <c r="Q150" s="97">
        <f t="shared" si="27"/>
        <v>-3563061.4788611233</v>
      </c>
      <c r="R150" s="97">
        <f t="shared" si="27"/>
        <v>47260753.315640002</v>
      </c>
      <c r="S150" s="113">
        <f t="shared" si="20"/>
        <v>-142598064.63643947</v>
      </c>
      <c r="T150" s="114">
        <f t="shared" si="21"/>
        <v>-2.9687519962617256E-2</v>
      </c>
    </row>
    <row r="151" spans="1:20" ht="13.5" thickBot="1">
      <c r="A151" s="138" t="str">
        <f>+CONCATENATE(A56,"p")</f>
        <v>1001p</v>
      </c>
      <c r="B151" s="520" t="str">
        <f>+VLOOKUP(LEFT($A151,LEN(A151)-1)*1,Master!$D$27:$G$225,4,FALSE)</f>
        <v>Primarni bilans</v>
      </c>
      <c r="C151" s="521"/>
      <c r="D151" s="521"/>
      <c r="E151" s="521"/>
      <c r="F151" s="521"/>
      <c r="G151" s="98">
        <f t="shared" ref="G151:R151" si="28">+G150+G132</f>
        <v>-54437226.607499987</v>
      </c>
      <c r="H151" s="98">
        <f t="shared" si="28"/>
        <v>-45587471.597499989</v>
      </c>
      <c r="I151" s="98">
        <f t="shared" si="28"/>
        <v>-20104787.917500012</v>
      </c>
      <c r="J151" s="98">
        <f t="shared" si="28"/>
        <v>10947196.512500025</v>
      </c>
      <c r="K151" s="98">
        <f t="shared" si="28"/>
        <v>-9490767.2275000308</v>
      </c>
      <c r="L151" s="98">
        <f t="shared" si="28"/>
        <v>-13271132.007500019</v>
      </c>
      <c r="M151" s="98">
        <f t="shared" si="28"/>
        <v>-1192067.0129392073</v>
      </c>
      <c r="N151" s="98">
        <f t="shared" si="28"/>
        <v>8403992.4705667943</v>
      </c>
      <c r="O151" s="98">
        <f t="shared" si="28"/>
        <v>-6667683.8425497524</v>
      </c>
      <c r="P151" s="98">
        <f t="shared" si="28"/>
        <v>31215805.656703848</v>
      </c>
      <c r="Q151" s="98">
        <f t="shared" si="28"/>
        <v>4240675.8511388777</v>
      </c>
      <c r="R151" s="98">
        <f t="shared" si="28"/>
        <v>49098101.085640006</v>
      </c>
      <c r="S151" s="113">
        <f t="shared" si="20"/>
        <v>-46845364.63643948</v>
      </c>
      <c r="T151" s="114">
        <f t="shared" si="21"/>
        <v>-9.7527459530821481E-3</v>
      </c>
    </row>
    <row r="152" spans="1:20">
      <c r="A152" s="138" t="str">
        <f>+CONCATENATE(A57,"p")</f>
        <v>46p</v>
      </c>
      <c r="B152" s="522" t="str">
        <f>+VLOOKUP(LEFT($A152,LEN(A152)-1)*1,Master!$D$27:$G$225,4,FALSE)</f>
        <v>Otplata dugova</v>
      </c>
      <c r="C152" s="523"/>
      <c r="D152" s="523"/>
      <c r="E152" s="523"/>
      <c r="F152" s="523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7.777985967980347E-2</v>
      </c>
    </row>
    <row r="153" spans="1:20">
      <c r="A153" s="138" t="str">
        <f>+CONCATENATE(A58,"p")</f>
        <v>4611p</v>
      </c>
      <c r="B153" s="512" t="str">
        <f>+VLOOKUP(LEFT($A153,LEN(A153)-1)*1,Master!$D$27:$G$225,4,FALSE)</f>
        <v>Otplata hartija od vrijednosti i kredita rezidentima</v>
      </c>
      <c r="C153" s="513"/>
      <c r="D153" s="513"/>
      <c r="E153" s="513"/>
      <c r="F153" s="513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9.1811879416234671E-3</v>
      </c>
    </row>
    <row r="154" spans="1:20" ht="13.5" thickBot="1">
      <c r="A154" s="138" t="str">
        <f>+CONCATENATE(A59,"p")</f>
        <v>4612p</v>
      </c>
      <c r="B154" s="510" t="str">
        <f>+VLOOKUP(LEFT($A154,LEN(A154)-1)*1,Master!$D$27:$G$225,4,FALSE)</f>
        <v>Otplata hartija od vrijednosti i kredita nerezidentima</v>
      </c>
      <c r="C154" s="511"/>
      <c r="D154" s="511"/>
      <c r="E154" s="511"/>
      <c r="F154" s="511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6.8598671738180003E-2</v>
      </c>
    </row>
    <row r="155" spans="1:20" ht="13.5" thickBot="1">
      <c r="A155" s="138"/>
      <c r="B155" s="496" t="s">
        <v>790</v>
      </c>
      <c r="C155" s="497"/>
      <c r="D155" s="497"/>
      <c r="E155" s="497"/>
      <c r="F155" s="497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8.3734099473278811E-3</v>
      </c>
    </row>
    <row r="156" spans="1:20" ht="13.5" thickBot="1">
      <c r="A156" s="138" t="str">
        <f t="shared" ref="A156:A161" si="30">+CONCATENATE(A61,"p")</f>
        <v>1002p</v>
      </c>
      <c r="B156" s="514" t="str">
        <f>+VLOOKUP(LEFT($A156,LEN(A156)-1)*1,Master!$D$27:$G$225,4,FALSE)</f>
        <v>Nedostajuća sredstva</v>
      </c>
      <c r="C156" s="515"/>
      <c r="D156" s="515"/>
      <c r="E156" s="515"/>
      <c r="F156" s="515"/>
      <c r="G156" s="79">
        <f t="shared" ref="G156:R156" si="31">+G150-G152-G155</f>
        <v>-64162981.937499985</v>
      </c>
      <c r="H156" s="79">
        <f t="shared" si="31"/>
        <v>-49963551.177499995</v>
      </c>
      <c r="I156" s="79">
        <f t="shared" si="31"/>
        <v>-65853879.377500013</v>
      </c>
      <c r="J156" s="79">
        <f t="shared" si="31"/>
        <v>-68696397.547499985</v>
      </c>
      <c r="K156" s="79">
        <f t="shared" si="31"/>
        <v>-205052828.04750001</v>
      </c>
      <c r="L156" s="79">
        <f t="shared" si="31"/>
        <v>-32116387.137500022</v>
      </c>
      <c r="M156" s="79">
        <f t="shared" si="31"/>
        <v>-71704253.742939219</v>
      </c>
      <c r="N156" s="79">
        <f t="shared" si="31"/>
        <v>-6674621.4294332061</v>
      </c>
      <c r="O156" s="79">
        <f t="shared" si="31"/>
        <v>-27665993.622549754</v>
      </c>
      <c r="P156" s="79">
        <f t="shared" si="31"/>
        <v>23716690.676703844</v>
      </c>
      <c r="Q156" s="79">
        <f t="shared" si="31"/>
        <v>-13766234.018861122</v>
      </c>
      <c r="R156" s="79">
        <f t="shared" si="31"/>
        <v>25522372.725640003</v>
      </c>
      <c r="S156" s="117">
        <f t="shared" si="20"/>
        <v>-556418064.63643956</v>
      </c>
      <c r="T156" s="118">
        <f t="shared" si="21"/>
        <v>-0.11584078958974862</v>
      </c>
    </row>
    <row r="157" spans="1:20" ht="13.5" thickBot="1">
      <c r="A157" s="138" t="str">
        <f t="shared" si="30"/>
        <v>1003p</v>
      </c>
      <c r="B157" s="516" t="str">
        <f>+VLOOKUP(LEFT($A157,LEN(A157)-1)*1,Master!$D$27:$G$225,4,FALSE)</f>
        <v>Finansiranje</v>
      </c>
      <c r="C157" s="517"/>
      <c r="D157" s="517"/>
      <c r="E157" s="517"/>
      <c r="F157" s="517"/>
      <c r="G157" s="97">
        <f t="shared" ref="G157:R157" si="32">+SUM(G158:G161)</f>
        <v>64162981.937499985</v>
      </c>
      <c r="H157" s="97">
        <f t="shared" si="32"/>
        <v>49963551.177499995</v>
      </c>
      <c r="I157" s="97">
        <f t="shared" si="32"/>
        <v>65853879.377500013</v>
      </c>
      <c r="J157" s="97">
        <f t="shared" si="32"/>
        <v>68696397.547499985</v>
      </c>
      <c r="K157" s="97">
        <f t="shared" si="32"/>
        <v>205052828.04750001</v>
      </c>
      <c r="L157" s="97">
        <f t="shared" si="32"/>
        <v>32116387.137500022</v>
      </c>
      <c r="M157" s="97">
        <f t="shared" si="32"/>
        <v>71704253.742939219</v>
      </c>
      <c r="N157" s="97">
        <f t="shared" si="32"/>
        <v>6674621.4294332061</v>
      </c>
      <c r="O157" s="97">
        <f t="shared" si="32"/>
        <v>27665993.622549754</v>
      </c>
      <c r="P157" s="97">
        <f t="shared" si="32"/>
        <v>-23716690.67670384</v>
      </c>
      <c r="Q157" s="97">
        <f t="shared" si="32"/>
        <v>13766234.018861122</v>
      </c>
      <c r="R157" s="97">
        <f t="shared" si="32"/>
        <v>-25522372.725640006</v>
      </c>
      <c r="S157" s="119">
        <f t="shared" si="20"/>
        <v>556418064.63643956</v>
      </c>
      <c r="T157" s="120">
        <f t="shared" si="21"/>
        <v>0.11584078958974862</v>
      </c>
    </row>
    <row r="158" spans="1:20">
      <c r="A158" s="138" t="str">
        <f t="shared" si="30"/>
        <v>7511p</v>
      </c>
      <c r="B158" s="512" t="str">
        <f>+VLOOKUP(LEFT($A158,LEN(A158)-1)*1,Master!$D$27:$G$225,4,FALSE)</f>
        <v>Pozajmice i krediti od domaćih izvora</v>
      </c>
      <c r="C158" s="513"/>
      <c r="D158" s="513"/>
      <c r="E158" s="513"/>
      <c r="F158" s="513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3.9556138488122748E-2</v>
      </c>
    </row>
    <row r="159" spans="1:20">
      <c r="A159" s="138" t="str">
        <f t="shared" si="30"/>
        <v>7512p</v>
      </c>
      <c r="B159" s="510" t="str">
        <f>+VLOOKUP(LEFT($A159,LEN(A159)-1)*1,Master!$D$27:$G$225,4,FALSE)</f>
        <v>Pozajmice i krediti od inostranih izvora</v>
      </c>
      <c r="C159" s="511"/>
      <c r="D159" s="511"/>
      <c r="E159" s="511"/>
      <c r="F159" s="511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13983087.501553783</v>
      </c>
      <c r="S159" s="107">
        <f t="shared" si="20"/>
        <v>180405268.74155378</v>
      </c>
      <c r="T159" s="108">
        <f t="shared" si="21"/>
        <v>3.7558609443831069E-2</v>
      </c>
    </row>
    <row r="160" spans="1:20">
      <c r="A160" s="138" t="str">
        <f t="shared" si="30"/>
        <v>72p</v>
      </c>
      <c r="B160" s="510" t="str">
        <f>+VLOOKUP(LEFT($A160,LEN(A160)-1)*1,Master!$D$27:$G$225,4,FALSE)</f>
        <v>Primici od prodaje imovine</v>
      </c>
      <c r="C160" s="511"/>
      <c r="D160" s="511"/>
      <c r="E160" s="511"/>
      <c r="F160" s="511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1.2491412154144025E-3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39640138.087499984</v>
      </c>
      <c r="H161" s="101">
        <f t="shared" si="33"/>
        <v>49463551.177499995</v>
      </c>
      <c r="I161" s="101">
        <f t="shared" si="33"/>
        <v>-42045458.012499988</v>
      </c>
      <c r="J161" s="101">
        <f t="shared" si="33"/>
        <v>53196397.547499985</v>
      </c>
      <c r="K161" s="101">
        <f t="shared" si="33"/>
        <v>92552828.047500014</v>
      </c>
      <c r="L161" s="101">
        <f t="shared" si="33"/>
        <v>14616387.137500022</v>
      </c>
      <c r="M161" s="101">
        <f t="shared" si="33"/>
        <v>54204253.742939219</v>
      </c>
      <c r="N161" s="101">
        <f t="shared" si="33"/>
        <v>-8825378.5705667939</v>
      </c>
      <c r="O161" s="101">
        <f t="shared" si="33"/>
        <v>10165993.622549754</v>
      </c>
      <c r="P161" s="101">
        <f t="shared" si="33"/>
        <v>-41216690.67670384</v>
      </c>
      <c r="Q161" s="101">
        <f t="shared" si="33"/>
        <v>-1733765.9811388776</v>
      </c>
      <c r="R161" s="101">
        <f t="shared" si="33"/>
        <v>-40005460.227193788</v>
      </c>
      <c r="S161" s="111">
        <f t="shared" si="20"/>
        <v>180012795.89488566</v>
      </c>
      <c r="T161" s="112">
        <f t="shared" si="21"/>
        <v>3.7476900442380376E-2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2"/>
  <sheetViews>
    <sheetView zoomScaleNormal="100" workbookViewId="0">
      <pane ySplit="1" topLeftCell="A2" activePane="bottomLeft" state="frozen"/>
      <selection pane="bottomLeft" activeCell="G65" sqref="G6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755</v>
      </c>
      <c r="H6" s="259" t="s">
        <v>756</v>
      </c>
      <c r="I6" s="259" t="s">
        <v>757</v>
      </c>
      <c r="J6" s="259" t="s">
        <v>758</v>
      </c>
      <c r="K6" s="259" t="s">
        <v>759</v>
      </c>
      <c r="L6" s="259" t="s">
        <v>760</v>
      </c>
      <c r="M6" s="259" t="s">
        <v>761</v>
      </c>
      <c r="N6" s="259" t="s">
        <v>762</v>
      </c>
      <c r="O6" s="259" t="s">
        <v>763</v>
      </c>
      <c r="P6" s="259" t="s">
        <v>764</v>
      </c>
      <c r="Q6" s="259" t="s">
        <v>765</v>
      </c>
      <c r="R6" s="259" t="s">
        <v>766</v>
      </c>
      <c r="S6" s="258"/>
      <c r="T6" s="258"/>
    </row>
    <row r="7" spans="1:20" ht="15" customHeight="1" thickBot="1">
      <c r="A7" s="169"/>
      <c r="B7" s="565" t="str">
        <f>+Master!G251</f>
        <v>Ostvarenje budžeta</v>
      </c>
      <c r="C7" s="463"/>
      <c r="D7" s="463"/>
      <c r="E7" s="463"/>
      <c r="F7" s="463"/>
      <c r="G7" s="471">
        <v>2018</v>
      </c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5"/>
      <c r="S7" s="260" t="str">
        <f>+Master!G248</f>
        <v>BDP</v>
      </c>
      <c r="T7" s="261">
        <v>4663000000</v>
      </c>
    </row>
    <row r="8" spans="1:20" ht="16.5" customHeight="1">
      <c r="A8" s="169"/>
      <c r="B8" s="464"/>
      <c r="C8" s="465"/>
      <c r="D8" s="465"/>
      <c r="E8" s="465"/>
      <c r="F8" s="46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1" t="str">
        <f>+Master!G245</f>
        <v>Jan - Sep</v>
      </c>
      <c r="T8" s="475"/>
    </row>
    <row r="9" spans="1:20" ht="13.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4" t="str">
        <f>+VLOOKUP($A10,Master!$D$27:$G$225,4,FALSE)</f>
        <v>Prihodi budžeta</v>
      </c>
      <c r="C10" s="505"/>
      <c r="D10" s="505"/>
      <c r="E10" s="505"/>
      <c r="F10" s="505"/>
      <c r="G10" s="176">
        <f t="shared" ref="G10:R10" si="1">+G11+G19+SUM(G24:G28)</f>
        <v>81573046.349999994</v>
      </c>
      <c r="H10" s="176">
        <f t="shared" si="1"/>
        <v>107080107.34</v>
      </c>
      <c r="I10" s="176">
        <f t="shared" si="1"/>
        <v>138824742.16</v>
      </c>
      <c r="J10" s="176">
        <f t="shared" si="1"/>
        <v>156838196.73000002</v>
      </c>
      <c r="K10" s="176">
        <f t="shared" si="1"/>
        <v>138843146.69</v>
      </c>
      <c r="L10" s="176">
        <f t="shared" si="1"/>
        <v>140712902.74000001</v>
      </c>
      <c r="M10" s="176">
        <f t="shared" si="1"/>
        <v>160533597.69999999</v>
      </c>
      <c r="N10" s="176">
        <f t="shared" si="1"/>
        <v>161264030.17000002</v>
      </c>
      <c r="O10" s="176">
        <f t="shared" si="1"/>
        <v>187333296.65000001</v>
      </c>
      <c r="P10" s="176">
        <f t="shared" si="1"/>
        <v>145768654.70000002</v>
      </c>
      <c r="Q10" s="176">
        <f t="shared" si="1"/>
        <v>142235974.88999999</v>
      </c>
      <c r="R10" s="176">
        <f t="shared" si="1"/>
        <v>185010591.01999998</v>
      </c>
      <c r="S10" s="264">
        <f>+SUM(G10:R10)</f>
        <v>1746018287.1400003</v>
      </c>
      <c r="T10" s="265">
        <f>+S10/$T$7</f>
        <v>0.37444097944241911</v>
      </c>
    </row>
    <row r="11" spans="1:20">
      <c r="A11" s="175">
        <v>711</v>
      </c>
      <c r="B11" s="506" t="str">
        <f>+VLOOKUP($A11,Master!$D$27:$G$225,4,FALSE)</f>
        <v>Porezi</v>
      </c>
      <c r="C11" s="507"/>
      <c r="D11" s="507"/>
      <c r="E11" s="507"/>
      <c r="F11" s="507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6" si="3">+SUM(G11:R11)</f>
        <v>1068947201.3</v>
      </c>
      <c r="T11" s="268">
        <f t="shared" ref="T11:T67" si="4">+S11/$T$7</f>
        <v>0.22924023188934162</v>
      </c>
    </row>
    <row r="12" spans="1:20">
      <c r="A12" s="175">
        <v>7111</v>
      </c>
      <c r="B12" s="492" t="str">
        <f>+VLOOKUP($A12,Master!$D$27:$G$225,4,FALSE)</f>
        <v>Porez na dohodak fizičkih lica</v>
      </c>
      <c r="C12" s="493"/>
      <c r="D12" s="493"/>
      <c r="E12" s="493"/>
      <c r="F12" s="493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2.6784984357709634E-2</v>
      </c>
    </row>
    <row r="13" spans="1:20">
      <c r="A13" s="175">
        <v>7112</v>
      </c>
      <c r="B13" s="492" t="str">
        <f>+VLOOKUP($A13,Master!$D$27:$G$225,4,FALSE)</f>
        <v>Porez na dobit pravnih lica</v>
      </c>
      <c r="C13" s="493"/>
      <c r="D13" s="493"/>
      <c r="E13" s="493"/>
      <c r="F13" s="493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1.4619875279862748E-2</v>
      </c>
    </row>
    <row r="14" spans="1:20">
      <c r="A14" s="175">
        <v>7113</v>
      </c>
      <c r="B14" s="492" t="str">
        <f>+VLOOKUP($A14,Master!$D$27:$G$225,4,FALSE)</f>
        <v>Porez na promet nepokretnosti</v>
      </c>
      <c r="C14" s="493"/>
      <c r="D14" s="493"/>
      <c r="E14" s="493"/>
      <c r="F14" s="493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3.9375820716277074E-4</v>
      </c>
    </row>
    <row r="15" spans="1:20">
      <c r="A15" s="175">
        <v>7114</v>
      </c>
      <c r="B15" s="492" t="str">
        <f>+VLOOKUP($A15,Master!$D$27:$G$225,4,FALSE)</f>
        <v>Porez na dodatu vrijednost</v>
      </c>
      <c r="C15" s="493"/>
      <c r="D15" s="493"/>
      <c r="E15" s="493"/>
      <c r="F15" s="493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0.13229973813210383</v>
      </c>
    </row>
    <row r="16" spans="1:20">
      <c r="A16" s="175">
        <v>7115</v>
      </c>
      <c r="B16" s="492" t="str">
        <f>+VLOOKUP($A16,Master!$D$27:$G$225,4,FALSE)</f>
        <v>Akcize</v>
      </c>
      <c r="C16" s="493"/>
      <c r="D16" s="493"/>
      <c r="E16" s="493"/>
      <c r="F16" s="493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4.7432563673600686E-2</v>
      </c>
    </row>
    <row r="17" spans="1:25">
      <c r="A17" s="175">
        <v>7116</v>
      </c>
      <c r="B17" s="492" t="str">
        <f>+VLOOKUP($A17,Master!$D$27:$G$225,4,FALSE)</f>
        <v>Porez na međunarodnu trgovinu i transakcije</v>
      </c>
      <c r="C17" s="493"/>
      <c r="D17" s="493"/>
      <c r="E17" s="493"/>
      <c r="F17" s="493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5.7119648273643575E-3</v>
      </c>
    </row>
    <row r="18" spans="1:25">
      <c r="A18" s="175">
        <v>7118</v>
      </c>
      <c r="B18" s="492" t="str">
        <f>+VLOOKUP($A18,Master!$D$27:$G$225,4,FALSE)</f>
        <v>Ostali državni porezi</v>
      </c>
      <c r="C18" s="493"/>
      <c r="D18" s="493"/>
      <c r="E18" s="493"/>
      <c r="F18" s="493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1.9973474115376364E-3</v>
      </c>
    </row>
    <row r="19" spans="1:25">
      <c r="A19" s="175">
        <v>712</v>
      </c>
      <c r="B19" s="502" t="str">
        <f>+VLOOKUP($A19,Master!$D$27:$G$225,4,FALSE)</f>
        <v>Doprinosi</v>
      </c>
      <c r="C19" s="503"/>
      <c r="D19" s="503"/>
      <c r="E19" s="503"/>
      <c r="F19" s="503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0.11246839253699335</v>
      </c>
    </row>
    <row r="20" spans="1:25">
      <c r="A20" s="175">
        <v>7121</v>
      </c>
      <c r="B20" s="492" t="str">
        <f>+VLOOKUP($A20,Master!$D$27:$G$225,4,FALSE)</f>
        <v>Doprinosi za penzijsko i invalidsko osiguranje</v>
      </c>
      <c r="C20" s="493"/>
      <c r="D20" s="493"/>
      <c r="E20" s="493"/>
      <c r="F20" s="493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6.7978331177353635E-2</v>
      </c>
    </row>
    <row r="21" spans="1:25">
      <c r="A21" s="175">
        <v>7122</v>
      </c>
      <c r="B21" s="492" t="str">
        <f>+VLOOKUP($A21,Master!$D$27:$G$225,4,FALSE)</f>
        <v>Doprinosi za zdravstveno osiguranje</v>
      </c>
      <c r="C21" s="493"/>
      <c r="D21" s="493"/>
      <c r="E21" s="493"/>
      <c r="F21" s="493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3.9040481524769459E-2</v>
      </c>
    </row>
    <row r="22" spans="1:25">
      <c r="A22" s="175">
        <v>7123</v>
      </c>
      <c r="B22" s="492" t="str">
        <f>+VLOOKUP($A22,Master!$D$27:$G$225,4,FALSE)</f>
        <v>Doprinosi za osiguranje od nezaposlenosti</v>
      </c>
      <c r="C22" s="493"/>
      <c r="D22" s="493"/>
      <c r="E22" s="493"/>
      <c r="F22" s="493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2.9145608771177357E-3</v>
      </c>
    </row>
    <row r="23" spans="1:25">
      <c r="A23" s="175">
        <v>7124</v>
      </c>
      <c r="B23" s="492" t="str">
        <f>+VLOOKUP($A23,Master!$D$27:$G$225,4,FALSE)</f>
        <v>Ostali doprinosi</v>
      </c>
      <c r="C23" s="493"/>
      <c r="D23" s="493"/>
      <c r="E23" s="493"/>
      <c r="F23" s="493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2.5350189577525201E-3</v>
      </c>
      <c r="Y23" s="379"/>
    </row>
    <row r="24" spans="1:25">
      <c r="A24" s="175">
        <v>713</v>
      </c>
      <c r="B24" s="494" t="str">
        <f>+VLOOKUP($A24,Master!$D$27:$G$225,4,FALSE)</f>
        <v>Takse</v>
      </c>
      <c r="C24" s="495"/>
      <c r="D24" s="495"/>
      <c r="E24" s="495"/>
      <c r="F24" s="495"/>
      <c r="G24" s="200">
        <f>+INDEX(DataEx!$1:$1048576,MATCH('2018'!$A24,DataEx!$D:$D,0),MATCH('2018'!G$6,DataEx!$7:$7,0))</f>
        <v>814937.81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1111103.6599999999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1616613.01</v>
      </c>
      <c r="M24" s="200">
        <f>+INDEX(DataEx!$1:$1048576,MATCH('2018'!$A24,DataEx!$D:$D,0),MATCH('2018'!M$6,DataEx!$7:$7,0))</f>
        <v>2005608.26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1572482.29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1446961.78</v>
      </c>
      <c r="S24" s="272">
        <f t="shared" si="3"/>
        <v>16901007.650000002</v>
      </c>
      <c r="T24" s="273">
        <f t="shared" si="4"/>
        <v>3.6244923118164277E-3</v>
      </c>
      <c r="Y24" s="379"/>
    </row>
    <row r="25" spans="1:25">
      <c r="A25" s="175">
        <v>714</v>
      </c>
      <c r="B25" s="494" t="str">
        <f>+VLOOKUP($A25,Master!$D$27:$G$225,4,FALSE)</f>
        <v>Naknade</v>
      </c>
      <c r="C25" s="495"/>
      <c r="D25" s="495"/>
      <c r="E25" s="495"/>
      <c r="F25" s="495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5.6657814883122456E-3</v>
      </c>
      <c r="W25" s="366"/>
    </row>
    <row r="26" spans="1:25">
      <c r="A26" s="175">
        <v>715</v>
      </c>
      <c r="B26" s="494" t="str">
        <f>+VLOOKUP($A26,Master!$D$27:$G$225,4,FALSE)</f>
        <v>Ostali prihodi</v>
      </c>
      <c r="C26" s="495"/>
      <c r="D26" s="495"/>
      <c r="E26" s="495"/>
      <c r="F26" s="495"/>
      <c r="G26" s="200">
        <f>+INDEX(DataEx!$1:$1048576,MATCH('2018'!$A26,DataEx!$D:$D,0),MATCH('2018'!G$6,DataEx!$7:$7,0))</f>
        <v>2425522.83</v>
      </c>
      <c r="H26" s="200">
        <f>+INDEX(DataEx!$1:$1048576,MATCH('2018'!$A26,DataEx!$D:$D,0),MATCH('2018'!H$6,DataEx!$7:$7,0))</f>
        <v>1609741.15</v>
      </c>
      <c r="I26" s="200">
        <f>+INDEX(DataEx!$1:$1048576,MATCH('2018'!$A26,DataEx!$D:$D,0),MATCH('2018'!I$6,DataEx!$7:$7,0))</f>
        <v>1991465.56</v>
      </c>
      <c r="J26" s="200">
        <f>+INDEX(DataEx!$1:$1048576,MATCH('2018'!$A26,DataEx!$D:$D,0),MATCH('2018'!J$6,DataEx!$7:$7,0))</f>
        <v>5482661.4299999997</v>
      </c>
      <c r="K26" s="200">
        <f>+INDEX(DataEx!$1:$1048576,MATCH('2018'!$A26,DataEx!$D:$D,0),MATCH('2018'!K$6,DataEx!$7:$7,0))</f>
        <v>2151496.35</v>
      </c>
      <c r="L26" s="200">
        <f>+INDEX(DataEx!$1:$1048576,MATCH('2018'!$A26,DataEx!$D:$D,0),MATCH('2018'!L$6,DataEx!$7:$7,0))</f>
        <v>2746748.26</v>
      </c>
      <c r="M26" s="200">
        <f>+INDEX(DataEx!$1:$1048576,MATCH('2018'!$A26,DataEx!$D:$D,0),MATCH('2018'!M$6,DataEx!$7:$7,0))</f>
        <v>3904620.91</v>
      </c>
      <c r="N26" s="200">
        <f>+INDEX(DataEx!$1:$1048576,MATCH('2018'!$A26,DataEx!$D:$D,0),MATCH('2018'!N$6,DataEx!$7:$7,0))</f>
        <v>3453591.6</v>
      </c>
      <c r="O26" s="200">
        <f>+INDEX(DataEx!$1:$1048576,MATCH('2018'!$A26,DataEx!$D:$D,0),MATCH('2018'!O$6,DataEx!$7:$7,0))</f>
        <v>37485104.390000001</v>
      </c>
      <c r="P26" s="200">
        <f>+INDEX(DataEx!$1:$1048576,MATCH('2018'!$A26,DataEx!$D:$D,0),MATCH('2018'!P$6,DataEx!$7:$7,0))</f>
        <v>2268381.7599999998</v>
      </c>
      <c r="Q26" s="200">
        <f>+INDEX(DataEx!$1:$1048576,MATCH('2018'!$A26,DataEx!$D:$D,0),MATCH('2018'!Q$6,DataEx!$7:$7,0))</f>
        <v>3459602.91</v>
      </c>
      <c r="R26" s="274">
        <f>+INDEX(DataEx!$1:$1048576,MATCH('2018'!$A26,DataEx!$D:$D,0),MATCH('2018'!R$6,DataEx!$7:$7,0))</f>
        <v>4336127.47</v>
      </c>
      <c r="S26" s="272">
        <f t="shared" si="3"/>
        <v>71315064.620000005</v>
      </c>
      <c r="T26" s="273">
        <f t="shared" si="4"/>
        <v>1.5293816131245979E-2</v>
      </c>
    </row>
    <row r="27" spans="1:25">
      <c r="A27" s="175">
        <v>73</v>
      </c>
      <c r="B27" s="494" t="str">
        <f>+VLOOKUP($A27,Master!$D$27:$G$225,4,FALSE)</f>
        <v>Primici od otplate kredita i sredstva prenesena iz prethodne godine</v>
      </c>
      <c r="C27" s="495"/>
      <c r="D27" s="495"/>
      <c r="E27" s="495"/>
      <c r="F27" s="495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2374596.09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942551.18</v>
      </c>
      <c r="S27" s="272">
        <f t="shared" si="3"/>
        <v>11285945.1</v>
      </c>
      <c r="T27" s="273">
        <f t="shared" si="4"/>
        <v>2.4203184859532489E-3</v>
      </c>
    </row>
    <row r="28" spans="1:25" ht="13.5" thickBot="1">
      <c r="A28" s="175">
        <v>74</v>
      </c>
      <c r="B28" s="496" t="str">
        <f>+VLOOKUP($A28,Master!$D$27:$G$225,4,FALSE)</f>
        <v>Donacije i transferi</v>
      </c>
      <c r="C28" s="497"/>
      <c r="D28" s="497"/>
      <c r="E28" s="497"/>
      <c r="F28" s="497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716886.96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1526648.73</v>
      </c>
      <c r="Q28" s="200">
        <f>+INDEX(DataEx!$1:$1048576,MATCH('2018'!$A28,DataEx!$D:$D,0),MATCH('2018'!Q$6,DataEx!$7:$7,0))</f>
        <v>4414865.1500000004</v>
      </c>
      <c r="R28" s="274">
        <f>+INDEX(DataEx!$1:$1048576,MATCH('2018'!$A28,DataEx!$D:$D,0),MATCH('2018'!R$6,DataEx!$7:$7,0))</f>
        <v>3855321.16</v>
      </c>
      <c r="S28" s="272">
        <f t="shared" si="3"/>
        <v>26709414.990000006</v>
      </c>
      <c r="T28" s="276">
        <f t="shared" si="4"/>
        <v>5.7279465987561664E-3</v>
      </c>
    </row>
    <row r="29" spans="1:25" ht="13.5" thickBot="1">
      <c r="A29" s="175">
        <v>4</v>
      </c>
      <c r="B29" s="482" t="str">
        <f>+VLOOKUP($A29,Master!$D$27:$G$225,4,FALSE)</f>
        <v>Budžetski izdaci</v>
      </c>
      <c r="C29" s="483"/>
      <c r="D29" s="483"/>
      <c r="E29" s="483"/>
      <c r="F29" s="483"/>
      <c r="G29" s="176">
        <f>+G31+G42+G48+SUM(G49:G53)</f>
        <v>106111880.91999999</v>
      </c>
      <c r="H29" s="176">
        <f t="shared" ref="H29:R29" si="5">+H31+H42+H48+SUM(H49:H53)</f>
        <v>118973047.13999999</v>
      </c>
      <c r="I29" s="176">
        <f t="shared" si="5"/>
        <v>172441842.06000003</v>
      </c>
      <c r="J29" s="176">
        <f t="shared" si="5"/>
        <v>163080353.41</v>
      </c>
      <c r="K29" s="176">
        <f t="shared" si="5"/>
        <v>141760488.21000001</v>
      </c>
      <c r="L29" s="176">
        <f t="shared" si="5"/>
        <v>162100744.01999998</v>
      </c>
      <c r="M29" s="176">
        <f t="shared" si="5"/>
        <v>155869732.34999999</v>
      </c>
      <c r="N29" s="176">
        <f t="shared" si="5"/>
        <v>127160004.33</v>
      </c>
      <c r="O29" s="176">
        <f t="shared" si="5"/>
        <v>166113295.93000001</v>
      </c>
      <c r="P29" s="176">
        <f t="shared" si="5"/>
        <v>158133326.80000001</v>
      </c>
      <c r="Q29" s="176">
        <f t="shared" si="5"/>
        <v>187133728.62</v>
      </c>
      <c r="R29" s="176">
        <f t="shared" si="5"/>
        <v>256047363.06999999</v>
      </c>
      <c r="S29" s="277">
        <f t="shared" si="3"/>
        <v>1914925806.8599999</v>
      </c>
      <c r="T29" s="278">
        <f t="shared" si="4"/>
        <v>0.41066390882693543</v>
      </c>
    </row>
    <row r="30" spans="1:25" ht="13.5" thickBot="1">
      <c r="A30" s="175">
        <v>40</v>
      </c>
      <c r="B30" s="498" t="str">
        <f>+VLOOKUP($A30,Master!$D$27:$G$225,4,FALSE)</f>
        <v>Tekuća budžetska potrošnja</v>
      </c>
      <c r="C30" s="499"/>
      <c r="D30" s="499"/>
      <c r="E30" s="499"/>
      <c r="F30" s="499"/>
      <c r="G30" s="206">
        <f>+G29-G49</f>
        <v>104051306.64999999</v>
      </c>
      <c r="H30" s="206">
        <f t="shared" ref="H30:R30" si="6">+H29-H49</f>
        <v>116014651.64999999</v>
      </c>
      <c r="I30" s="206">
        <f t="shared" si="6"/>
        <v>161635336.39000005</v>
      </c>
      <c r="J30" s="206">
        <f t="shared" si="6"/>
        <v>134304861.93000001</v>
      </c>
      <c r="K30" s="206">
        <f t="shared" si="6"/>
        <v>129446129.29000001</v>
      </c>
      <c r="L30" s="206">
        <f t="shared" si="6"/>
        <v>139850147.45999998</v>
      </c>
      <c r="M30" s="206">
        <f t="shared" si="6"/>
        <v>133650268.63</v>
      </c>
      <c r="N30" s="206">
        <f t="shared" si="6"/>
        <v>120092933.75999999</v>
      </c>
      <c r="O30" s="206">
        <f t="shared" si="6"/>
        <v>127759879.86000001</v>
      </c>
      <c r="P30" s="206">
        <f t="shared" si="6"/>
        <v>130847228.48000002</v>
      </c>
      <c r="Q30" s="206">
        <f t="shared" si="6"/>
        <v>162421720.44</v>
      </c>
      <c r="R30" s="206">
        <f t="shared" si="6"/>
        <v>211488892.13999999</v>
      </c>
      <c r="S30" s="431">
        <f t="shared" si="3"/>
        <v>1671563356.6800003</v>
      </c>
      <c r="T30" s="280">
        <f t="shared" si="4"/>
        <v>0.35847380585031102</v>
      </c>
    </row>
    <row r="31" spans="1:25">
      <c r="A31" s="175">
        <v>41</v>
      </c>
      <c r="B31" s="500" t="str">
        <f>+VLOOKUP($A31,Master!$D$27:$G$225,4,FALSE)</f>
        <v>Tekući izdaci</v>
      </c>
      <c r="C31" s="501"/>
      <c r="D31" s="501"/>
      <c r="E31" s="501"/>
      <c r="F31" s="501"/>
      <c r="G31" s="212">
        <f>+SUM(G32:G41)</f>
        <v>48875827.799999997</v>
      </c>
      <c r="H31" s="212">
        <f t="shared" ref="H31:R31" si="7">+SUM(H32:H41)</f>
        <v>54703640.709999993</v>
      </c>
      <c r="I31" s="212">
        <f t="shared" si="7"/>
        <v>95706627.480000019</v>
      </c>
      <c r="J31" s="212">
        <f t="shared" si="7"/>
        <v>72361165.059999987</v>
      </c>
      <c r="K31" s="212">
        <f t="shared" si="7"/>
        <v>66899583.370000005</v>
      </c>
      <c r="L31" s="212">
        <f t="shared" si="7"/>
        <v>72162166.459999993</v>
      </c>
      <c r="M31" s="212">
        <f t="shared" si="7"/>
        <v>62873678.450000003</v>
      </c>
      <c r="N31" s="212">
        <f t="shared" si="7"/>
        <v>54571129.889999993</v>
      </c>
      <c r="O31" s="212">
        <f t="shared" si="7"/>
        <v>63478184.120000005</v>
      </c>
      <c r="P31" s="212">
        <f t="shared" si="7"/>
        <v>65885930.929999992</v>
      </c>
      <c r="Q31" s="212">
        <f t="shared" si="7"/>
        <v>94991094.110000014</v>
      </c>
      <c r="R31" s="281">
        <f t="shared" si="7"/>
        <v>114128464.19999999</v>
      </c>
      <c r="S31" s="432">
        <f t="shared" si="3"/>
        <v>866637492.57999992</v>
      </c>
      <c r="T31" s="268">
        <f t="shared" si="4"/>
        <v>0.18585406231610549</v>
      </c>
    </row>
    <row r="32" spans="1:25">
      <c r="A32" s="175">
        <v>411</v>
      </c>
      <c r="B32" s="492" t="str">
        <f>+VLOOKUP($A32,Master!$D$27:$G$225,4,FALSE)</f>
        <v>Bruto zarade i doprinosi na teret poslodavca</v>
      </c>
      <c r="C32" s="493"/>
      <c r="D32" s="493"/>
      <c r="E32" s="493"/>
      <c r="F32" s="493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9.8605240092215315E-2</v>
      </c>
    </row>
    <row r="33" spans="1:22">
      <c r="A33" s="175">
        <v>412</v>
      </c>
      <c r="B33" s="492" t="str">
        <f>+VLOOKUP($A33,Master!$D$27:$G$225,4,FALSE)</f>
        <v>Ostala lična primanja</v>
      </c>
      <c r="C33" s="493"/>
      <c r="D33" s="493"/>
      <c r="E33" s="493"/>
      <c r="F33" s="493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2.8335707076989061E-3</v>
      </c>
      <c r="U33" s="367"/>
    </row>
    <row r="34" spans="1:22">
      <c r="A34" s="175">
        <v>413</v>
      </c>
      <c r="B34" s="492" t="str">
        <f>+VLOOKUP($A34,Master!$D$27:$G$225,4,FALSE)</f>
        <v>Rashodi za materijal</v>
      </c>
      <c r="C34" s="493"/>
      <c r="D34" s="493"/>
      <c r="E34" s="493"/>
      <c r="F34" s="493"/>
      <c r="G34" s="188">
        <f>+INDEX(DataEx!$1:$1048576,MATCH('2018'!$A34,DataEx!$D:$D,0),MATCH('2018'!G$6,DataEx!$7:$7,0))</f>
        <v>1028193.82</v>
      </c>
      <c r="H34" s="188">
        <f>+INDEX(DataEx!$1:$1048576,MATCH('2018'!$A34,DataEx!$D:$D,0),MATCH('2018'!H$6,DataEx!$7:$7,0))</f>
        <v>2319006.39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2444213.75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2858658.74</v>
      </c>
      <c r="N34" s="188">
        <f>+INDEX(DataEx!$1:$1048576,MATCH('2018'!$A34,DataEx!$D:$D,0),MATCH('2018'!N$6,DataEx!$7:$7,0))</f>
        <v>2380224.89</v>
      </c>
      <c r="O34" s="188">
        <f>+INDEX(DataEx!$1:$1048576,MATCH('2018'!$A34,DataEx!$D:$D,0),MATCH('2018'!O$6,DataEx!$7:$7,0))</f>
        <v>1933588.85</v>
      </c>
      <c r="P34" s="188">
        <f>+INDEX(DataEx!$1:$1048576,MATCH('2018'!$A34,DataEx!$D:$D,0),MATCH('2018'!P$6,DataEx!$7:$7,0))</f>
        <v>2993464.74</v>
      </c>
      <c r="Q34" s="188">
        <f>+INDEX(DataEx!$1:$1048576,MATCH('2018'!$A34,DataEx!$D:$D,0),MATCH('2018'!Q$6,DataEx!$7:$7,0))</f>
        <v>3031428.93</v>
      </c>
      <c r="R34" s="188">
        <f>+INDEX(DataEx!$1:$1048576,MATCH('2018'!$A34,DataEx!$D:$D,0),MATCH('2018'!R$6,DataEx!$7:$7,0))</f>
        <v>8894630.3100000005</v>
      </c>
      <c r="S34" s="269">
        <f t="shared" si="3"/>
        <v>36731134.720000006</v>
      </c>
      <c r="T34" s="270">
        <f t="shared" si="4"/>
        <v>7.877146626635214E-3</v>
      </c>
      <c r="U34" s="385"/>
      <c r="V34" s="365"/>
    </row>
    <row r="35" spans="1:22">
      <c r="A35" s="175">
        <v>414</v>
      </c>
      <c r="B35" s="492" t="str">
        <f>+VLOOKUP($A35,Master!$D$27:$G$225,4,FALSE)</f>
        <v>Rashodi za usluge</v>
      </c>
      <c r="C35" s="493"/>
      <c r="D35" s="493"/>
      <c r="E35" s="493"/>
      <c r="F35" s="493"/>
      <c r="G35" s="188">
        <f>+INDEX(DataEx!$1:$1048576,MATCH('2018'!$A35,DataEx!$D:$D,0),MATCH('2018'!G$6,DataEx!$7:$7,0))</f>
        <v>1680235.02</v>
      </c>
      <c r="H35" s="188">
        <f>+INDEX(DataEx!$1:$1048576,MATCH('2018'!$A35,DataEx!$D:$D,0),MATCH('2018'!H$6,DataEx!$7:$7,0))</f>
        <v>3138627.78</v>
      </c>
      <c r="I35" s="188">
        <f>+INDEX(DataEx!$1:$1048576,MATCH('2018'!$A35,DataEx!$D:$D,0),MATCH('2018'!I$6,DataEx!$7:$7,0))</f>
        <v>4224659.0199999996</v>
      </c>
      <c r="J35" s="188">
        <f>+INDEX(DataEx!$1:$1048576,MATCH('2018'!$A35,DataEx!$D:$D,0),MATCH('2018'!J$6,DataEx!$7:$7,0))</f>
        <v>4569774.72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14378872.84</v>
      </c>
      <c r="M35" s="188">
        <f>+INDEX(DataEx!$1:$1048576,MATCH('2018'!$A35,DataEx!$D:$D,0),MATCH('2018'!M$6,DataEx!$7:$7,0))</f>
        <v>4934074.01</v>
      </c>
      <c r="N35" s="188">
        <f>+INDEX(DataEx!$1:$1048576,MATCH('2018'!$A35,DataEx!$D:$D,0),MATCH('2018'!N$6,DataEx!$7:$7,0))</f>
        <v>3590546.61</v>
      </c>
      <c r="O35" s="188">
        <f>+INDEX(DataEx!$1:$1048576,MATCH('2018'!$A35,DataEx!$D:$D,0),MATCH('2018'!O$6,DataEx!$7:$7,0))</f>
        <v>5520674.5999999996</v>
      </c>
      <c r="P35" s="188">
        <f>+INDEX(DataEx!$1:$1048576,MATCH('2018'!$A35,DataEx!$D:$D,0),MATCH('2018'!P$6,DataEx!$7:$7,0))</f>
        <v>5584761.9900000002</v>
      </c>
      <c r="Q35" s="188">
        <f>+INDEX(DataEx!$1:$1048576,MATCH('2018'!$A35,DataEx!$D:$D,0),MATCH('2018'!Q$6,DataEx!$7:$7,0))</f>
        <v>5166021.46</v>
      </c>
      <c r="R35" s="188">
        <f>+INDEX(DataEx!$1:$1048576,MATCH('2018'!$A35,DataEx!$D:$D,0),MATCH('2018'!R$6,DataEx!$7:$7,0))</f>
        <v>17447882.190000001</v>
      </c>
      <c r="S35" s="269">
        <f t="shared" si="3"/>
        <v>75138922.689999998</v>
      </c>
      <c r="T35" s="270">
        <f t="shared" si="4"/>
        <v>1.6113858608192151E-2</v>
      </c>
    </row>
    <row r="36" spans="1:22">
      <c r="A36" s="175">
        <v>415</v>
      </c>
      <c r="B36" s="492" t="str">
        <f>+VLOOKUP($A36,Master!$D$27:$G$225,4,FALSE)</f>
        <v>Rashodi za tekuće održavanje</v>
      </c>
      <c r="C36" s="493"/>
      <c r="D36" s="493"/>
      <c r="E36" s="493"/>
      <c r="F36" s="493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1250394.3700000001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1701228.15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1595157.28</v>
      </c>
      <c r="M36" s="188">
        <f>+INDEX(DataEx!$1:$1048576,MATCH('2018'!$A36,DataEx!$D:$D,0),MATCH('2018'!M$6,DataEx!$7:$7,0))</f>
        <v>1764069.48</v>
      </c>
      <c r="N36" s="188">
        <f>+INDEX(DataEx!$1:$1048576,MATCH('2018'!$A36,DataEx!$D:$D,0),MATCH('2018'!N$6,DataEx!$7:$7,0))</f>
        <v>822546.3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1824056.36</v>
      </c>
      <c r="Q36" s="188">
        <f>+INDEX(DataEx!$1:$1048576,MATCH('2018'!$A36,DataEx!$D:$D,0),MATCH('2018'!Q$6,DataEx!$7:$7,0))</f>
        <v>1126241.5900000001</v>
      </c>
      <c r="R36" s="188">
        <f>+INDEX(DataEx!$1:$1048576,MATCH('2018'!$A36,DataEx!$D:$D,0),MATCH('2018'!R$6,DataEx!$7:$7,0))</f>
        <v>4866689.49</v>
      </c>
      <c r="S36" s="269">
        <f t="shared" si="3"/>
        <v>20973232.77</v>
      </c>
      <c r="T36" s="270">
        <f t="shared" si="4"/>
        <v>4.4977981492601328E-3</v>
      </c>
    </row>
    <row r="37" spans="1:22">
      <c r="A37" s="175">
        <v>416</v>
      </c>
      <c r="B37" s="492" t="str">
        <f>+VLOOKUP($A37,Master!$D$27:$G$225,4,FALSE)</f>
        <v>Kamate</v>
      </c>
      <c r="C37" s="493"/>
      <c r="D37" s="493"/>
      <c r="E37" s="493"/>
      <c r="F37" s="493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17000784.449999999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7518062.3499999996</v>
      </c>
      <c r="N37" s="188">
        <f>+INDEX(DataEx!$1:$1048576,MATCH('2018'!$A37,DataEx!$D:$D,0),MATCH('2018'!N$6,DataEx!$7:$7,0))</f>
        <v>1168435.74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5677848.6699999999</v>
      </c>
      <c r="S37" s="269">
        <f>+SUM(G37:R37)</f>
        <v>97597309.48999998</v>
      </c>
      <c r="T37" s="270">
        <f t="shared" si="4"/>
        <v>2.0930154297662446E-2</v>
      </c>
    </row>
    <row r="38" spans="1:22">
      <c r="A38" s="175">
        <v>417</v>
      </c>
      <c r="B38" s="492" t="str">
        <f>+VLOOKUP($A38,Master!$D$27:$G$225,4,FALSE)</f>
        <v>Renta</v>
      </c>
      <c r="C38" s="493"/>
      <c r="D38" s="493"/>
      <c r="E38" s="493"/>
      <c r="F38" s="493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939048.68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824828.88</v>
      </c>
      <c r="N38" s="188">
        <f>+INDEX(DataEx!$1:$1048576,MATCH('2018'!$A38,DataEx!$D:$D,0),MATCH('2018'!N$6,DataEx!$7:$7,0))</f>
        <v>555711.06999999995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827176.94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2717616.81</v>
      </c>
      <c r="S38" s="269">
        <f t="shared" si="3"/>
        <v>10699128.550000001</v>
      </c>
      <c r="T38" s="270">
        <f t="shared" si="4"/>
        <v>2.2944732039459578E-3</v>
      </c>
    </row>
    <row r="39" spans="1:22">
      <c r="A39" s="175">
        <v>418</v>
      </c>
      <c r="B39" s="492" t="str">
        <f>+VLOOKUP($A39,Master!$D$27:$G$225,4,FALSE)</f>
        <v>Subvencije</v>
      </c>
      <c r="C39" s="493"/>
      <c r="D39" s="493"/>
      <c r="E39" s="493"/>
      <c r="F39" s="493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6.5539105661591244E-3</v>
      </c>
    </row>
    <row r="40" spans="1:22">
      <c r="A40" s="175">
        <v>419</v>
      </c>
      <c r="B40" s="492" t="str">
        <f>+VLOOKUP($A40,Master!$D$27:$G$225,4,FALSE)</f>
        <v>Ostali izdaci</v>
      </c>
      <c r="C40" s="493"/>
      <c r="D40" s="493"/>
      <c r="E40" s="493"/>
      <c r="F40" s="493"/>
      <c r="G40" s="188">
        <f>+INDEX(DataEx!$1:$1048576,MATCH('2018'!$A40,DataEx!$D:$D,0),MATCH('2018'!G$6,DataEx!$7:$7,0))</f>
        <v>586002.18999999994</v>
      </c>
      <c r="H40" s="188">
        <f>+INDEX(DataEx!$1:$1048576,MATCH('2018'!$A40,DataEx!$D:$D,0),MATCH('2018'!H$6,DataEx!$7:$7,0))</f>
        <v>3384331.52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2882966.63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3635960.61</v>
      </c>
      <c r="M40" s="188">
        <f>+INDEX(DataEx!$1:$1048576,MATCH('2018'!$A40,DataEx!$D:$D,0),MATCH('2018'!M$6,DataEx!$7:$7,0))</f>
        <v>2919935.46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3201193.66</v>
      </c>
      <c r="P40" s="188">
        <f>+INDEX(DataEx!$1:$1048576,MATCH('2018'!$A40,DataEx!$D:$D,0),MATCH('2018'!P$6,DataEx!$7:$7,0))</f>
        <v>3091262.43</v>
      </c>
      <c r="Q40" s="188">
        <f>+INDEX(DataEx!$1:$1048576,MATCH('2018'!$A40,DataEx!$D:$D,0),MATCH('2018'!Q$6,DataEx!$7:$7,0))</f>
        <v>3357403.41</v>
      </c>
      <c r="R40" s="188">
        <f>+INDEX(DataEx!$1:$1048576,MATCH('2018'!$A40,DataEx!$D:$D,0),MATCH('2018'!R$6,DataEx!$7:$7,0))</f>
        <v>12250161.189999999</v>
      </c>
      <c r="S40" s="269">
        <f t="shared" si="3"/>
        <v>43556427.669999994</v>
      </c>
      <c r="T40" s="270">
        <f t="shared" si="4"/>
        <v>9.3408594617199209E-3</v>
      </c>
    </row>
    <row r="41" spans="1:22">
      <c r="A41" s="175">
        <v>440</v>
      </c>
      <c r="B41" s="492" t="str">
        <f>+VLOOKUP($A41,Master!$D$27:$G$225,4,FALSE)</f>
        <v>Kapitalni izdaci u tekućem budžetu</v>
      </c>
      <c r="C41" s="493"/>
      <c r="D41" s="493"/>
      <c r="E41" s="493"/>
      <c r="F41" s="493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</v>
      </c>
      <c r="L41" s="188">
        <f>+INDEX(DataEx!$1:$1048576,MATCH('2018'!$A41,DataEx!$D:$D,0),MATCH('2018'!L$6,DataEx!$7:$7,0))</f>
        <v>5031700.74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3339367.45</v>
      </c>
      <c r="P41" s="188">
        <f>+INDEX(DataEx!$1:$1048576,MATCH('2018'!$A41,DataEx!$D:$D,0),MATCH('2018'!P$6,DataEx!$7:$7,0))</f>
        <v>5912379.6799999997</v>
      </c>
      <c r="Q41" s="188">
        <f>+INDEX(DataEx!$1:$1048576,MATCH('2018'!$A41,DataEx!$D:$D,0),MATCH('2018'!Q$6,DataEx!$7:$7,0))</f>
        <v>28699706.960000001</v>
      </c>
      <c r="R41" s="188">
        <f>+INDEX(DataEx!$1:$1048576,MATCH('2018'!$A41,DataEx!$D:$D,0),MATCH('2018'!R$6,DataEx!$7:$7,0))</f>
        <v>17413656</v>
      </c>
      <c r="S41" s="269">
        <f t="shared" si="3"/>
        <v>78371276.960000008</v>
      </c>
      <c r="T41" s="270">
        <f t="shared" si="4"/>
        <v>1.6807050602616343E-2</v>
      </c>
    </row>
    <row r="42" spans="1:22">
      <c r="A42" s="175">
        <v>42</v>
      </c>
      <c r="B42" s="488" t="str">
        <f>+VLOOKUP($A42,Master!$D$27:$G$225,4,FALSE)</f>
        <v>Transferi za socijalnu zaštitu</v>
      </c>
      <c r="C42" s="489"/>
      <c r="D42" s="489"/>
      <c r="E42" s="489"/>
      <c r="F42" s="489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0.11676722527986276</v>
      </c>
    </row>
    <row r="43" spans="1:22">
      <c r="A43" s="175">
        <v>421</v>
      </c>
      <c r="B43" s="492" t="str">
        <f>+VLOOKUP($A43,Master!$D$27:$G$225,4,FALSE)</f>
        <v>Prava iz oblasti socijalne zaštite</v>
      </c>
      <c r="C43" s="493"/>
      <c r="D43" s="493"/>
      <c r="E43" s="493"/>
      <c r="F43" s="493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1.7648463324040319E-2</v>
      </c>
    </row>
    <row r="44" spans="1:22">
      <c r="A44" s="175">
        <v>422</v>
      </c>
      <c r="B44" s="492" t="str">
        <f>+VLOOKUP($A44,Master!$D$27:$G$225,4,FALSE)</f>
        <v>Sredstva za tehnološke viškove</v>
      </c>
      <c r="C44" s="493"/>
      <c r="D44" s="493"/>
      <c r="E44" s="493"/>
      <c r="F44" s="493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3.0445618571734931E-3</v>
      </c>
    </row>
    <row r="45" spans="1:22">
      <c r="A45" s="175">
        <v>423</v>
      </c>
      <c r="B45" s="492" t="str">
        <f>+VLOOKUP($A45,Master!$D$27:$G$225,4,FALSE)</f>
        <v>Prava iz oblasti penzijskog i invalidskog osiguranja</v>
      </c>
      <c r="C45" s="493"/>
      <c r="D45" s="493"/>
      <c r="E45" s="493"/>
      <c r="F45" s="493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8.8944942268925589E-2</v>
      </c>
    </row>
    <row r="46" spans="1:22">
      <c r="A46" s="175">
        <v>424</v>
      </c>
      <c r="B46" s="492" t="str">
        <f>+VLOOKUP($A46,Master!$D$27:$G$225,4,FALSE)</f>
        <v>Ostala prava iz oblasti zdravstvene zaštite</v>
      </c>
      <c r="C46" s="493"/>
      <c r="D46" s="493"/>
      <c r="E46" s="493"/>
      <c r="F46" s="493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4.2901199399528207E-3</v>
      </c>
    </row>
    <row r="47" spans="1:22">
      <c r="A47" s="175">
        <v>425</v>
      </c>
      <c r="B47" s="563" t="str">
        <f>+VLOOKUP($A47,Master!$D$27:$G$225,4,FALSE)</f>
        <v>Ostala prava iz zdravstvenog osiguranja</v>
      </c>
      <c r="C47" s="564"/>
      <c r="D47" s="564"/>
      <c r="E47" s="564"/>
      <c r="F47" s="564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2.839137889770534E-3</v>
      </c>
    </row>
    <row r="48" spans="1:22">
      <c r="A48" s="175">
        <v>43</v>
      </c>
      <c r="B48" s="490" t="str">
        <f>+VLOOKUP($A48,Master!$D$27:$G$225,4,FALSE)</f>
        <v xml:space="preserve">Transferi institucijama, pojedincima, nevladinom i javnom sektoru </v>
      </c>
      <c r="C48" s="491"/>
      <c r="D48" s="491"/>
      <c r="E48" s="491"/>
      <c r="F48" s="491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15696656.369999999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16865388.859999999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208728055.53999996</v>
      </c>
      <c r="T48" s="273">
        <f t="shared" si="4"/>
        <v>4.4762611095861028E-2</v>
      </c>
    </row>
    <row r="49" spans="1:22">
      <c r="A49" s="175">
        <v>44</v>
      </c>
      <c r="B49" s="490" t="str">
        <f>+VLOOKUP($A49,Master!$D$27:$G$225,4,FALSE)</f>
        <v>Kapitalni budžet</v>
      </c>
      <c r="C49" s="491"/>
      <c r="D49" s="491"/>
      <c r="E49" s="491"/>
      <c r="F49" s="491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22250596.559999999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38353416.07</v>
      </c>
      <c r="P49" s="200">
        <f>+INDEX(DataEx!$1:$1048576,MATCH('2018'!$A49,DataEx!$D:$D,0),MATCH('2018'!P$6,DataEx!$7:$7,0))</f>
        <v>27286098.32</v>
      </c>
      <c r="Q49" s="200">
        <f>+INDEX(DataEx!$1:$1048576,MATCH('2018'!$A49,DataEx!$D:$D,0),MATCH('2018'!Q$6,DataEx!$7:$7,0))</f>
        <v>24712008.18</v>
      </c>
      <c r="R49" s="200">
        <f>+INDEX(DataEx!$1:$1048576,MATCH('2018'!$A49,DataEx!$D:$D,0),MATCH('2018'!R$6,DataEx!$7:$7,0))</f>
        <v>44558470.93</v>
      </c>
      <c r="S49" s="272">
        <f t="shared" si="3"/>
        <v>243362450.18000001</v>
      </c>
      <c r="T49" s="273">
        <f t="shared" si="4"/>
        <v>5.2190102976624492E-2</v>
      </c>
    </row>
    <row r="50" spans="1:22">
      <c r="A50" s="175">
        <v>451</v>
      </c>
      <c r="B50" s="557" t="str">
        <f>+VLOOKUP($A50,Master!$D$27:$G$225,4,FALSE)</f>
        <v>Pozajmice i krediti</v>
      </c>
      <c r="C50" s="558"/>
      <c r="D50" s="558"/>
      <c r="E50" s="558"/>
      <c r="F50" s="558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9.8571070126527989E-4</v>
      </c>
    </row>
    <row r="51" spans="1:22">
      <c r="A51" s="175">
        <v>47</v>
      </c>
      <c r="B51" s="460" t="str">
        <f>+VLOOKUP($A51,Master!$D$27:$G$225,4,FALSE)</f>
        <v>Rezerve</v>
      </c>
      <c r="C51" s="461"/>
      <c r="D51" s="461"/>
      <c r="E51" s="461"/>
      <c r="F51" s="461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5.1227750482521987E-3</v>
      </c>
      <c r="U51" s="456"/>
    </row>
    <row r="52" spans="1:22" ht="13.5" thickBot="1">
      <c r="A52" s="175">
        <v>462</v>
      </c>
      <c r="B52" s="478" t="str">
        <f>+VLOOKUP($A52,Master!$D$27:$G$225,4,FALSE)</f>
        <v>Otplata garancija</v>
      </c>
      <c r="C52" s="479"/>
      <c r="D52" s="479"/>
      <c r="E52" s="479"/>
      <c r="F52" s="479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9" t="str">
        <f>+VLOOKUP($A53,Master!$D$27:$G$225,4,TRUE)</f>
        <v>Otplata obaveza iz prethodnih godina</v>
      </c>
      <c r="C53" s="560"/>
      <c r="D53" s="560"/>
      <c r="E53" s="560"/>
      <c r="F53" s="560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4562283.55</v>
      </c>
      <c r="N53" s="224">
        <f>+INDEX(DataEx!$1:$1048576,MATCH('2018'!$A53,DataEx!$D:$D,0),MATCH('2018'!N$6,DataEx!$7:$7,0))</f>
        <v>924617.69</v>
      </c>
      <c r="O53" s="224">
        <f>+INDEX(DataEx!$1:$1048576,MATCH('2018'!$A53,DataEx!$D:$D,0),MATCH('2018'!O$6,DataEx!$7:$7,0))</f>
        <v>872755.39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1578931.59</v>
      </c>
      <c r="S53" s="433">
        <f>+SUM(G53:R53)</f>
        <v>23228368.030000001</v>
      </c>
      <c r="T53" s="284">
        <f>+S53/$T$7</f>
        <v>4.9814214089641861E-3</v>
      </c>
    </row>
    <row r="54" spans="1:22" ht="13.5" thickBot="1">
      <c r="A54" s="71">
        <v>1005</v>
      </c>
      <c r="B54" s="561" t="str">
        <f>+VLOOKUP($A54,Master!$D$27:$G$227,4,FALSE)</f>
        <v>Neto povećanje obaveza</v>
      </c>
      <c r="C54" s="562"/>
      <c r="D54" s="562"/>
      <c r="E54" s="562"/>
      <c r="F54" s="562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28097590.27</v>
      </c>
      <c r="S54" s="135">
        <f>+SUM(G54:R54)</f>
        <v>28097590.27</v>
      </c>
      <c r="T54" s="136">
        <f>+S54/$T$7</f>
        <v>6.0256466373579242E-3</v>
      </c>
    </row>
    <row r="55" spans="1:22" ht="13.5" thickBot="1">
      <c r="A55" s="169">
        <v>1000</v>
      </c>
      <c r="B55" s="484" t="str">
        <f>+VLOOKUP($A55,Master!$D$27:$G$225,4,FALSE)</f>
        <v>Suficit / deficit</v>
      </c>
      <c r="C55" s="485"/>
      <c r="D55" s="485"/>
      <c r="E55" s="485"/>
      <c r="F55" s="485"/>
      <c r="G55" s="176">
        <f t="shared" ref="G55:R55" si="9">+G10-G29</f>
        <v>-24538834.569999993</v>
      </c>
      <c r="H55" s="176">
        <f t="shared" si="9"/>
        <v>-11892939.799999982</v>
      </c>
      <c r="I55" s="176">
        <f t="shared" si="9"/>
        <v>-33617099.900000036</v>
      </c>
      <c r="J55" s="176">
        <f t="shared" si="9"/>
        <v>-6242156.6799999774</v>
      </c>
      <c r="K55" s="176">
        <f t="shared" si="9"/>
        <v>-2917341.5200000107</v>
      </c>
      <c r="L55" s="176">
        <f t="shared" si="9"/>
        <v>-21387841.279999971</v>
      </c>
      <c r="M55" s="176">
        <f t="shared" si="9"/>
        <v>4663865.349999994</v>
      </c>
      <c r="N55" s="176">
        <f t="shared" si="9"/>
        <v>34104025.840000018</v>
      </c>
      <c r="O55" s="176">
        <f t="shared" si="9"/>
        <v>21220000.719999999</v>
      </c>
      <c r="P55" s="176">
        <f t="shared" si="9"/>
        <v>-12364672.099999994</v>
      </c>
      <c r="Q55" s="176">
        <f t="shared" si="9"/>
        <v>-44897753.730000019</v>
      </c>
      <c r="R55" s="176">
        <f t="shared" si="9"/>
        <v>-71036772.050000012</v>
      </c>
      <c r="S55" s="285">
        <f t="shared" si="3"/>
        <v>-168907519.71999997</v>
      </c>
      <c r="T55" s="286">
        <f t="shared" si="4"/>
        <v>-3.6222929384516399E-2</v>
      </c>
    </row>
    <row r="56" spans="1:22" ht="13.5" thickBot="1">
      <c r="A56" s="169"/>
      <c r="B56" s="454" t="s">
        <v>798</v>
      </c>
      <c r="C56" s="455"/>
      <c r="D56" s="455"/>
      <c r="E56" s="455"/>
      <c r="F56" s="455"/>
      <c r="G56" s="176">
        <f>G55-G54</f>
        <v>-24538834.569999993</v>
      </c>
      <c r="H56" s="176">
        <f t="shared" ref="H56:R56" si="10">H55-H54</f>
        <v>-11892939.799999982</v>
      </c>
      <c r="I56" s="176">
        <f t="shared" si="10"/>
        <v>-33617099.900000036</v>
      </c>
      <c r="J56" s="176">
        <f t="shared" si="10"/>
        <v>-6242156.6799999774</v>
      </c>
      <c r="K56" s="176">
        <f t="shared" si="10"/>
        <v>-2917341.5200000107</v>
      </c>
      <c r="L56" s="176">
        <f t="shared" si="10"/>
        <v>-21387841.279999971</v>
      </c>
      <c r="M56" s="176">
        <f t="shared" si="10"/>
        <v>4663865.349999994</v>
      </c>
      <c r="N56" s="176">
        <f t="shared" si="10"/>
        <v>34104025.840000018</v>
      </c>
      <c r="O56" s="176">
        <f t="shared" si="10"/>
        <v>21220000.719999999</v>
      </c>
      <c r="P56" s="176">
        <f t="shared" si="10"/>
        <v>-12364672.099999994</v>
      </c>
      <c r="Q56" s="176">
        <f t="shared" si="10"/>
        <v>-44897753.730000019</v>
      </c>
      <c r="R56" s="176">
        <f t="shared" si="10"/>
        <v>-99134362.320000008</v>
      </c>
      <c r="S56" s="285">
        <f t="shared" si="3"/>
        <v>-197005109.98999998</v>
      </c>
      <c r="T56" s="286">
        <f t="shared" si="4"/>
        <v>-4.2248576021874325E-2</v>
      </c>
    </row>
    <row r="57" spans="1:22" ht="13.5" thickBot="1">
      <c r="A57" s="169">
        <v>1001</v>
      </c>
      <c r="B57" s="486" t="str">
        <f>+VLOOKUP($A57,Master!$D$27:$G$225,4,FALSE)</f>
        <v>Primarni bilans</v>
      </c>
      <c r="C57" s="487"/>
      <c r="D57" s="487"/>
      <c r="E57" s="487"/>
      <c r="F57" s="487"/>
      <c r="G57" s="230">
        <f>+G56+G37</f>
        <v>-20214757.019999992</v>
      </c>
      <c r="H57" s="230">
        <f t="shared" ref="H57:R57" si="11">+H56+H37</f>
        <v>-10842138.569999982</v>
      </c>
      <c r="I57" s="230">
        <f t="shared" si="11"/>
        <v>5897576.8099999651</v>
      </c>
      <c r="J57" s="230">
        <f t="shared" si="11"/>
        <v>10758627.770000022</v>
      </c>
      <c r="K57" s="230">
        <f t="shared" si="11"/>
        <v>7147467.5399999898</v>
      </c>
      <c r="L57" s="230">
        <f t="shared" si="11"/>
        <v>-19549120.649999972</v>
      </c>
      <c r="M57" s="230">
        <f t="shared" si="11"/>
        <v>12181927.699999994</v>
      </c>
      <c r="N57" s="230">
        <f t="shared" si="11"/>
        <v>35272461.580000021</v>
      </c>
      <c r="O57" s="230">
        <f t="shared" si="11"/>
        <v>24837356.32</v>
      </c>
      <c r="P57" s="230">
        <f t="shared" si="11"/>
        <v>-10825983.799999993</v>
      </c>
      <c r="Q57" s="230">
        <f t="shared" si="11"/>
        <v>-40614704.530000016</v>
      </c>
      <c r="R57" s="230">
        <f t="shared" si="11"/>
        <v>-93456513.650000006</v>
      </c>
      <c r="S57" s="285">
        <f t="shared" si="3"/>
        <v>-99407800.49999997</v>
      </c>
      <c r="T57" s="286">
        <f t="shared" si="4"/>
        <v>-2.1318421724211875E-2</v>
      </c>
    </row>
    <row r="58" spans="1:22">
      <c r="A58" s="169">
        <v>46</v>
      </c>
      <c r="B58" s="555" t="str">
        <f>+VLOOKUP($A58,Master!$D$27:$G$225,4,FALSE)</f>
        <v>Otplata dugova</v>
      </c>
      <c r="C58" s="556"/>
      <c r="D58" s="556"/>
      <c r="E58" s="556"/>
      <c r="F58" s="556"/>
      <c r="G58" s="218">
        <f t="shared" ref="G58:R58" si="12">+SUM(G59:G60)</f>
        <v>26200164.98</v>
      </c>
      <c r="H58" s="218">
        <f t="shared" si="12"/>
        <v>54488971.759999998</v>
      </c>
      <c r="I58" s="218">
        <f t="shared" si="12"/>
        <v>19066024.490000002</v>
      </c>
      <c r="J58" s="200">
        <f t="shared" si="12"/>
        <v>382332471.99000001</v>
      </c>
      <c r="K58" s="218">
        <f t="shared" si="12"/>
        <v>14760695.76</v>
      </c>
      <c r="L58" s="218">
        <f t="shared" si="12"/>
        <v>12929550.809999999</v>
      </c>
      <c r="M58" s="218">
        <f t="shared" si="12"/>
        <v>43965766.020000003</v>
      </c>
      <c r="N58" s="218">
        <f t="shared" si="12"/>
        <v>98580105.140000001</v>
      </c>
      <c r="O58" s="218">
        <f t="shared" si="12"/>
        <v>17423705.899999999</v>
      </c>
      <c r="P58" s="218">
        <f t="shared" si="12"/>
        <v>6031992.4700000007</v>
      </c>
      <c r="Q58" s="218">
        <f t="shared" si="12"/>
        <v>9590322.8100000005</v>
      </c>
      <c r="R58" s="218">
        <f t="shared" si="12"/>
        <v>10911687.780000001</v>
      </c>
      <c r="S58" s="287">
        <f t="shared" si="3"/>
        <v>696281459.90999997</v>
      </c>
      <c r="T58" s="288">
        <f t="shared" si="4"/>
        <v>0.14932049322539137</v>
      </c>
      <c r="V58" s="383"/>
    </row>
    <row r="59" spans="1:22">
      <c r="A59" s="169">
        <v>4611</v>
      </c>
      <c r="B59" s="476" t="str">
        <f>+VLOOKUP($A59,Master!$D$27:$G$225,4,FALSE)</f>
        <v>Otplata hartija od vrijednosti i kredita rezidentima</v>
      </c>
      <c r="C59" s="477"/>
      <c r="D59" s="477"/>
      <c r="E59" s="477"/>
      <c r="F59" s="477"/>
      <c r="G59" s="236">
        <f>+INDEX(DataEx!$1:$1048576,MATCH('2018'!$A59,DataEx!$D:$D,0),MATCH('2018'!G$6,DataEx!$7:$7,0))</f>
        <v>24566746.16</v>
      </c>
      <c r="H59" s="236">
        <f>+INDEX(DataEx!$1:$1048576,MATCH('2018'!$A59,DataEx!$D:$D,0),MATCH('2018'!H$6,DataEx!$7:$7,0))</f>
        <v>50952373.509999998</v>
      </c>
      <c r="I59" s="236">
        <f>+INDEX(DataEx!$1:$1048576,MATCH('2018'!$A59,DataEx!$D:$D,0),MATCH('2018'!I$6,DataEx!$7:$7,0))</f>
        <v>7051404.0099999998</v>
      </c>
      <c r="J59" s="236">
        <f>+INDEX(DataEx!$1:$1048576,MATCH('2018'!$A59,DataEx!$D:$D,0),MATCH('2018'!J$6,DataEx!$7:$7,0))</f>
        <v>2231658.5099999998</v>
      </c>
      <c r="K59" s="236">
        <f>+INDEX(DataEx!$1:$1048576,MATCH('2018'!$A59,DataEx!$D:$D,0),MATCH('2018'!K$6,DataEx!$7:$7,0))</f>
        <v>831498.83</v>
      </c>
      <c r="L59" s="236">
        <f>+INDEX(DataEx!$1:$1048576,MATCH('2018'!$A59,DataEx!$D:$D,0),MATCH('2018'!L$6,DataEx!$7:$7,0))</f>
        <v>4420027.8</v>
      </c>
      <c r="M59" s="236">
        <f>+INDEX(DataEx!$1:$1048576,MATCH('2018'!$A59,DataEx!$D:$D,0),MATCH('2018'!M$6,DataEx!$7:$7,0))</f>
        <v>42332347.200000003</v>
      </c>
      <c r="N59" s="236">
        <f>+INDEX(DataEx!$1:$1048576,MATCH('2018'!$A59,DataEx!$D:$D,0),MATCH('2018'!N$6,DataEx!$7:$7,0))</f>
        <v>95932773.739999995</v>
      </c>
      <c r="O59" s="236">
        <f>+INDEX(DataEx!$1:$1048576,MATCH('2018'!$A59,DataEx!$D:$D,0),MATCH('2018'!O$6,DataEx!$7:$7,0))</f>
        <v>1208382.96</v>
      </c>
      <c r="P59" s="236">
        <f>+INDEX(DataEx!$1:$1048576,MATCH('2018'!$A59,DataEx!$D:$D,0),MATCH('2018'!P$6,DataEx!$7:$7,0))</f>
        <v>2260146.02</v>
      </c>
      <c r="Q59" s="236">
        <f>+INDEX(DataEx!$1:$1048576,MATCH('2018'!$A59,DataEx!$D:$D,0),MATCH('2018'!Q$6,DataEx!$7:$7,0))</f>
        <v>834069.65</v>
      </c>
      <c r="R59" s="236">
        <f>+INDEX(DataEx!$1:$1048576,MATCH('2018'!$A59,DataEx!$D:$D,0),MATCH('2018'!R$6,DataEx!$7:$7,0))</f>
        <v>2202164.71</v>
      </c>
      <c r="S59" s="289">
        <f t="shared" si="3"/>
        <v>234823593.10000002</v>
      </c>
      <c r="T59" s="290">
        <f t="shared" si="4"/>
        <v>5.0358909092858679E-2</v>
      </c>
    </row>
    <row r="60" spans="1:22" ht="13.5" thickBot="1">
      <c r="A60" s="169">
        <v>4612</v>
      </c>
      <c r="B60" s="460" t="str">
        <f>+VLOOKUP($A60,Master!$D$27:$G$225,4,FALSE)</f>
        <v>Otplata hartija od vrijednosti i kredita nerezidentima</v>
      </c>
      <c r="C60" s="461"/>
      <c r="D60" s="461"/>
      <c r="E60" s="461"/>
      <c r="F60" s="461"/>
      <c r="G60" s="236">
        <f>+INDEX(DataEx!$1:$1048576,MATCH('2018'!$A60,DataEx!$D:$D,0),MATCH('2018'!G$6,DataEx!$7:$7,0))</f>
        <v>1633418.82</v>
      </c>
      <c r="H60" s="236">
        <f>+INDEX(DataEx!$1:$1048576,MATCH('2018'!$A60,DataEx!$D:$D,0),MATCH('2018'!H$6,DataEx!$7:$7,0))</f>
        <v>3536598.25</v>
      </c>
      <c r="I60" s="236">
        <f>+INDEX(DataEx!$1:$1048576,MATCH('2018'!$A60,DataEx!$D:$D,0),MATCH('2018'!I$6,DataEx!$7:$7,0))</f>
        <v>12014620.48</v>
      </c>
      <c r="J60" s="236">
        <f>+INDEX(DataEx!$1:$1048576,MATCH('2018'!$A60,DataEx!$D:$D,0),MATCH('2018'!J$6,DataEx!$7:$7,0))</f>
        <v>380100813.48000002</v>
      </c>
      <c r="K60" s="236">
        <f>+INDEX(DataEx!$1:$1048576,MATCH('2018'!$A60,DataEx!$D:$D,0),MATCH('2018'!K$6,DataEx!$7:$7,0))</f>
        <v>13929196.93</v>
      </c>
      <c r="L60" s="236">
        <f>+INDEX(DataEx!$1:$1048576,MATCH('2018'!$A60,DataEx!$D:$D,0),MATCH('2018'!L$6,DataEx!$7:$7,0))</f>
        <v>8509523.0099999998</v>
      </c>
      <c r="M60" s="236">
        <f>+INDEX(DataEx!$1:$1048576,MATCH('2018'!$A60,DataEx!$D:$D,0),MATCH('2018'!M$6,DataEx!$7:$7,0))</f>
        <v>1633418.82</v>
      </c>
      <c r="N60" s="236">
        <f>+INDEX(DataEx!$1:$1048576,MATCH('2018'!$A60,DataEx!$D:$D,0),MATCH('2018'!N$6,DataEx!$7:$7,0))</f>
        <v>2647331.4</v>
      </c>
      <c r="O60" s="236">
        <f>+INDEX(DataEx!$1:$1048576,MATCH('2018'!$A60,DataEx!$D:$D,0),MATCH('2018'!O$6,DataEx!$7:$7,0))</f>
        <v>16215322.939999999</v>
      </c>
      <c r="P60" s="236">
        <f>+INDEX(DataEx!$1:$1048576,MATCH('2018'!$A60,DataEx!$D:$D,0),MATCH('2018'!P$6,DataEx!$7:$7,0))</f>
        <v>3771846.45</v>
      </c>
      <c r="Q60" s="236">
        <f>+INDEX(DataEx!$1:$1048576,MATCH('2018'!$A60,DataEx!$D:$D,0),MATCH('2018'!Q$6,DataEx!$7:$7,0))</f>
        <v>8756253.1600000001</v>
      </c>
      <c r="R60" s="236">
        <f>+INDEX(DataEx!$1:$1048576,MATCH('2018'!$A60,DataEx!$D:$D,0),MATCH('2018'!R$6,DataEx!$7:$7,0))</f>
        <v>8709523.0700000003</v>
      </c>
      <c r="S60" s="289">
        <f t="shared" si="3"/>
        <v>461457866.81</v>
      </c>
      <c r="T60" s="290">
        <f t="shared" si="4"/>
        <v>9.8961584132532698E-2</v>
      </c>
      <c r="V60" s="395"/>
    </row>
    <row r="61" spans="1:22" ht="13.5" thickBot="1">
      <c r="A61" s="169">
        <v>4418</v>
      </c>
      <c r="B61" s="555" t="str">
        <f>+VLOOKUP($A61,Master!$D$27:$G$225,4,FALSE)</f>
        <v>Izdaci za kupovinu hartija od vrijednosti</v>
      </c>
      <c r="C61" s="556"/>
      <c r="D61" s="556"/>
      <c r="E61" s="556"/>
      <c r="F61" s="556"/>
      <c r="G61" s="218">
        <f>DataEx!ET168</f>
        <v>0</v>
      </c>
      <c r="H61" s="218">
        <f>DataEx!EU168</f>
        <v>0</v>
      </c>
      <c r="I61" s="218">
        <f>DataEx!EV168</f>
        <v>0</v>
      </c>
      <c r="J61" s="218">
        <f>DataEx!EW168</f>
        <v>0</v>
      </c>
      <c r="K61" s="218">
        <f>DataEx!EX168</f>
        <v>68939595.359999999</v>
      </c>
      <c r="L61" s="218">
        <f>DataEx!EY168</f>
        <v>0</v>
      </c>
      <c r="M61" s="218">
        <f>DataEx!EZ168</f>
        <v>0</v>
      </c>
      <c r="N61" s="218">
        <f>DataEx!FA168</f>
        <v>0</v>
      </c>
      <c r="O61" s="218">
        <f>DataEx!FB168</f>
        <v>0</v>
      </c>
      <c r="P61" s="218">
        <f>DataEx!FC168</f>
        <v>0</v>
      </c>
      <c r="Q61" s="218">
        <f>DataEx!FD168</f>
        <v>0</v>
      </c>
      <c r="R61" s="218">
        <f>DataEx!FE168</f>
        <v>305701.3</v>
      </c>
      <c r="S61" s="287">
        <f>SUM(G61:R61)</f>
        <v>69245296.659999996</v>
      </c>
      <c r="T61" s="288">
        <f>+S61/$T$7</f>
        <v>1.4849945670169418E-2</v>
      </c>
      <c r="V61" s="395"/>
    </row>
    <row r="62" spans="1:22" ht="13.5" thickBot="1">
      <c r="A62" s="169">
        <v>1002</v>
      </c>
      <c r="B62" s="480" t="str">
        <f>+VLOOKUP($A62,Master!$D$27:$G$225,4,FALSE)</f>
        <v>Nedostajuća sredstva</v>
      </c>
      <c r="C62" s="481"/>
      <c r="D62" s="481"/>
      <c r="E62" s="481"/>
      <c r="F62" s="481"/>
      <c r="G62" s="242">
        <f>+G56-G58-G61</f>
        <v>-50738999.549999997</v>
      </c>
      <c r="H62" s="242">
        <f t="shared" ref="H62:R62" si="13">+H56-H58-H61</f>
        <v>-66381911.55999998</v>
      </c>
      <c r="I62" s="242">
        <f t="shared" si="13"/>
        <v>-52683124.390000038</v>
      </c>
      <c r="J62" s="242">
        <f t="shared" si="13"/>
        <v>-388574628.66999996</v>
      </c>
      <c r="K62" s="242">
        <f t="shared" si="13"/>
        <v>-86617632.640000015</v>
      </c>
      <c r="L62" s="242">
        <f t="shared" si="13"/>
        <v>-34317392.089999974</v>
      </c>
      <c r="M62" s="242">
        <f t="shared" si="13"/>
        <v>-39301900.670000009</v>
      </c>
      <c r="N62" s="242">
        <f t="shared" si="13"/>
        <v>-64476079.299999982</v>
      </c>
      <c r="O62" s="242">
        <f t="shared" si="13"/>
        <v>3796294.8200000003</v>
      </c>
      <c r="P62" s="242">
        <f t="shared" si="13"/>
        <v>-18396664.569999993</v>
      </c>
      <c r="Q62" s="242">
        <f t="shared" si="13"/>
        <v>-54488076.540000021</v>
      </c>
      <c r="R62" s="242">
        <f t="shared" si="13"/>
        <v>-110351751.40000001</v>
      </c>
      <c r="S62" s="291">
        <f t="shared" si="3"/>
        <v>-962531866.55999959</v>
      </c>
      <c r="T62" s="292">
        <f t="shared" si="4"/>
        <v>-0.20641901491743503</v>
      </c>
    </row>
    <row r="63" spans="1:22" ht="13.5" thickBot="1">
      <c r="A63" s="169">
        <v>1003</v>
      </c>
      <c r="B63" s="482" t="str">
        <f>+VLOOKUP($A63,Master!$D$27:$G$225,4,FALSE)</f>
        <v>Finansiranje</v>
      </c>
      <c r="C63" s="483"/>
      <c r="D63" s="483"/>
      <c r="E63" s="483"/>
      <c r="F63" s="483"/>
      <c r="G63" s="176">
        <f>+SUM(G64:G67)</f>
        <v>50738999.549999997</v>
      </c>
      <c r="H63" s="176">
        <f t="shared" ref="H63:R63" si="14">+SUM(H64:H67)</f>
        <v>66381911.55999998</v>
      </c>
      <c r="I63" s="176">
        <f t="shared" si="14"/>
        <v>52683124.390000038</v>
      </c>
      <c r="J63" s="176">
        <f t="shared" si="14"/>
        <v>388574628.66999996</v>
      </c>
      <c r="K63" s="176">
        <f t="shared" si="14"/>
        <v>86617632.640000015</v>
      </c>
      <c r="L63" s="176">
        <f t="shared" si="14"/>
        <v>34317392.089999974</v>
      </c>
      <c r="M63" s="176">
        <f t="shared" si="14"/>
        <v>39301900.670000009</v>
      </c>
      <c r="N63" s="176">
        <f t="shared" si="14"/>
        <v>64476079.299999982</v>
      </c>
      <c r="O63" s="176">
        <f t="shared" si="14"/>
        <v>-3796294.8200000003</v>
      </c>
      <c r="P63" s="176">
        <f t="shared" si="14"/>
        <v>18396664.569999993</v>
      </c>
      <c r="Q63" s="176">
        <f t="shared" si="14"/>
        <v>54488076.540000021</v>
      </c>
      <c r="R63" s="176">
        <f t="shared" si="14"/>
        <v>110351751.40000001</v>
      </c>
      <c r="S63" s="293">
        <f t="shared" si="3"/>
        <v>962531866.55999959</v>
      </c>
      <c r="T63" s="294">
        <f t="shared" si="4"/>
        <v>0.20641901491743503</v>
      </c>
    </row>
    <row r="64" spans="1:22">
      <c r="A64" s="169">
        <v>7511</v>
      </c>
      <c r="B64" s="476" t="str">
        <f>+VLOOKUP($A64,Master!$D$27:$G$225,4,FALSE)</f>
        <v>Pozajmice i krediti od domaćih izvora</v>
      </c>
      <c r="C64" s="477"/>
      <c r="D64" s="477"/>
      <c r="E64" s="477"/>
      <c r="F64" s="477"/>
      <c r="G64" s="236">
        <f>+INDEX(DataEx!$1:$1048576,MATCH('2018'!$A64,DataEx!$D:$D,0),MATCH('2018'!G$6,DataEx!$7:$7,0))</f>
        <v>24535941.960000001</v>
      </c>
      <c r="H64" s="236">
        <f>+INDEX(DataEx!$1:$1048576,MATCH('2018'!$A64,DataEx!$D:$D,0),MATCH('2018'!H$6,DataEx!$7:$7,0))</f>
        <v>91357443.420000002</v>
      </c>
      <c r="I64" s="236">
        <f>+INDEX(DataEx!$1:$1048576,MATCH('2018'!$A64,DataEx!$D:$D,0),MATCH('2018'!I$6,DataEx!$7:$7,0))</f>
        <v>20706614.620000001</v>
      </c>
      <c r="J64" s="236">
        <f>+INDEX(DataEx!$1:$1048576,MATCH('2018'!$A64,DataEx!$D:$D,0),MATCH('2018'!J$6,DataEx!$7:$7,0))</f>
        <v>0</v>
      </c>
      <c r="K64" s="236">
        <f>+INDEX(DataEx!$1:$1048576,MATCH('2018'!$A64,DataEx!$D:$D,0),MATCH('2018'!K$6,DataEx!$7:$7,0))</f>
        <v>0</v>
      </c>
      <c r="L64" s="236">
        <f>+INDEX(DataEx!$1:$1048576,MATCH('2018'!$A64,DataEx!$D:$D,0),MATCH('2018'!L$6,DataEx!$7:$7,0))</f>
        <v>0</v>
      </c>
      <c r="M64" s="236">
        <f>+INDEX(DataEx!$1:$1048576,MATCH('2018'!$A64,DataEx!$D:$D,0),MATCH('2018'!M$6,DataEx!$7:$7,0))</f>
        <v>18000000</v>
      </c>
      <c r="N64" s="236">
        <f>+INDEX(DataEx!$1:$1048576,MATCH('2018'!$A64,DataEx!$D:$D,0),MATCH('2018'!N$6,DataEx!$7:$7,0))</f>
        <v>59000000</v>
      </c>
      <c r="O64" s="236">
        <f>+INDEX(DataEx!$1:$1048576,MATCH('2018'!$A64,DataEx!$D:$D,0),MATCH('2018'!O$6,DataEx!$7:$7,0))</f>
        <v>0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213600000</v>
      </c>
      <c r="T64" s="290">
        <f t="shared" si="4"/>
        <v>4.5807420115805277E-2</v>
      </c>
    </row>
    <row r="65" spans="1:20">
      <c r="A65" s="169">
        <v>7512</v>
      </c>
      <c r="B65" s="460" t="str">
        <f>+VLOOKUP($A65,Master!$D$27:$G$225,4,FALSE)</f>
        <v>Pozajmice i krediti od inostranih izvora</v>
      </c>
      <c r="C65" s="461"/>
      <c r="D65" s="461"/>
      <c r="E65" s="461"/>
      <c r="F65" s="461"/>
      <c r="G65" s="236">
        <f>+INDEX(DataEx!$1:$1048576,MATCH('2018'!$A65,DataEx!$D:$D,0),MATCH('2018'!G$6,DataEx!$7:$7,0))</f>
        <v>220322.84</v>
      </c>
      <c r="H65" s="236">
        <f>+INDEX(DataEx!$1:$1048576,MATCH('2018'!$A65,DataEx!$D:$D,0),MATCH('2018'!H$6,DataEx!$7:$7,0))</f>
        <v>191078.77</v>
      </c>
      <c r="I65" s="236">
        <f>+INDEX(DataEx!$1:$1048576,MATCH('2018'!$A65,DataEx!$D:$D,0),MATCH('2018'!I$6,DataEx!$7:$7,0))</f>
        <v>5273085.6500000004</v>
      </c>
      <c r="J65" s="236">
        <f>+INDEX(DataEx!$1:$1048576,MATCH('2018'!$A65,DataEx!$D:$D,0),MATCH('2018'!J$6,DataEx!$7:$7,0))</f>
        <v>503121949.51999998</v>
      </c>
      <c r="K65" s="236">
        <f>+INDEX(DataEx!$1:$1048576,MATCH('2018'!$A65,DataEx!$D:$D,0),MATCH('2018'!K$6,DataEx!$7:$7,0))</f>
        <v>7673073.0999999996</v>
      </c>
      <c r="L65" s="236">
        <f>+INDEX(DataEx!$1:$1048576,MATCH('2018'!$A65,DataEx!$D:$D,0),MATCH('2018'!L$6,DataEx!$7:$7,0))</f>
        <v>266189636.84999999</v>
      </c>
      <c r="M65" s="236">
        <f>+INDEX(DataEx!$1:$1048576,MATCH('2018'!$A65,DataEx!$D:$D,0),MATCH('2018'!M$6,DataEx!$7:$7,0))</f>
        <v>15363581.189999999</v>
      </c>
      <c r="N65" s="236">
        <f>+INDEX(DataEx!$1:$1048576,MATCH('2018'!$A65,DataEx!$D:$D,0),MATCH('2018'!N$6,DataEx!$7:$7,0))</f>
        <v>13117458.42</v>
      </c>
      <c r="O65" s="236">
        <f>+INDEX(DataEx!$1:$1048576,MATCH('2018'!$A65,DataEx!$D:$D,0),MATCH('2018'!O$6,DataEx!$7:$7,0))</f>
        <v>16543113.73</v>
      </c>
      <c r="P65" s="236">
        <f>+INDEX(DataEx!$1:$1048576,MATCH('2018'!$A65,DataEx!$D:$D,0),MATCH('2018'!P$6,DataEx!$7:$7,0))</f>
        <v>18813731.219999999</v>
      </c>
      <c r="Q65" s="236">
        <f>+INDEX(DataEx!$1:$1048576,MATCH('2018'!$A65,DataEx!$D:$D,0),MATCH('2018'!Q$6,DataEx!$7:$7,0))</f>
        <v>38823788.329999998</v>
      </c>
      <c r="R65" s="236">
        <f>+INDEX(DataEx!$1:$1048576,MATCH('2018'!$A65,DataEx!$D:$D,0),MATCH('2018'!R$6,DataEx!$7:$7,0))</f>
        <v>24442619.199999999</v>
      </c>
      <c r="S65" s="289">
        <f t="shared" si="3"/>
        <v>909773438.82000017</v>
      </c>
      <c r="T65" s="290">
        <f t="shared" si="4"/>
        <v>0.19510474776324258</v>
      </c>
    </row>
    <row r="66" spans="1:20">
      <c r="A66" s="169">
        <v>72</v>
      </c>
      <c r="B66" s="460" t="str">
        <f>+VLOOKUP($A66,Master!$D$27:$G$225,4,FALSE)</f>
        <v>Primici od prodaje imovine</v>
      </c>
      <c r="C66" s="461"/>
      <c r="D66" s="461"/>
      <c r="E66" s="461"/>
      <c r="F66" s="461"/>
      <c r="G66" s="236">
        <f>+INDEX(DataEx!$1:$1048576,MATCH('2018'!$A66,DataEx!$D:$D,0),MATCH('2018'!G$6,DataEx!$7:$7,0))</f>
        <v>136671.79999999999</v>
      </c>
      <c r="H66" s="236">
        <f>+INDEX(DataEx!$1:$1048576,MATCH('2018'!$A66,DataEx!$D:$D,0),MATCH('2018'!H$6,DataEx!$7:$7,0))</f>
        <v>273046.61</v>
      </c>
      <c r="I66" s="236">
        <f>+INDEX(DataEx!$1:$1048576,MATCH('2018'!$A66,DataEx!$D:$D,0),MATCH('2018'!I$6,DataEx!$7:$7,0))</f>
        <v>2343256.64</v>
      </c>
      <c r="J66" s="236">
        <f>+INDEX(DataEx!$1:$1048576,MATCH('2018'!$A66,DataEx!$D:$D,0),MATCH('2018'!J$6,DataEx!$7:$7,0))</f>
        <v>108273.11</v>
      </c>
      <c r="K66" s="236">
        <f>+INDEX(DataEx!$1:$1048576,MATCH('2018'!$A66,DataEx!$D:$D,0),MATCH('2018'!K$6,DataEx!$7:$7,0))</f>
        <v>215845.16</v>
      </c>
      <c r="L66" s="236">
        <f>+INDEX(DataEx!$1:$1048576,MATCH('2018'!$A66,DataEx!$D:$D,0),MATCH('2018'!L$6,DataEx!$7:$7,0))</f>
        <v>10312117.130000001</v>
      </c>
      <c r="M66" s="236">
        <f>+INDEX(DataEx!$1:$1048576,MATCH('2018'!$A66,DataEx!$D:$D,0),MATCH('2018'!M$6,DataEx!$7:$7,0))</f>
        <v>406327.81</v>
      </c>
      <c r="N66" s="236">
        <f>+INDEX(DataEx!$1:$1048576,MATCH('2018'!$A66,DataEx!$D:$D,0),MATCH('2018'!N$6,DataEx!$7:$7,0))</f>
        <v>257929.95</v>
      </c>
      <c r="O66" s="236">
        <f>+INDEX(DataEx!$1:$1048576,MATCH('2018'!$A66,DataEx!$D:$D,0),MATCH('2018'!O$6,DataEx!$7:$7,0))</f>
        <v>223709.29</v>
      </c>
      <c r="P66" s="236">
        <f>+INDEX(DataEx!$1:$1048576,MATCH('2018'!$A66,DataEx!$D:$D,0),MATCH('2018'!P$6,DataEx!$7:$7,0))</f>
        <v>158760.32999999999</v>
      </c>
      <c r="Q66" s="236">
        <f>+INDEX(DataEx!$1:$1048576,MATCH('2018'!$A66,DataEx!$D:$D,0),MATCH('2018'!Q$6,DataEx!$7:$7,0))</f>
        <v>314684.94</v>
      </c>
      <c r="R66" s="236">
        <f>+INDEX(DataEx!$1:$1048576,MATCH('2018'!$A66,DataEx!$D:$D,0),MATCH('2018'!R$6,DataEx!$7:$7,0))</f>
        <v>998458.94</v>
      </c>
      <c r="S66" s="289">
        <f t="shared" si="3"/>
        <v>15749081.709999999</v>
      </c>
      <c r="T66" s="290">
        <f t="shared" si="4"/>
        <v>3.3774569397383657E-3</v>
      </c>
    </row>
    <row r="67" spans="1:20" ht="13.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f>-G62-SUM(G64:G66)</f>
        <v>25846062.949999996</v>
      </c>
      <c r="H67" s="250">
        <f t="shared" ref="H67:R67" si="15">-H62-SUM(H64:H66)</f>
        <v>-25439657.240000017</v>
      </c>
      <c r="I67" s="250">
        <f t="shared" si="15"/>
        <v>24360167.480000034</v>
      </c>
      <c r="J67" s="250">
        <f t="shared" si="15"/>
        <v>-114655593.96000004</v>
      </c>
      <c r="K67" s="250">
        <f t="shared" si="15"/>
        <v>78728714.38000001</v>
      </c>
      <c r="L67" s="250">
        <f t="shared" si="15"/>
        <v>-242184361.89000005</v>
      </c>
      <c r="M67" s="250">
        <f t="shared" si="15"/>
        <v>5531991.6700000092</v>
      </c>
      <c r="N67" s="250">
        <f t="shared" si="15"/>
        <v>-7899309.0700000226</v>
      </c>
      <c r="O67" s="250">
        <f t="shared" si="15"/>
        <v>-20563117.84</v>
      </c>
      <c r="P67" s="250">
        <f t="shared" si="15"/>
        <v>-575826.98000000417</v>
      </c>
      <c r="Q67" s="250">
        <f t="shared" si="15"/>
        <v>15349603.270000026</v>
      </c>
      <c r="R67" s="250">
        <f t="shared" si="15"/>
        <v>84910673.260000005</v>
      </c>
      <c r="S67" s="295">
        <f>+SUM(G67:R67)</f>
        <v>-176590653.97000003</v>
      </c>
      <c r="T67" s="296">
        <f t="shared" si="4"/>
        <v>-3.787060990135107E-2</v>
      </c>
    </row>
    <row r="68" spans="1:20">
      <c r="R68" s="388"/>
    </row>
    <row r="73" spans="1:20">
      <c r="R73" s="359"/>
    </row>
    <row r="101" spans="1:21"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1:21" ht="13.5" thickBot="1">
      <c r="G102" s="69" t="str">
        <f t="shared" ref="G102:R102" si="16">+CONCATENATE(G6,"p")</f>
        <v>2018-01p</v>
      </c>
      <c r="H102" s="69" t="str">
        <f t="shared" si="16"/>
        <v>2018-02p</v>
      </c>
      <c r="I102" s="69" t="str">
        <f t="shared" si="16"/>
        <v>2018-03p</v>
      </c>
      <c r="J102" s="69" t="str">
        <f t="shared" si="16"/>
        <v>2018-04p</v>
      </c>
      <c r="K102" s="69" t="str">
        <f t="shared" si="16"/>
        <v>2018-05p</v>
      </c>
      <c r="L102" s="69" t="str">
        <f t="shared" si="16"/>
        <v>2018-06p</v>
      </c>
      <c r="M102" s="69" t="str">
        <f t="shared" si="16"/>
        <v>2018-07p</v>
      </c>
      <c r="N102" s="69" t="str">
        <f t="shared" si="16"/>
        <v>2018-08p</v>
      </c>
      <c r="O102" s="69" t="str">
        <f t="shared" si="16"/>
        <v>2018-09p</v>
      </c>
      <c r="P102" s="69" t="str">
        <f t="shared" si="16"/>
        <v>2018-10p</v>
      </c>
      <c r="Q102" s="69" t="str">
        <f t="shared" si="16"/>
        <v>2018-11p</v>
      </c>
      <c r="R102" s="69" t="str">
        <f t="shared" si="16"/>
        <v>2018-12p</v>
      </c>
    </row>
    <row r="103" spans="1:21" ht="15.75" customHeight="1" thickBot="1">
      <c r="B103" s="547" t="str">
        <f>+Master!G252</f>
        <v>Plan ostvarenja budžeta</v>
      </c>
      <c r="C103" s="548"/>
      <c r="D103" s="548"/>
      <c r="E103" s="548"/>
      <c r="F103" s="548"/>
      <c r="G103" s="540">
        <v>2018</v>
      </c>
      <c r="H103" s="541"/>
      <c r="I103" s="541"/>
      <c r="J103" s="541"/>
      <c r="K103" s="541"/>
      <c r="L103" s="541"/>
      <c r="M103" s="541"/>
      <c r="N103" s="541"/>
      <c r="O103" s="541"/>
      <c r="P103" s="541"/>
      <c r="Q103" s="541"/>
      <c r="R103" s="542"/>
      <c r="S103" s="115" t="str">
        <f>+S7</f>
        <v>BDP</v>
      </c>
      <c r="T103" s="116">
        <f>+T7</f>
        <v>4663000000</v>
      </c>
    </row>
    <row r="104" spans="1:21" ht="15.75" customHeight="1">
      <c r="B104" s="549"/>
      <c r="C104" s="550"/>
      <c r="D104" s="550"/>
      <c r="E104" s="550"/>
      <c r="F104" s="551"/>
      <c r="G104" s="73" t="str">
        <f t="shared" ref="G104:R104" si="17">+G8</f>
        <v>Januar</v>
      </c>
      <c r="H104" s="73" t="str">
        <f t="shared" si="17"/>
        <v>Februar</v>
      </c>
      <c r="I104" s="73" t="str">
        <f t="shared" si="17"/>
        <v>Mart</v>
      </c>
      <c r="J104" s="73" t="str">
        <f t="shared" si="17"/>
        <v>April</v>
      </c>
      <c r="K104" s="73" t="str">
        <f t="shared" si="17"/>
        <v>Maj</v>
      </c>
      <c r="L104" s="73" t="str">
        <f t="shared" si="17"/>
        <v>Jun</v>
      </c>
      <c r="M104" s="73" t="str">
        <f t="shared" si="17"/>
        <v>Jul</v>
      </c>
      <c r="N104" s="73" t="str">
        <f t="shared" si="17"/>
        <v>Avgust</v>
      </c>
      <c r="O104" s="73" t="str">
        <f t="shared" si="17"/>
        <v>Septembar</v>
      </c>
      <c r="P104" s="73" t="str">
        <f t="shared" si="17"/>
        <v>Oktobar</v>
      </c>
      <c r="Q104" s="73" t="str">
        <f t="shared" si="17"/>
        <v>Novembar</v>
      </c>
      <c r="R104" s="73" t="str">
        <f t="shared" si="17"/>
        <v>Decembar</v>
      </c>
      <c r="S104" s="540" t="str">
        <f>+Master!G246</f>
        <v>Jan - Dec</v>
      </c>
      <c r="T104" s="542">
        <f>+T8</f>
        <v>0</v>
      </c>
    </row>
    <row r="105" spans="1:21" ht="13.5" thickBot="1">
      <c r="B105" s="552"/>
      <c r="C105" s="553"/>
      <c r="D105" s="553"/>
      <c r="E105" s="553"/>
      <c r="F105" s="554"/>
      <c r="G105" s="68" t="s">
        <v>423</v>
      </c>
      <c r="H105" s="68" t="s">
        <v>423</v>
      </c>
      <c r="I105" s="68" t="s">
        <v>423</v>
      </c>
      <c r="J105" s="68" t="s">
        <v>423</v>
      </c>
      <c r="K105" s="68" t="s">
        <v>423</v>
      </c>
      <c r="L105" s="68" t="s">
        <v>423</v>
      </c>
      <c r="M105" s="68" t="s">
        <v>423</v>
      </c>
      <c r="N105" s="68" t="s">
        <v>423</v>
      </c>
      <c r="O105" s="68" t="s">
        <v>423</v>
      </c>
      <c r="P105" s="68" t="s">
        <v>423</v>
      </c>
      <c r="Q105" s="68" t="s">
        <v>423</v>
      </c>
      <c r="R105" s="68" t="s">
        <v>423</v>
      </c>
      <c r="S105" s="66" t="s">
        <v>423</v>
      </c>
      <c r="T105" s="67" t="str">
        <f>+T9</f>
        <v>% BDP</v>
      </c>
    </row>
    <row r="106" spans="1:21" ht="13.5" thickBot="1">
      <c r="A106" s="137" t="str">
        <f t="shared" ref="A106:A148" si="18">+CONCATENATE(A10,"p")</f>
        <v>7p</v>
      </c>
      <c r="B106" s="543" t="str">
        <f>+VLOOKUP(LEFT($A106,LEN(A106)-1)*1,Master!$D$27:$G$225,4,FALSE)</f>
        <v>Prihodi budžeta</v>
      </c>
      <c r="C106" s="544"/>
      <c r="D106" s="544"/>
      <c r="E106" s="544"/>
      <c r="F106" s="544"/>
      <c r="G106" s="97">
        <f t="shared" ref="G106:R106" si="19">+G107+G115+SUM(G120:G124)</f>
        <v>81544844.829999998</v>
      </c>
      <c r="H106" s="97">
        <f t="shared" si="19"/>
        <v>107080108.15000001</v>
      </c>
      <c r="I106" s="97">
        <f t="shared" si="19"/>
        <v>138858355.53999999</v>
      </c>
      <c r="J106" s="97">
        <f t="shared" si="19"/>
        <v>156827966.73000002</v>
      </c>
      <c r="K106" s="97">
        <f t="shared" si="19"/>
        <v>138843088.16999999</v>
      </c>
      <c r="L106" s="97">
        <f t="shared" si="19"/>
        <v>140627820.80000001</v>
      </c>
      <c r="M106" s="97">
        <f t="shared" si="19"/>
        <v>157046601.92834741</v>
      </c>
      <c r="N106" s="97">
        <f t="shared" si="19"/>
        <v>163617557.5108614</v>
      </c>
      <c r="O106" s="97">
        <f t="shared" si="19"/>
        <v>188465142.08181426</v>
      </c>
      <c r="P106" s="97">
        <f t="shared" si="19"/>
        <v>150992049.40287438</v>
      </c>
      <c r="Q106" s="97">
        <f t="shared" si="19"/>
        <v>136862712.00099453</v>
      </c>
      <c r="R106" s="97">
        <f t="shared" si="19"/>
        <v>196236973.98932049</v>
      </c>
      <c r="S106" s="121">
        <f>+SUM(G106:R106)</f>
        <v>1757003221.1342125</v>
      </c>
      <c r="T106" s="122">
        <f>+S106/$T$7</f>
        <v>0.37679674482826775</v>
      </c>
    </row>
    <row r="107" spans="1:21">
      <c r="A107" s="137" t="str">
        <f t="shared" si="18"/>
        <v>711p</v>
      </c>
      <c r="B107" s="545" t="str">
        <f>+VLOOKUP(LEFT($A107,LEN(A107)-1)*1,Master!$D$27:$G$225,4,FALSE)</f>
        <v>Porezi</v>
      </c>
      <c r="C107" s="546"/>
      <c r="D107" s="546"/>
      <c r="E107" s="546"/>
      <c r="F107" s="546"/>
      <c r="G107" s="81">
        <f t="shared" ref="G107:R107" si="20">+SUM(G108:G114)</f>
        <v>60295851.510000005</v>
      </c>
      <c r="H107" s="81">
        <f t="shared" si="20"/>
        <v>64797597.330000006</v>
      </c>
      <c r="I107" s="81">
        <f t="shared" si="20"/>
        <v>89261850.609999985</v>
      </c>
      <c r="J107" s="81">
        <f t="shared" si="20"/>
        <v>97799793.080000013</v>
      </c>
      <c r="K107" s="81">
        <f t="shared" si="20"/>
        <v>90553351.069999993</v>
      </c>
      <c r="L107" s="81">
        <f t="shared" si="20"/>
        <v>87503254.430000007</v>
      </c>
      <c r="M107" s="81">
        <f t="shared" si="20"/>
        <v>99397799.482830197</v>
      </c>
      <c r="N107" s="81">
        <f t="shared" si="20"/>
        <v>110357770.3498607</v>
      </c>
      <c r="O107" s="81">
        <f t="shared" si="20"/>
        <v>102093047.15872496</v>
      </c>
      <c r="P107" s="81">
        <f t="shared" si="20"/>
        <v>95698512.829288453</v>
      </c>
      <c r="Q107" s="81">
        <f t="shared" si="20"/>
        <v>82424829.046484277</v>
      </c>
      <c r="R107" s="82">
        <f t="shared" si="20"/>
        <v>98213532.499999791</v>
      </c>
      <c r="S107" s="123">
        <f t="shared" ref="S107:S162" si="21">+SUM(G107:R107)</f>
        <v>1078397189.3971882</v>
      </c>
      <c r="T107" s="124">
        <f t="shared" ref="T107:T162" si="22">+S107/$T$7</f>
        <v>0.23126682165927262</v>
      </c>
      <c r="U107" s="302"/>
    </row>
    <row r="108" spans="1:21">
      <c r="A108" s="137" t="str">
        <f t="shared" si="18"/>
        <v>7111p</v>
      </c>
      <c r="B108" s="526" t="str">
        <f>+VLOOKUP(LEFT($A108,LEN(A108)-1)*1,Master!$D$27:$G$225,4,FALSE)</f>
        <v>Porez na dohodak fizičkih lica</v>
      </c>
      <c r="C108" s="527"/>
      <c r="D108" s="527"/>
      <c r="E108" s="527"/>
      <c r="F108" s="527"/>
      <c r="G108" s="91">
        <f>+SUM(DataEx!ET220)</f>
        <v>3496624.83</v>
      </c>
      <c r="H108" s="91">
        <f>+SUM(DataEx!EU220)</f>
        <v>8897390.9499999993</v>
      </c>
      <c r="I108" s="91">
        <f>+SUM(DataEx!EV220)</f>
        <v>10001520.890000001</v>
      </c>
      <c r="J108" s="91">
        <f>+SUM(DataEx!EW220)</f>
        <v>9899613.5099999998</v>
      </c>
      <c r="K108" s="91">
        <f>+SUM(DataEx!EX220)</f>
        <v>10330673.77</v>
      </c>
      <c r="L108" s="91">
        <f>+SUM(DataEx!EY220)</f>
        <v>10475384.99</v>
      </c>
      <c r="M108" s="91">
        <f>+SUM(DataEx!EZ220)</f>
        <v>11459377.222866835</v>
      </c>
      <c r="N108" s="91">
        <f>+SUM(DataEx!FA220)</f>
        <v>11349599.062734554</v>
      </c>
      <c r="O108" s="91">
        <f>+SUM(DataEx!FB220)</f>
        <v>10410490.432834331</v>
      </c>
      <c r="P108" s="91">
        <f>+SUM(DataEx!FC220)</f>
        <v>11079108.171049241</v>
      </c>
      <c r="Q108" s="91">
        <f>+SUM(DataEx!FD220)</f>
        <v>8309878.0236359257</v>
      </c>
      <c r="R108" s="91">
        <f>+SUM(DataEx!FE220)</f>
        <v>15650000.315266687</v>
      </c>
      <c r="S108" s="125">
        <f t="shared" si="21"/>
        <v>121359662.16838756</v>
      </c>
      <c r="T108" s="126">
        <f t="shared" si="22"/>
        <v>2.602609096469817E-2</v>
      </c>
    </row>
    <row r="109" spans="1:21">
      <c r="A109" s="137" t="str">
        <f t="shared" si="18"/>
        <v>7112p</v>
      </c>
      <c r="B109" s="526" t="str">
        <f>+VLOOKUP(LEFT($A109,LEN(A109)-1)*1,Master!$D$27:$G$225,4,FALSE)</f>
        <v>Porez na dobit pravnih lica</v>
      </c>
      <c r="C109" s="527"/>
      <c r="D109" s="527"/>
      <c r="E109" s="527"/>
      <c r="F109" s="527"/>
      <c r="G109" s="91">
        <f>+SUM(DataEx!ET221)</f>
        <v>475602.8</v>
      </c>
      <c r="H109" s="91">
        <f>+SUM(DataEx!EU221)</f>
        <v>1641570.62</v>
      </c>
      <c r="I109" s="91">
        <f>+SUM(DataEx!EV221)</f>
        <v>22262597.649999999</v>
      </c>
      <c r="J109" s="91">
        <f>+SUM(DataEx!EW221)</f>
        <v>18095823.48</v>
      </c>
      <c r="K109" s="91">
        <f>+SUM(DataEx!EX221)</f>
        <v>3730435.57</v>
      </c>
      <c r="L109" s="91">
        <f>+SUM(DataEx!EY221)</f>
        <v>3402383.37</v>
      </c>
      <c r="M109" s="91">
        <f>+SUM(DataEx!EZ221)</f>
        <v>2907159.2955213021</v>
      </c>
      <c r="N109" s="91">
        <f>+SUM(DataEx!FA221)</f>
        <v>3013650.2072513374</v>
      </c>
      <c r="O109" s="91">
        <f>+SUM(DataEx!FB221)</f>
        <v>1324416.4348228676</v>
      </c>
      <c r="P109" s="91">
        <f>+SUM(DataEx!FC221)</f>
        <v>2025728.058812635</v>
      </c>
      <c r="Q109" s="91">
        <f>+SUM(DataEx!FD221)</f>
        <v>801101.06022479141</v>
      </c>
      <c r="R109" s="91">
        <f>+SUM(DataEx!FE221)</f>
        <v>1997896.823773731</v>
      </c>
      <c r="S109" s="125">
        <f t="shared" si="21"/>
        <v>61678365.370406665</v>
      </c>
      <c r="T109" s="126">
        <f t="shared" si="22"/>
        <v>1.3227185367876189E-2</v>
      </c>
    </row>
    <row r="110" spans="1:21">
      <c r="A110" s="137" t="str">
        <f t="shared" si="18"/>
        <v>7113p</v>
      </c>
      <c r="B110" s="526" t="str">
        <f>+VLOOKUP(LEFT($A110,LEN(A110)-1)*1,Master!$D$27:$G$225,4,FALSE)</f>
        <v>Porez na promet nepokretnosti</v>
      </c>
      <c r="C110" s="527"/>
      <c r="D110" s="527"/>
      <c r="E110" s="527"/>
      <c r="F110" s="527"/>
      <c r="G110" s="91">
        <f>+SUM(DataEx!ET222)</f>
        <v>93380.49</v>
      </c>
      <c r="H110" s="91">
        <f>+SUM(DataEx!EU222)</f>
        <v>116565.53</v>
      </c>
      <c r="I110" s="91">
        <f>+SUM(DataEx!EV222)</f>
        <v>203411.31</v>
      </c>
      <c r="J110" s="91">
        <f>+SUM(DataEx!EW222)</f>
        <v>117398.62</v>
      </c>
      <c r="K110" s="91">
        <f>+SUM(DataEx!EX222)</f>
        <v>143886.48000000001</v>
      </c>
      <c r="L110" s="91">
        <f>+SUM(DataEx!EY222)</f>
        <v>122124.66</v>
      </c>
      <c r="M110" s="91">
        <f>+SUM(DataEx!EZ222)</f>
        <v>165237.90094273287</v>
      </c>
      <c r="N110" s="91">
        <f>+SUM(DataEx!FA222)</f>
        <v>179232.92735336185</v>
      </c>
      <c r="O110" s="91">
        <f>+SUM(DataEx!FB222)</f>
        <v>136199.31001440389</v>
      </c>
      <c r="P110" s="91">
        <f>+SUM(DataEx!FC222)</f>
        <v>229977.20409803133</v>
      </c>
      <c r="Q110" s="91">
        <f>+SUM(DataEx!FD222)</f>
        <v>194711.60663450463</v>
      </c>
      <c r="R110" s="91">
        <f>+SUM(DataEx!FE222)</f>
        <v>152772.0914955248</v>
      </c>
      <c r="S110" s="125">
        <f t="shared" si="21"/>
        <v>1854898.1305385595</v>
      </c>
      <c r="T110" s="126">
        <f t="shared" si="22"/>
        <v>3.9779072068165549E-4</v>
      </c>
    </row>
    <row r="111" spans="1:21">
      <c r="A111" s="137" t="str">
        <f t="shared" si="18"/>
        <v>7114p</v>
      </c>
      <c r="B111" s="526" t="str">
        <f>+VLOOKUP(LEFT($A111,LEN(A111)-1)*1,Master!$D$27:$G$225,4,FALSE)</f>
        <v>Porez na dodatu vrijednost</v>
      </c>
      <c r="C111" s="527"/>
      <c r="D111" s="527"/>
      <c r="E111" s="527"/>
      <c r="F111" s="527"/>
      <c r="G111" s="91">
        <f>+SUM(DataEx!ET223)</f>
        <v>40926868.810000002</v>
      </c>
      <c r="H111" s="91">
        <f>+SUM(DataEx!EU223)</f>
        <v>38270122.18</v>
      </c>
      <c r="I111" s="91">
        <f>+SUM(DataEx!EV223)</f>
        <v>40510183.409999996</v>
      </c>
      <c r="J111" s="91">
        <f>+SUM(DataEx!EW223)</f>
        <v>50343037.649999999</v>
      </c>
      <c r="K111" s="91">
        <f>+SUM(DataEx!EX223)</f>
        <v>53847636.579999998</v>
      </c>
      <c r="L111" s="91">
        <f>+SUM(DataEx!EY223)</f>
        <v>52130099.289999999</v>
      </c>
      <c r="M111" s="91">
        <f>+SUM(DataEx!EZ223)</f>
        <v>58718115.561732136</v>
      </c>
      <c r="N111" s="91">
        <f>+SUM(DataEx!FA223)</f>
        <v>64446747.698135167</v>
      </c>
      <c r="O111" s="91">
        <f>+SUM(DataEx!FB223)</f>
        <v>60581956.959091514</v>
      </c>
      <c r="P111" s="91">
        <f>+SUM(DataEx!FC223)</f>
        <v>56752286.283165328</v>
      </c>
      <c r="Q111" s="91">
        <f>+SUM(DataEx!FD223)</f>
        <v>50951819.125281952</v>
      </c>
      <c r="R111" s="91">
        <f>+SUM(DataEx!FE223)</f>
        <v>56912908.473788776</v>
      </c>
      <c r="S111" s="125">
        <f t="shared" si="21"/>
        <v>624391782.02119482</v>
      </c>
      <c r="T111" s="126">
        <f t="shared" si="22"/>
        <v>0.13390344885721528</v>
      </c>
    </row>
    <row r="112" spans="1:21">
      <c r="A112" s="137" t="str">
        <f t="shared" si="18"/>
        <v>7115p</v>
      </c>
      <c r="B112" s="526" t="str">
        <f>+VLOOKUP(LEFT($A112,LEN(A112)-1)*1,Master!$D$27:$G$225,4,FALSE)</f>
        <v>Akcize</v>
      </c>
      <c r="C112" s="527"/>
      <c r="D112" s="527"/>
      <c r="E112" s="527"/>
      <c r="F112" s="527"/>
      <c r="G112" s="91">
        <f>+SUM(DataEx!ET224)</f>
        <v>13370061.67</v>
      </c>
      <c r="H112" s="91">
        <f>+SUM(DataEx!EU224)</f>
        <v>13585674.48</v>
      </c>
      <c r="I112" s="91">
        <f>+SUM(DataEx!EV224)</f>
        <v>13376493.630000001</v>
      </c>
      <c r="J112" s="91">
        <f>+SUM(DataEx!EW224)</f>
        <v>16425170.310000001</v>
      </c>
      <c r="K112" s="91">
        <f>+SUM(DataEx!EX224)</f>
        <v>19160303.329999998</v>
      </c>
      <c r="L112" s="91">
        <f>+SUM(DataEx!EY224)</f>
        <v>18124078.879999999</v>
      </c>
      <c r="M112" s="91">
        <f>+SUM(DataEx!EZ224)</f>
        <v>22564675.182721738</v>
      </c>
      <c r="N112" s="91">
        <f>+SUM(DataEx!FA224)</f>
        <v>27485729.223607898</v>
      </c>
      <c r="O112" s="91">
        <f>+SUM(DataEx!FB224)</f>
        <v>26516012.978469536</v>
      </c>
      <c r="P112" s="91">
        <f>+SUM(DataEx!FC224)</f>
        <v>22441791.757639553</v>
      </c>
      <c r="Q112" s="91">
        <f>+SUM(DataEx!FD224)</f>
        <v>19412572.915558279</v>
      </c>
      <c r="R112" s="91">
        <f>+SUM(DataEx!FE224)</f>
        <v>20235266.586429998</v>
      </c>
      <c r="S112" s="125">
        <f t="shared" si="21"/>
        <v>232697830.94442701</v>
      </c>
      <c r="T112" s="126">
        <f t="shared" si="22"/>
        <v>4.9903030440580531E-2</v>
      </c>
    </row>
    <row r="113" spans="1:20">
      <c r="A113" s="137" t="str">
        <f t="shared" si="18"/>
        <v>7116p</v>
      </c>
      <c r="B113" s="526" t="str">
        <f>+VLOOKUP(LEFT($A113,LEN(A113)-1)*1,Master!$D$27:$G$225,4,FALSE)</f>
        <v>Porez na međunarodnu trgovinu i transakcije</v>
      </c>
      <c r="C113" s="527"/>
      <c r="D113" s="527"/>
      <c r="E113" s="527"/>
      <c r="F113" s="527"/>
      <c r="G113" s="91">
        <f>+SUM(DataEx!ET225)</f>
        <v>1218936.71</v>
      </c>
      <c r="H113" s="91">
        <f>+SUM(DataEx!EU225)</f>
        <v>1678360</v>
      </c>
      <c r="I113" s="91">
        <f>+SUM(DataEx!EV225)</f>
        <v>2228428.98</v>
      </c>
      <c r="J113" s="91">
        <f>+SUM(DataEx!EW225)</f>
        <v>2192466.4500000002</v>
      </c>
      <c r="K113" s="91">
        <f>+SUM(DataEx!EX225)</f>
        <v>2597651.13</v>
      </c>
      <c r="L113" s="91">
        <f>+SUM(DataEx!EY225)</f>
        <v>2330703.23</v>
      </c>
      <c r="M113" s="91">
        <f>+SUM(DataEx!EZ225)</f>
        <v>2655462.9671497694</v>
      </c>
      <c r="N113" s="91">
        <f>+SUM(DataEx!FA225)</f>
        <v>3013417.3907755367</v>
      </c>
      <c r="O113" s="91">
        <f>+SUM(DataEx!FB225)</f>
        <v>2264822.404288616</v>
      </c>
      <c r="P113" s="91">
        <f>+SUM(DataEx!FC225)</f>
        <v>2282422.1778777274</v>
      </c>
      <c r="Q113" s="91">
        <f>+SUM(DataEx!FD225)</f>
        <v>1990595.3450587576</v>
      </c>
      <c r="R113" s="91">
        <f>+SUM(DataEx!FE225)</f>
        <v>2406738.0925977062</v>
      </c>
      <c r="S113" s="125">
        <f t="shared" si="21"/>
        <v>26860004.877748117</v>
      </c>
      <c r="T113" s="126">
        <f t="shared" si="22"/>
        <v>5.7602412347733467E-3</v>
      </c>
    </row>
    <row r="114" spans="1:20">
      <c r="A114" s="137" t="str">
        <f t="shared" si="18"/>
        <v>7118p</v>
      </c>
      <c r="B114" s="526" t="str">
        <f>+VLOOKUP(LEFT($A114,LEN(A114)-1)*1,Master!$D$27:$G$225,4,FALSE)</f>
        <v>Ostali državni porezi</v>
      </c>
      <c r="C114" s="527"/>
      <c r="D114" s="527"/>
      <c r="E114" s="527"/>
      <c r="F114" s="527"/>
      <c r="G114" s="91">
        <f>+SUM(DataEx!ET227)</f>
        <v>714376.2</v>
      </c>
      <c r="H114" s="91">
        <f>+SUM(DataEx!EU227)</f>
        <v>607913.56999999995</v>
      </c>
      <c r="I114" s="91">
        <f>+SUM(DataEx!EV227)</f>
        <v>679214.74</v>
      </c>
      <c r="J114" s="91">
        <f>+SUM(DataEx!EW227)</f>
        <v>726283.06</v>
      </c>
      <c r="K114" s="91">
        <f>+SUM(DataEx!EX227)</f>
        <v>742764.21</v>
      </c>
      <c r="L114" s="91">
        <f>+SUM(DataEx!EY227)</f>
        <v>918480.01</v>
      </c>
      <c r="M114" s="91">
        <f>+SUM(DataEx!EZ227)</f>
        <v>927771.35189568857</v>
      </c>
      <c r="N114" s="91">
        <f>+SUM(DataEx!FA227)</f>
        <v>869393.84000284644</v>
      </c>
      <c r="O114" s="91">
        <f>+SUM(DataEx!FB227)</f>
        <v>859148.63920368766</v>
      </c>
      <c r="P114" s="91">
        <f>+SUM(DataEx!FC227)</f>
        <v>887199.17664592748</v>
      </c>
      <c r="Q114" s="91">
        <f>+SUM(DataEx!FD227)</f>
        <v>764150.97009006375</v>
      </c>
      <c r="R114" s="91">
        <f>+SUM(DataEx!FE227)</f>
        <v>857950.11664736422</v>
      </c>
      <c r="S114" s="125">
        <f t="shared" si="21"/>
        <v>9554645.8844855782</v>
      </c>
      <c r="T114" s="126">
        <f t="shared" si="22"/>
        <v>2.0490340734474755E-3</v>
      </c>
    </row>
    <row r="115" spans="1:20">
      <c r="A115" s="137" t="str">
        <f t="shared" si="18"/>
        <v>712p</v>
      </c>
      <c r="B115" s="538" t="str">
        <f>+VLOOKUP(LEFT($A115,LEN(A115)-1)*1,Master!$D$27:$G$225,4,FALSE)</f>
        <v>Doprinosi</v>
      </c>
      <c r="C115" s="539"/>
      <c r="D115" s="539"/>
      <c r="E115" s="539"/>
      <c r="F115" s="539"/>
      <c r="G115" s="83">
        <f>+SUM(G116:G119)</f>
        <v>14572676.99</v>
      </c>
      <c r="H115" s="83">
        <f t="shared" ref="H115:R115" si="23">+SUM(H116:H119)</f>
        <v>36938118.07</v>
      </c>
      <c r="I115" s="83">
        <f t="shared" si="23"/>
        <v>43053255.970000006</v>
      </c>
      <c r="J115" s="83">
        <f t="shared" si="23"/>
        <v>41029948.000000007</v>
      </c>
      <c r="K115" s="83">
        <f t="shared" si="23"/>
        <v>40388291.549999997</v>
      </c>
      <c r="L115" s="83">
        <f t="shared" si="23"/>
        <v>42077356.240000002</v>
      </c>
      <c r="M115" s="83">
        <f t="shared" si="23"/>
        <v>46362054.926801726</v>
      </c>
      <c r="N115" s="83">
        <f t="shared" si="23"/>
        <v>45724084.253699668</v>
      </c>
      <c r="O115" s="83">
        <f t="shared" si="23"/>
        <v>41947258.969554022</v>
      </c>
      <c r="P115" s="83">
        <f t="shared" si="23"/>
        <v>44433442.802094914</v>
      </c>
      <c r="Q115" s="83">
        <f t="shared" si="23"/>
        <v>45788790.684398532</v>
      </c>
      <c r="R115" s="84">
        <f t="shared" si="23"/>
        <v>79938550.463845864</v>
      </c>
      <c r="S115" s="127">
        <f t="shared" si="21"/>
        <v>522253828.92039472</v>
      </c>
      <c r="T115" s="128">
        <f t="shared" si="22"/>
        <v>0.11199953440282966</v>
      </c>
    </row>
    <row r="116" spans="1:20">
      <c r="A116" s="137" t="str">
        <f t="shared" si="18"/>
        <v>7121p</v>
      </c>
      <c r="B116" s="526" t="str">
        <f>+VLOOKUP(LEFT($A116,LEN(A116)-1)*1,Master!$D$27:$G$225,4,FALSE)</f>
        <v>Doprinosi za penzijsko i invalidsko osiguranje</v>
      </c>
      <c r="C116" s="527"/>
      <c r="D116" s="527"/>
      <c r="E116" s="527"/>
      <c r="F116" s="527"/>
      <c r="G116" s="91">
        <f>+SUM(DataEx!ET229)</f>
        <v>8994145.9900000002</v>
      </c>
      <c r="H116" s="91">
        <f>+SUM(DataEx!EU229)</f>
        <v>22424749.280000001</v>
      </c>
      <c r="I116" s="91">
        <f>+SUM(DataEx!EV229)</f>
        <v>26103027.100000001</v>
      </c>
      <c r="J116" s="91">
        <f>+SUM(DataEx!EW229)</f>
        <v>24891690.100000001</v>
      </c>
      <c r="K116" s="91">
        <f>+SUM(DataEx!EX229)</f>
        <v>24475000.460000001</v>
      </c>
      <c r="L116" s="91">
        <f>+SUM(DataEx!EY229)</f>
        <v>25149415.170000002</v>
      </c>
      <c r="M116" s="91">
        <f>+SUM(DataEx!EZ229)</f>
        <v>27214533.213990007</v>
      </c>
      <c r="N116" s="91">
        <f>+SUM(DataEx!FA229)</f>
        <v>26766339.061796233</v>
      </c>
      <c r="O116" s="91">
        <f>+SUM(DataEx!FB229)</f>
        <v>24221524.281348474</v>
      </c>
      <c r="P116" s="91">
        <f>+SUM(DataEx!FC229)</f>
        <v>26183242.710226167</v>
      </c>
      <c r="Q116" s="91">
        <f>+SUM(DataEx!FD229)</f>
        <v>29430359.803999923</v>
      </c>
      <c r="R116" s="91">
        <f>+SUM(DataEx!FE229)</f>
        <v>48642087.791189887</v>
      </c>
      <c r="S116" s="125">
        <f t="shared" si="21"/>
        <v>314496114.9625507</v>
      </c>
      <c r="T116" s="126">
        <f t="shared" si="22"/>
        <v>6.7445017148305961E-2</v>
      </c>
    </row>
    <row r="117" spans="1:20">
      <c r="A117" s="137" t="str">
        <f t="shared" si="18"/>
        <v>7122p</v>
      </c>
      <c r="B117" s="526" t="str">
        <f>+VLOOKUP(LEFT($A117,LEN(A117)-1)*1,Master!$D$27:$G$225,4,FALSE)</f>
        <v>Doprinosi za zdravstveno osiguranje</v>
      </c>
      <c r="C117" s="527"/>
      <c r="D117" s="527"/>
      <c r="E117" s="527"/>
      <c r="F117" s="527"/>
      <c r="G117" s="91">
        <f>+SUM(DataEx!ET230)</f>
        <v>4907250.76</v>
      </c>
      <c r="H117" s="91">
        <f>+SUM(DataEx!EU230)</f>
        <v>12702016.77</v>
      </c>
      <c r="I117" s="91">
        <f>+SUM(DataEx!EV230)</f>
        <v>14741947.74</v>
      </c>
      <c r="J117" s="91">
        <f>+SUM(DataEx!EW230)</f>
        <v>14077229.140000001</v>
      </c>
      <c r="K117" s="91">
        <f>+SUM(DataEx!EX230)</f>
        <v>13944751.890000001</v>
      </c>
      <c r="L117" s="91">
        <f>+SUM(DataEx!EY230)</f>
        <v>14898396.42</v>
      </c>
      <c r="M117" s="91">
        <f>+SUM(DataEx!EZ230)</f>
        <v>16351036.212440157</v>
      </c>
      <c r="N117" s="91">
        <f>+SUM(DataEx!FA230)</f>
        <v>16180831.542594498</v>
      </c>
      <c r="O117" s="91">
        <f>+SUM(DataEx!FB230)</f>
        <v>14961626.025683265</v>
      </c>
      <c r="P117" s="91">
        <f>+SUM(DataEx!FC230)</f>
        <v>15948125.340694834</v>
      </c>
      <c r="Q117" s="91">
        <f>+SUM(DataEx!FD230)</f>
        <v>14572835.35145361</v>
      </c>
      <c r="R117" s="91">
        <f>+SUM(DataEx!FE230)</f>
        <v>27610027.253725816</v>
      </c>
      <c r="S117" s="125">
        <f t="shared" si="21"/>
        <v>180896074.44659218</v>
      </c>
      <c r="T117" s="126">
        <f t="shared" si="22"/>
        <v>3.8793925465707098E-2</v>
      </c>
    </row>
    <row r="118" spans="1:20">
      <c r="A118" s="137" t="str">
        <f t="shared" si="18"/>
        <v>7123p</v>
      </c>
      <c r="B118" s="526" t="str">
        <f>+VLOOKUP(LEFT($A118,LEN(A118)-1)*1,Master!$D$27:$G$225,4,FALSE)</f>
        <v>Doprinosi za osiguranje od nezaposlenosti</v>
      </c>
      <c r="C118" s="527"/>
      <c r="D118" s="527"/>
      <c r="E118" s="527"/>
      <c r="F118" s="527"/>
      <c r="G118" s="91">
        <f>+SUM(DataEx!ET231)</f>
        <v>365962.97</v>
      </c>
      <c r="H118" s="91">
        <f>+SUM(DataEx!EU231)</f>
        <v>960588.74</v>
      </c>
      <c r="I118" s="91">
        <f>+SUM(DataEx!EV231)</f>
        <v>1116426.95</v>
      </c>
      <c r="J118" s="91">
        <f>+SUM(DataEx!EW231)</f>
        <v>1036934.31</v>
      </c>
      <c r="K118" s="91">
        <f>+SUM(DataEx!EX231)</f>
        <v>1027117.44</v>
      </c>
      <c r="L118" s="91">
        <f>+SUM(DataEx!EY231)</f>
        <v>1092483.07</v>
      </c>
      <c r="M118" s="91">
        <f>+SUM(DataEx!EZ231)</f>
        <v>1576115.9476078246</v>
      </c>
      <c r="N118" s="91">
        <f>+SUM(DataEx!FA231)</f>
        <v>1557858.7518803985</v>
      </c>
      <c r="O118" s="91">
        <f>+SUM(DataEx!FB231)</f>
        <v>1653902.3276207412</v>
      </c>
      <c r="P118" s="91">
        <f>+SUM(DataEx!FC231)</f>
        <v>1132729.8160718586</v>
      </c>
      <c r="Q118" s="91">
        <f>+SUM(DataEx!FD231)</f>
        <v>1164089.0611646532</v>
      </c>
      <c r="R118" s="91">
        <f>+SUM(DataEx!FE231)</f>
        <v>1464942.2389943595</v>
      </c>
      <c r="S118" s="125">
        <f t="shared" si="21"/>
        <v>14149151.623339836</v>
      </c>
      <c r="T118" s="126">
        <f t="shared" si="22"/>
        <v>3.0343451905082211E-3</v>
      </c>
    </row>
    <row r="119" spans="1:20">
      <c r="A119" s="137" t="str">
        <f t="shared" si="18"/>
        <v>7124p</v>
      </c>
      <c r="B119" s="526" t="str">
        <f>+VLOOKUP(LEFT($A119,LEN(A119)-1)*1,Master!$D$27:$G$225,4,FALSE)</f>
        <v>Ostali doprinosi</v>
      </c>
      <c r="C119" s="527"/>
      <c r="D119" s="527"/>
      <c r="E119" s="527"/>
      <c r="F119" s="527"/>
      <c r="G119" s="91">
        <f>+SUM(DataEx!ET232)</f>
        <v>305317.27</v>
      </c>
      <c r="H119" s="91">
        <f>+SUM(DataEx!EU232)</f>
        <v>850763.28</v>
      </c>
      <c r="I119" s="91">
        <f>+SUM(DataEx!EV232)</f>
        <v>1091854.18</v>
      </c>
      <c r="J119" s="91">
        <f>+SUM(DataEx!EW232)</f>
        <v>1024094.45</v>
      </c>
      <c r="K119" s="91">
        <f>+SUM(DataEx!EX232)</f>
        <v>941421.76</v>
      </c>
      <c r="L119" s="91">
        <f>+SUM(DataEx!EY232)</f>
        <v>937061.58</v>
      </c>
      <c r="M119" s="91">
        <f>+SUM(DataEx!EZ232)</f>
        <v>1220369.5527637345</v>
      </c>
      <c r="N119" s="91">
        <f>+SUM(DataEx!FA232)</f>
        <v>1219054.8974285366</v>
      </c>
      <c r="O119" s="91">
        <f>+SUM(DataEx!FB232)</f>
        <v>1110206.3349015415</v>
      </c>
      <c r="P119" s="91">
        <f>+SUM(DataEx!FC232)</f>
        <v>1169344.9351020544</v>
      </c>
      <c r="Q119" s="91">
        <f>+SUM(DataEx!FD232)</f>
        <v>621506.46778034756</v>
      </c>
      <c r="R119" s="91">
        <f>+SUM(DataEx!FE232)</f>
        <v>2221493.1799357985</v>
      </c>
      <c r="S119" s="125">
        <f t="shared" si="21"/>
        <v>12712487.887912013</v>
      </c>
      <c r="T119" s="126">
        <f t="shared" si="22"/>
        <v>2.726246598308388E-3</v>
      </c>
    </row>
    <row r="120" spans="1:20">
      <c r="A120" s="137" t="str">
        <f t="shared" si="18"/>
        <v>713p</v>
      </c>
      <c r="B120" s="530" t="str">
        <f>+VLOOKUP(LEFT($A120,LEN(A120)-1)*1,Master!$D$27:$G$225,4,FALSE)</f>
        <v>Takse</v>
      </c>
      <c r="C120" s="531"/>
      <c r="D120" s="531"/>
      <c r="E120" s="531"/>
      <c r="F120" s="531"/>
      <c r="G120" s="85">
        <f>+SUM(DataEx!ET233)</f>
        <v>785627.23999999987</v>
      </c>
      <c r="H120" s="85">
        <f>+SUM(DataEx!EU233)</f>
        <v>993423.94</v>
      </c>
      <c r="I120" s="85">
        <f>+SUM(DataEx!EV233)</f>
        <v>1089343.29</v>
      </c>
      <c r="J120" s="85">
        <f>+SUM(DataEx!EW233)</f>
        <v>1198538.77</v>
      </c>
      <c r="K120" s="85">
        <f>+SUM(DataEx!EX233)</f>
        <v>1382138.7799999998</v>
      </c>
      <c r="L120" s="85">
        <f>+SUM(DataEx!EY233)</f>
        <v>1539773.02</v>
      </c>
      <c r="M120" s="85">
        <f>+SUM(DataEx!EZ233)</f>
        <v>1993333.2050530105</v>
      </c>
      <c r="N120" s="85">
        <f>+SUM(DataEx!FA233)</f>
        <v>2094009.8411112905</v>
      </c>
      <c r="O120" s="85">
        <f>+SUM(DataEx!FB233)</f>
        <v>1758705.3100069393</v>
      </c>
      <c r="P120" s="85">
        <f>+SUM(DataEx!FC233)</f>
        <v>1756312.8353634721</v>
      </c>
      <c r="Q120" s="85">
        <f>+SUM(DataEx!FD233)</f>
        <v>1538063.0039378535</v>
      </c>
      <c r="R120" s="85">
        <f>+SUM(DataEx!FE233)</f>
        <v>1571199.152751297</v>
      </c>
      <c r="S120" s="127">
        <f t="shared" si="21"/>
        <v>17700468.388223864</v>
      </c>
      <c r="T120" s="128">
        <f t="shared" si="22"/>
        <v>3.7959400360763167E-3</v>
      </c>
    </row>
    <row r="121" spans="1:20">
      <c r="A121" s="137" t="str">
        <f t="shared" si="18"/>
        <v>714p</v>
      </c>
      <c r="B121" s="530" t="str">
        <f>+VLOOKUP(LEFT($A121,LEN(A121)-1)*1,Master!$D$27:$G$225,4,FALSE)</f>
        <v>Naknade</v>
      </c>
      <c r="C121" s="531"/>
      <c r="D121" s="531"/>
      <c r="E121" s="531"/>
      <c r="F121" s="531"/>
      <c r="G121" s="85">
        <f>+SUM(DataEx!ET238)</f>
        <v>1774503.5699999998</v>
      </c>
      <c r="H121" s="85">
        <f>+SUM(DataEx!EU238)</f>
        <v>1885893.46</v>
      </c>
      <c r="I121" s="85">
        <f>+SUM(DataEx!EV238)</f>
        <v>2001213.06</v>
      </c>
      <c r="J121" s="85">
        <f>+SUM(DataEx!EW238)</f>
        <v>2389766.7799999998</v>
      </c>
      <c r="K121" s="85">
        <f>+SUM(DataEx!EX238)</f>
        <v>1530724.52</v>
      </c>
      <c r="L121" s="85">
        <f>+SUM(DataEx!EY238)</f>
        <v>2860047.35</v>
      </c>
      <c r="M121" s="85">
        <f>+SUM(DataEx!EZ238)</f>
        <v>2768982.89609381</v>
      </c>
      <c r="N121" s="85">
        <f>+SUM(DataEx!FA238)</f>
        <v>1878964.846878767</v>
      </c>
      <c r="O121" s="85">
        <f>+SUM(DataEx!FB238)</f>
        <v>2453431.0919642458</v>
      </c>
      <c r="P121" s="85">
        <f>+SUM(DataEx!FC238)</f>
        <v>3062621.0292725526</v>
      </c>
      <c r="Q121" s="85">
        <f>+SUM(DataEx!FD238)</f>
        <v>2157522.0205821833</v>
      </c>
      <c r="R121" s="85">
        <f>+SUM(DataEx!FE238)</f>
        <v>3364455.4723437326</v>
      </c>
      <c r="S121" s="127">
        <f t="shared" si="21"/>
        <v>28128126.097135291</v>
      </c>
      <c r="T121" s="128">
        <f t="shared" si="22"/>
        <v>6.0321951741658351E-3</v>
      </c>
    </row>
    <row r="122" spans="1:20">
      <c r="A122" s="137" t="str">
        <f t="shared" si="18"/>
        <v>715p</v>
      </c>
      <c r="B122" s="530" t="str">
        <f>+VLOOKUP(LEFT($A122,LEN(A122)-1)*1,Master!$D$27:$G$225,4,FALSE)</f>
        <v>Ostali prihodi</v>
      </c>
      <c r="C122" s="531"/>
      <c r="D122" s="531"/>
      <c r="E122" s="531"/>
      <c r="F122" s="531"/>
      <c r="G122" s="85">
        <f>+SUM(DataEx!ET245)</f>
        <v>2425520.8099999996</v>
      </c>
      <c r="H122" s="85">
        <f>+SUM(DataEx!EU245)</f>
        <v>1609741.96</v>
      </c>
      <c r="I122" s="85">
        <f>+SUM(DataEx!EV245)</f>
        <v>2046839.3099999998</v>
      </c>
      <c r="J122" s="85">
        <f>+SUM(DataEx!EW245)</f>
        <v>5482431.4299999997</v>
      </c>
      <c r="K122" s="85">
        <f>+SUM(DataEx!EX245)</f>
        <v>2151437.83</v>
      </c>
      <c r="L122" s="85">
        <f>+SUM(DataEx!EY245)</f>
        <v>2740294.16</v>
      </c>
      <c r="M122" s="85">
        <f>+SUM(DataEx!EZ245)</f>
        <v>3610099.6149461018</v>
      </c>
      <c r="N122" s="85">
        <f>+SUM(DataEx!FA245)</f>
        <v>2856432.7673175023</v>
      </c>
      <c r="O122" s="85">
        <f>+SUM(DataEx!FB245)</f>
        <v>38693622.019299239</v>
      </c>
      <c r="P122" s="85">
        <f>+SUM(DataEx!FC245)</f>
        <v>3080614.3453884441</v>
      </c>
      <c r="Q122" s="85">
        <f>+SUM(DataEx!FD245)</f>
        <v>2054798.3756645597</v>
      </c>
      <c r="R122" s="85">
        <f>+SUM(DataEx!FE245)</f>
        <v>4981072.0471647922</v>
      </c>
      <c r="S122" s="127">
        <f t="shared" si="21"/>
        <v>71732904.669780642</v>
      </c>
      <c r="T122" s="128">
        <f t="shared" si="22"/>
        <v>1.5383423690709981E-2</v>
      </c>
    </row>
    <row r="123" spans="1:20">
      <c r="A123" s="137" t="str">
        <f t="shared" si="18"/>
        <v>73p</v>
      </c>
      <c r="B123" s="530" t="str">
        <f>+VLOOKUP(LEFT($A123,LEN(A123)-1)*1,Master!$D$27:$G$225,4,FALSE)</f>
        <v>Primici od otplate kredita i sredstva prenesena iz prethodne godine</v>
      </c>
      <c r="C123" s="531"/>
      <c r="D123" s="531"/>
      <c r="E123" s="531"/>
      <c r="F123" s="531"/>
      <c r="G123" s="85">
        <f>+SUM(DataEx!ET253)</f>
        <v>172043.05</v>
      </c>
      <c r="H123" s="85">
        <f>+SUM(DataEx!EU253)</f>
        <v>78777.210000000006</v>
      </c>
      <c r="I123" s="85">
        <f>+SUM(DataEx!EV253)</f>
        <v>195694.06</v>
      </c>
      <c r="J123" s="85">
        <f>+SUM(DataEx!EW253)</f>
        <v>433978.03</v>
      </c>
      <c r="K123" s="85">
        <f>+SUM(DataEx!EX253)</f>
        <v>1090667.1299999999</v>
      </c>
      <c r="L123" s="85">
        <f>+SUM(DataEx!EY253)</f>
        <v>2374577.77</v>
      </c>
      <c r="M123" s="85">
        <f>+SUM(DataEx!EZ253)</f>
        <v>478781.26200871647</v>
      </c>
      <c r="N123" s="85">
        <f>+SUM(DataEx!FA253)</f>
        <v>135623.91601735391</v>
      </c>
      <c r="O123" s="85">
        <f>+SUM(DataEx!FB253)</f>
        <v>165878.65208433714</v>
      </c>
      <c r="P123" s="85">
        <f>+SUM(DataEx!FC253)</f>
        <v>490320.35892417241</v>
      </c>
      <c r="Q123" s="85">
        <f>+SUM(DataEx!FD253)</f>
        <v>785775.49666312477</v>
      </c>
      <c r="R123" s="85">
        <f>+SUM(DataEx!FE253)</f>
        <v>860197.30493980495</v>
      </c>
      <c r="S123" s="127">
        <f t="shared" si="21"/>
        <v>7262314.2406375092</v>
      </c>
      <c r="T123" s="128">
        <f t="shared" si="22"/>
        <v>1.5574338924807011E-3</v>
      </c>
    </row>
    <row r="124" spans="1:20" ht="13.5" thickBot="1">
      <c r="A124" s="137" t="str">
        <f t="shared" si="18"/>
        <v>74p</v>
      </c>
      <c r="B124" s="532" t="str">
        <f>+VLOOKUP(LEFT($A124,LEN(A124)-1)*1,Master!$D$27:$G$225,4,FALSE)</f>
        <v>Donacije i transferi</v>
      </c>
      <c r="C124" s="533"/>
      <c r="D124" s="533"/>
      <c r="E124" s="533"/>
      <c r="F124" s="533"/>
      <c r="G124" s="85">
        <f>+SUM(DataEx!ET256)</f>
        <v>1518621.66</v>
      </c>
      <c r="H124" s="85">
        <f>+SUM(DataEx!EU256)</f>
        <v>776556.18</v>
      </c>
      <c r="I124" s="85">
        <f>+SUM(DataEx!EV256)</f>
        <v>1210159.24</v>
      </c>
      <c r="J124" s="85">
        <f>+SUM(DataEx!EW256)</f>
        <v>8493510.6400000006</v>
      </c>
      <c r="K124" s="85">
        <f>+SUM(DataEx!EX256)</f>
        <v>1746477.29</v>
      </c>
      <c r="L124" s="85">
        <f>+SUM(DataEx!EY256)</f>
        <v>1532517.83</v>
      </c>
      <c r="M124" s="85">
        <f>+SUM(DataEx!EZ256)</f>
        <v>2435550.5406138748</v>
      </c>
      <c r="N124" s="85">
        <f>+SUM(DataEx!FA256)</f>
        <v>570671.53597611003</v>
      </c>
      <c r="O124" s="85">
        <f>+SUM(DataEx!FB256)</f>
        <v>1353198.8801805205</v>
      </c>
      <c r="P124" s="85">
        <f>+SUM(DataEx!FC256)</f>
        <v>2470225.2025423776</v>
      </c>
      <c r="Q124" s="85">
        <f>+SUM(DataEx!FD256)</f>
        <v>2112933.3732640138</v>
      </c>
      <c r="R124" s="85">
        <f>+SUM(DataEx!FE256)</f>
        <v>7307967.0482751997</v>
      </c>
      <c r="S124" s="129">
        <f t="shared" si="21"/>
        <v>31528389.420852099</v>
      </c>
      <c r="T124" s="130">
        <f t="shared" si="22"/>
        <v>6.7613959727325966E-3</v>
      </c>
    </row>
    <row r="125" spans="1:20" ht="13.5" thickBot="1">
      <c r="A125" s="137" t="str">
        <f t="shared" si="18"/>
        <v>4p</v>
      </c>
      <c r="B125" s="516" t="str">
        <f>+VLOOKUP(LEFT($A125,LEN(A125)-1)*1,Master!$D$27:$G$225,4,FALSE)</f>
        <v>Budžetski izdaci</v>
      </c>
      <c r="C125" s="517"/>
      <c r="D125" s="517"/>
      <c r="E125" s="517"/>
      <c r="F125" s="517"/>
      <c r="G125" s="97">
        <f>+G127+G138+G144+SUM(G145:G148)</f>
        <v>145769475.38066667</v>
      </c>
      <c r="H125" s="97">
        <f>+H127+H138+H144+SUM(H145:H148)</f>
        <v>145769475.38066667</v>
      </c>
      <c r="I125" s="97">
        <f t="shared" ref="I125:R125" si="24">+I127+I138+I144+SUM(I145:I148)</f>
        <v>145769475.38066667</v>
      </c>
      <c r="J125" s="97">
        <f t="shared" si="24"/>
        <v>148999586.37577778</v>
      </c>
      <c r="K125" s="97">
        <f t="shared" si="24"/>
        <v>149556586.02311113</v>
      </c>
      <c r="L125" s="97">
        <f t="shared" si="24"/>
        <v>148880586.49177778</v>
      </c>
      <c r="M125" s="97">
        <f t="shared" si="24"/>
        <v>158107547.35211113</v>
      </c>
      <c r="N125" s="97">
        <f t="shared" si="24"/>
        <v>158107547.35211113</v>
      </c>
      <c r="O125" s="97">
        <f t="shared" si="24"/>
        <v>174334840.49077779</v>
      </c>
      <c r="P125" s="97">
        <f t="shared" si="24"/>
        <v>174334840.49077779</v>
      </c>
      <c r="Q125" s="97">
        <f t="shared" si="24"/>
        <v>174834840.49411109</v>
      </c>
      <c r="R125" s="97">
        <f t="shared" si="24"/>
        <v>175378273.4841111</v>
      </c>
      <c r="S125" s="131">
        <f>+SUM(G125:R125)</f>
        <v>1899843074.6966665</v>
      </c>
      <c r="T125" s="132">
        <f t="shared" si="22"/>
        <v>0.40742935335549357</v>
      </c>
    </row>
    <row r="126" spans="1:20" ht="13.5" thickBot="1">
      <c r="A126" s="137" t="str">
        <f t="shared" si="18"/>
        <v>40p</v>
      </c>
      <c r="B126" s="534" t="str">
        <f>+VLOOKUP(LEFT($A126,LEN(A126)-1)*1,Master!$D$27:$G$225,4,FALSE)</f>
        <v>Tekuća budžetska potrošnja</v>
      </c>
      <c r="C126" s="535"/>
      <c r="D126" s="535"/>
      <c r="E126" s="535"/>
      <c r="F126" s="535"/>
      <c r="G126" s="80">
        <f t="shared" ref="G126:R126" si="25">+G125-G145</f>
        <v>124297392.04733334</v>
      </c>
      <c r="H126" s="80">
        <f t="shared" si="25"/>
        <v>124297392.04733334</v>
      </c>
      <c r="I126" s="80">
        <f t="shared" si="25"/>
        <v>124297392.04733334</v>
      </c>
      <c r="J126" s="80">
        <f t="shared" si="25"/>
        <v>127527503.04244445</v>
      </c>
      <c r="K126" s="80">
        <f t="shared" si="25"/>
        <v>128084502.68977781</v>
      </c>
      <c r="L126" s="80">
        <f t="shared" si="25"/>
        <v>127408503.15844445</v>
      </c>
      <c r="M126" s="80">
        <f t="shared" si="25"/>
        <v>131117130.68544447</v>
      </c>
      <c r="N126" s="80">
        <f t="shared" si="25"/>
        <v>131117130.68544447</v>
      </c>
      <c r="O126" s="80">
        <f t="shared" si="25"/>
        <v>148019423.8241111</v>
      </c>
      <c r="P126" s="80">
        <f t="shared" si="25"/>
        <v>148019423.8241111</v>
      </c>
      <c r="Q126" s="80">
        <f t="shared" si="25"/>
        <v>148019423.8241111</v>
      </c>
      <c r="R126" s="80">
        <f t="shared" si="25"/>
        <v>148562856.8241111</v>
      </c>
      <c r="S126" s="133">
        <f t="shared" si="21"/>
        <v>1610768074.6999998</v>
      </c>
      <c r="T126" s="134">
        <f t="shared" si="22"/>
        <v>0.34543600143684322</v>
      </c>
    </row>
    <row r="127" spans="1:20">
      <c r="A127" s="137" t="str">
        <f t="shared" si="18"/>
        <v>41p</v>
      </c>
      <c r="B127" s="536" t="str">
        <f>+VLOOKUP(LEFT($A127,LEN(A127)-1)*1,Master!$D$27:$G$225,4,FALSE)</f>
        <v>Tekući izdaci</v>
      </c>
      <c r="C127" s="537"/>
      <c r="D127" s="537"/>
      <c r="E127" s="537"/>
      <c r="F127" s="537"/>
      <c r="G127" s="89">
        <f t="shared" ref="G127:R127" si="26">+SUM(G128:G137)</f>
        <v>61981026.661833338</v>
      </c>
      <c r="H127" s="89">
        <f t="shared" si="26"/>
        <v>61981026.661833338</v>
      </c>
      <c r="I127" s="89">
        <f t="shared" si="26"/>
        <v>61981026.661833338</v>
      </c>
      <c r="J127" s="89">
        <f t="shared" si="26"/>
        <v>62225471.106277786</v>
      </c>
      <c r="K127" s="89">
        <f t="shared" si="26"/>
        <v>62425471.101611122</v>
      </c>
      <c r="L127" s="89">
        <f t="shared" si="26"/>
        <v>62225471.106277786</v>
      </c>
      <c r="M127" s="89">
        <f t="shared" si="26"/>
        <v>68385342.175944448</v>
      </c>
      <c r="N127" s="89">
        <f t="shared" si="26"/>
        <v>68385342.175944448</v>
      </c>
      <c r="O127" s="89">
        <f t="shared" si="26"/>
        <v>75624240.564611077</v>
      </c>
      <c r="P127" s="89">
        <f t="shared" si="26"/>
        <v>75624240.564611077</v>
      </c>
      <c r="Q127" s="89">
        <f t="shared" si="26"/>
        <v>75624240.564611092</v>
      </c>
      <c r="R127" s="90">
        <f t="shared" si="26"/>
        <v>76167673.564611077</v>
      </c>
      <c r="S127" s="123">
        <f t="shared" si="21"/>
        <v>812630572.90999997</v>
      </c>
      <c r="T127" s="124">
        <f t="shared" si="22"/>
        <v>0.17427205080634783</v>
      </c>
    </row>
    <row r="128" spans="1:20">
      <c r="A128" s="137" t="str">
        <f t="shared" si="18"/>
        <v>411p</v>
      </c>
      <c r="B128" s="526" t="str">
        <f>+VLOOKUP(LEFT($A128,LEN(A128)-1)*1,Master!$D$27:$G$225,4,FALSE)</f>
        <v>Bruto zarade i doprinosi na teret poslodavca</v>
      </c>
      <c r="C128" s="527"/>
      <c r="D128" s="527"/>
      <c r="E128" s="527"/>
      <c r="F128" s="527"/>
      <c r="G128" s="91">
        <f>+SUM(DataEx!ET265)</f>
        <v>36581480.009166665</v>
      </c>
      <c r="H128" s="91">
        <f>+SUM(DataEx!EU265)</f>
        <v>36581480.009166665</v>
      </c>
      <c r="I128" s="91">
        <f>+SUM(DataEx!EV265)</f>
        <v>36581480.009166665</v>
      </c>
      <c r="J128" s="91">
        <f>+SUM(DataEx!EW265)</f>
        <v>36581480.009166665</v>
      </c>
      <c r="K128" s="91">
        <f>+SUM(DataEx!EX265)</f>
        <v>36581480.009166665</v>
      </c>
      <c r="L128" s="91">
        <f>+SUM(DataEx!EY265)</f>
        <v>36581480.009166665</v>
      </c>
      <c r="M128" s="91">
        <f>+SUM(DataEx!EZ265)</f>
        <v>36581480.009166665</v>
      </c>
      <c r="N128" s="91">
        <f>+SUM(DataEx!FA265)</f>
        <v>36581480.009166665</v>
      </c>
      <c r="O128" s="91">
        <f>+SUM(DataEx!FB265)</f>
        <v>42330489.099166654</v>
      </c>
      <c r="P128" s="91">
        <f>+SUM(DataEx!FC265)</f>
        <v>42330489.099166654</v>
      </c>
      <c r="Q128" s="91">
        <f>+SUM(DataEx!FD265)</f>
        <v>42330489.099166654</v>
      </c>
      <c r="R128" s="91">
        <f>+SUM(DataEx!FE265)</f>
        <v>42330489.099166654</v>
      </c>
      <c r="S128" s="125">
        <f t="shared" si="21"/>
        <v>461973796.46999985</v>
      </c>
      <c r="T128" s="126">
        <f t="shared" si="22"/>
        <v>9.9072227422260309E-2</v>
      </c>
    </row>
    <row r="129" spans="1:20">
      <c r="A129" s="137" t="str">
        <f t="shared" si="18"/>
        <v>412p</v>
      </c>
      <c r="B129" s="526" t="str">
        <f>+VLOOKUP(LEFT($A129,LEN(A129)-1)*1,Master!$D$27:$G$225,4,FALSE)</f>
        <v>Ostala lična primanja</v>
      </c>
      <c r="C129" s="527"/>
      <c r="D129" s="527"/>
      <c r="E129" s="527"/>
      <c r="F129" s="527"/>
      <c r="G129" s="91">
        <f>+SUM(DataEx!ET271)</f>
        <v>1045765.8483333333</v>
      </c>
      <c r="H129" s="91">
        <f>+SUM(DataEx!EU271)</f>
        <v>1045765.8483333333</v>
      </c>
      <c r="I129" s="91">
        <f>+SUM(DataEx!EV271)</f>
        <v>1045765.8483333333</v>
      </c>
      <c r="J129" s="91">
        <f>+SUM(DataEx!EW271)</f>
        <v>1064654.7372222226</v>
      </c>
      <c r="K129" s="91">
        <f>+SUM(DataEx!EX271)</f>
        <v>1064654.7372222226</v>
      </c>
      <c r="L129" s="91">
        <f>+SUM(DataEx!EY271)</f>
        <v>1064654.7372222226</v>
      </c>
      <c r="M129" s="91">
        <f>+SUM(DataEx!EZ271)</f>
        <v>1064654.7372222226</v>
      </c>
      <c r="N129" s="91">
        <f>+SUM(DataEx!FA271)</f>
        <v>1064654.7372222226</v>
      </c>
      <c r="O129" s="91">
        <f>+SUM(DataEx!FB271)</f>
        <v>1064654.7372222201</v>
      </c>
      <c r="P129" s="91">
        <f>+SUM(DataEx!FC271)</f>
        <v>1064654.7372222201</v>
      </c>
      <c r="Q129" s="91">
        <f>+SUM(DataEx!FD271)</f>
        <v>1064654.7372222226</v>
      </c>
      <c r="R129" s="91">
        <f>+SUM(DataEx!FE271)</f>
        <v>1608087.7372222189</v>
      </c>
      <c r="S129" s="125">
        <f t="shared" si="21"/>
        <v>13262623.179999996</v>
      </c>
      <c r="T129" s="126">
        <f t="shared" si="22"/>
        <v>2.8442254299806983E-3</v>
      </c>
    </row>
    <row r="130" spans="1:20">
      <c r="A130" s="137" t="str">
        <f t="shared" si="18"/>
        <v>413p</v>
      </c>
      <c r="B130" s="526" t="str">
        <f>+VLOOKUP(LEFT($A130,LEN(A130)-1)*1,Master!$D$27:$G$225,4,FALSE)</f>
        <v>Rashodi za materijal</v>
      </c>
      <c r="C130" s="527"/>
      <c r="D130" s="527"/>
      <c r="E130" s="527"/>
      <c r="F130" s="527"/>
      <c r="G130" s="91">
        <f>+SUM(DataEx!ET279)</f>
        <v>2429373.3213333334</v>
      </c>
      <c r="H130" s="91">
        <f>+SUM(DataEx!EU279)</f>
        <v>2429373.3213333334</v>
      </c>
      <c r="I130" s="91">
        <f>+SUM(DataEx!EV279)</f>
        <v>2429373.3213333334</v>
      </c>
      <c r="J130" s="91">
        <f>+SUM(DataEx!EW279)</f>
        <v>2429373.3213333334</v>
      </c>
      <c r="K130" s="91">
        <f>+SUM(DataEx!EX279)</f>
        <v>2429373.3213333334</v>
      </c>
      <c r="L130" s="91">
        <f>+SUM(DataEx!EY279)</f>
        <v>2429373.3213333334</v>
      </c>
      <c r="M130" s="91">
        <f>+SUM(DataEx!EZ279)</f>
        <v>3644059.9819999994</v>
      </c>
      <c r="N130" s="91">
        <f>+SUM(DataEx!FA279)</f>
        <v>3644059.9819999994</v>
      </c>
      <c r="O130" s="91">
        <f>+SUM(DataEx!FB279)</f>
        <v>4454463.4019999988</v>
      </c>
      <c r="P130" s="91">
        <f>+SUM(DataEx!FC279)</f>
        <v>4454463.4019999988</v>
      </c>
      <c r="Q130" s="91">
        <f>+SUM(DataEx!FD279)</f>
        <v>4454463.4019999988</v>
      </c>
      <c r="R130" s="91">
        <f>+SUM(DataEx!FE279)</f>
        <v>4454463.4019999988</v>
      </c>
      <c r="S130" s="125">
        <f t="shared" si="21"/>
        <v>39682213.5</v>
      </c>
      <c r="T130" s="126">
        <f t="shared" si="22"/>
        <v>8.5100179069268703E-3</v>
      </c>
    </row>
    <row r="131" spans="1:20">
      <c r="A131" s="137" t="str">
        <f t="shared" si="18"/>
        <v>414p</v>
      </c>
      <c r="B131" s="526" t="str">
        <f>+VLOOKUP(LEFT($A131,LEN(A131)-1)*1,Master!$D$27:$G$225,4,FALSE)</f>
        <v>Rashodi za usluge</v>
      </c>
      <c r="C131" s="527"/>
      <c r="D131" s="527"/>
      <c r="E131" s="527"/>
      <c r="F131" s="527"/>
      <c r="G131" s="91">
        <f>+SUM(DataEx!ET286)</f>
        <v>3986420.5893333331</v>
      </c>
      <c r="H131" s="91">
        <f>+SUM(DataEx!EU286)</f>
        <v>3986420.5893333331</v>
      </c>
      <c r="I131" s="91">
        <f>+SUM(DataEx!EV286)</f>
        <v>3986420.5893333331</v>
      </c>
      <c r="J131" s="91">
        <f>+SUM(DataEx!EW286)</f>
        <v>4097531.7004444432</v>
      </c>
      <c r="K131" s="91">
        <f>+SUM(DataEx!EX286)</f>
        <v>4097531.7004444432</v>
      </c>
      <c r="L131" s="91">
        <f>+SUM(DataEx!EY286)</f>
        <v>4097531.7004444432</v>
      </c>
      <c r="M131" s="91">
        <f>+SUM(DataEx!EZ286)</f>
        <v>6090741.9951111097</v>
      </c>
      <c r="N131" s="91">
        <f>+SUM(DataEx!FA286)</f>
        <v>6090741.9951111097</v>
      </c>
      <c r="O131" s="91">
        <f>+SUM(DataEx!FB286)</f>
        <v>5577148.0201111175</v>
      </c>
      <c r="P131" s="91">
        <f>+SUM(DataEx!FC286)</f>
        <v>5577148.0201111175</v>
      </c>
      <c r="Q131" s="91">
        <f>+SUM(DataEx!FD286)</f>
        <v>5577148.0201111175</v>
      </c>
      <c r="R131" s="91">
        <f>+SUM(DataEx!FE286)</f>
        <v>5577148.0201111175</v>
      </c>
      <c r="S131" s="125">
        <f t="shared" si="21"/>
        <v>58741932.939999998</v>
      </c>
      <c r="T131" s="126">
        <f t="shared" si="22"/>
        <v>1.2597455058974909E-2</v>
      </c>
    </row>
    <row r="132" spans="1:20">
      <c r="A132" s="137" t="str">
        <f t="shared" si="18"/>
        <v>415p</v>
      </c>
      <c r="B132" s="526" t="str">
        <f>+VLOOKUP(LEFT($A132,LEN(A132)-1)*1,Master!$D$27:$G$225,4,FALSE)</f>
        <v>Rashodi za tekuće održavanje</v>
      </c>
      <c r="C132" s="527"/>
      <c r="D132" s="527"/>
      <c r="E132" s="527"/>
      <c r="F132" s="527"/>
      <c r="G132" s="91">
        <f>+SUM(DataEx!ET296)</f>
        <v>1860319.3983333334</v>
      </c>
      <c r="H132" s="91">
        <f>+SUM(DataEx!EU296)</f>
        <v>1860319.3983333334</v>
      </c>
      <c r="I132" s="91">
        <f>+SUM(DataEx!EV296)</f>
        <v>1860319.3983333334</v>
      </c>
      <c r="J132" s="91">
        <f>+SUM(DataEx!EW296)</f>
        <v>1860319.3983333334</v>
      </c>
      <c r="K132" s="91">
        <f>+SUM(DataEx!EX296)</f>
        <v>1860319.3983333334</v>
      </c>
      <c r="L132" s="91">
        <f>+SUM(DataEx!EY296)</f>
        <v>1860319.3983333334</v>
      </c>
      <c r="M132" s="91">
        <f>+SUM(DataEx!EZ296)</f>
        <v>1860319.3983333334</v>
      </c>
      <c r="N132" s="91">
        <f>+SUM(DataEx!FA296)</f>
        <v>1860319.3983333334</v>
      </c>
      <c r="O132" s="91">
        <f>+SUM(DataEx!FB296)</f>
        <v>1850732.9058333328</v>
      </c>
      <c r="P132" s="91">
        <f>+SUM(DataEx!FC296)</f>
        <v>1850732.9058333328</v>
      </c>
      <c r="Q132" s="91">
        <f>+SUM(DataEx!FD296)</f>
        <v>1850732.9058333328</v>
      </c>
      <c r="R132" s="91">
        <f>+SUM(DataEx!FE296)</f>
        <v>1850732.9058333328</v>
      </c>
      <c r="S132" s="125">
        <f t="shared" si="21"/>
        <v>22285486.810000002</v>
      </c>
      <c r="T132" s="126">
        <f t="shared" si="22"/>
        <v>4.7792165580098651E-3</v>
      </c>
    </row>
    <row r="133" spans="1:20">
      <c r="A133" s="137" t="str">
        <f t="shared" si="18"/>
        <v>416p</v>
      </c>
      <c r="B133" s="526" t="str">
        <f>+VLOOKUP(LEFT($A133,LEN(A133)-1)*1,Master!$D$27:$G$225,4,FALSE)</f>
        <v>Kamate</v>
      </c>
      <c r="C133" s="527"/>
      <c r="D133" s="527"/>
      <c r="E133" s="527"/>
      <c r="F133" s="527"/>
      <c r="G133" s="91">
        <f>+SUM(DataEx!ET300)</f>
        <v>7122725</v>
      </c>
      <c r="H133" s="91">
        <f>+SUM(DataEx!EU300)</f>
        <v>7122725</v>
      </c>
      <c r="I133" s="91">
        <f>+SUM(DataEx!EV300)</f>
        <v>7122725</v>
      </c>
      <c r="J133" s="91">
        <f>+SUM(DataEx!EW300)</f>
        <v>7122725</v>
      </c>
      <c r="K133" s="91">
        <f>+SUM(DataEx!EX300)</f>
        <v>7122725</v>
      </c>
      <c r="L133" s="91">
        <f>+SUM(DataEx!EY300)</f>
        <v>7122725</v>
      </c>
      <c r="M133" s="91">
        <f>+SUM(DataEx!EZ300)</f>
        <v>7122725</v>
      </c>
      <c r="N133" s="91">
        <f>+SUM(DataEx!FA300)</f>
        <v>7122725</v>
      </c>
      <c r="O133" s="91">
        <f>+SUM(DataEx!FB300)</f>
        <v>7615225</v>
      </c>
      <c r="P133" s="91">
        <f>+SUM(DataEx!FC300)</f>
        <v>7615225</v>
      </c>
      <c r="Q133" s="91">
        <f>+SUM(DataEx!FD300)</f>
        <v>7615225</v>
      </c>
      <c r="R133" s="91">
        <f>+SUM(DataEx!FE300)</f>
        <v>7615225</v>
      </c>
      <c r="S133" s="125">
        <f t="shared" si="21"/>
        <v>87442700</v>
      </c>
      <c r="T133" s="126">
        <f t="shared" si="22"/>
        <v>1.8752455500750588E-2</v>
      </c>
    </row>
    <row r="134" spans="1:20">
      <c r="A134" s="137" t="str">
        <f t="shared" si="18"/>
        <v>417p</v>
      </c>
      <c r="B134" s="526" t="str">
        <f>+VLOOKUP(LEFT($A134,LEN(A134)-1)*1,Master!$D$27:$G$225,4,FALSE)</f>
        <v>Renta</v>
      </c>
      <c r="C134" s="527"/>
      <c r="D134" s="527"/>
      <c r="E134" s="527"/>
      <c r="F134" s="527"/>
      <c r="G134" s="91">
        <f>+SUM(DataEx!ET303)</f>
        <v>800010.93333333347</v>
      </c>
      <c r="H134" s="91">
        <f>+SUM(DataEx!EU303)</f>
        <v>800010.93333333347</v>
      </c>
      <c r="I134" s="91">
        <f>+SUM(DataEx!EV303)</f>
        <v>800010.93333333347</v>
      </c>
      <c r="J134" s="91">
        <f>+SUM(DataEx!EW303)</f>
        <v>800010.93333333347</v>
      </c>
      <c r="K134" s="91">
        <f>+SUM(DataEx!EX303)</f>
        <v>800010.93333333347</v>
      </c>
      <c r="L134" s="91">
        <f>+SUM(DataEx!EY303)</f>
        <v>800010.93333333347</v>
      </c>
      <c r="M134" s="91">
        <f>+SUM(DataEx!EZ303)</f>
        <v>800010.93333333347</v>
      </c>
      <c r="N134" s="91">
        <f>+SUM(DataEx!FA303)</f>
        <v>800010.93333333347</v>
      </c>
      <c r="O134" s="91">
        <f>+SUM(DataEx!FB303)</f>
        <v>986109.29833333322</v>
      </c>
      <c r="P134" s="91">
        <f>+SUM(DataEx!FC303)</f>
        <v>986109.29833333322</v>
      </c>
      <c r="Q134" s="91">
        <f>+SUM(DataEx!FD303)</f>
        <v>986109.29833333322</v>
      </c>
      <c r="R134" s="91">
        <f>+SUM(DataEx!FE303)</f>
        <v>986109.29833333322</v>
      </c>
      <c r="S134" s="125">
        <f t="shared" si="21"/>
        <v>10344524.66</v>
      </c>
      <c r="T134" s="126">
        <f t="shared" si="22"/>
        <v>2.2184269054256918E-3</v>
      </c>
    </row>
    <row r="135" spans="1:20">
      <c r="A135" s="137" t="str">
        <f t="shared" si="18"/>
        <v>418p</v>
      </c>
      <c r="B135" s="526" t="str">
        <f>+VLOOKUP(LEFT($A135,LEN(A135)-1)*1,Master!$D$27:$G$225,4,FALSE)</f>
        <v>Subvencije</v>
      </c>
      <c r="C135" s="527"/>
      <c r="D135" s="527"/>
      <c r="E135" s="527"/>
      <c r="F135" s="527"/>
      <c r="G135" s="91">
        <f>+SUM(DataEx!ET307)</f>
        <v>2250983.3333333335</v>
      </c>
      <c r="H135" s="91">
        <f>+SUM(DataEx!EU307)</f>
        <v>2250983.3333333335</v>
      </c>
      <c r="I135" s="91">
        <f>+SUM(DataEx!EV307)</f>
        <v>2250983.3333333335</v>
      </c>
      <c r="J135" s="91">
        <f>+SUM(DataEx!EW307)</f>
        <v>2250983.3333333335</v>
      </c>
      <c r="K135" s="91">
        <f>+SUM(DataEx!EX307)</f>
        <v>2250983.3333333335</v>
      </c>
      <c r="L135" s="91">
        <f>+SUM(DataEx!EY307)</f>
        <v>2250983.3333333335</v>
      </c>
      <c r="M135" s="91">
        <f>+SUM(DataEx!EZ307)</f>
        <v>2250983.3333333335</v>
      </c>
      <c r="N135" s="91">
        <f>+SUM(DataEx!FA307)</f>
        <v>2250983.3333333335</v>
      </c>
      <c r="O135" s="91">
        <f>+SUM(DataEx!FB307)</f>
        <v>2180983.3333333344</v>
      </c>
      <c r="P135" s="91">
        <f>+SUM(DataEx!FC307)</f>
        <v>2180983.3333333344</v>
      </c>
      <c r="Q135" s="91">
        <f>+SUM(DataEx!FD307)</f>
        <v>2180983.3333333344</v>
      </c>
      <c r="R135" s="91">
        <f>+SUM(DataEx!FE307)</f>
        <v>2180983.3333333344</v>
      </c>
      <c r="S135" s="125">
        <f t="shared" si="21"/>
        <v>26731800.000000011</v>
      </c>
      <c r="T135" s="126">
        <f t="shared" si="22"/>
        <v>5.7327471584816669E-3</v>
      </c>
    </row>
    <row r="136" spans="1:20">
      <c r="A136" s="137" t="str">
        <f t="shared" si="18"/>
        <v>419p</v>
      </c>
      <c r="B136" s="526" t="str">
        <f>+VLOOKUP(LEFT($A136,LEN(A136)-1)*1,Master!$D$27:$G$225,4,FALSE)</f>
        <v>Ostali izdaci</v>
      </c>
      <c r="C136" s="527"/>
      <c r="D136" s="527"/>
      <c r="E136" s="527"/>
      <c r="F136" s="527"/>
      <c r="G136" s="91">
        <f>+SUM(DataEx!ET311)</f>
        <v>2581823.9339999999</v>
      </c>
      <c r="H136" s="91">
        <f>+SUM(DataEx!EU311)</f>
        <v>2581823.9339999999</v>
      </c>
      <c r="I136" s="91">
        <f>+SUM(DataEx!EV311)</f>
        <v>2581823.9339999999</v>
      </c>
      <c r="J136" s="91">
        <f>+SUM(DataEx!EW311)</f>
        <v>2696268.3784444444</v>
      </c>
      <c r="K136" s="91">
        <f>+SUM(DataEx!EX311)</f>
        <v>2696268.3784444444</v>
      </c>
      <c r="L136" s="91">
        <f>+SUM(DataEx!EY311)</f>
        <v>2696268.3784444444</v>
      </c>
      <c r="M136" s="91">
        <f>+SUM(DataEx!EZ311)</f>
        <v>3987180.345444445</v>
      </c>
      <c r="N136" s="91">
        <f>+SUM(DataEx!FA311)</f>
        <v>3987180.345444445</v>
      </c>
      <c r="O136" s="91">
        <f>+SUM(DataEx!FB311)</f>
        <v>3877323.0754444436</v>
      </c>
      <c r="P136" s="91">
        <f>+SUM(DataEx!FC311)</f>
        <v>3877323.0754444436</v>
      </c>
      <c r="Q136" s="91">
        <f>+SUM(DataEx!FD311)</f>
        <v>3877323.0754444436</v>
      </c>
      <c r="R136" s="91">
        <f>+SUM(DataEx!FE311)</f>
        <v>3877323.0754444436</v>
      </c>
      <c r="S136" s="125">
        <f t="shared" si="21"/>
        <v>39317929.93</v>
      </c>
      <c r="T136" s="126">
        <f t="shared" si="22"/>
        <v>8.4318957602401885E-3</v>
      </c>
    </row>
    <row r="137" spans="1:20">
      <c r="A137" s="137" t="str">
        <f t="shared" si="18"/>
        <v>440p</v>
      </c>
      <c r="B137" s="526" t="str">
        <f>+VLOOKUP(LEFT($A137,LEN(A137)-1)*1,Master!$D$27:$G$225,4,FALSE)</f>
        <v>Kapitalni izdaci u tekućem budžetu</v>
      </c>
      <c r="C137" s="527"/>
      <c r="D137" s="527"/>
      <c r="E137" s="527"/>
      <c r="F137" s="527"/>
      <c r="G137" s="91">
        <f>+SUM(DataEx!ET369)</f>
        <v>3322124.294666667</v>
      </c>
      <c r="H137" s="91">
        <f>+SUM(DataEx!EU369)</f>
        <v>3322124.294666667</v>
      </c>
      <c r="I137" s="91">
        <f>+SUM(DataEx!EV369)</f>
        <v>3322124.294666667</v>
      </c>
      <c r="J137" s="91">
        <f>+SUM(DataEx!EW369)</f>
        <v>3322124.294666667</v>
      </c>
      <c r="K137" s="91">
        <f>+SUM(DataEx!EX369)</f>
        <v>3522124.2900000066</v>
      </c>
      <c r="L137" s="91">
        <f>+SUM(DataEx!EY369)</f>
        <v>3322124.294666667</v>
      </c>
      <c r="M137" s="91">
        <f>+SUM(DataEx!EZ369)</f>
        <v>4983186.4420000007</v>
      </c>
      <c r="N137" s="91">
        <f>+SUM(DataEx!FA369)</f>
        <v>4983186.4420000007</v>
      </c>
      <c r="O137" s="91">
        <f>+SUM(DataEx!FB369)</f>
        <v>5687111.6931666648</v>
      </c>
      <c r="P137" s="91">
        <f>+SUM(DataEx!FC369)</f>
        <v>5687111.6931666648</v>
      </c>
      <c r="Q137" s="91">
        <f>+SUM(DataEx!FD369)</f>
        <v>5687111.6931666601</v>
      </c>
      <c r="R137" s="91">
        <f>+SUM(DataEx!FE369)</f>
        <v>5687111.6931666601</v>
      </c>
      <c r="S137" s="125">
        <f t="shared" si="21"/>
        <v>52847565.419999987</v>
      </c>
      <c r="T137" s="126">
        <f t="shared" si="22"/>
        <v>1.1333383105297017E-2</v>
      </c>
    </row>
    <row r="138" spans="1:20">
      <c r="A138" s="137" t="str">
        <f t="shared" si="18"/>
        <v>42p</v>
      </c>
      <c r="B138" s="522" t="str">
        <f>+VLOOKUP(LEFT($A138,LEN(A138)-1)*1,Master!$D$27:$G$225,4,FALSE)</f>
        <v>Transferi za socijalnu zaštitu</v>
      </c>
      <c r="C138" s="523"/>
      <c r="D138" s="523"/>
      <c r="E138" s="523"/>
      <c r="F138" s="523"/>
      <c r="G138" s="87">
        <f t="shared" ref="G138:R138" si="27">+SUM(G139:G143)</f>
        <v>45950724.162500009</v>
      </c>
      <c r="H138" s="87">
        <f t="shared" si="27"/>
        <v>45950724.162500009</v>
      </c>
      <c r="I138" s="87">
        <f t="shared" si="27"/>
        <v>45950724.162500009</v>
      </c>
      <c r="J138" s="87">
        <f t="shared" si="27"/>
        <v>45950724.162500009</v>
      </c>
      <c r="K138" s="87">
        <f t="shared" si="27"/>
        <v>45950724.162500009</v>
      </c>
      <c r="L138" s="87">
        <f t="shared" si="27"/>
        <v>45950724.162500009</v>
      </c>
      <c r="M138" s="87">
        <f t="shared" si="27"/>
        <v>45950724.162500009</v>
      </c>
      <c r="N138" s="87">
        <f t="shared" si="27"/>
        <v>45950724.162500009</v>
      </c>
      <c r="O138" s="87">
        <f t="shared" si="27"/>
        <v>47831745.140000008</v>
      </c>
      <c r="P138" s="87">
        <f t="shared" si="27"/>
        <v>47831745.140000008</v>
      </c>
      <c r="Q138" s="87">
        <f t="shared" si="27"/>
        <v>47831745.140000008</v>
      </c>
      <c r="R138" s="87">
        <f t="shared" si="27"/>
        <v>47831745.140000008</v>
      </c>
      <c r="S138" s="127">
        <f t="shared" si="21"/>
        <v>558932773.86000013</v>
      </c>
      <c r="T138" s="128">
        <f t="shared" si="22"/>
        <v>0.1198654887111302</v>
      </c>
    </row>
    <row r="139" spans="1:20">
      <c r="A139" s="137" t="str">
        <f t="shared" si="18"/>
        <v>421p</v>
      </c>
      <c r="B139" s="526" t="str">
        <f>+VLOOKUP(LEFT($A139,LEN(A139)-1)*1,Master!$D$27:$G$225,4,FALSE)</f>
        <v>Prava iz oblasti socijalne zaštite</v>
      </c>
      <c r="C139" s="527"/>
      <c r="D139" s="527"/>
      <c r="E139" s="527"/>
      <c r="F139" s="527"/>
      <c r="G139" s="91">
        <f>SUM(DataEx!ET322)</f>
        <v>6651000</v>
      </c>
      <c r="H139" s="91">
        <f>SUM(DataEx!EU322)</f>
        <v>6651000</v>
      </c>
      <c r="I139" s="91">
        <f>SUM(DataEx!EV322)</f>
        <v>6651000</v>
      </c>
      <c r="J139" s="91">
        <f>SUM(DataEx!EW322)</f>
        <v>6651000</v>
      </c>
      <c r="K139" s="91">
        <f>SUM(DataEx!EX322)</f>
        <v>6651000</v>
      </c>
      <c r="L139" s="91">
        <f>SUM(DataEx!EY322)</f>
        <v>6651000</v>
      </c>
      <c r="M139" s="91">
        <f>SUM(DataEx!EZ322)</f>
        <v>6651000</v>
      </c>
      <c r="N139" s="91">
        <f>SUM(DataEx!FA322)</f>
        <v>6651000</v>
      </c>
      <c r="O139" s="91">
        <f>SUM(DataEx!FB322)</f>
        <v>7394520.9774999991</v>
      </c>
      <c r="P139" s="91">
        <f>SUM(DataEx!FC322)</f>
        <v>7394520.9774999991</v>
      </c>
      <c r="Q139" s="91">
        <f>SUM(DataEx!FD322)</f>
        <v>7394520.9774999991</v>
      </c>
      <c r="R139" s="91">
        <f>SUM(DataEx!FE322)</f>
        <v>7394520.9774999991</v>
      </c>
      <c r="S139" s="125">
        <f t="shared" si="21"/>
        <v>82786083.909999996</v>
      </c>
      <c r="T139" s="126">
        <f t="shared" si="22"/>
        <v>1.7753824557152048E-2</v>
      </c>
    </row>
    <row r="140" spans="1:20">
      <c r="A140" s="137" t="str">
        <f t="shared" si="18"/>
        <v>422p</v>
      </c>
      <c r="B140" s="526" t="str">
        <f>+VLOOKUP(LEFT($A140,LEN(A140)-1)*1,Master!$D$27:$G$225,4,FALSE)</f>
        <v>Sredstva za tehnološke viškove</v>
      </c>
      <c r="C140" s="527"/>
      <c r="D140" s="527"/>
      <c r="E140" s="527"/>
      <c r="F140" s="527"/>
      <c r="G140" s="91">
        <f>SUM(DataEx!ET330)</f>
        <v>1699899.96</v>
      </c>
      <c r="H140" s="91">
        <f>SUM(DataEx!EU330)</f>
        <v>1699899.96</v>
      </c>
      <c r="I140" s="91">
        <f>SUM(DataEx!EV330)</f>
        <v>1699899.96</v>
      </c>
      <c r="J140" s="91">
        <f>SUM(DataEx!EW330)</f>
        <v>1699899.96</v>
      </c>
      <c r="K140" s="91">
        <f>SUM(DataEx!EX330)</f>
        <v>1699899.96</v>
      </c>
      <c r="L140" s="91">
        <f>SUM(DataEx!EY330)</f>
        <v>1699899.96</v>
      </c>
      <c r="M140" s="91">
        <f>SUM(DataEx!EZ330)</f>
        <v>1699899.96</v>
      </c>
      <c r="N140" s="91">
        <f>SUM(DataEx!FA330)</f>
        <v>1699899.96</v>
      </c>
      <c r="O140" s="91">
        <f>SUM(DataEx!FB330)</f>
        <v>924899.9599999981</v>
      </c>
      <c r="P140" s="91">
        <f>SUM(DataEx!FC330)</f>
        <v>924899.9599999981</v>
      </c>
      <c r="Q140" s="91">
        <f>SUM(DataEx!FD330)</f>
        <v>924899.9599999981</v>
      </c>
      <c r="R140" s="91">
        <f>SUM(DataEx!FE330)</f>
        <v>924899.9599999981</v>
      </c>
      <c r="S140" s="125">
        <f t="shared" si="21"/>
        <v>17298799.519999992</v>
      </c>
      <c r="T140" s="126">
        <f t="shared" si="22"/>
        <v>3.7098004546429319E-3</v>
      </c>
    </row>
    <row r="141" spans="1:20">
      <c r="A141" s="137" t="str">
        <f t="shared" si="18"/>
        <v>423p</v>
      </c>
      <c r="B141" s="526" t="str">
        <f>+VLOOKUP(LEFT($A141,LEN(A141)-1)*1,Master!$D$27:$G$225,4,FALSE)</f>
        <v>Prava iz oblasti penzijskog i invalidskog osiguranja</v>
      </c>
      <c r="C141" s="527"/>
      <c r="D141" s="527"/>
      <c r="E141" s="527"/>
      <c r="F141" s="527"/>
      <c r="G141" s="91">
        <f>SUM(DataEx!ET336)</f>
        <v>35472732.535833336</v>
      </c>
      <c r="H141" s="91">
        <f>SUM(DataEx!EU336)</f>
        <v>35472732.535833336</v>
      </c>
      <c r="I141" s="91">
        <f>SUM(DataEx!EV336)</f>
        <v>35472732.535833336</v>
      </c>
      <c r="J141" s="91">
        <f>SUM(DataEx!EW336)</f>
        <v>35472732.535833336</v>
      </c>
      <c r="K141" s="91">
        <f>SUM(DataEx!EX336)</f>
        <v>35472732.535833336</v>
      </c>
      <c r="L141" s="91">
        <f>SUM(DataEx!EY336)</f>
        <v>35472732.535833336</v>
      </c>
      <c r="M141" s="91">
        <f>SUM(DataEx!EZ336)</f>
        <v>35472732.535833336</v>
      </c>
      <c r="N141" s="91">
        <f>SUM(DataEx!FA336)</f>
        <v>35472732.535833336</v>
      </c>
      <c r="O141" s="91">
        <f>SUM(DataEx!FB336)</f>
        <v>35472732.535833336</v>
      </c>
      <c r="P141" s="91">
        <f>SUM(DataEx!FC336)</f>
        <v>35472732.535833336</v>
      </c>
      <c r="Q141" s="91">
        <f>SUM(DataEx!FD336)</f>
        <v>35472732.535833336</v>
      </c>
      <c r="R141" s="91">
        <f>SUM(DataEx!FE336)</f>
        <v>35472732.535833336</v>
      </c>
      <c r="S141" s="125">
        <f t="shared" si="21"/>
        <v>425672790.43000013</v>
      </c>
      <c r="T141" s="126">
        <f t="shared" si="22"/>
        <v>9.1287323703624301E-2</v>
      </c>
    </row>
    <row r="142" spans="1:20">
      <c r="A142" s="137" t="str">
        <f t="shared" si="18"/>
        <v>424p</v>
      </c>
      <c r="B142" s="526" t="str">
        <f>+VLOOKUP(LEFT($A142,LEN(A142)-1)*1,Master!$D$27:$G$225,4,FALSE)</f>
        <v>Ostala prava iz oblasti zdravstvene zaštite</v>
      </c>
      <c r="C142" s="527"/>
      <c r="D142" s="527"/>
      <c r="E142" s="527"/>
      <c r="F142" s="527"/>
      <c r="G142" s="91">
        <f>SUM(DataEx!ET344)</f>
        <v>1375008.3333333333</v>
      </c>
      <c r="H142" s="91">
        <f>SUM(DataEx!EU344)</f>
        <v>1375008.3333333333</v>
      </c>
      <c r="I142" s="91">
        <f>SUM(DataEx!EV344)</f>
        <v>1375008.3333333333</v>
      </c>
      <c r="J142" s="91">
        <f>SUM(DataEx!EW344)</f>
        <v>1375008.3333333333</v>
      </c>
      <c r="K142" s="91">
        <f>SUM(DataEx!EX344)</f>
        <v>1375008.3333333333</v>
      </c>
      <c r="L142" s="91">
        <f>SUM(DataEx!EY344)</f>
        <v>1375008.3333333333</v>
      </c>
      <c r="M142" s="91">
        <f>SUM(DataEx!EZ344)</f>
        <v>1375008.3333333333</v>
      </c>
      <c r="N142" s="91">
        <f>SUM(DataEx!FA344)</f>
        <v>1375008.3333333333</v>
      </c>
      <c r="O142" s="91">
        <f>SUM(DataEx!FB344)</f>
        <v>2000008.3333333328</v>
      </c>
      <c r="P142" s="91">
        <f>SUM(DataEx!FC344)</f>
        <v>2000008.3333333328</v>
      </c>
      <c r="Q142" s="91">
        <f>SUM(DataEx!FD344)</f>
        <v>2000008.3333333328</v>
      </c>
      <c r="R142" s="91">
        <f>SUM(DataEx!FE344)</f>
        <v>2000008.3333333328</v>
      </c>
      <c r="S142" s="125">
        <f t="shared" si="21"/>
        <v>19000099.999999996</v>
      </c>
      <c r="T142" s="126">
        <f t="shared" si="22"/>
        <v>4.0746515119022084E-3</v>
      </c>
    </row>
    <row r="143" spans="1:20">
      <c r="A143" s="137" t="str">
        <f t="shared" si="18"/>
        <v>425p</v>
      </c>
      <c r="B143" s="526" t="str">
        <f>+VLOOKUP(LEFT($A143,LEN(A143)-1)*1,Master!$D$27:$G$225,4,FALSE)</f>
        <v>Ostala prava iz zdravstvenog osiguranja</v>
      </c>
      <c r="C143" s="527"/>
      <c r="D143" s="527"/>
      <c r="E143" s="527"/>
      <c r="F143" s="527"/>
      <c r="G143" s="91">
        <f>SUM(DataEx!ET346)</f>
        <v>752083.33333333337</v>
      </c>
      <c r="H143" s="91">
        <f>SUM(DataEx!EU346)</f>
        <v>752083.33333333337</v>
      </c>
      <c r="I143" s="91">
        <f>SUM(DataEx!EV346)</f>
        <v>752083.33333333337</v>
      </c>
      <c r="J143" s="91">
        <f>SUM(DataEx!EW346)</f>
        <v>752083.33333333337</v>
      </c>
      <c r="K143" s="91">
        <f>SUM(DataEx!EX346)</f>
        <v>752083.33333333337</v>
      </c>
      <c r="L143" s="91">
        <f>SUM(DataEx!EY346)</f>
        <v>752083.33333333337</v>
      </c>
      <c r="M143" s="91">
        <f>SUM(DataEx!EZ346)</f>
        <v>752083.33333333337</v>
      </c>
      <c r="N143" s="91">
        <f>SUM(DataEx!FA346)</f>
        <v>752083.33333333337</v>
      </c>
      <c r="O143" s="91">
        <f>SUM(DataEx!FB346)</f>
        <v>2039583.333333334</v>
      </c>
      <c r="P143" s="91">
        <f>SUM(DataEx!FC346)</f>
        <v>2039583.333333334</v>
      </c>
      <c r="Q143" s="91">
        <f>SUM(DataEx!FD346)</f>
        <v>2039583.333333334</v>
      </c>
      <c r="R143" s="91">
        <f>SUM(DataEx!FE346)</f>
        <v>2039583.333333334</v>
      </c>
      <c r="S143" s="125">
        <f t="shared" si="21"/>
        <v>14175000.000000002</v>
      </c>
      <c r="T143" s="126">
        <f t="shared" si="22"/>
        <v>3.0398884838087072E-3</v>
      </c>
    </row>
    <row r="144" spans="1:20">
      <c r="A144" s="137" t="str">
        <f t="shared" si="18"/>
        <v>43p</v>
      </c>
      <c r="B144" s="528" t="str">
        <f>+VLOOKUP(LEFT($A144,LEN(A144)-1)*1,Master!$D$27:$G$225,4,FALSE)</f>
        <v xml:space="preserve">Transferi institucijama, pojedincima, nevladinom i javnom sektoru </v>
      </c>
      <c r="C144" s="529"/>
      <c r="D144" s="529"/>
      <c r="E144" s="529"/>
      <c r="F144" s="529"/>
      <c r="G144" s="85">
        <f>SUM(DataEx!ET350)</f>
        <v>15295211.558333334</v>
      </c>
      <c r="H144" s="85">
        <f>SUM(DataEx!EU350)</f>
        <v>15295211.558333334</v>
      </c>
      <c r="I144" s="85">
        <f>SUM(DataEx!EV350)</f>
        <v>15295211.558333334</v>
      </c>
      <c r="J144" s="85">
        <f>SUM(DataEx!EW350)</f>
        <v>18161878.224999998</v>
      </c>
      <c r="K144" s="85">
        <f>SUM(DataEx!EX350)</f>
        <v>18161878.224999998</v>
      </c>
      <c r="L144" s="85">
        <f>SUM(DataEx!EY350)</f>
        <v>18161878.224999998</v>
      </c>
      <c r="M144" s="85">
        <f>SUM(DataEx!EZ350)</f>
        <v>15295211.558333334</v>
      </c>
      <c r="N144" s="85">
        <f>SUM(DataEx!FA350)</f>
        <v>15295211.558333334</v>
      </c>
      <c r="O144" s="85">
        <f>SUM(DataEx!FB350)</f>
        <v>18930636.555833336</v>
      </c>
      <c r="P144" s="85">
        <f>SUM(DataEx!FC350)</f>
        <v>18930636.555833336</v>
      </c>
      <c r="Q144" s="85">
        <f>SUM(DataEx!FD350)</f>
        <v>18930636.555833336</v>
      </c>
      <c r="R144" s="85">
        <f>SUM(DataEx!FE350)</f>
        <v>18930636.555833336</v>
      </c>
      <c r="S144" s="127">
        <f>+SUM(G144:R144)</f>
        <v>206684238.69</v>
      </c>
      <c r="T144" s="128">
        <f t="shared" si="22"/>
        <v>4.4324305959682606E-2</v>
      </c>
    </row>
    <row r="145" spans="1:20">
      <c r="A145" s="137" t="str">
        <f t="shared" si="18"/>
        <v>44p</v>
      </c>
      <c r="B145" s="528" t="str">
        <f>+VLOOKUP(LEFT($A145,LEN(A145)-1)*1,Master!$D$27:$G$225,4,FALSE)</f>
        <v>Kapitalni budžet</v>
      </c>
      <c r="C145" s="529"/>
      <c r="D145" s="529"/>
      <c r="E145" s="529"/>
      <c r="F145" s="529"/>
      <c r="G145" s="85">
        <f>SUM(DataEx!ET368)</f>
        <v>21472083.333333332</v>
      </c>
      <c r="H145" s="85">
        <f>SUM(DataEx!EU368)</f>
        <v>21472083.333333332</v>
      </c>
      <c r="I145" s="85">
        <f>SUM(DataEx!EV368)</f>
        <v>21472083.333333332</v>
      </c>
      <c r="J145" s="85">
        <f>SUM(DataEx!EW368)</f>
        <v>21472083.333333332</v>
      </c>
      <c r="K145" s="85">
        <f>SUM(DataEx!EX368)</f>
        <v>21472083.333333332</v>
      </c>
      <c r="L145" s="85">
        <f>SUM(DataEx!EY368)</f>
        <v>21472083.333333332</v>
      </c>
      <c r="M145" s="85">
        <f>SUM(DataEx!EZ368)</f>
        <v>26990416.666666664</v>
      </c>
      <c r="N145" s="85">
        <f>SUM(DataEx!FA368)</f>
        <v>26990416.666666664</v>
      </c>
      <c r="O145" s="85">
        <f>SUM(DataEx!FB368)</f>
        <v>26315416.666666701</v>
      </c>
      <c r="P145" s="85">
        <f>SUM(DataEx!FC368)</f>
        <v>26315416.666666701</v>
      </c>
      <c r="Q145" s="85">
        <f>SUM(DataEx!FD368)</f>
        <v>26815416.670000002</v>
      </c>
      <c r="R145" s="85">
        <f>SUM(DataEx!FE368)</f>
        <v>26815416.66</v>
      </c>
      <c r="S145" s="127">
        <f t="shared" si="21"/>
        <v>289074999.99666673</v>
      </c>
      <c r="T145" s="128">
        <f t="shared" si="22"/>
        <v>6.199335191865038E-2</v>
      </c>
    </row>
    <row r="146" spans="1:20">
      <c r="A146" s="137" t="str">
        <f t="shared" si="18"/>
        <v>451p</v>
      </c>
      <c r="B146" s="510" t="str">
        <f>+VLOOKUP(LEFT($A146,LEN(A146)-1)*1,Master!$D$27:$G$225,4,FALSE)</f>
        <v>Pozajmice i krediti</v>
      </c>
      <c r="C146" s="511"/>
      <c r="D146" s="511"/>
      <c r="E146" s="511"/>
      <c r="F146" s="511"/>
      <c r="G146" s="91">
        <f>SUM(DataEx!ET379)</f>
        <v>239583.41666666666</v>
      </c>
      <c r="H146" s="91">
        <f>SUM(DataEx!EU379)</f>
        <v>239583.41666666666</v>
      </c>
      <c r="I146" s="91">
        <f>SUM(DataEx!EV379)</f>
        <v>239583.41666666666</v>
      </c>
      <c r="J146" s="91">
        <f>SUM(DataEx!EW379)</f>
        <v>239583.41666666666</v>
      </c>
      <c r="K146" s="91">
        <f>SUM(DataEx!EX379)</f>
        <v>239583.41666666666</v>
      </c>
      <c r="L146" s="91">
        <f>SUM(DataEx!EY379)</f>
        <v>239583.41666666666</v>
      </c>
      <c r="M146" s="91">
        <f>SUM(DataEx!EZ379)</f>
        <v>239583.41666666666</v>
      </c>
      <c r="N146" s="91">
        <f>SUM(DataEx!FA379)</f>
        <v>239583.41666666666</v>
      </c>
      <c r="O146" s="91">
        <f>SUM(DataEx!FB379)</f>
        <v>239583.41666666666</v>
      </c>
      <c r="P146" s="91">
        <f>SUM(DataEx!FC379)</f>
        <v>239583.41666666666</v>
      </c>
      <c r="Q146" s="91">
        <f>SUM(DataEx!FD379)</f>
        <v>239583.41666666666</v>
      </c>
      <c r="R146" s="91">
        <f>SUM(DataEx!FE379)</f>
        <v>239583.41666666666</v>
      </c>
      <c r="S146" s="125">
        <f t="shared" si="21"/>
        <v>2875000.9999999995</v>
      </c>
      <c r="T146" s="126">
        <f t="shared" si="22"/>
        <v>6.1655607977696757E-4</v>
      </c>
    </row>
    <row r="147" spans="1:20">
      <c r="A147" s="137" t="str">
        <f t="shared" si="18"/>
        <v>47p</v>
      </c>
      <c r="B147" s="510" t="str">
        <f>+VLOOKUP(LEFT($A147,LEN(A147)-1)*1,Master!$D$27:$G$225,4,FALSE)</f>
        <v>Rezerve</v>
      </c>
      <c r="C147" s="511"/>
      <c r="D147" s="511"/>
      <c r="E147" s="511"/>
      <c r="F147" s="511"/>
      <c r="G147" s="91">
        <f>SUM(DataEx!ET394)</f>
        <v>830846.24800000002</v>
      </c>
      <c r="H147" s="91">
        <f>SUM(DataEx!EU394)</f>
        <v>830846.24800000002</v>
      </c>
      <c r="I147" s="91">
        <f>SUM(DataEx!EV394)</f>
        <v>830846.24800000002</v>
      </c>
      <c r="J147" s="91">
        <f>SUM(DataEx!EW394)</f>
        <v>949846.13199999998</v>
      </c>
      <c r="K147" s="91">
        <f>SUM(DataEx!EX394)</f>
        <v>1306845.784</v>
      </c>
      <c r="L147" s="91">
        <f>SUM(DataEx!EY394)</f>
        <v>830846.24800000002</v>
      </c>
      <c r="M147" s="91">
        <f>SUM(DataEx!EZ394)</f>
        <v>1246269.3720000002</v>
      </c>
      <c r="N147" s="91">
        <f>SUM(DataEx!FA394)</f>
        <v>1246269.3720000002</v>
      </c>
      <c r="O147" s="91">
        <f>SUM(DataEx!FB394)</f>
        <v>5393218.1470000008</v>
      </c>
      <c r="P147" s="91">
        <f>SUM(DataEx!FC394)</f>
        <v>5393218.1470000008</v>
      </c>
      <c r="Q147" s="91">
        <f>SUM(DataEx!FD394)</f>
        <v>5393218.1470000008</v>
      </c>
      <c r="R147" s="91">
        <f>SUM(DataEx!FE394)</f>
        <v>5393218.1470000008</v>
      </c>
      <c r="S147" s="125">
        <f t="shared" si="21"/>
        <v>29645488.240000002</v>
      </c>
      <c r="T147" s="126">
        <f t="shared" si="22"/>
        <v>6.3575998799056408E-3</v>
      </c>
    </row>
    <row r="148" spans="1:20">
      <c r="A148" s="137" t="str">
        <f t="shared" si="18"/>
        <v>462p</v>
      </c>
      <c r="B148" s="510" t="str">
        <f>+VLOOKUP(LEFT($A148,LEN(A148)-1)*1,Master!$D$27:$G$225,4,FALSE)</f>
        <v>Otplata garancija</v>
      </c>
      <c r="C148" s="511"/>
      <c r="D148" s="511"/>
      <c r="E148" s="511"/>
      <c r="F148" s="511"/>
      <c r="G148" s="91">
        <f>SUM(DataEx!ET381)</f>
        <v>0</v>
      </c>
      <c r="H148" s="91">
        <f>SUM(DataEx!EU381)</f>
        <v>0</v>
      </c>
      <c r="I148" s="91">
        <f>SUM(DataEx!EV381)</f>
        <v>0</v>
      </c>
      <c r="J148" s="91">
        <f>SUM(DataEx!EW381)</f>
        <v>0</v>
      </c>
      <c r="K148" s="91">
        <f>SUM(DataEx!EX381)</f>
        <v>0</v>
      </c>
      <c r="L148" s="91">
        <f>SUM(DataEx!EY381)</f>
        <v>0</v>
      </c>
      <c r="M148" s="91">
        <f>SUM(DataEx!EZ381)</f>
        <v>0</v>
      </c>
      <c r="N148" s="91">
        <f>SUM(DataEx!FA381)</f>
        <v>0</v>
      </c>
      <c r="O148" s="91">
        <f>SUM(DataEx!FB381)</f>
        <v>0</v>
      </c>
      <c r="P148" s="91">
        <f>SUM(DataEx!FC381)</f>
        <v>0</v>
      </c>
      <c r="Q148" s="91">
        <f>SUM(DataEx!FD381)</f>
        <v>0</v>
      </c>
      <c r="R148" s="91">
        <f>SUM(DataEx!FE381)</f>
        <v>0</v>
      </c>
      <c r="S148" s="125">
        <f t="shared" si="21"/>
        <v>0</v>
      </c>
      <c r="T148" s="126">
        <f t="shared" si="22"/>
        <v>0</v>
      </c>
    </row>
    <row r="149" spans="1:20" ht="13.5" thickBot="1">
      <c r="A149" s="137"/>
      <c r="B149" s="386" t="s">
        <v>695</v>
      </c>
      <c r="C149" s="387"/>
      <c r="D149" s="387"/>
      <c r="E149" s="387"/>
      <c r="F149" s="387"/>
      <c r="G149" s="91">
        <f>SUM(DataEx!ET382)</f>
        <v>0</v>
      </c>
      <c r="H149" s="91">
        <f>SUM(DataEx!EU382)</f>
        <v>0</v>
      </c>
      <c r="I149" s="91">
        <f>SUM(DataEx!EV382)</f>
        <v>0</v>
      </c>
      <c r="J149" s="91">
        <f>SUM(DataEx!EW382)</f>
        <v>0</v>
      </c>
      <c r="K149" s="91">
        <f>SUM(DataEx!EX382)</f>
        <v>0</v>
      </c>
      <c r="L149" s="91">
        <f>SUM(DataEx!EY382)</f>
        <v>0</v>
      </c>
      <c r="M149" s="91">
        <f>SUM(DataEx!EZ382)</f>
        <v>0</v>
      </c>
      <c r="N149" s="91">
        <f>SUM(DataEx!FA382)</f>
        <v>0</v>
      </c>
      <c r="O149" s="91">
        <f>SUM(DataEx!FB382)</f>
        <v>0</v>
      </c>
      <c r="P149" s="91">
        <f>SUM(DataEx!FC382)</f>
        <v>0</v>
      </c>
      <c r="Q149" s="91">
        <f>SUM(DataEx!FD382)</f>
        <v>0</v>
      </c>
      <c r="R149" s="91">
        <f>SUM(DataEx!FE382)</f>
        <v>0</v>
      </c>
      <c r="S149" s="135">
        <f>SUM(G149:R149)</f>
        <v>0</v>
      </c>
      <c r="T149" s="136">
        <f t="shared" si="22"/>
        <v>0</v>
      </c>
    </row>
    <row r="150" spans="1:20" ht="13.5" thickBot="1">
      <c r="A150" s="138" t="str">
        <f>+CONCATENATE(A55,"p")</f>
        <v>1000p</v>
      </c>
      <c r="B150" s="518" t="str">
        <f>+VLOOKUP(LEFT($A150,LEN(A150)-1)*1,Master!$D$27:$G$225,4,FALSE)</f>
        <v>Suficit / deficit</v>
      </c>
      <c r="C150" s="519"/>
      <c r="D150" s="519"/>
      <c r="E150" s="519"/>
      <c r="F150" s="519"/>
      <c r="G150" s="97">
        <f t="shared" ref="G150:R150" si="28">+G106-G125</f>
        <v>-64224630.550666675</v>
      </c>
      <c r="H150" s="97">
        <f t="shared" si="28"/>
        <v>-38689367.230666667</v>
      </c>
      <c r="I150" s="97">
        <f t="shared" si="28"/>
        <v>-6911119.8406666815</v>
      </c>
      <c r="J150" s="97">
        <f t="shared" si="28"/>
        <v>7828380.3542222381</v>
      </c>
      <c r="K150" s="97">
        <f t="shared" si="28"/>
        <v>-10713497.853111148</v>
      </c>
      <c r="L150" s="97">
        <f t="shared" si="28"/>
        <v>-8252765.6917777658</v>
      </c>
      <c r="M150" s="97">
        <f t="shared" si="28"/>
        <v>-1060945.4237637222</v>
      </c>
      <c r="N150" s="97">
        <f t="shared" si="28"/>
        <v>5510010.1587502658</v>
      </c>
      <c r="O150" s="97">
        <f t="shared" si="28"/>
        <v>14130301.591036469</v>
      </c>
      <c r="P150" s="97">
        <f t="shared" si="28"/>
        <v>-23342791.08790341</v>
      </c>
      <c r="Q150" s="97">
        <f t="shared" si="28"/>
        <v>-37972128.493116558</v>
      </c>
      <c r="R150" s="97">
        <f t="shared" si="28"/>
        <v>20858700.505209386</v>
      </c>
      <c r="S150" s="113">
        <f t="shared" si="21"/>
        <v>-142839853.56245428</v>
      </c>
      <c r="T150" s="114">
        <f t="shared" si="22"/>
        <v>-3.063260852722588E-2</v>
      </c>
    </row>
    <row r="151" spans="1:20" ht="13.5" thickBot="1">
      <c r="A151" s="138" t="str">
        <f>+CONCATENATE(A57,"p")</f>
        <v>1001p</v>
      </c>
      <c r="B151" s="520" t="str">
        <f>+VLOOKUP(LEFT($A151,LEN(A151)-1)*1,Master!$D$27:$G$225,4,FALSE)</f>
        <v>Primarni bilans</v>
      </c>
      <c r="C151" s="521"/>
      <c r="D151" s="521"/>
      <c r="E151" s="521"/>
      <c r="F151" s="521"/>
      <c r="G151" s="98">
        <f t="shared" ref="G151:R151" si="29">+G150+G133</f>
        <v>-57101905.550666675</v>
      </c>
      <c r="H151" s="98">
        <f t="shared" si="29"/>
        <v>-31566642.230666667</v>
      </c>
      <c r="I151" s="98">
        <f t="shared" si="29"/>
        <v>211605.15933331847</v>
      </c>
      <c r="J151" s="98">
        <f t="shared" si="29"/>
        <v>14951105.354222238</v>
      </c>
      <c r="K151" s="98">
        <f t="shared" si="29"/>
        <v>-3590772.8531111479</v>
      </c>
      <c r="L151" s="98">
        <f t="shared" si="29"/>
        <v>-1130040.6917777658</v>
      </c>
      <c r="M151" s="98">
        <f t="shared" si="29"/>
        <v>6061779.5762362778</v>
      </c>
      <c r="N151" s="98">
        <f t="shared" si="29"/>
        <v>12632735.158750266</v>
      </c>
      <c r="O151" s="98">
        <f t="shared" si="29"/>
        <v>21745526.591036469</v>
      </c>
      <c r="P151" s="98">
        <f t="shared" si="29"/>
        <v>-15727566.08790341</v>
      </c>
      <c r="Q151" s="98">
        <f t="shared" si="29"/>
        <v>-30356903.493116558</v>
      </c>
      <c r="R151" s="98">
        <f t="shared" si="29"/>
        <v>28473925.505209386</v>
      </c>
      <c r="S151" s="113">
        <f t="shared" si="21"/>
        <v>-55397153.562454268</v>
      </c>
      <c r="T151" s="114">
        <f t="shared" si="22"/>
        <v>-1.1880153026475288E-2</v>
      </c>
    </row>
    <row r="152" spans="1:20">
      <c r="A152" s="138" t="str">
        <f>+CONCATENATE(A58,"p")</f>
        <v>46p</v>
      </c>
      <c r="B152" s="522" t="str">
        <f>+VLOOKUP(LEFT($A152,LEN(A152)-1)*1,Master!$D$27:$G$225,4,FALSE)</f>
        <v>Otplata dugova</v>
      </c>
      <c r="C152" s="523"/>
      <c r="D152" s="523"/>
      <c r="E152" s="523"/>
      <c r="F152" s="523"/>
      <c r="G152" s="87">
        <f t="shared" ref="G152:R152" si="30">+SUM(G153:G155)</f>
        <v>3995985.341243688</v>
      </c>
      <c r="H152" s="87">
        <f t="shared" si="30"/>
        <v>5612183.5020401878</v>
      </c>
      <c r="I152" s="87">
        <f t="shared" si="30"/>
        <v>22206461.85490736</v>
      </c>
      <c r="J152" s="87">
        <f t="shared" si="30"/>
        <v>23720356.07957419</v>
      </c>
      <c r="K152" s="87">
        <f t="shared" si="30"/>
        <v>19949382.892757326</v>
      </c>
      <c r="L152" s="87">
        <f t="shared" si="30"/>
        <v>18025387.76124369</v>
      </c>
      <c r="M152" s="87">
        <f t="shared" si="30"/>
        <v>6006605.7712436877</v>
      </c>
      <c r="N152" s="87">
        <f t="shared" si="30"/>
        <v>17160148.002040189</v>
      </c>
      <c r="O152" s="87">
        <f t="shared" si="30"/>
        <v>21286585.159562141</v>
      </c>
      <c r="P152" s="87">
        <f t="shared" si="30"/>
        <v>8472904.0295741912</v>
      </c>
      <c r="Q152" s="87">
        <f t="shared" si="30"/>
        <v>10599232.02456969</v>
      </c>
      <c r="R152" s="87">
        <f t="shared" si="30"/>
        <v>385397542.39124364</v>
      </c>
      <c r="S152" s="109">
        <f t="shared" si="21"/>
        <v>542432774.80999994</v>
      </c>
      <c r="T152" s="110">
        <f t="shared" si="22"/>
        <v>0.11632699438344413</v>
      </c>
    </row>
    <row r="153" spans="1:20">
      <c r="A153" s="138" t="str">
        <f>+CONCATENATE(A59,"p")</f>
        <v>4611p</v>
      </c>
      <c r="B153" s="512" t="str">
        <f>+VLOOKUP(LEFT($A153,LEN(A153)-1)*1,Master!$D$27:$G$225,4,FALSE)</f>
        <v>Otplata hartija od vrijednosti i kredita rezidentima</v>
      </c>
      <c r="C153" s="513"/>
      <c r="D153" s="513"/>
      <c r="E153" s="513"/>
      <c r="F153" s="513"/>
      <c r="G153" s="100">
        <f>SUM(DataEx!ET388)</f>
        <v>116701.86</v>
      </c>
      <c r="H153" s="100">
        <f>SUM(DataEx!EU388)</f>
        <v>867332.36</v>
      </c>
      <c r="I153" s="100">
        <f>SUM(DataEx!EV388)</f>
        <v>7801367.0199999996</v>
      </c>
      <c r="J153" s="100">
        <f>SUM(DataEx!EW388)</f>
        <v>4481623.79</v>
      </c>
      <c r="K153" s="100">
        <f>SUM(DataEx!EX388)</f>
        <v>2831467.37</v>
      </c>
      <c r="L153" s="100">
        <f>SUM(DataEx!EY388)</f>
        <v>7170000.0800000001</v>
      </c>
      <c r="M153" s="100">
        <f>SUM(DataEx!EZ388)</f>
        <v>82322.3</v>
      </c>
      <c r="N153" s="100">
        <f>SUM(DataEx!FA388)</f>
        <v>10832753.109999999</v>
      </c>
      <c r="O153" s="100">
        <f>SUM(DataEx!FB388)</f>
        <v>1958366.01</v>
      </c>
      <c r="P153" s="100">
        <f>SUM(DataEx!FC388)</f>
        <v>1510132.11</v>
      </c>
      <c r="Q153" s="100">
        <f>SUM(DataEx!FD388)</f>
        <v>834059.15</v>
      </c>
      <c r="R153" s="100">
        <f>SUM(DataEx!FE388)</f>
        <v>12202154.65</v>
      </c>
      <c r="S153" s="107">
        <f t="shared" si="21"/>
        <v>50688279.809999995</v>
      </c>
      <c r="T153" s="108">
        <f t="shared" si="22"/>
        <v>1.0870315206948316E-2</v>
      </c>
    </row>
    <row r="154" spans="1:20">
      <c r="A154" s="138" t="str">
        <f>+CONCATENATE(A60,"p")</f>
        <v>4612p</v>
      </c>
      <c r="B154" s="510" t="str">
        <f>+VLOOKUP(LEFT($A154,LEN(A154)-1)*1,Master!$D$27:$G$225,4,FALSE)</f>
        <v>Otplata hartija od vrijednosti i kredita nerezidentima</v>
      </c>
      <c r="C154" s="511"/>
      <c r="D154" s="511"/>
      <c r="E154" s="511"/>
      <c r="F154" s="511"/>
      <c r="G154" s="100">
        <f>SUM(DataEx!ET389)</f>
        <v>2071825.5645770216</v>
      </c>
      <c r="H154" s="100">
        <f>SUM(DataEx!EU389)</f>
        <v>2862393.2253735214</v>
      </c>
      <c r="I154" s="100">
        <f>SUM(DataEx!EV389)</f>
        <v>12467636.918240691</v>
      </c>
      <c r="J154" s="100">
        <f>SUM(DataEx!EW389)</f>
        <v>17326274.372907523</v>
      </c>
      <c r="K154" s="100">
        <f>SUM(DataEx!EX389)</f>
        <v>15150457.606090657</v>
      </c>
      <c r="L154" s="100">
        <f>SUM(DataEx!EY389)</f>
        <v>8947929.7645770218</v>
      </c>
      <c r="M154" s="100">
        <f>SUM(DataEx!EZ389)</f>
        <v>2071825.5545770216</v>
      </c>
      <c r="N154" s="100">
        <f>SUM(DataEx!FA389)</f>
        <v>2989936.9753735219</v>
      </c>
      <c r="O154" s="100">
        <f>SUM(DataEx!FB389)</f>
        <v>16625761.232895471</v>
      </c>
      <c r="P154" s="100">
        <f>SUM(DataEx!FC389)</f>
        <v>4165314.0029075216</v>
      </c>
      <c r="Q154" s="100">
        <f>SUM(DataEx!FD389)</f>
        <v>6972714.957903021</v>
      </c>
      <c r="R154" s="100">
        <f>SUM(DataEx!FE389)</f>
        <v>369847929.82457697</v>
      </c>
      <c r="S154" s="107">
        <f t="shared" si="21"/>
        <v>461500000</v>
      </c>
      <c r="T154" s="108">
        <f t="shared" si="22"/>
        <v>9.8970619772678528E-2</v>
      </c>
    </row>
    <row r="155" spans="1:20">
      <c r="A155" s="138" t="str">
        <f>+CONCATENATE(A53,"p")</f>
        <v>4630p</v>
      </c>
      <c r="B155" s="510" t="str">
        <f>+VLOOKUP(LEFT($A155,LEN(A155)-1)*1,Master!$D$27:$G$225,4,FALSE)</f>
        <v>Otplata obaveza iz prethodnih godina</v>
      </c>
      <c r="C155" s="511"/>
      <c r="D155" s="511"/>
      <c r="E155" s="511"/>
      <c r="F155" s="511"/>
      <c r="G155" s="100">
        <f>SUM(DataEx!ET393)</f>
        <v>1807457.9166666667</v>
      </c>
      <c r="H155" s="100">
        <f>SUM(DataEx!EU393)</f>
        <v>1882457.9166666667</v>
      </c>
      <c r="I155" s="100">
        <f>SUM(DataEx!EV393)</f>
        <v>1937457.9166666667</v>
      </c>
      <c r="J155" s="100">
        <f>SUM(DataEx!EW393)</f>
        <v>1912457.9166666667</v>
      </c>
      <c r="K155" s="100">
        <f>SUM(DataEx!EX393)</f>
        <v>1967457.9166666667</v>
      </c>
      <c r="L155" s="100">
        <f>SUM(DataEx!EY393)</f>
        <v>1907457.9166666667</v>
      </c>
      <c r="M155" s="100">
        <f>SUM(DataEx!EZ393)</f>
        <v>3852457.9166666665</v>
      </c>
      <c r="N155" s="100">
        <f>SUM(DataEx!FA393)</f>
        <v>3337457.9166666665</v>
      </c>
      <c r="O155" s="100">
        <f>SUM(DataEx!FB393)</f>
        <v>2702457.9166666698</v>
      </c>
      <c r="P155" s="100">
        <f>SUM(DataEx!FC393)</f>
        <v>2797457.9166666698</v>
      </c>
      <c r="Q155" s="100">
        <f>SUM(DataEx!FD393)</f>
        <v>2792457.9166666698</v>
      </c>
      <c r="R155" s="100">
        <f>SUM(DataEx!FE393)</f>
        <v>3347457.9166666698</v>
      </c>
      <c r="S155" s="107">
        <f t="shared" si="21"/>
        <v>30244495.000000015</v>
      </c>
      <c r="T155" s="108">
        <f t="shared" si="22"/>
        <v>6.4860594038172884E-3</v>
      </c>
    </row>
    <row r="156" spans="1:20" ht="13.5" thickBot="1">
      <c r="A156" s="138"/>
      <c r="B156" s="422" t="s">
        <v>790</v>
      </c>
      <c r="C156" s="423"/>
      <c r="D156" s="423"/>
      <c r="E156" s="423"/>
      <c r="F156" s="423"/>
      <c r="G156" s="429">
        <f>+DataEx!ET377</f>
        <v>0</v>
      </c>
      <c r="H156" s="429">
        <f>+DataEx!EU377</f>
        <v>0</v>
      </c>
      <c r="I156" s="429">
        <f>+DataEx!EV377</f>
        <v>0</v>
      </c>
      <c r="J156" s="429">
        <f>+DataEx!EW377</f>
        <v>0</v>
      </c>
      <c r="K156" s="429">
        <f>+DataEx!EX377</f>
        <v>70000000</v>
      </c>
      <c r="L156" s="429">
        <f>+DataEx!EY377</f>
        <v>0</v>
      </c>
      <c r="M156" s="429">
        <f>+DataEx!EZ377</f>
        <v>0</v>
      </c>
      <c r="N156" s="429">
        <f>+DataEx!FA377</f>
        <v>0</v>
      </c>
      <c r="O156" s="429">
        <f>+DataEx!FB377</f>
        <v>0</v>
      </c>
      <c r="P156" s="429">
        <f>+DataEx!FC377</f>
        <v>0</v>
      </c>
      <c r="Q156" s="429">
        <f>+DataEx!FD377</f>
        <v>0</v>
      </c>
      <c r="R156" s="429">
        <f>+DataEx!FE377</f>
        <v>0</v>
      </c>
      <c r="S156" s="107">
        <f t="shared" si="21"/>
        <v>70000000</v>
      </c>
      <c r="T156" s="108">
        <f t="shared" si="22"/>
        <v>1.5011794981771392E-2</v>
      </c>
    </row>
    <row r="157" spans="1:20" ht="13.5" thickBot="1">
      <c r="A157" s="138" t="str">
        <f t="shared" ref="A157:A162" si="31">+CONCATENATE(A62,"p")</f>
        <v>1002p</v>
      </c>
      <c r="B157" s="514" t="str">
        <f>+VLOOKUP(LEFT($A157,LEN(A157)-1)*1,Master!$D$27:$G$225,4,FALSE)</f>
        <v>Nedostajuća sredstva</v>
      </c>
      <c r="C157" s="515"/>
      <c r="D157" s="515"/>
      <c r="E157" s="515"/>
      <c r="F157" s="515"/>
      <c r="G157" s="79">
        <f>+G150-G152-G156</f>
        <v>-68220615.891910359</v>
      </c>
      <c r="H157" s="79">
        <f t="shared" ref="H157:R157" si="32">+H150-H152-H156</f>
        <v>-44301550.732706852</v>
      </c>
      <c r="I157" s="79">
        <f t="shared" si="32"/>
        <v>-29117581.695574041</v>
      </c>
      <c r="J157" s="79">
        <f t="shared" si="32"/>
        <v>-15891975.725351952</v>
      </c>
      <c r="K157" s="79">
        <f t="shared" si="32"/>
        <v>-100662880.74586847</v>
      </c>
      <c r="L157" s="79">
        <f t="shared" si="32"/>
        <v>-26278153.453021456</v>
      </c>
      <c r="M157" s="79">
        <f t="shared" si="32"/>
        <v>-7067551.1950074099</v>
      </c>
      <c r="N157" s="79">
        <f t="shared" si="32"/>
        <v>-11650137.843289923</v>
      </c>
      <c r="O157" s="79">
        <f t="shared" si="32"/>
        <v>-7156283.568525672</v>
      </c>
      <c r="P157" s="79">
        <f t="shared" si="32"/>
        <v>-31815695.117477603</v>
      </c>
      <c r="Q157" s="79">
        <f t="shared" si="32"/>
        <v>-48571360.517686248</v>
      </c>
      <c r="R157" s="79">
        <f t="shared" si="32"/>
        <v>-364538841.88603425</v>
      </c>
      <c r="S157" s="117">
        <f t="shared" si="21"/>
        <v>-755272628.37245417</v>
      </c>
      <c r="T157" s="118">
        <f t="shared" si="22"/>
        <v>-0.16197139789244139</v>
      </c>
    </row>
    <row r="158" spans="1:20" ht="13.5" thickBot="1">
      <c r="A158" s="138" t="str">
        <f t="shared" si="31"/>
        <v>1003p</v>
      </c>
      <c r="B158" s="516" t="str">
        <f>+VLOOKUP(LEFT($A158,LEN(A158)-1)*1,Master!$D$27:$G$225,4,FALSE)</f>
        <v>Finansiranje</v>
      </c>
      <c r="C158" s="517"/>
      <c r="D158" s="517"/>
      <c r="E158" s="517"/>
      <c r="F158" s="517"/>
      <c r="G158" s="97">
        <f t="shared" ref="G158:R158" si="33">+SUM(G159:G162)</f>
        <v>68220615.891910359</v>
      </c>
      <c r="H158" s="97">
        <f t="shared" si="33"/>
        <v>44301550.732706852</v>
      </c>
      <c r="I158" s="97">
        <f t="shared" si="33"/>
        <v>29117581.695574041</v>
      </c>
      <c r="J158" s="97">
        <f t="shared" si="33"/>
        <v>15891975.725351952</v>
      </c>
      <c r="K158" s="97">
        <f t="shared" si="33"/>
        <v>100662880.74586847</v>
      </c>
      <c r="L158" s="97">
        <f t="shared" si="33"/>
        <v>26278153.453021456</v>
      </c>
      <c r="M158" s="97">
        <f t="shared" si="33"/>
        <v>7067551.1950074099</v>
      </c>
      <c r="N158" s="97">
        <f t="shared" si="33"/>
        <v>11650137.843289923</v>
      </c>
      <c r="O158" s="97">
        <f t="shared" si="33"/>
        <v>7156283.568525672</v>
      </c>
      <c r="P158" s="97">
        <f t="shared" si="33"/>
        <v>31815695.117477603</v>
      </c>
      <c r="Q158" s="97">
        <f t="shared" si="33"/>
        <v>48571360.517686248</v>
      </c>
      <c r="R158" s="97">
        <f t="shared" si="33"/>
        <v>364538841.88603425</v>
      </c>
      <c r="S158" s="119">
        <f t="shared" si="21"/>
        <v>755272628.37245417</v>
      </c>
      <c r="T158" s="120">
        <f t="shared" si="22"/>
        <v>0.16197139789244139</v>
      </c>
    </row>
    <row r="159" spans="1:20">
      <c r="A159" s="138" t="str">
        <f t="shared" si="31"/>
        <v>7511p</v>
      </c>
      <c r="B159" s="512" t="str">
        <f>+VLOOKUP(LEFT($A159,LEN(A159)-1)*1,Master!$D$27:$G$225,4,FALSE)</f>
        <v>Pozajmice i krediti od domaćih izvora</v>
      </c>
      <c r="C159" s="513"/>
      <c r="D159" s="513"/>
      <c r="E159" s="513"/>
      <c r="F159" s="513"/>
      <c r="G159" s="100">
        <f>+INDEX(DataEx!$1:$1048576,MATCH('2018'!$A159,DataEx!$D:$D,0),MATCH('2018'!G$6,DataEx!$7:$7,0))</f>
        <v>0</v>
      </c>
      <c r="H159" s="100">
        <f>+INDEX(DataEx!$1:$1048576,MATCH('2018'!$A159,DataEx!$D:$D,0),MATCH('2018'!H$6,DataEx!$7:$7,0))</f>
        <v>0</v>
      </c>
      <c r="I159" s="100">
        <f>+INDEX(DataEx!$1:$1048576,MATCH('2018'!$A159,DataEx!$D:$D,0),MATCH('2018'!I$6,DataEx!$7:$7,0))</f>
        <v>0</v>
      </c>
      <c r="J159" s="100">
        <f>+INDEX(DataEx!$1:$1048576,MATCH('2018'!$A159,DataEx!$D:$D,0),MATCH('2018'!J$6,DataEx!$7:$7,0))</f>
        <v>0</v>
      </c>
      <c r="K159" s="100">
        <f>+INDEX(DataEx!$1:$1048576,MATCH('2018'!$A159,DataEx!$D:$D,0),MATCH('2018'!K$6,DataEx!$7:$7,0))</f>
        <v>0</v>
      </c>
      <c r="L159" s="100">
        <f>+INDEX(DataEx!$1:$1048576,MATCH('2018'!$A159,DataEx!$D:$D,0),MATCH('2018'!L$6,DataEx!$7:$7,0))</f>
        <v>0</v>
      </c>
      <c r="M159" s="100">
        <f>+INDEX(DataEx!$1:$1048576,MATCH('2018'!$A159,DataEx!$D:$D,0),MATCH('2018'!M$6,DataEx!$7:$7,0))</f>
        <v>0</v>
      </c>
      <c r="N159" s="100">
        <f>+INDEX(DataEx!$1:$1048576,MATCH('2018'!$A159,DataEx!$D:$D,0),MATCH('2018'!N$6,DataEx!$7:$7,0))</f>
        <v>0</v>
      </c>
      <c r="O159" s="100">
        <f>+INDEX(DataEx!$1:$1048576,MATCH('2018'!$A159,DataEx!$D:$D,0),MATCH('2018'!O$6,DataEx!$7:$7,0))</f>
        <v>0</v>
      </c>
      <c r="P159" s="100">
        <f>+INDEX(DataEx!$1:$1048576,MATCH('2018'!$A159,DataEx!$D:$D,0),MATCH('2018'!P$6,DataEx!$7:$7,0))</f>
        <v>0</v>
      </c>
      <c r="Q159" s="100">
        <f>+INDEX(DataEx!$1:$1048576,MATCH('2018'!$A159,DataEx!$D:$D,0),MATCH('2018'!Q$6,DataEx!$7:$7,0))</f>
        <v>0</v>
      </c>
      <c r="R159" s="100">
        <f>+INDEX(DataEx!$1:$1048576,MATCH('2018'!$A159,DataEx!$D:$D,0),MATCH('2018'!R$6,DataEx!$7:$7,0))</f>
        <v>0</v>
      </c>
      <c r="S159" s="107">
        <f t="shared" si="21"/>
        <v>0</v>
      </c>
      <c r="T159" s="108">
        <f t="shared" si="22"/>
        <v>0</v>
      </c>
    </row>
    <row r="160" spans="1:20">
      <c r="A160" s="138" t="str">
        <f t="shared" si="31"/>
        <v>7512p</v>
      </c>
      <c r="B160" s="510" t="str">
        <f>+VLOOKUP(LEFT($A160,LEN(A160)-1)*1,Master!$D$27:$G$225,4,FALSE)</f>
        <v>Pozajmice i krediti od inostranih izvora</v>
      </c>
      <c r="C160" s="511"/>
      <c r="D160" s="511"/>
      <c r="E160" s="511"/>
      <c r="F160" s="511"/>
      <c r="G160" s="100">
        <f>+INDEX(DataEx!$1:$1048576,MATCH('2018'!$A160,DataEx!$D:$D,0),MATCH('2018'!G$6,DataEx!$7:$7,0))</f>
        <v>24658333.329999998</v>
      </c>
      <c r="H160" s="100">
        <f>+INDEX(DataEx!$1:$1048576,MATCH('2018'!$A160,DataEx!$D:$D,0),MATCH('2018'!H$6,DataEx!$7:$7,0))</f>
        <v>24658333.329999998</v>
      </c>
      <c r="I160" s="100">
        <f>+INDEX(DataEx!$1:$1048576,MATCH('2018'!$A160,DataEx!$D:$D,0),MATCH('2018'!I$6,DataEx!$7:$7,0))</f>
        <v>24658333.329999998</v>
      </c>
      <c r="J160" s="100">
        <f>+INDEX(DataEx!$1:$1048576,MATCH('2018'!$A160,DataEx!$D:$D,0),MATCH('2018'!J$6,DataEx!$7:$7,0))</f>
        <v>24658333.329999998</v>
      </c>
      <c r="K160" s="100">
        <f>+INDEX(DataEx!$1:$1048576,MATCH('2018'!$A160,DataEx!$D:$D,0),MATCH('2018'!K$6,DataEx!$7:$7,0))</f>
        <v>24658333.329999998</v>
      </c>
      <c r="L160" s="100">
        <f>+INDEX(DataEx!$1:$1048576,MATCH('2018'!$A160,DataEx!$D:$D,0),MATCH('2018'!L$6,DataEx!$7:$7,0))</f>
        <v>24658333.329999998</v>
      </c>
      <c r="M160" s="100">
        <f>+INDEX(DataEx!$1:$1048576,MATCH('2018'!$A160,DataEx!$D:$D,0),MATCH('2018'!M$6,DataEx!$7:$7,0))</f>
        <v>24658333.329999998</v>
      </c>
      <c r="N160" s="100">
        <f>+INDEX(DataEx!$1:$1048576,MATCH('2018'!$A160,DataEx!$D:$D,0),MATCH('2018'!N$6,DataEx!$7:$7,0))</f>
        <v>24658333.329999998</v>
      </c>
      <c r="O160" s="100">
        <f>+INDEX(DataEx!$1:$1048576,MATCH('2018'!$A160,DataEx!$D:$D,0),MATCH('2018'!O$6,DataEx!$7:$7,0))</f>
        <v>24658333.329999998</v>
      </c>
      <c r="P160" s="100">
        <f>+INDEX(DataEx!$1:$1048576,MATCH('2018'!$A160,DataEx!$D:$D,0),MATCH('2018'!P$6,DataEx!$7:$7,0))</f>
        <v>24658333.329999998</v>
      </c>
      <c r="Q160" s="100">
        <f>+INDEX(DataEx!$1:$1048576,MATCH('2018'!$A160,DataEx!$D:$D,0),MATCH('2018'!Q$6,DataEx!$7:$7,0))</f>
        <v>24658333.329999998</v>
      </c>
      <c r="R160" s="100">
        <f>+INDEX(DataEx!$1:$1048576,MATCH('2018'!$A160,DataEx!$D:$D,0),MATCH('2018'!R$6,DataEx!$7:$7,0))</f>
        <v>468022681.93578738</v>
      </c>
      <c r="S160" s="107">
        <f t="shared" si="21"/>
        <v>739264348.56578732</v>
      </c>
      <c r="T160" s="108">
        <f t="shared" si="22"/>
        <v>0.15853835482860548</v>
      </c>
    </row>
    <row r="161" spans="1:20">
      <c r="A161" s="138" t="str">
        <f t="shared" si="31"/>
        <v>72p</v>
      </c>
      <c r="B161" s="510" t="str">
        <f>+VLOOKUP(LEFT($A161,LEN(A161)-1)*1,Master!$D$27:$G$225,4,FALSE)</f>
        <v>Primici od prodaje imovine</v>
      </c>
      <c r="C161" s="511"/>
      <c r="D161" s="511"/>
      <c r="E161" s="511"/>
      <c r="F161" s="511"/>
      <c r="G161" s="100">
        <f>+INDEX(DataEx!$1:$1048576,MATCH('2018'!$A161,DataEx!$D:$D,0),MATCH('2018'!G$6,DataEx!$7:$7,0))</f>
        <v>0</v>
      </c>
      <c r="H161" s="100">
        <f>+INDEX(DataEx!$1:$1048576,MATCH('2018'!$A161,DataEx!$D:$D,0),MATCH('2018'!H$6,DataEx!$7:$7,0))</f>
        <v>0</v>
      </c>
      <c r="I161" s="100">
        <f>+INDEX(DataEx!$1:$1048576,MATCH('2018'!$A161,DataEx!$D:$D,0),MATCH('2018'!I$6,DataEx!$7:$7,0))</f>
        <v>0</v>
      </c>
      <c r="J161" s="100">
        <f>+INDEX(DataEx!$1:$1048576,MATCH('2018'!$A161,DataEx!$D:$D,0),MATCH('2018'!J$6,DataEx!$7:$7,0))</f>
        <v>0</v>
      </c>
      <c r="K161" s="100">
        <f>+INDEX(DataEx!$1:$1048576,MATCH('2018'!$A161,DataEx!$D:$D,0),MATCH('2018'!K$6,DataEx!$7:$7,0))</f>
        <v>0</v>
      </c>
      <c r="L161" s="100">
        <f>+INDEX(DataEx!$1:$1048576,MATCH('2018'!$A161,DataEx!$D:$D,0),MATCH('2018'!L$6,DataEx!$7:$7,0))</f>
        <v>0</v>
      </c>
      <c r="M161" s="100">
        <f>+INDEX(DataEx!$1:$1048576,MATCH('2018'!$A161,DataEx!$D:$D,0),MATCH('2018'!M$6,DataEx!$7:$7,0))</f>
        <v>0</v>
      </c>
      <c r="N161" s="100">
        <f>+INDEX(DataEx!$1:$1048576,MATCH('2018'!$A161,DataEx!$D:$D,0),MATCH('2018'!N$6,DataEx!$7:$7,0))</f>
        <v>0</v>
      </c>
      <c r="O161" s="100">
        <f>+INDEX(DataEx!$1:$1048576,MATCH('2018'!$A161,DataEx!$D:$D,0),MATCH('2018'!O$6,DataEx!$7:$7,0))</f>
        <v>0</v>
      </c>
      <c r="P161" s="100">
        <f>+INDEX(DataEx!$1:$1048576,MATCH('2018'!$A161,DataEx!$D:$D,0),MATCH('2018'!P$6,DataEx!$7:$7,0))</f>
        <v>0</v>
      </c>
      <c r="Q161" s="100">
        <f>+INDEX(DataEx!$1:$1048576,MATCH('2018'!$A161,DataEx!$D:$D,0),MATCH('2018'!Q$6,DataEx!$7:$7,0))</f>
        <v>0</v>
      </c>
      <c r="R161" s="100">
        <f>+INDEX(DataEx!$1:$1048576,MATCH('2018'!$A161,DataEx!$D:$D,0),MATCH('2018'!R$6,DataEx!$7:$7,0))</f>
        <v>16000000</v>
      </c>
      <c r="S161" s="107">
        <f t="shared" si="21"/>
        <v>16000000</v>
      </c>
      <c r="T161" s="108">
        <f t="shared" si="22"/>
        <v>3.4312674244048897E-3</v>
      </c>
    </row>
    <row r="162" spans="1:20" ht="13.5" thickBot="1">
      <c r="A162" s="138" t="str">
        <f t="shared" si="31"/>
        <v>1004p</v>
      </c>
      <c r="B162" s="102" t="str">
        <f>+VLOOKUP(LEFT($A162,LEN(A162)-1)*1,Master!$D$27:$G$225,4,FALSE)</f>
        <v>Povećanje / smanjenje depozita</v>
      </c>
      <c r="C162" s="103"/>
      <c r="D162" s="103"/>
      <c r="E162" s="103"/>
      <c r="F162" s="103"/>
      <c r="G162" s="101">
        <f t="shared" ref="G162:R162" si="34">-G157-SUM(G159:G161)</f>
        <v>43562282.561910361</v>
      </c>
      <c r="H162" s="101">
        <f t="shared" si="34"/>
        <v>19643217.402706854</v>
      </c>
      <c r="I162" s="101">
        <f t="shared" si="34"/>
        <v>4459248.3655740432</v>
      </c>
      <c r="J162" s="101">
        <f t="shared" si="34"/>
        <v>-8766357.6046480462</v>
      </c>
      <c r="K162" s="101">
        <f t="shared" si="34"/>
        <v>76004547.415868476</v>
      </c>
      <c r="L162" s="101">
        <f t="shared" si="34"/>
        <v>1619820.1230214573</v>
      </c>
      <c r="M162" s="101">
        <f t="shared" si="34"/>
        <v>-17590782.134992588</v>
      </c>
      <c r="N162" s="101">
        <f t="shared" si="34"/>
        <v>-13008195.486710075</v>
      </c>
      <c r="O162" s="101">
        <f t="shared" si="34"/>
        <v>-17502049.761474326</v>
      </c>
      <c r="P162" s="101">
        <f t="shared" si="34"/>
        <v>7157361.787477605</v>
      </c>
      <c r="Q162" s="101">
        <f t="shared" si="34"/>
        <v>23913027.18768625</v>
      </c>
      <c r="R162" s="101">
        <f t="shared" si="34"/>
        <v>-119483840.04975313</v>
      </c>
      <c r="S162" s="111">
        <f t="shared" si="21"/>
        <v>8279.8066668957472</v>
      </c>
      <c r="T162" s="112">
        <f t="shared" si="22"/>
        <v>1.7756394310306128E-6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2:F62"/>
    <mergeCell ref="B49:F49"/>
    <mergeCell ref="B50:F50"/>
    <mergeCell ref="B51:F51"/>
    <mergeCell ref="B52:F52"/>
    <mergeCell ref="B53:F53"/>
    <mergeCell ref="B54:F54"/>
    <mergeCell ref="B61:F61"/>
    <mergeCell ref="S104:T104"/>
    <mergeCell ref="B106:F106"/>
    <mergeCell ref="B107:F107"/>
    <mergeCell ref="B108:F108"/>
    <mergeCell ref="B109:F109"/>
    <mergeCell ref="B110:F110"/>
    <mergeCell ref="B63:F63"/>
    <mergeCell ref="B64:F64"/>
    <mergeCell ref="B65:F65"/>
    <mergeCell ref="B66:F66"/>
    <mergeCell ref="B103:F105"/>
    <mergeCell ref="G103:R103"/>
    <mergeCell ref="B117:F117"/>
    <mergeCell ref="B118:F118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29:F129"/>
    <mergeCell ref="B130:F130"/>
    <mergeCell ref="B131:F131"/>
    <mergeCell ref="B132:F132"/>
    <mergeCell ref="B133:F133"/>
    <mergeCell ref="B134:F134"/>
    <mergeCell ref="B123:F123"/>
    <mergeCell ref="B124:F124"/>
    <mergeCell ref="B125:F125"/>
    <mergeCell ref="B126:F126"/>
    <mergeCell ref="B127:F127"/>
    <mergeCell ref="B128:F128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61:F161"/>
    <mergeCell ref="B154:F154"/>
    <mergeCell ref="B155:F155"/>
    <mergeCell ref="B157:F157"/>
    <mergeCell ref="B158:F158"/>
    <mergeCell ref="B159:F159"/>
    <mergeCell ref="B160:F160"/>
    <mergeCell ref="B147:F147"/>
    <mergeCell ref="B148:F148"/>
    <mergeCell ref="B150:F150"/>
    <mergeCell ref="B151:F151"/>
    <mergeCell ref="B152:F152"/>
    <mergeCell ref="B153:F153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5" activePane="bottomLeft" state="frozen"/>
      <selection pane="bottomLeft" activeCell="B12" sqref="B12:F1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">
        <v>792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737</v>
      </c>
      <c r="H6" s="259" t="s">
        <v>738</v>
      </c>
      <c r="I6" s="259" t="s">
        <v>739</v>
      </c>
      <c r="J6" s="259" t="s">
        <v>740</v>
      </c>
      <c r="K6" s="259" t="s">
        <v>741</v>
      </c>
      <c r="L6" s="259" t="s">
        <v>742</v>
      </c>
      <c r="M6" s="259" t="s">
        <v>743</v>
      </c>
      <c r="N6" s="259" t="s">
        <v>744</v>
      </c>
      <c r="O6" s="259" t="s">
        <v>745</v>
      </c>
      <c r="P6" s="259" t="s">
        <v>746</v>
      </c>
      <c r="Q6" s="259" t="s">
        <v>747</v>
      </c>
      <c r="R6" s="259" t="s">
        <v>748</v>
      </c>
      <c r="S6" s="258"/>
      <c r="T6" s="258"/>
    </row>
    <row r="7" spans="1:20" ht="15" customHeight="1" thickBot="1">
      <c r="A7" s="169"/>
      <c r="B7" s="565" t="s">
        <v>560</v>
      </c>
      <c r="C7" s="463"/>
      <c r="D7" s="463"/>
      <c r="E7" s="463"/>
      <c r="F7" s="463"/>
      <c r="G7" s="471">
        <v>2017</v>
      </c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5"/>
      <c r="S7" s="260" t="str">
        <f>+[1]Master!G246</f>
        <v>BDP</v>
      </c>
      <c r="T7" s="261">
        <v>4299000000</v>
      </c>
    </row>
    <row r="8" spans="1:20" ht="16.5" customHeight="1">
      <c r="A8" s="169"/>
      <c r="B8" s="464"/>
      <c r="C8" s="465"/>
      <c r="D8" s="465"/>
      <c r="E8" s="465"/>
      <c r="F8" s="46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1" t="str">
        <f>+[1]Master!G243</f>
        <v>Jan - Dec</v>
      </c>
      <c r="T8" s="475"/>
    </row>
    <row r="9" spans="1:20" ht="13.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+[1]Master!G247</f>
        <v>% BDP</v>
      </c>
    </row>
    <row r="10" spans="1:20" ht="13.5" thickBot="1">
      <c r="A10" s="175">
        <v>7</v>
      </c>
      <c r="B10" s="504" t="s">
        <v>20</v>
      </c>
      <c r="C10" s="505"/>
      <c r="D10" s="505"/>
      <c r="E10" s="505"/>
      <c r="F10" s="505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506" t="s">
        <v>24</v>
      </c>
      <c r="C11" s="507"/>
      <c r="D11" s="507"/>
      <c r="E11" s="507"/>
      <c r="F11" s="507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92" t="s">
        <v>26</v>
      </c>
      <c r="C12" s="493"/>
      <c r="D12" s="493"/>
      <c r="E12" s="493"/>
      <c r="F12" s="493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92" t="s">
        <v>28</v>
      </c>
      <c r="C13" s="493"/>
      <c r="D13" s="493"/>
      <c r="E13" s="493"/>
      <c r="F13" s="493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92" t="s">
        <v>30</v>
      </c>
      <c r="C14" s="493"/>
      <c r="D14" s="493"/>
      <c r="E14" s="493"/>
      <c r="F14" s="493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92" t="s">
        <v>32</v>
      </c>
      <c r="C15" s="493"/>
      <c r="D15" s="493"/>
      <c r="E15" s="493"/>
      <c r="F15" s="493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92" t="s">
        <v>34</v>
      </c>
      <c r="C16" s="493"/>
      <c r="D16" s="493"/>
      <c r="E16" s="493"/>
      <c r="F16" s="493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92" t="s">
        <v>36</v>
      </c>
      <c r="C17" s="493"/>
      <c r="D17" s="493"/>
      <c r="E17" s="493"/>
      <c r="F17" s="493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92" t="s">
        <v>38</v>
      </c>
      <c r="C18" s="493"/>
      <c r="D18" s="493"/>
      <c r="E18" s="493"/>
      <c r="F18" s="493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502" t="s">
        <v>40</v>
      </c>
      <c r="C19" s="503"/>
      <c r="D19" s="503"/>
      <c r="E19" s="503"/>
      <c r="F19" s="503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92" t="s">
        <v>42</v>
      </c>
      <c r="C20" s="493"/>
      <c r="D20" s="493"/>
      <c r="E20" s="493"/>
      <c r="F20" s="493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92" t="s">
        <v>44</v>
      </c>
      <c r="C21" s="493"/>
      <c r="D21" s="493"/>
      <c r="E21" s="493"/>
      <c r="F21" s="493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92" t="s">
        <v>46</v>
      </c>
      <c r="C22" s="493"/>
      <c r="D22" s="493"/>
      <c r="E22" s="493"/>
      <c r="F22" s="493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92" t="s">
        <v>48</v>
      </c>
      <c r="C23" s="493"/>
      <c r="D23" s="493"/>
      <c r="E23" s="493"/>
      <c r="F23" s="493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94" t="s">
        <v>50</v>
      </c>
      <c r="C24" s="495"/>
      <c r="D24" s="495"/>
      <c r="E24" s="495"/>
      <c r="F24" s="495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94" t="s">
        <v>64</v>
      </c>
      <c r="C25" s="495"/>
      <c r="D25" s="495"/>
      <c r="E25" s="495"/>
      <c r="F25" s="495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94" t="s">
        <v>84</v>
      </c>
      <c r="C26" s="495"/>
      <c r="D26" s="495"/>
      <c r="E26" s="495"/>
      <c r="F26" s="495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94" t="s">
        <v>102</v>
      </c>
      <c r="C27" s="495"/>
      <c r="D27" s="495"/>
      <c r="E27" s="495"/>
      <c r="F27" s="495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96" t="s">
        <v>108</v>
      </c>
      <c r="C28" s="497"/>
      <c r="D28" s="497"/>
      <c r="E28" s="497"/>
      <c r="F28" s="497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82" t="s">
        <v>121</v>
      </c>
      <c r="C29" s="483"/>
      <c r="D29" s="483"/>
      <c r="E29" s="483"/>
      <c r="F29" s="483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40</v>
      </c>
      <c r="B30" s="498" t="s">
        <v>123</v>
      </c>
      <c r="C30" s="499"/>
      <c r="D30" s="499"/>
      <c r="E30" s="499"/>
      <c r="F30" s="499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41</v>
      </c>
      <c r="B31" s="500" t="s">
        <v>419</v>
      </c>
      <c r="C31" s="501"/>
      <c r="D31" s="501"/>
      <c r="E31" s="501"/>
      <c r="F31" s="501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92" t="s">
        <v>125</v>
      </c>
      <c r="C32" s="493"/>
      <c r="D32" s="493"/>
      <c r="E32" s="493"/>
      <c r="F32" s="493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92" t="s">
        <v>136</v>
      </c>
      <c r="C33" s="493"/>
      <c r="D33" s="493"/>
      <c r="E33" s="493"/>
      <c r="F33" s="493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92" t="s">
        <v>151</v>
      </c>
      <c r="C34" s="493"/>
      <c r="D34" s="493"/>
      <c r="E34" s="493"/>
      <c r="F34" s="493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92" t="s">
        <v>165</v>
      </c>
      <c r="C35" s="493"/>
      <c r="D35" s="493"/>
      <c r="E35" s="493"/>
      <c r="F35" s="493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92" t="s">
        <v>185</v>
      </c>
      <c r="C36" s="493"/>
      <c r="D36" s="493"/>
      <c r="E36" s="493"/>
      <c r="F36" s="493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92" t="s">
        <v>193</v>
      </c>
      <c r="C37" s="493"/>
      <c r="D37" s="493"/>
      <c r="E37" s="493"/>
      <c r="F37" s="493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92" t="s">
        <v>199</v>
      </c>
      <c r="C38" s="493"/>
      <c r="D38" s="493"/>
      <c r="E38" s="493"/>
      <c r="F38" s="493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92" t="s">
        <v>207</v>
      </c>
      <c r="C39" s="493"/>
      <c r="D39" s="493"/>
      <c r="E39" s="493"/>
      <c r="F39" s="493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92" t="s">
        <v>215</v>
      </c>
      <c r="C40" s="493"/>
      <c r="D40" s="493"/>
      <c r="E40" s="493"/>
      <c r="F40" s="493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92" t="s">
        <v>421</v>
      </c>
      <c r="C41" s="493"/>
      <c r="D41" s="493"/>
      <c r="E41" s="493"/>
      <c r="F41" s="493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8" t="s">
        <v>233</v>
      </c>
      <c r="C42" s="489"/>
      <c r="D42" s="489"/>
      <c r="E42" s="489"/>
      <c r="F42" s="489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92" t="s">
        <v>235</v>
      </c>
      <c r="C43" s="493"/>
      <c r="D43" s="493"/>
      <c r="E43" s="493"/>
      <c r="F43" s="493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92" t="s">
        <v>251</v>
      </c>
      <c r="C44" s="493"/>
      <c r="D44" s="493"/>
      <c r="E44" s="493"/>
      <c r="F44" s="493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92" t="s">
        <v>262</v>
      </c>
      <c r="C45" s="493"/>
      <c r="D45" s="493"/>
      <c r="E45" s="493"/>
      <c r="F45" s="493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92" t="s">
        <v>277</v>
      </c>
      <c r="C46" s="493"/>
      <c r="D46" s="493"/>
      <c r="E46" s="493"/>
      <c r="F46" s="493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92" t="s">
        <v>281</v>
      </c>
      <c r="C47" s="493"/>
      <c r="D47" s="493"/>
      <c r="E47" s="493"/>
      <c r="F47" s="493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90" t="s">
        <v>289</v>
      </c>
      <c r="C48" s="491"/>
      <c r="D48" s="491"/>
      <c r="E48" s="491"/>
      <c r="F48" s="491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90" t="s">
        <v>323</v>
      </c>
      <c r="C49" s="491"/>
      <c r="D49" s="491"/>
      <c r="E49" s="491"/>
      <c r="F49" s="491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60" t="s">
        <v>343</v>
      </c>
      <c r="C50" s="461"/>
      <c r="D50" s="461"/>
      <c r="E50" s="461"/>
      <c r="F50" s="461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60" t="s">
        <v>370</v>
      </c>
      <c r="C51" s="461"/>
      <c r="D51" s="461"/>
      <c r="E51" s="461"/>
      <c r="F51" s="461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8" t="s">
        <v>362</v>
      </c>
      <c r="C52" s="479"/>
      <c r="D52" s="479"/>
      <c r="E52" s="479"/>
      <c r="F52" s="479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8" t="s">
        <v>368</v>
      </c>
      <c r="C53" s="479"/>
      <c r="D53" s="479"/>
      <c r="E53" s="479"/>
      <c r="F53" s="479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24" t="s">
        <v>695</v>
      </c>
      <c r="C54" s="525"/>
      <c r="D54" s="525"/>
      <c r="E54" s="525"/>
      <c r="F54" s="525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84" t="s">
        <v>553</v>
      </c>
      <c r="C55" s="485"/>
      <c r="D55" s="485"/>
      <c r="E55" s="485"/>
      <c r="F55" s="485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791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86" t="s">
        <v>555</v>
      </c>
      <c r="C57" s="487"/>
      <c r="D57" s="487"/>
      <c r="E57" s="487"/>
      <c r="F57" s="487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8" t="s">
        <v>355</v>
      </c>
      <c r="C58" s="489"/>
      <c r="D58" s="489"/>
      <c r="E58" s="489"/>
      <c r="F58" s="489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76" t="s">
        <v>358</v>
      </c>
      <c r="C59" s="477"/>
      <c r="D59" s="477"/>
      <c r="E59" s="477"/>
      <c r="F59" s="477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60" t="s">
        <v>360</v>
      </c>
      <c r="C60" s="461"/>
      <c r="D60" s="461"/>
      <c r="E60" s="461"/>
      <c r="F60" s="461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80" t="str">
        <f>+VLOOKUP($A61,Master!$D$27:$G$225,4,FALSE)</f>
        <v>Nedostajuća sredstva</v>
      </c>
      <c r="C61" s="481"/>
      <c r="D61" s="481"/>
      <c r="E61" s="481"/>
      <c r="F61" s="481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82" t="str">
        <f>+VLOOKUP($A62,Master!$D$27:$G$225,4,FALSE)</f>
        <v>Finansiranje</v>
      </c>
      <c r="C62" s="483"/>
      <c r="D62" s="483"/>
      <c r="E62" s="483"/>
      <c r="F62" s="483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76" t="str">
        <f>+VLOOKUP($A63,Master!$D$27:$G$225,4,FALSE)</f>
        <v>Pozajmice i krediti od domaćih izvora</v>
      </c>
      <c r="C63" s="477"/>
      <c r="D63" s="477"/>
      <c r="E63" s="477"/>
      <c r="F63" s="477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60" t="str">
        <f>+VLOOKUP($A64,Master!$D$27:$G$225,4,FALSE)</f>
        <v>Pozajmice i krediti od inostranih izvora</v>
      </c>
      <c r="C64" s="461"/>
      <c r="D64" s="461"/>
      <c r="E64" s="461"/>
      <c r="F64" s="461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60" t="str">
        <f>+VLOOKUP($A65,Master!$D$27:$G$225,4,FALSE)</f>
        <v>Primici od prodaje imovine</v>
      </c>
      <c r="C65" s="461"/>
      <c r="D65" s="461"/>
      <c r="E65" s="461"/>
      <c r="F65" s="461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47" t="str">
        <f>+[1]Master!G250</f>
        <v>Plan ostvarenja budžeta</v>
      </c>
      <c r="C102" s="548"/>
      <c r="D102" s="548"/>
      <c r="E102" s="548"/>
      <c r="F102" s="548"/>
      <c r="G102" s="540">
        <v>2017</v>
      </c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42"/>
      <c r="S102" s="115" t="str">
        <f>+S7</f>
        <v>BDP</v>
      </c>
      <c r="T102" s="116">
        <f>+T7</f>
        <v>4299000000</v>
      </c>
    </row>
    <row r="103" spans="1:21" ht="15.75" customHeight="1">
      <c r="B103" s="549"/>
      <c r="C103" s="550"/>
      <c r="D103" s="550"/>
      <c r="E103" s="550"/>
      <c r="F103" s="55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0" t="str">
        <f>+[1]Master!G244</f>
        <v>Jan - Dec</v>
      </c>
      <c r="T103" s="542">
        <f>+T8</f>
        <v>0</v>
      </c>
    </row>
    <row r="104" spans="1:21" ht="13.5" thickBot="1">
      <c r="B104" s="552"/>
      <c r="C104" s="553"/>
      <c r="D104" s="553"/>
      <c r="E104" s="553"/>
      <c r="F104" s="55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3" t="str">
        <f>+VLOOKUP(LEFT($A105,LEN(A105)-1)*1,[1]Master!$D$25:$G$223,4,FALSE)</f>
        <v>Prihodi budžeta</v>
      </c>
      <c r="C105" s="544"/>
      <c r="D105" s="544"/>
      <c r="E105" s="544"/>
      <c r="F105" s="544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45" t="str">
        <f>+VLOOKUP(LEFT($A106,LEN(A106)-1)*1,[1]Master!$D$25:$G$223,4,FALSE)</f>
        <v>Porezi</v>
      </c>
      <c r="C106" s="546"/>
      <c r="D106" s="546"/>
      <c r="E106" s="546"/>
      <c r="F106" s="546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26" t="str">
        <f>+VLOOKUP(LEFT($A107,LEN(A107)-1)*1,[1]Master!$D$25:$G$223,4,FALSE)</f>
        <v>Porez na dohodak fizičkih lica</v>
      </c>
      <c r="C107" s="527"/>
      <c r="D107" s="527"/>
      <c r="E107" s="527"/>
      <c r="F107" s="527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26" t="str">
        <f>+VLOOKUP(LEFT($A108,LEN(A108)-1)*1,[1]Master!$D$25:$G$223,4,FALSE)</f>
        <v>Porez na dobit pravnih lica</v>
      </c>
      <c r="C108" s="527"/>
      <c r="D108" s="527"/>
      <c r="E108" s="527"/>
      <c r="F108" s="527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26" t="str">
        <f>+VLOOKUP(LEFT($A109,LEN(A109)-1)*1,[1]Master!$D$25:$G$223,4,FALSE)</f>
        <v>Porez na promet nepokretnosti</v>
      </c>
      <c r="C109" s="527"/>
      <c r="D109" s="527"/>
      <c r="E109" s="527"/>
      <c r="F109" s="527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26" t="str">
        <f>+VLOOKUP(LEFT($A110,LEN(A110)-1)*1,[1]Master!$D$25:$G$223,4,FALSE)</f>
        <v>Porez na dodatu vrijednost</v>
      </c>
      <c r="C110" s="527"/>
      <c r="D110" s="527"/>
      <c r="E110" s="527"/>
      <c r="F110" s="527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26" t="str">
        <f>+VLOOKUP(LEFT($A111,LEN(A111)-1)*1,[1]Master!$D$25:$G$223,4,FALSE)</f>
        <v>Akcize</v>
      </c>
      <c r="C111" s="527"/>
      <c r="D111" s="527"/>
      <c r="E111" s="527"/>
      <c r="F111" s="527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26" t="str">
        <f>+VLOOKUP(LEFT($A112,LEN(A112)-1)*1,[1]Master!$D$25:$G$223,4,FALSE)</f>
        <v>Porez na međunarodnu trgovinu i transakcije</v>
      </c>
      <c r="C112" s="527"/>
      <c r="D112" s="527"/>
      <c r="E112" s="527"/>
      <c r="F112" s="527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26" t="str">
        <f>+VLOOKUP(LEFT($A113,LEN(A113)-1)*1,[1]Master!$D$25:$G$223,4,FALSE)</f>
        <v>Ostali državni porezi</v>
      </c>
      <c r="C113" s="527"/>
      <c r="D113" s="527"/>
      <c r="E113" s="527"/>
      <c r="F113" s="527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38" t="str">
        <f>+VLOOKUP(LEFT($A114,LEN(A114)-1)*1,[1]Master!$D$25:$G$223,4,FALSE)</f>
        <v>Doprinosi</v>
      </c>
      <c r="C114" s="539"/>
      <c r="D114" s="539"/>
      <c r="E114" s="539"/>
      <c r="F114" s="539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26" t="str">
        <f>+VLOOKUP(LEFT($A115,LEN(A115)-1)*1,[1]Master!$D$25:$G$223,4,FALSE)</f>
        <v>Doprinosi za penzijsko i invalidsko osiguranje</v>
      </c>
      <c r="C115" s="527"/>
      <c r="D115" s="527"/>
      <c r="E115" s="527"/>
      <c r="F115" s="527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26" t="str">
        <f>+VLOOKUP(LEFT($A116,LEN(A116)-1)*1,[1]Master!$D$25:$G$223,4,FALSE)</f>
        <v>Doprinosi za zdravstveno osiguranje</v>
      </c>
      <c r="C116" s="527"/>
      <c r="D116" s="527"/>
      <c r="E116" s="527"/>
      <c r="F116" s="527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26" t="str">
        <f>+VLOOKUP(LEFT($A117,LEN(A117)-1)*1,[1]Master!$D$25:$G$223,4,FALSE)</f>
        <v>Doprinosi za osiguranje od nezaposlenosti</v>
      </c>
      <c r="C117" s="527"/>
      <c r="D117" s="527"/>
      <c r="E117" s="527"/>
      <c r="F117" s="527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26" t="str">
        <f>+VLOOKUP(LEFT($A118,LEN(A118)-1)*1,[1]Master!$D$25:$G$223,4,FALSE)</f>
        <v>Ostali doprinosi</v>
      </c>
      <c r="C118" s="527"/>
      <c r="D118" s="527"/>
      <c r="E118" s="527"/>
      <c r="F118" s="527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30" t="str">
        <f>+VLOOKUP(LEFT($A119,LEN(A119)-1)*1,[1]Master!$D$25:$G$223,4,FALSE)</f>
        <v>Takse</v>
      </c>
      <c r="C119" s="531"/>
      <c r="D119" s="531"/>
      <c r="E119" s="531"/>
      <c r="F119" s="531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30" t="str">
        <f>+VLOOKUP(LEFT($A120,LEN(A120)-1)*1,[1]Master!$D$25:$G$223,4,FALSE)</f>
        <v>Naknade</v>
      </c>
      <c r="C120" s="531"/>
      <c r="D120" s="531"/>
      <c r="E120" s="531"/>
      <c r="F120" s="531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30" t="str">
        <f>+VLOOKUP(LEFT($A121,LEN(A121)-1)*1,[1]Master!$D$25:$G$223,4,FALSE)</f>
        <v>Ostali prihodi</v>
      </c>
      <c r="C121" s="531"/>
      <c r="D121" s="531"/>
      <c r="E121" s="531"/>
      <c r="F121" s="531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30" t="str">
        <f>+VLOOKUP(LEFT($A122,LEN(A122)-1)*1,[1]Master!$D$25:$G$223,4,FALSE)</f>
        <v>Primici od otplate kredita i sredstva prenesena iz prethodne godine</v>
      </c>
      <c r="C122" s="531"/>
      <c r="D122" s="531"/>
      <c r="E122" s="531"/>
      <c r="F122" s="531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32" t="str">
        <f>+VLOOKUP(LEFT($A123,LEN(A123)-1)*1,[1]Master!$D$25:$G$223,4,FALSE)</f>
        <v>Donacije i transferi</v>
      </c>
      <c r="C123" s="533"/>
      <c r="D123" s="533"/>
      <c r="E123" s="533"/>
      <c r="F123" s="533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16" t="str">
        <f>+VLOOKUP(LEFT($A124,LEN(A124)-1)*1,[1]Master!$D$25:$G$223,4,FALSE)</f>
        <v>Budžetki izdaci</v>
      </c>
      <c r="C124" s="517"/>
      <c r="D124" s="517"/>
      <c r="E124" s="517"/>
      <c r="F124" s="517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40p</v>
      </c>
      <c r="B125" s="534" t="str">
        <f>+VLOOKUP(LEFT($A125,LEN(A125)-1)*1,[1]Master!$D$25:$G$223,4,FALSE)</f>
        <v>Tekući budžetski izdaci</v>
      </c>
      <c r="C125" s="535"/>
      <c r="D125" s="535"/>
      <c r="E125" s="535"/>
      <c r="F125" s="535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41p</v>
      </c>
      <c r="B126" s="536" t="str">
        <f>+VLOOKUP(LEFT($A126,LEN(A126)-1)*1,[1]Master!$D$25:$G$223,4,FALSE)</f>
        <v>Tekući izdaci</v>
      </c>
      <c r="C126" s="537"/>
      <c r="D126" s="537"/>
      <c r="E126" s="537"/>
      <c r="F126" s="537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26" t="str">
        <f>+VLOOKUP(LEFT($A127,LEN(A127)-1)*1,[1]Master!$D$25:$G$223,4,FALSE)</f>
        <v>Bruto zarade i doprinosi na teret poslodavca</v>
      </c>
      <c r="C127" s="527"/>
      <c r="D127" s="527"/>
      <c r="E127" s="527"/>
      <c r="F127" s="527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26" t="str">
        <f>+VLOOKUP(LEFT($A128,LEN(A128)-1)*1,[1]Master!$D$25:$G$223,4,FALSE)</f>
        <v>Ostala lična primanja</v>
      </c>
      <c r="C128" s="527"/>
      <c r="D128" s="527"/>
      <c r="E128" s="527"/>
      <c r="F128" s="527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26" t="str">
        <f>+VLOOKUP(LEFT($A129,LEN(A129)-1)*1,[1]Master!$D$25:$G$223,4,FALSE)</f>
        <v>Rashodi za materijal</v>
      </c>
      <c r="C129" s="527"/>
      <c r="D129" s="527"/>
      <c r="E129" s="527"/>
      <c r="F129" s="527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26" t="str">
        <f>+VLOOKUP(LEFT($A130,LEN(A130)-1)*1,[1]Master!$D$25:$G$223,4,FALSE)</f>
        <v>Rashodi za usluge</v>
      </c>
      <c r="C130" s="527"/>
      <c r="D130" s="527"/>
      <c r="E130" s="527"/>
      <c r="F130" s="527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26" t="str">
        <f>+VLOOKUP(LEFT($A131,LEN(A131)-1)*1,[1]Master!$D$25:$G$223,4,FALSE)</f>
        <v>Rashodi za tekuće održavanje</v>
      </c>
      <c r="C131" s="527"/>
      <c r="D131" s="527"/>
      <c r="E131" s="527"/>
      <c r="F131" s="527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26" t="str">
        <f>+VLOOKUP(LEFT($A132,LEN(A132)-1)*1,[1]Master!$D$25:$G$223,4,FALSE)</f>
        <v>Kamate</v>
      </c>
      <c r="C132" s="527"/>
      <c r="D132" s="527"/>
      <c r="E132" s="527"/>
      <c r="F132" s="527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26" t="str">
        <f>+VLOOKUP(LEFT($A133,LEN(A133)-1)*1,[1]Master!$D$25:$G$223,4,FALSE)</f>
        <v>Renta</v>
      </c>
      <c r="C133" s="527"/>
      <c r="D133" s="527"/>
      <c r="E133" s="527"/>
      <c r="F133" s="527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26" t="str">
        <f>+VLOOKUP(LEFT($A134,LEN(A134)-1)*1,[1]Master!$D$25:$G$223,4,FALSE)</f>
        <v>Subvencije</v>
      </c>
      <c r="C134" s="527"/>
      <c r="D134" s="527"/>
      <c r="E134" s="527"/>
      <c r="F134" s="527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26" t="str">
        <f>+VLOOKUP(LEFT($A135,LEN(A135)-1)*1,[1]Master!$D$25:$G$223,4,FALSE)</f>
        <v>Ostali izdaci</v>
      </c>
      <c r="C135" s="527"/>
      <c r="D135" s="527"/>
      <c r="E135" s="527"/>
      <c r="F135" s="527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26" t="str">
        <f>+VLOOKUP(LEFT($A136,LEN(A136)-1)*1,[1]Master!$D$25:$G$223,4,FALSE)</f>
        <v>Kapitalni izdaci u tekućem budžetu</v>
      </c>
      <c r="C136" s="527"/>
      <c r="D136" s="527"/>
      <c r="E136" s="527"/>
      <c r="F136" s="527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22" t="str">
        <f>+VLOOKUP(LEFT($A137,LEN(A137)-1)*1,[1]Master!$D$25:$G$223,4,FALSE)</f>
        <v>Transferi za socijalnu zaštitu</v>
      </c>
      <c r="C137" s="523"/>
      <c r="D137" s="523"/>
      <c r="E137" s="523"/>
      <c r="F137" s="523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26" t="str">
        <f>+VLOOKUP(LEFT($A138,LEN(A138)-1)*1,[1]Master!$D$25:$G$223,4,FALSE)</f>
        <v>Prava iz oblasti socijalne zaštite</v>
      </c>
      <c r="C138" s="527"/>
      <c r="D138" s="527"/>
      <c r="E138" s="527"/>
      <c r="F138" s="527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26" t="str">
        <f>+VLOOKUP(LEFT($A139,LEN(A139)-1)*1,[1]Master!$D$25:$G$223,4,FALSE)</f>
        <v>Sredstva za tehnološke viškove</v>
      </c>
      <c r="C139" s="527"/>
      <c r="D139" s="527"/>
      <c r="E139" s="527"/>
      <c r="F139" s="527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26" t="str">
        <f>+VLOOKUP(LEFT($A140,LEN(A140)-1)*1,[1]Master!$D$25:$G$223,4,FALSE)</f>
        <v>Prava iz oblasti penzijskog i invalidskog osiguranja</v>
      </c>
      <c r="C140" s="527"/>
      <c r="D140" s="527"/>
      <c r="E140" s="527"/>
      <c r="F140" s="527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26" t="str">
        <f>+VLOOKUP(LEFT($A141,LEN(A141)-1)*1,[1]Master!$D$25:$G$223,4,FALSE)</f>
        <v>Ostala prava iz oblasti zdravstvene zaštite</v>
      </c>
      <c r="C141" s="527"/>
      <c r="D141" s="527"/>
      <c r="E141" s="527"/>
      <c r="F141" s="527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26" t="str">
        <f>+VLOOKUP(LEFT($A142,LEN(A142)-1)*1,[1]Master!$D$25:$G$223,4,FALSE)</f>
        <v>Ostala prava iz zdravstvenog osiguranja</v>
      </c>
      <c r="C142" s="527"/>
      <c r="D142" s="527"/>
      <c r="E142" s="527"/>
      <c r="F142" s="527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28" t="str">
        <f>+VLOOKUP(LEFT($A143,LEN(A143)-1)*1,[1]Master!$D$25:$G$223,4,FALSE)</f>
        <v xml:space="preserve">Transferi institucijama, pojedincima, nevladinom i javnom sektoru </v>
      </c>
      <c r="C143" s="529"/>
      <c r="D143" s="529"/>
      <c r="E143" s="529"/>
      <c r="F143" s="529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28" t="str">
        <f>+VLOOKUP(LEFT($A144,LEN(A144)-1)*1,[1]Master!$D$25:$G$223,4,FALSE)</f>
        <v>Kapitalni budžet</v>
      </c>
      <c r="C144" s="529"/>
      <c r="D144" s="529"/>
      <c r="E144" s="529"/>
      <c r="F144" s="529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10" t="str">
        <f>+VLOOKUP(LEFT($A145,LEN(A145)-1)*1,[1]Master!$D$25:$G$223,4,FALSE)</f>
        <v>Pozajmice i krediti</v>
      </c>
      <c r="C145" s="511"/>
      <c r="D145" s="511"/>
      <c r="E145" s="511"/>
      <c r="F145" s="511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10" t="str">
        <f>+VLOOKUP(LEFT($A146,LEN(A146)-1)*1,[1]Master!$D$25:$G$223,4,FALSE)</f>
        <v>Rezerve</v>
      </c>
      <c r="C146" s="511"/>
      <c r="D146" s="511"/>
      <c r="E146" s="511"/>
      <c r="F146" s="511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10" t="str">
        <f>+VLOOKUP(LEFT($A147,LEN(A147)-1)*1,[1]Master!$D$25:$G$223,4,FALSE)</f>
        <v>Otplata garancija</v>
      </c>
      <c r="C147" s="511"/>
      <c r="D147" s="511"/>
      <c r="E147" s="511"/>
      <c r="F147" s="511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694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8" t="str">
        <f>+VLOOKUP(LEFT($A149,LEN(A149)-1)*1,[1]Master!$D$25:$G$223,4,FALSE)</f>
        <v>Suficit / deficit</v>
      </c>
      <c r="C149" s="519"/>
      <c r="D149" s="519"/>
      <c r="E149" s="519"/>
      <c r="F149" s="519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20" t="str">
        <f>+VLOOKUP(LEFT($A150,LEN(A150)-1)*1,[1]Master!$D$25:$G$223,4,FALSE)</f>
        <v>Primarni bilans</v>
      </c>
      <c r="C150" s="521"/>
      <c r="D150" s="521"/>
      <c r="E150" s="521"/>
      <c r="F150" s="521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22" t="str">
        <f>+VLOOKUP(LEFT($A151,LEN(A151)-1)*1,[1]Master!$D$25:$G$223,4,FALSE)</f>
        <v>Otplata dugova</v>
      </c>
      <c r="C151" s="523"/>
      <c r="D151" s="523"/>
      <c r="E151" s="523"/>
      <c r="F151" s="523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12" t="str">
        <f>+VLOOKUP(LEFT($A152,LEN(A152)-1)*1,[1]Master!$D$25:$G$223,4,FALSE)</f>
        <v>Otplata hartija od vrijednosti i kredita rezidentima</v>
      </c>
      <c r="C152" s="513"/>
      <c r="D152" s="513"/>
      <c r="E152" s="513"/>
      <c r="F152" s="513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10" t="str">
        <f>+VLOOKUP(LEFT($A153,LEN(A153)-1)*1,[1]Master!$D$25:$G$223,4,FALSE)</f>
        <v>Otplata hartija od vrijednosti i kredita nerezidentima</v>
      </c>
      <c r="C153" s="511"/>
      <c r="D153" s="511"/>
      <c r="E153" s="511"/>
      <c r="F153" s="511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24" t="str">
        <f>+VLOOKUP(LEFT($A154,LEN(A154)-1)*1,[1]Master!$D$25:$G$223,4,FALSE)</f>
        <v>Otplata obaveza iz prethodnih godina</v>
      </c>
      <c r="C154" s="525"/>
      <c r="D154" s="525"/>
      <c r="E154" s="525"/>
      <c r="F154" s="525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14" t="str">
        <f>+VLOOKUP(LEFT($A155,LEN(A155)-1)*1,[1]Master!$D$25:$G$223,4,FALSE)</f>
        <v>Nedostajuća sredstva</v>
      </c>
      <c r="C155" s="515"/>
      <c r="D155" s="515"/>
      <c r="E155" s="515"/>
      <c r="F155" s="515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16" t="str">
        <f>+VLOOKUP(LEFT($A156,LEN(A156)-1)*1,[1]Master!$D$25:$G$223,4,FALSE)</f>
        <v>Finansiranje</v>
      </c>
      <c r="C156" s="517"/>
      <c r="D156" s="517"/>
      <c r="E156" s="517"/>
      <c r="F156" s="517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12" t="str">
        <f>+VLOOKUP(LEFT($A157,LEN(A157)-1)*1,[1]Master!$D$25:$G$223,4,FALSE)</f>
        <v>Pozajmice i krediti od domaćih izvora</v>
      </c>
      <c r="C157" s="513"/>
      <c r="D157" s="513"/>
      <c r="E157" s="513"/>
      <c r="F157" s="513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10" t="str">
        <f>+VLOOKUP(LEFT($A158,LEN(A158)-1)*1,[1]Master!$D$25:$G$223,4,FALSE)</f>
        <v>Pozajmice i krediti od inostranih izvora</v>
      </c>
      <c r="C158" s="511"/>
      <c r="D158" s="511"/>
      <c r="E158" s="511"/>
      <c r="F158" s="511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10" t="str">
        <f>+VLOOKUP(LEFT($A159,LEN(A159)-1)*1,[1]Master!$D$25:$G$223,4,FALSE)</f>
        <v>Primici od prodaje imovine</v>
      </c>
      <c r="C159" s="511"/>
      <c r="D159" s="511"/>
      <c r="E159" s="511"/>
      <c r="F159" s="511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J25" sqref="J25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703</v>
      </c>
      <c r="H6" s="259" t="s">
        <v>704</v>
      </c>
      <c r="I6" s="259" t="s">
        <v>705</v>
      </c>
      <c r="J6" s="259" t="s">
        <v>706</v>
      </c>
      <c r="K6" s="259" t="s">
        <v>707</v>
      </c>
      <c r="L6" s="259" t="s">
        <v>708</v>
      </c>
      <c r="M6" s="259" t="s">
        <v>709</v>
      </c>
      <c r="N6" s="259" t="s">
        <v>710</v>
      </c>
      <c r="O6" s="259" t="s">
        <v>711</v>
      </c>
      <c r="P6" s="259" t="s">
        <v>712</v>
      </c>
      <c r="Q6" s="259" t="s">
        <v>713</v>
      </c>
      <c r="R6" s="259" t="s">
        <v>714</v>
      </c>
      <c r="S6" s="258"/>
      <c r="T6" s="258"/>
    </row>
    <row r="7" spans="1:20" ht="15" customHeight="1" thickBot="1">
      <c r="A7" s="169"/>
      <c r="B7" s="565" t="str">
        <f>+Master!G251</f>
        <v>Ostvarenje budžeta</v>
      </c>
      <c r="C7" s="463"/>
      <c r="D7" s="463"/>
      <c r="E7" s="463"/>
      <c r="F7" s="463"/>
      <c r="G7" s="471">
        <v>2016</v>
      </c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5"/>
      <c r="S7" s="260" t="str">
        <f>+Master!G248</f>
        <v>BDP</v>
      </c>
      <c r="T7" s="261">
        <v>3954200000</v>
      </c>
    </row>
    <row r="8" spans="1:20" ht="16.5" customHeight="1">
      <c r="A8" s="169"/>
      <c r="B8" s="464"/>
      <c r="C8" s="465"/>
      <c r="D8" s="465"/>
      <c r="E8" s="465"/>
      <c r="F8" s="46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1" t="str">
        <f>+Master!G245</f>
        <v>Jan - Sep</v>
      </c>
      <c r="T8" s="475"/>
    </row>
    <row r="9" spans="1:20" ht="13.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4" t="str">
        <f>+VLOOKUP($A10,Master!$D$27:$G$225,4,FALSE)</f>
        <v>Prihodi budžeta</v>
      </c>
      <c r="C10" s="505"/>
      <c r="D10" s="505"/>
      <c r="E10" s="505"/>
      <c r="F10" s="505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506" t="str">
        <f>+VLOOKUP($A11,Master!$D$27:$G$225,4,FALSE)</f>
        <v>Porezi</v>
      </c>
      <c r="C11" s="507"/>
      <c r="D11" s="507"/>
      <c r="E11" s="507"/>
      <c r="F11" s="507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92" t="str">
        <f>+VLOOKUP($A12,Master!$D$27:$G$225,4,FALSE)</f>
        <v>Porez na dohodak fizičkih lica</v>
      </c>
      <c r="C12" s="493"/>
      <c r="D12" s="493"/>
      <c r="E12" s="493"/>
      <c r="F12" s="493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92" t="str">
        <f>+VLOOKUP($A13,Master!$D$27:$G$225,4,FALSE)</f>
        <v>Porez na dobit pravnih lica</v>
      </c>
      <c r="C13" s="493"/>
      <c r="D13" s="493"/>
      <c r="E13" s="493"/>
      <c r="F13" s="493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92" t="str">
        <f>+VLOOKUP($A14,Master!$D$27:$G$225,4,FALSE)</f>
        <v>Porez na promet nepokretnosti</v>
      </c>
      <c r="C14" s="493"/>
      <c r="D14" s="493"/>
      <c r="E14" s="493"/>
      <c r="F14" s="493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92" t="str">
        <f>+VLOOKUP($A15,Master!$D$27:$G$225,4,FALSE)</f>
        <v>Porez na dodatu vrijednost</v>
      </c>
      <c r="C15" s="493"/>
      <c r="D15" s="493"/>
      <c r="E15" s="493"/>
      <c r="F15" s="493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92" t="str">
        <f>+VLOOKUP($A16,Master!$D$27:$G$225,4,FALSE)</f>
        <v>Akcize</v>
      </c>
      <c r="C16" s="493"/>
      <c r="D16" s="493"/>
      <c r="E16" s="493"/>
      <c r="F16" s="493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92" t="str">
        <f>+VLOOKUP($A17,Master!$D$27:$G$225,4,FALSE)</f>
        <v>Porez na međunarodnu trgovinu i transakcije</v>
      </c>
      <c r="C17" s="493"/>
      <c r="D17" s="493"/>
      <c r="E17" s="493"/>
      <c r="F17" s="493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92" t="str">
        <f>+VLOOKUP($A18,Master!$D$27:$G$225,4,FALSE)</f>
        <v>Ostali državni porezi</v>
      </c>
      <c r="C18" s="493"/>
      <c r="D18" s="493"/>
      <c r="E18" s="493"/>
      <c r="F18" s="493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502" t="str">
        <f>+VLOOKUP($A19,Master!$D$27:$G$225,4,FALSE)</f>
        <v>Doprinosi</v>
      </c>
      <c r="C19" s="503"/>
      <c r="D19" s="503"/>
      <c r="E19" s="503"/>
      <c r="F19" s="503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92" t="str">
        <f>+VLOOKUP($A20,Master!$D$27:$G$225,4,FALSE)</f>
        <v>Doprinosi za penzijsko i invalidsko osiguranje</v>
      </c>
      <c r="C20" s="493"/>
      <c r="D20" s="493"/>
      <c r="E20" s="493"/>
      <c r="F20" s="493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92" t="str">
        <f>+VLOOKUP($A21,Master!$D$27:$G$225,4,FALSE)</f>
        <v>Doprinosi za zdravstveno osiguranje</v>
      </c>
      <c r="C21" s="493"/>
      <c r="D21" s="493"/>
      <c r="E21" s="493"/>
      <c r="F21" s="493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92" t="str">
        <f>+VLOOKUP($A22,Master!$D$27:$G$225,4,FALSE)</f>
        <v>Doprinosi za osiguranje od nezaposlenosti</v>
      </c>
      <c r="C22" s="493"/>
      <c r="D22" s="493"/>
      <c r="E22" s="493"/>
      <c r="F22" s="493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92" t="str">
        <f>+VLOOKUP($A23,Master!$D$27:$G$225,4,FALSE)</f>
        <v>Ostali doprinosi</v>
      </c>
      <c r="C23" s="493"/>
      <c r="D23" s="493"/>
      <c r="E23" s="493"/>
      <c r="F23" s="493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94" t="str">
        <f>+VLOOKUP($A24,Master!$D$27:$G$225,4,FALSE)</f>
        <v>Takse</v>
      </c>
      <c r="C24" s="495"/>
      <c r="D24" s="495"/>
      <c r="E24" s="495"/>
      <c r="F24" s="495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94" t="str">
        <f>+VLOOKUP($A25,Master!$D$27:$G$225,4,FALSE)</f>
        <v>Naknade</v>
      </c>
      <c r="C25" s="495"/>
      <c r="D25" s="495"/>
      <c r="E25" s="495"/>
      <c r="F25" s="495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94" t="str">
        <f>+VLOOKUP($A26,Master!$D$27:$G$225,4,FALSE)</f>
        <v>Ostali prihodi</v>
      </c>
      <c r="C26" s="495"/>
      <c r="D26" s="495"/>
      <c r="E26" s="495"/>
      <c r="F26" s="495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94" t="str">
        <f>+VLOOKUP($A27,Master!$D$27:$G$225,4,FALSE)</f>
        <v>Primici od otplate kredita i sredstva prenesena iz prethodne godine</v>
      </c>
      <c r="C27" s="495"/>
      <c r="D27" s="495"/>
      <c r="E27" s="495"/>
      <c r="F27" s="495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96" t="str">
        <f>+VLOOKUP($A28,Master!$D$27:$G$225,4,FALSE)</f>
        <v>Donacije i transferi</v>
      </c>
      <c r="C28" s="497"/>
      <c r="D28" s="497"/>
      <c r="E28" s="497"/>
      <c r="F28" s="497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82" t="str">
        <f>+VLOOKUP($A29,Master!$D$27:$G$225,4,FALSE)</f>
        <v>Budžetski izdaci</v>
      </c>
      <c r="C29" s="483"/>
      <c r="D29" s="483"/>
      <c r="E29" s="483"/>
      <c r="F29" s="483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40</v>
      </c>
      <c r="B30" s="498" t="str">
        <f>+VLOOKUP($A30,Master!$D$27:$G$225,4,FALSE)</f>
        <v>Tekuća budžetska potrošnja</v>
      </c>
      <c r="C30" s="499"/>
      <c r="D30" s="499"/>
      <c r="E30" s="499"/>
      <c r="F30" s="499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41</v>
      </c>
      <c r="B31" s="500" t="str">
        <f>+VLOOKUP($A31,Master!$D$27:$G$225,4,FALSE)</f>
        <v>Tekući izdaci</v>
      </c>
      <c r="C31" s="501"/>
      <c r="D31" s="501"/>
      <c r="E31" s="501"/>
      <c r="F31" s="501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92" t="str">
        <f>+VLOOKUP($A32,Master!$D$27:$G$225,4,FALSE)</f>
        <v>Bruto zarade i doprinosi na teret poslodavca</v>
      </c>
      <c r="C32" s="493"/>
      <c r="D32" s="493"/>
      <c r="E32" s="493"/>
      <c r="F32" s="493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92" t="str">
        <f>+VLOOKUP($A33,Master!$D$27:$G$225,4,FALSE)</f>
        <v>Ostala lična primanja</v>
      </c>
      <c r="C33" s="493"/>
      <c r="D33" s="493"/>
      <c r="E33" s="493"/>
      <c r="F33" s="493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92" t="str">
        <f>+VLOOKUP($A34,Master!$D$27:$G$225,4,FALSE)</f>
        <v>Rashodi za materijal</v>
      </c>
      <c r="C34" s="493"/>
      <c r="D34" s="493"/>
      <c r="E34" s="493"/>
      <c r="F34" s="493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92" t="str">
        <f>+VLOOKUP($A35,Master!$D$27:$G$225,4,FALSE)</f>
        <v>Rashodi za usluge</v>
      </c>
      <c r="C35" s="493"/>
      <c r="D35" s="493"/>
      <c r="E35" s="493"/>
      <c r="F35" s="493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92" t="str">
        <f>+VLOOKUP($A36,Master!$D$27:$G$225,4,FALSE)</f>
        <v>Rashodi za tekuće održavanje</v>
      </c>
      <c r="C36" s="493"/>
      <c r="D36" s="493"/>
      <c r="E36" s="493"/>
      <c r="F36" s="493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92" t="str">
        <f>+VLOOKUP($A37,Master!$D$27:$G$225,4,FALSE)</f>
        <v>Kamate</v>
      </c>
      <c r="C37" s="493"/>
      <c r="D37" s="493"/>
      <c r="E37" s="493"/>
      <c r="F37" s="493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92" t="str">
        <f>+VLOOKUP($A38,Master!$D$27:$G$225,4,FALSE)</f>
        <v>Renta</v>
      </c>
      <c r="C38" s="493"/>
      <c r="D38" s="493"/>
      <c r="E38" s="493"/>
      <c r="F38" s="493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92" t="str">
        <f>+VLOOKUP($A39,Master!$D$27:$G$225,4,FALSE)</f>
        <v>Subvencije</v>
      </c>
      <c r="C39" s="493"/>
      <c r="D39" s="493"/>
      <c r="E39" s="493"/>
      <c r="F39" s="493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92" t="str">
        <f>+VLOOKUP($A40,Master!$D$27:$G$225,4,FALSE)</f>
        <v>Ostali izdaci</v>
      </c>
      <c r="C40" s="493"/>
      <c r="D40" s="493"/>
      <c r="E40" s="493"/>
      <c r="F40" s="493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92" t="str">
        <f>+VLOOKUP($A41,Master!$D$27:$G$225,4,FALSE)</f>
        <v>Kapitalni izdaci u tekućem budžetu</v>
      </c>
      <c r="C41" s="493"/>
      <c r="D41" s="493"/>
      <c r="E41" s="493"/>
      <c r="F41" s="493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8" t="str">
        <f>+VLOOKUP($A42,Master!$D$27:$G$225,4,FALSE)</f>
        <v>Transferi za socijalnu zaštitu</v>
      </c>
      <c r="C42" s="489"/>
      <c r="D42" s="489"/>
      <c r="E42" s="489"/>
      <c r="F42" s="489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92" t="str">
        <f>+VLOOKUP($A43,Master!$D$27:$G$225,4,FALSE)</f>
        <v>Prava iz oblasti socijalne zaštite</v>
      </c>
      <c r="C43" s="493"/>
      <c r="D43" s="493"/>
      <c r="E43" s="493"/>
      <c r="F43" s="493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92" t="str">
        <f>+VLOOKUP($A44,Master!$D$27:$G$225,4,FALSE)</f>
        <v>Sredstva za tehnološke viškove</v>
      </c>
      <c r="C44" s="493"/>
      <c r="D44" s="493"/>
      <c r="E44" s="493"/>
      <c r="F44" s="493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92" t="str">
        <f>+VLOOKUP($A45,Master!$D$27:$G$225,4,FALSE)</f>
        <v>Prava iz oblasti penzijskog i invalidskog osiguranja</v>
      </c>
      <c r="C45" s="493"/>
      <c r="D45" s="493"/>
      <c r="E45" s="493"/>
      <c r="F45" s="493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92" t="str">
        <f>+VLOOKUP($A46,Master!$D$27:$G$225,4,FALSE)</f>
        <v>Ostala prava iz oblasti zdravstvene zaštite</v>
      </c>
      <c r="C46" s="493"/>
      <c r="D46" s="493"/>
      <c r="E46" s="493"/>
      <c r="F46" s="493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92" t="str">
        <f>+VLOOKUP($A47,Master!$D$27:$G$225,4,FALSE)</f>
        <v>Ostala prava iz zdravstvenog osiguranja</v>
      </c>
      <c r="C47" s="493"/>
      <c r="D47" s="493"/>
      <c r="E47" s="493"/>
      <c r="F47" s="493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90" t="str">
        <f>+VLOOKUP($A48,Master!$D$27:$G$225,4,FALSE)</f>
        <v xml:space="preserve">Transferi institucijama, pojedincima, nevladinom i javnom sektoru </v>
      </c>
      <c r="C48" s="491"/>
      <c r="D48" s="491"/>
      <c r="E48" s="491"/>
      <c r="F48" s="491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90" t="str">
        <f>+VLOOKUP($A49,Master!$D$27:$G$225,4,FALSE)</f>
        <v>Kapitalni budžet</v>
      </c>
      <c r="C49" s="491"/>
      <c r="D49" s="491"/>
      <c r="E49" s="491"/>
      <c r="F49" s="491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60" t="str">
        <f>+VLOOKUP($A50,Master!$D$27:$G$225,4,FALSE)</f>
        <v>Pozajmice i krediti</v>
      </c>
      <c r="C50" s="461"/>
      <c r="D50" s="461"/>
      <c r="E50" s="461"/>
      <c r="F50" s="461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60" t="str">
        <f>+VLOOKUP($A51,Master!$D$27:$G$225,4,FALSE)</f>
        <v>Rezerve</v>
      </c>
      <c r="C51" s="461"/>
      <c r="D51" s="461"/>
      <c r="E51" s="461"/>
      <c r="F51" s="461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8" t="str">
        <f>+VLOOKUP($A52,Master!$D$27:$G$225,4,FALSE)</f>
        <v>Otplata garancija</v>
      </c>
      <c r="C52" s="479"/>
      <c r="D52" s="479"/>
      <c r="E52" s="479"/>
      <c r="F52" s="479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8" t="str">
        <f>+VLOOKUP($A53,Master!$D$27:$G$225,4,TRUE)</f>
        <v>Otplata obaveza iz prethodnih godina</v>
      </c>
      <c r="C53" s="479"/>
      <c r="D53" s="479"/>
      <c r="E53" s="479"/>
      <c r="F53" s="479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24" t="str">
        <f>+VLOOKUP($A54,Master!$D$27:$G$227,4,FALSE)</f>
        <v>Neto povećanje obaveza</v>
      </c>
      <c r="C54" s="525"/>
      <c r="D54" s="525"/>
      <c r="E54" s="525"/>
      <c r="F54" s="525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84" t="str">
        <f>+VLOOKUP($A55,Master!$D$27:$G$225,4,FALSE)</f>
        <v>Suficit / deficit</v>
      </c>
      <c r="C55" s="485"/>
      <c r="D55" s="485"/>
      <c r="E55" s="485"/>
      <c r="F55" s="485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7" t="s">
        <v>791</v>
      </c>
      <c r="C56" s="448"/>
      <c r="D56" s="448"/>
      <c r="E56" s="448"/>
      <c r="F56" s="448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84" t="str">
        <f>+VLOOKUP($A57,Master!$D$27:$G$225,4,FALSE)</f>
        <v>Primarni bilans</v>
      </c>
      <c r="C57" s="485"/>
      <c r="D57" s="485"/>
      <c r="E57" s="485"/>
      <c r="F57" s="485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8" t="str">
        <f>+VLOOKUP($A58,Master!$D$27:$G$225,4,FALSE)</f>
        <v>Otplata dugova</v>
      </c>
      <c r="C58" s="489"/>
      <c r="D58" s="489"/>
      <c r="E58" s="489"/>
      <c r="F58" s="489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76" t="str">
        <f>+VLOOKUP($A59,Master!$D$27:$G$225,4,FALSE)</f>
        <v>Otplata hartija od vrijednosti i kredita rezidentima</v>
      </c>
      <c r="C59" s="477"/>
      <c r="D59" s="477"/>
      <c r="E59" s="477"/>
      <c r="F59" s="477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60" t="str">
        <f>+VLOOKUP($A60,Master!$D$27:$G$225,4,FALSE)</f>
        <v>Otplata hartija od vrijednosti i kredita nerezidentima</v>
      </c>
      <c r="C60" s="461"/>
      <c r="D60" s="461"/>
      <c r="E60" s="461"/>
      <c r="F60" s="461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80" t="str">
        <f>+VLOOKUP($A61,Master!$D$27:$G$225,4,FALSE)</f>
        <v>Nedostajuća sredstva</v>
      </c>
      <c r="C61" s="481"/>
      <c r="D61" s="481"/>
      <c r="E61" s="481"/>
      <c r="F61" s="481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82" t="str">
        <f>+VLOOKUP($A62,Master!$D$27:$G$225,4,FALSE)</f>
        <v>Finansiranje</v>
      </c>
      <c r="C62" s="483"/>
      <c r="D62" s="483"/>
      <c r="E62" s="483"/>
      <c r="F62" s="483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76" t="str">
        <f>+VLOOKUP($A63,Master!$D$27:$G$225,4,FALSE)</f>
        <v>Pozajmice i krediti od domaćih izvora</v>
      </c>
      <c r="C63" s="477"/>
      <c r="D63" s="477"/>
      <c r="E63" s="477"/>
      <c r="F63" s="477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60" t="str">
        <f>+VLOOKUP($A64,Master!$D$27:$G$225,4,FALSE)</f>
        <v>Pozajmice i krediti od inostranih izvora</v>
      </c>
      <c r="C64" s="461"/>
      <c r="D64" s="461"/>
      <c r="E64" s="461"/>
      <c r="F64" s="461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60" t="str">
        <f>+VLOOKUP($A65,Master!$D$27:$G$225,4,FALSE)</f>
        <v>Primici od prodaje imovine</v>
      </c>
      <c r="C65" s="461"/>
      <c r="D65" s="461"/>
      <c r="E65" s="461"/>
      <c r="F65" s="461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47" t="str">
        <f>+Master!G252</f>
        <v>Plan ostvarenja budžeta</v>
      </c>
      <c r="C102" s="548"/>
      <c r="D102" s="548"/>
      <c r="E102" s="548"/>
      <c r="F102" s="548"/>
      <c r="G102" s="540">
        <v>2016</v>
      </c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42"/>
      <c r="S102" s="115" t="str">
        <f>+S7</f>
        <v>BDP</v>
      </c>
      <c r="T102" s="116">
        <f>+T7</f>
        <v>3954200000</v>
      </c>
    </row>
    <row r="103" spans="1:21" ht="15.75" customHeight="1">
      <c r="B103" s="549"/>
      <c r="C103" s="550"/>
      <c r="D103" s="550"/>
      <c r="E103" s="550"/>
      <c r="F103" s="55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0" t="str">
        <f>+Master!G246</f>
        <v>Jan - Dec</v>
      </c>
      <c r="T103" s="542">
        <f>+T8</f>
        <v>0</v>
      </c>
    </row>
    <row r="104" spans="1:21" ht="13.5" thickBot="1">
      <c r="B104" s="552"/>
      <c r="C104" s="553"/>
      <c r="D104" s="553"/>
      <c r="E104" s="553"/>
      <c r="F104" s="55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3" t="str">
        <f>+VLOOKUP(LEFT($A105,LEN(A105)-1)*1,Master!$D$27:$G$225,4,FALSE)</f>
        <v>Prihodi budžeta</v>
      </c>
      <c r="C105" s="544"/>
      <c r="D105" s="544"/>
      <c r="E105" s="544"/>
      <c r="F105" s="544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45" t="str">
        <f>+VLOOKUP(LEFT($A106,LEN(A106)-1)*1,Master!$D$27:$G$225,4,FALSE)</f>
        <v>Porezi</v>
      </c>
      <c r="C106" s="546"/>
      <c r="D106" s="546"/>
      <c r="E106" s="546"/>
      <c r="F106" s="546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26" t="str">
        <f>+VLOOKUP(LEFT($A107,LEN(A107)-1)*1,Master!$D$27:$G$225,4,FALSE)</f>
        <v>Porez na dohodak fizičkih lica</v>
      </c>
      <c r="C107" s="527"/>
      <c r="D107" s="527"/>
      <c r="E107" s="527"/>
      <c r="F107" s="527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26" t="str">
        <f>+VLOOKUP(LEFT($A108,LEN(A108)-1)*1,Master!$D$27:$G$225,4,FALSE)</f>
        <v>Porez na dobit pravnih lica</v>
      </c>
      <c r="C108" s="527"/>
      <c r="D108" s="527"/>
      <c r="E108" s="527"/>
      <c r="F108" s="527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26" t="str">
        <f>+VLOOKUP(LEFT($A109,LEN(A109)-1)*1,Master!$D$27:$G$225,4,FALSE)</f>
        <v>Porez na promet nepokretnosti</v>
      </c>
      <c r="C109" s="527"/>
      <c r="D109" s="527"/>
      <c r="E109" s="527"/>
      <c r="F109" s="527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26" t="str">
        <f>+VLOOKUP(LEFT($A110,LEN(A110)-1)*1,Master!$D$27:$G$225,4,FALSE)</f>
        <v>Porez na dodatu vrijednost</v>
      </c>
      <c r="C110" s="527"/>
      <c r="D110" s="527"/>
      <c r="E110" s="527"/>
      <c r="F110" s="527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26" t="str">
        <f>+VLOOKUP(LEFT($A111,LEN(A111)-1)*1,Master!$D$27:$G$225,4,FALSE)</f>
        <v>Akcize</v>
      </c>
      <c r="C111" s="527"/>
      <c r="D111" s="527"/>
      <c r="E111" s="527"/>
      <c r="F111" s="527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26" t="str">
        <f>+VLOOKUP(LEFT($A112,LEN(A112)-1)*1,Master!$D$27:$G$225,4,FALSE)</f>
        <v>Porez na međunarodnu trgovinu i transakcije</v>
      </c>
      <c r="C112" s="527"/>
      <c r="D112" s="527"/>
      <c r="E112" s="527"/>
      <c r="F112" s="527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26" t="str">
        <f>+VLOOKUP(LEFT($A113,LEN(A113)-1)*1,Master!$D$27:$G$225,4,FALSE)</f>
        <v>Ostali državni porezi</v>
      </c>
      <c r="C113" s="527"/>
      <c r="D113" s="527"/>
      <c r="E113" s="527"/>
      <c r="F113" s="527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38" t="str">
        <f>+VLOOKUP(LEFT($A114,LEN(A114)-1)*1,Master!$D$27:$G$225,4,FALSE)</f>
        <v>Doprinosi</v>
      </c>
      <c r="C114" s="539"/>
      <c r="D114" s="539"/>
      <c r="E114" s="539"/>
      <c r="F114" s="539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26" t="str">
        <f>+VLOOKUP(LEFT($A115,LEN(A115)-1)*1,Master!$D$27:$G$225,4,FALSE)</f>
        <v>Doprinosi za penzijsko i invalidsko osiguranje</v>
      </c>
      <c r="C115" s="527"/>
      <c r="D115" s="527"/>
      <c r="E115" s="527"/>
      <c r="F115" s="527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26" t="str">
        <f>+VLOOKUP(LEFT($A116,LEN(A116)-1)*1,Master!$D$27:$G$225,4,FALSE)</f>
        <v>Doprinosi za zdravstveno osiguranje</v>
      </c>
      <c r="C116" s="527"/>
      <c r="D116" s="527"/>
      <c r="E116" s="527"/>
      <c r="F116" s="527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26" t="str">
        <f>+VLOOKUP(LEFT($A117,LEN(A117)-1)*1,Master!$D$27:$G$225,4,FALSE)</f>
        <v>Doprinosi za osiguranje od nezaposlenosti</v>
      </c>
      <c r="C117" s="527"/>
      <c r="D117" s="527"/>
      <c r="E117" s="527"/>
      <c r="F117" s="527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26" t="str">
        <f>+VLOOKUP(LEFT($A118,LEN(A118)-1)*1,Master!$D$27:$G$225,4,FALSE)</f>
        <v>Ostali doprinosi</v>
      </c>
      <c r="C118" s="527"/>
      <c r="D118" s="527"/>
      <c r="E118" s="527"/>
      <c r="F118" s="527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30" t="str">
        <f>+VLOOKUP(LEFT($A119,LEN(A119)-1)*1,Master!$D$27:$G$225,4,FALSE)</f>
        <v>Takse</v>
      </c>
      <c r="C119" s="531"/>
      <c r="D119" s="531"/>
      <c r="E119" s="531"/>
      <c r="F119" s="531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30" t="str">
        <f>+VLOOKUP(LEFT($A120,LEN(A120)-1)*1,Master!$D$27:$G$225,4,FALSE)</f>
        <v>Naknade</v>
      </c>
      <c r="C120" s="531"/>
      <c r="D120" s="531"/>
      <c r="E120" s="531"/>
      <c r="F120" s="531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30" t="str">
        <f>+VLOOKUP(LEFT($A121,LEN(A121)-1)*1,Master!$D$27:$G$225,4,FALSE)</f>
        <v>Ostali prihodi</v>
      </c>
      <c r="C121" s="531"/>
      <c r="D121" s="531"/>
      <c r="E121" s="531"/>
      <c r="F121" s="531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30" t="str">
        <f>+VLOOKUP(LEFT($A122,LEN(A122)-1)*1,Master!$D$27:$G$225,4,FALSE)</f>
        <v>Primici od otplate kredita i sredstva prenesena iz prethodne godine</v>
      </c>
      <c r="C122" s="531"/>
      <c r="D122" s="531"/>
      <c r="E122" s="531"/>
      <c r="F122" s="531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32" t="str">
        <f>+VLOOKUP(LEFT($A123,LEN(A123)-1)*1,Master!$D$27:$G$225,4,FALSE)</f>
        <v>Donacije i transferi</v>
      </c>
      <c r="C123" s="533"/>
      <c r="D123" s="533"/>
      <c r="E123" s="533"/>
      <c r="F123" s="533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16" t="str">
        <f>+VLOOKUP(LEFT($A124,LEN(A124)-1)*1,Master!$D$27:$G$225,4,FALSE)</f>
        <v>Budžetski izdaci</v>
      </c>
      <c r="C124" s="517"/>
      <c r="D124" s="517"/>
      <c r="E124" s="517"/>
      <c r="F124" s="517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40p</v>
      </c>
      <c r="B125" s="534" t="str">
        <f>+VLOOKUP(LEFT($A125,LEN(A125)-1)*1,Master!$D$27:$G$225,4,FALSE)</f>
        <v>Tekuća budžetska potrošnja</v>
      </c>
      <c r="C125" s="535"/>
      <c r="D125" s="535"/>
      <c r="E125" s="535"/>
      <c r="F125" s="535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41p</v>
      </c>
      <c r="B126" s="536" t="str">
        <f>+VLOOKUP(LEFT($A126,LEN(A126)-1)*1,Master!$D$27:$G$225,4,FALSE)</f>
        <v>Tekući izdaci</v>
      </c>
      <c r="C126" s="537"/>
      <c r="D126" s="537"/>
      <c r="E126" s="537"/>
      <c r="F126" s="537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26" t="str">
        <f>+VLOOKUP(LEFT($A127,LEN(A127)-1)*1,Master!$D$27:$G$225,4,FALSE)</f>
        <v>Bruto zarade i doprinosi na teret poslodavca</v>
      </c>
      <c r="C127" s="527"/>
      <c r="D127" s="527"/>
      <c r="E127" s="527"/>
      <c r="F127" s="527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26" t="str">
        <f>+VLOOKUP(LEFT($A128,LEN(A128)-1)*1,Master!$D$27:$G$225,4,FALSE)</f>
        <v>Ostala lična primanja</v>
      </c>
      <c r="C128" s="527"/>
      <c r="D128" s="527"/>
      <c r="E128" s="527"/>
      <c r="F128" s="527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26" t="str">
        <f>+VLOOKUP(LEFT($A129,LEN(A129)-1)*1,Master!$D$27:$G$225,4,FALSE)</f>
        <v>Rashodi za materijal</v>
      </c>
      <c r="C129" s="527"/>
      <c r="D129" s="527"/>
      <c r="E129" s="527"/>
      <c r="F129" s="527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26" t="str">
        <f>+VLOOKUP(LEFT($A130,LEN(A130)-1)*1,Master!$D$27:$G$225,4,FALSE)</f>
        <v>Rashodi za usluge</v>
      </c>
      <c r="C130" s="527"/>
      <c r="D130" s="527"/>
      <c r="E130" s="527"/>
      <c r="F130" s="527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26" t="str">
        <f>+VLOOKUP(LEFT($A131,LEN(A131)-1)*1,Master!$D$27:$G$225,4,FALSE)</f>
        <v>Rashodi za tekuće održavanje</v>
      </c>
      <c r="C131" s="527"/>
      <c r="D131" s="527"/>
      <c r="E131" s="527"/>
      <c r="F131" s="527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26" t="str">
        <f>+VLOOKUP(LEFT($A132,LEN(A132)-1)*1,Master!$D$27:$G$225,4,FALSE)</f>
        <v>Kamate</v>
      </c>
      <c r="C132" s="527"/>
      <c r="D132" s="527"/>
      <c r="E132" s="527"/>
      <c r="F132" s="527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26" t="str">
        <f>+VLOOKUP(LEFT($A133,LEN(A133)-1)*1,Master!$D$27:$G$225,4,FALSE)</f>
        <v>Renta</v>
      </c>
      <c r="C133" s="527"/>
      <c r="D133" s="527"/>
      <c r="E133" s="527"/>
      <c r="F133" s="527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26" t="str">
        <f>+VLOOKUP(LEFT($A134,LEN(A134)-1)*1,Master!$D$27:$G$225,4,FALSE)</f>
        <v>Subvencije</v>
      </c>
      <c r="C134" s="527"/>
      <c r="D134" s="527"/>
      <c r="E134" s="527"/>
      <c r="F134" s="527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26" t="str">
        <f>+VLOOKUP(LEFT($A135,LEN(A135)-1)*1,Master!$D$27:$G$225,4,FALSE)</f>
        <v>Ostali izdaci</v>
      </c>
      <c r="C135" s="527"/>
      <c r="D135" s="527"/>
      <c r="E135" s="527"/>
      <c r="F135" s="527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26" t="str">
        <f>+VLOOKUP(LEFT($A136,LEN(A136)-1)*1,Master!$D$27:$G$225,4,FALSE)</f>
        <v>Kapitalni izdaci u tekućem budžetu</v>
      </c>
      <c r="C136" s="527"/>
      <c r="D136" s="527"/>
      <c r="E136" s="527"/>
      <c r="F136" s="527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22" t="str">
        <f>+VLOOKUP(LEFT($A137,LEN(A137)-1)*1,Master!$D$27:$G$225,4,FALSE)</f>
        <v>Transferi za socijalnu zaštitu</v>
      </c>
      <c r="C137" s="523"/>
      <c r="D137" s="523"/>
      <c r="E137" s="523"/>
      <c r="F137" s="523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26" t="str">
        <f>+VLOOKUP(LEFT($A138,LEN(A138)-1)*1,Master!$D$27:$G$225,4,FALSE)</f>
        <v>Prava iz oblasti socijalne zaštite</v>
      </c>
      <c r="C138" s="527"/>
      <c r="D138" s="527"/>
      <c r="E138" s="527"/>
      <c r="F138" s="527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26" t="str">
        <f>+VLOOKUP(LEFT($A139,LEN(A139)-1)*1,Master!$D$27:$G$225,4,FALSE)</f>
        <v>Sredstva za tehnološke viškove</v>
      </c>
      <c r="C139" s="527"/>
      <c r="D139" s="527"/>
      <c r="E139" s="527"/>
      <c r="F139" s="527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26" t="str">
        <f>+VLOOKUP(LEFT($A140,LEN(A140)-1)*1,Master!$D$27:$G$225,4,FALSE)</f>
        <v>Prava iz oblasti penzijskog i invalidskog osiguranja</v>
      </c>
      <c r="C140" s="527"/>
      <c r="D140" s="527"/>
      <c r="E140" s="527"/>
      <c r="F140" s="527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26" t="str">
        <f>+VLOOKUP(LEFT($A141,LEN(A141)-1)*1,Master!$D$27:$G$225,4,FALSE)</f>
        <v>Ostala prava iz oblasti zdravstvene zaštite</v>
      </c>
      <c r="C141" s="527"/>
      <c r="D141" s="527"/>
      <c r="E141" s="527"/>
      <c r="F141" s="527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26" t="str">
        <f>+VLOOKUP(LEFT($A142,LEN(A142)-1)*1,Master!$D$27:$G$225,4,FALSE)</f>
        <v>Ostala prava iz zdravstvenog osiguranja</v>
      </c>
      <c r="C142" s="527"/>
      <c r="D142" s="527"/>
      <c r="E142" s="527"/>
      <c r="F142" s="527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28" t="str">
        <f>+VLOOKUP(LEFT($A143,LEN(A143)-1)*1,Master!$D$27:$G$225,4,FALSE)</f>
        <v xml:space="preserve">Transferi institucijama, pojedincima, nevladinom i javnom sektoru </v>
      </c>
      <c r="C143" s="529"/>
      <c r="D143" s="529"/>
      <c r="E143" s="529"/>
      <c r="F143" s="529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28" t="str">
        <f>+VLOOKUP(LEFT($A144,LEN(A144)-1)*1,Master!$D$27:$G$225,4,FALSE)</f>
        <v>Kapitalni budžet</v>
      </c>
      <c r="C144" s="529"/>
      <c r="D144" s="529"/>
      <c r="E144" s="529"/>
      <c r="F144" s="529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10" t="str">
        <f>+VLOOKUP(LEFT($A145,LEN(A145)-1)*1,Master!$D$27:$G$225,4,FALSE)</f>
        <v>Pozajmice i krediti</v>
      </c>
      <c r="C145" s="511"/>
      <c r="D145" s="511"/>
      <c r="E145" s="511"/>
      <c r="F145" s="511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10" t="str">
        <f>+VLOOKUP(LEFT($A146,LEN(A146)-1)*1,Master!$D$27:$G$225,4,FALSE)</f>
        <v>Rezerve</v>
      </c>
      <c r="C146" s="511"/>
      <c r="D146" s="511"/>
      <c r="E146" s="511"/>
      <c r="F146" s="511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10" t="str">
        <f>+VLOOKUP(LEFT($A147,LEN(A147)-1)*1,Master!$D$27:$G$225,4,FALSE)</f>
        <v>Otplata garancija</v>
      </c>
      <c r="C147" s="511"/>
      <c r="D147" s="511"/>
      <c r="E147" s="511"/>
      <c r="F147" s="511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695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8" t="str">
        <f>+VLOOKUP(LEFT($A149,LEN(A149)-1)*1,Master!$D$27:$G$225,4,FALSE)</f>
        <v>Suficit / deficit</v>
      </c>
      <c r="C149" s="519"/>
      <c r="D149" s="519"/>
      <c r="E149" s="519"/>
      <c r="F149" s="519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20" t="str">
        <f>+VLOOKUP(LEFT($A150,LEN(A150)-1)*1,Master!$D$27:$G$225,4,FALSE)</f>
        <v>Primarni bilans</v>
      </c>
      <c r="C150" s="521"/>
      <c r="D150" s="521"/>
      <c r="E150" s="521"/>
      <c r="F150" s="521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22" t="str">
        <f>+VLOOKUP(LEFT($A151,LEN(A151)-1)*1,Master!$D$27:$G$225,4,FALSE)</f>
        <v>Otplata dugova</v>
      </c>
      <c r="C151" s="523"/>
      <c r="D151" s="523"/>
      <c r="E151" s="523"/>
      <c r="F151" s="523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12" t="str">
        <f>+VLOOKUP(LEFT($A152,LEN(A152)-1)*1,Master!$D$27:$G$225,4,FALSE)</f>
        <v>Otplata hartija od vrijednosti i kredita rezidentima</v>
      </c>
      <c r="C152" s="513"/>
      <c r="D152" s="513"/>
      <c r="E152" s="513"/>
      <c r="F152" s="513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10" t="str">
        <f>+VLOOKUP(LEFT($A153,LEN(A153)-1)*1,Master!$D$27:$G$225,4,FALSE)</f>
        <v>Otplata hartija od vrijednosti i kredita nerezidentima</v>
      </c>
      <c r="C153" s="511"/>
      <c r="D153" s="511"/>
      <c r="E153" s="511"/>
      <c r="F153" s="511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24" t="str">
        <f>+VLOOKUP(LEFT($A154,LEN(A154)-1)*1,Master!$D$27:$G$225,4,FALSE)</f>
        <v>Otplata obaveza iz prethodnih godina</v>
      </c>
      <c r="C154" s="525"/>
      <c r="D154" s="525"/>
      <c r="E154" s="525"/>
      <c r="F154" s="525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14" t="str">
        <f>+VLOOKUP(LEFT($A155,LEN(A155)-1)*1,Master!$D$27:$G$225,4,FALSE)</f>
        <v>Nedostajuća sredstva</v>
      </c>
      <c r="C155" s="515"/>
      <c r="D155" s="515"/>
      <c r="E155" s="515"/>
      <c r="F155" s="515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16" t="str">
        <f>+VLOOKUP(LEFT($A156,LEN(A156)-1)*1,Master!$D$27:$G$225,4,FALSE)</f>
        <v>Finansiranje</v>
      </c>
      <c r="C156" s="517"/>
      <c r="D156" s="517"/>
      <c r="E156" s="517"/>
      <c r="F156" s="517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12" t="str">
        <f>+VLOOKUP(LEFT($A157,LEN(A157)-1)*1,Master!$D$27:$G$225,4,FALSE)</f>
        <v>Pozajmice i krediti od domaćih izvora</v>
      </c>
      <c r="C157" s="513"/>
      <c r="D157" s="513"/>
      <c r="E157" s="513"/>
      <c r="F157" s="513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10" t="str">
        <f>+VLOOKUP(LEFT($A158,LEN(A158)-1)*1,Master!$D$27:$G$225,4,FALSE)</f>
        <v>Pozajmice i krediti od inostranih izvora</v>
      </c>
      <c r="C158" s="511"/>
      <c r="D158" s="511"/>
      <c r="E158" s="511"/>
      <c r="F158" s="511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10" t="str">
        <f>+VLOOKUP(LEFT($A159,LEN(A159)-1)*1,Master!$D$27:$G$225,4,FALSE)</f>
        <v>Primici od prodaje imovine</v>
      </c>
      <c r="C159" s="511"/>
      <c r="D159" s="511"/>
      <c r="E159" s="511"/>
      <c r="F159" s="511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537</v>
      </c>
      <c r="H6" s="259" t="s">
        <v>538</v>
      </c>
      <c r="I6" s="259" t="s">
        <v>539</v>
      </c>
      <c r="J6" s="259" t="s">
        <v>540</v>
      </c>
      <c r="K6" s="259" t="s">
        <v>541</v>
      </c>
      <c r="L6" s="259" t="s">
        <v>542</v>
      </c>
      <c r="M6" s="259" t="s">
        <v>543</v>
      </c>
      <c r="N6" s="259" t="s">
        <v>544</v>
      </c>
      <c r="O6" s="259" t="s">
        <v>545</v>
      </c>
      <c r="P6" s="259" t="s">
        <v>546</v>
      </c>
      <c r="Q6" s="259" t="s">
        <v>547</v>
      </c>
      <c r="R6" s="259" t="s">
        <v>548</v>
      </c>
      <c r="S6" s="258"/>
      <c r="T6" s="258"/>
    </row>
    <row r="7" spans="1:20" ht="15" customHeight="1" thickBot="1">
      <c r="A7" s="169"/>
      <c r="B7" s="565" t="str">
        <f>+Master!G251</f>
        <v>Ostvarenje budžeta</v>
      </c>
      <c r="C7" s="463"/>
      <c r="D7" s="463"/>
      <c r="E7" s="463"/>
      <c r="F7" s="463"/>
      <c r="G7" s="471">
        <v>2015</v>
      </c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5"/>
      <c r="S7" s="260" t="str">
        <f>+Master!G248</f>
        <v>BDP</v>
      </c>
      <c r="T7" s="261">
        <v>3655000000</v>
      </c>
    </row>
    <row r="8" spans="1:20" ht="16.5" customHeight="1">
      <c r="A8" s="169"/>
      <c r="B8" s="464"/>
      <c r="C8" s="465"/>
      <c r="D8" s="465"/>
      <c r="E8" s="465"/>
      <c r="F8" s="46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71" t="s">
        <v>735</v>
      </c>
      <c r="T8" s="475"/>
    </row>
    <row r="9" spans="1:20" ht="13.5" thickBot="1">
      <c r="A9" s="169"/>
      <c r="B9" s="467"/>
      <c r="C9" s="468"/>
      <c r="D9" s="468"/>
      <c r="E9" s="468"/>
      <c r="F9" s="469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504" t="str">
        <f>+VLOOKUP($A10,Master!$D$27:$G$225,4,FALSE)</f>
        <v>Prihodi budžeta</v>
      </c>
      <c r="C10" s="505"/>
      <c r="D10" s="505"/>
      <c r="E10" s="505"/>
      <c r="F10" s="505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506" t="str">
        <f>+VLOOKUP($A11,Master!$D$27:$G$225,4,FALSE)</f>
        <v>Porezi</v>
      </c>
      <c r="C11" s="507"/>
      <c r="D11" s="507"/>
      <c r="E11" s="507"/>
      <c r="F11" s="507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92" t="str">
        <f>+VLOOKUP($A12,Master!$D$27:$G$225,4,FALSE)</f>
        <v>Porez na dohodak fizičkih lica</v>
      </c>
      <c r="C12" s="493"/>
      <c r="D12" s="493"/>
      <c r="E12" s="493"/>
      <c r="F12" s="493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92" t="str">
        <f>+VLOOKUP($A13,Master!$D$27:$G$225,4,FALSE)</f>
        <v>Porez na dobit pravnih lica</v>
      </c>
      <c r="C13" s="493"/>
      <c r="D13" s="493"/>
      <c r="E13" s="493"/>
      <c r="F13" s="493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92" t="str">
        <f>+VLOOKUP($A14,Master!$D$27:$G$225,4,FALSE)</f>
        <v>Porez na promet nepokretnosti</v>
      </c>
      <c r="C14" s="493"/>
      <c r="D14" s="493"/>
      <c r="E14" s="493"/>
      <c r="F14" s="493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92" t="str">
        <f>+VLOOKUP($A15,Master!$D$27:$G$225,4,FALSE)</f>
        <v>Porez na dodatu vrijednost</v>
      </c>
      <c r="C15" s="493"/>
      <c r="D15" s="493"/>
      <c r="E15" s="493"/>
      <c r="F15" s="493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92" t="str">
        <f>+VLOOKUP($A16,Master!$D$27:$G$225,4,FALSE)</f>
        <v>Akcize</v>
      </c>
      <c r="C16" s="493"/>
      <c r="D16" s="493"/>
      <c r="E16" s="493"/>
      <c r="F16" s="493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92" t="str">
        <f>+VLOOKUP($A17,Master!$D$27:$G$225,4,FALSE)</f>
        <v>Porez na međunarodnu trgovinu i transakcije</v>
      </c>
      <c r="C17" s="493"/>
      <c r="D17" s="493"/>
      <c r="E17" s="493"/>
      <c r="F17" s="493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92" t="str">
        <f>+VLOOKUP($A18,Master!$D$27:$G$225,4,FALSE)</f>
        <v>Ostali državni porezi</v>
      </c>
      <c r="C18" s="493"/>
      <c r="D18" s="493"/>
      <c r="E18" s="493"/>
      <c r="F18" s="493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502" t="str">
        <f>+VLOOKUP($A19,Master!$D$27:$G$225,4,FALSE)</f>
        <v>Doprinosi</v>
      </c>
      <c r="C19" s="503"/>
      <c r="D19" s="503"/>
      <c r="E19" s="503"/>
      <c r="F19" s="503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92" t="str">
        <f>+VLOOKUP($A20,Master!$D$27:$G$225,4,FALSE)</f>
        <v>Doprinosi za penzijsko i invalidsko osiguranje</v>
      </c>
      <c r="C20" s="493"/>
      <c r="D20" s="493"/>
      <c r="E20" s="493"/>
      <c r="F20" s="493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92" t="str">
        <f>+VLOOKUP($A21,Master!$D$27:$G$225,4,FALSE)</f>
        <v>Doprinosi za zdravstveno osiguranje</v>
      </c>
      <c r="C21" s="493"/>
      <c r="D21" s="493"/>
      <c r="E21" s="493"/>
      <c r="F21" s="493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92" t="str">
        <f>+VLOOKUP($A22,Master!$D$27:$G$225,4,FALSE)</f>
        <v>Doprinosi za osiguranje od nezaposlenosti</v>
      </c>
      <c r="C22" s="493"/>
      <c r="D22" s="493"/>
      <c r="E22" s="493"/>
      <c r="F22" s="493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92" t="str">
        <f>+VLOOKUP($A23,Master!$D$27:$G$225,4,FALSE)</f>
        <v>Ostali doprinosi</v>
      </c>
      <c r="C23" s="493"/>
      <c r="D23" s="493"/>
      <c r="E23" s="493"/>
      <c r="F23" s="493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94" t="str">
        <f>+VLOOKUP($A24,Master!$D$27:$G$225,4,FALSE)</f>
        <v>Takse</v>
      </c>
      <c r="C24" s="495"/>
      <c r="D24" s="495"/>
      <c r="E24" s="495"/>
      <c r="F24" s="495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94" t="str">
        <f>+VLOOKUP($A25,Master!$D$27:$G$225,4,FALSE)</f>
        <v>Naknade</v>
      </c>
      <c r="C25" s="495"/>
      <c r="D25" s="495"/>
      <c r="E25" s="495"/>
      <c r="F25" s="495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94" t="str">
        <f>+VLOOKUP($A26,Master!$D$27:$G$225,4,FALSE)</f>
        <v>Ostali prihodi</v>
      </c>
      <c r="C26" s="495"/>
      <c r="D26" s="495"/>
      <c r="E26" s="495"/>
      <c r="F26" s="495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94" t="str">
        <f>+VLOOKUP($A27,Master!$D$27:$G$225,4,FALSE)</f>
        <v>Primici od otplate kredita i sredstva prenesena iz prethodne godine</v>
      </c>
      <c r="C27" s="495"/>
      <c r="D27" s="495"/>
      <c r="E27" s="495"/>
      <c r="F27" s="495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96" t="str">
        <f>+VLOOKUP($A28,Master!$D$27:$G$225,4,FALSE)</f>
        <v>Donacije i transferi</v>
      </c>
      <c r="C28" s="497"/>
      <c r="D28" s="497"/>
      <c r="E28" s="497"/>
      <c r="F28" s="497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82" t="str">
        <f>+VLOOKUP($A29,Master!$D$27:$G$225,4,FALSE)</f>
        <v>Budžetski izdaci</v>
      </c>
      <c r="C29" s="483"/>
      <c r="D29" s="483"/>
      <c r="E29" s="483"/>
      <c r="F29" s="483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8" t="str">
        <f>+VLOOKUP($A30,Master!$D$27:$G$225,4,FALSE)</f>
        <v>Tekući izdaci</v>
      </c>
      <c r="C30" s="499"/>
      <c r="D30" s="499"/>
      <c r="E30" s="499"/>
      <c r="F30" s="499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500" t="str">
        <f>+VLOOKUP($A31,Master!$D$27:$G$225,4,FALSE)</f>
        <v>Tekuća budžetska potrošnja</v>
      </c>
      <c r="C31" s="501"/>
      <c r="D31" s="501"/>
      <c r="E31" s="501"/>
      <c r="F31" s="501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92" t="str">
        <f>+VLOOKUP($A32,Master!$D$27:$G$225,4,FALSE)</f>
        <v>Bruto zarade i doprinosi na teret poslodavca</v>
      </c>
      <c r="C32" s="493"/>
      <c r="D32" s="493"/>
      <c r="E32" s="493"/>
      <c r="F32" s="493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92" t="str">
        <f>+VLOOKUP($A33,Master!$D$27:$G$225,4,FALSE)</f>
        <v>Ostala lična primanja</v>
      </c>
      <c r="C33" s="493"/>
      <c r="D33" s="493"/>
      <c r="E33" s="493"/>
      <c r="F33" s="493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92" t="str">
        <f>+VLOOKUP($A34,Master!$D$27:$G$225,4,FALSE)</f>
        <v>Rashodi za materijal</v>
      </c>
      <c r="C34" s="493"/>
      <c r="D34" s="493"/>
      <c r="E34" s="493"/>
      <c r="F34" s="493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92" t="str">
        <f>+VLOOKUP($A35,Master!$D$27:$G$225,4,FALSE)</f>
        <v>Rashodi za usluge</v>
      </c>
      <c r="C35" s="493"/>
      <c r="D35" s="493"/>
      <c r="E35" s="493"/>
      <c r="F35" s="493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92" t="str">
        <f>+VLOOKUP($A36,Master!$D$27:$G$225,4,FALSE)</f>
        <v>Rashodi za tekuće održavanje</v>
      </c>
      <c r="C36" s="493"/>
      <c r="D36" s="493"/>
      <c r="E36" s="493"/>
      <c r="F36" s="493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92" t="str">
        <f>+VLOOKUP($A37,Master!$D$27:$G$225,4,FALSE)</f>
        <v>Kamate</v>
      </c>
      <c r="C37" s="493"/>
      <c r="D37" s="493"/>
      <c r="E37" s="493"/>
      <c r="F37" s="493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92" t="str">
        <f>+VLOOKUP($A38,Master!$D$27:$G$225,4,FALSE)</f>
        <v>Renta</v>
      </c>
      <c r="C38" s="493"/>
      <c r="D38" s="493"/>
      <c r="E38" s="493"/>
      <c r="F38" s="493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92" t="str">
        <f>+VLOOKUP($A39,Master!$D$27:$G$225,4,FALSE)</f>
        <v>Subvencije</v>
      </c>
      <c r="C39" s="493"/>
      <c r="D39" s="493"/>
      <c r="E39" s="493"/>
      <c r="F39" s="493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92" t="str">
        <f>+VLOOKUP($A40,Master!$D$27:$G$225,4,FALSE)</f>
        <v>Ostali izdaci</v>
      </c>
      <c r="C40" s="493"/>
      <c r="D40" s="493"/>
      <c r="E40" s="493"/>
      <c r="F40" s="493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92" t="str">
        <f>+VLOOKUP($A41,Master!$D$27:$G$225,4,FALSE)</f>
        <v>Kapitalni izdaci u tekućem budžetu</v>
      </c>
      <c r="C41" s="493"/>
      <c r="D41" s="493"/>
      <c r="E41" s="493"/>
      <c r="F41" s="493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8" t="str">
        <f>+VLOOKUP($A42,Master!$D$27:$G$225,4,FALSE)</f>
        <v>Transferi za socijalnu zaštitu</v>
      </c>
      <c r="C42" s="489"/>
      <c r="D42" s="489"/>
      <c r="E42" s="489"/>
      <c r="F42" s="489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92" t="str">
        <f>+VLOOKUP($A43,Master!$D$27:$G$225,4,FALSE)</f>
        <v>Prava iz oblasti socijalne zaštite</v>
      </c>
      <c r="C43" s="493"/>
      <c r="D43" s="493"/>
      <c r="E43" s="493"/>
      <c r="F43" s="493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92" t="str">
        <f>+VLOOKUP($A44,Master!$D$27:$G$225,4,FALSE)</f>
        <v>Sredstva za tehnološke viškove</v>
      </c>
      <c r="C44" s="493"/>
      <c r="D44" s="493"/>
      <c r="E44" s="493"/>
      <c r="F44" s="493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92" t="str">
        <f>+VLOOKUP($A45,Master!$D$27:$G$225,4,FALSE)</f>
        <v>Prava iz oblasti penzijskog i invalidskog osiguranja</v>
      </c>
      <c r="C45" s="493"/>
      <c r="D45" s="493"/>
      <c r="E45" s="493"/>
      <c r="F45" s="493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92" t="str">
        <f>+VLOOKUP($A46,Master!$D$27:$G$225,4,FALSE)</f>
        <v>Ostala prava iz oblasti zdravstvene zaštite</v>
      </c>
      <c r="C46" s="493"/>
      <c r="D46" s="493"/>
      <c r="E46" s="493"/>
      <c r="F46" s="493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92" t="str">
        <f>+VLOOKUP($A47,Master!$D$27:$G$225,4,FALSE)</f>
        <v>Ostala prava iz zdravstvenog osiguranja</v>
      </c>
      <c r="C47" s="493"/>
      <c r="D47" s="493"/>
      <c r="E47" s="493"/>
      <c r="F47" s="493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90" t="str">
        <f>+VLOOKUP($A48,Master!$D$27:$G$225,4,FALSE)</f>
        <v xml:space="preserve">Transferi institucijama, pojedincima, nevladinom i javnom sektoru </v>
      </c>
      <c r="C48" s="491"/>
      <c r="D48" s="491"/>
      <c r="E48" s="491"/>
      <c r="F48" s="491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90" t="str">
        <f>+VLOOKUP($A49,Master!$D$27:$G$225,4,FALSE)</f>
        <v>Kapitalni budžet</v>
      </c>
      <c r="C49" s="491"/>
      <c r="D49" s="491"/>
      <c r="E49" s="491"/>
      <c r="F49" s="491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60" t="str">
        <f>+VLOOKUP($A50,Master!$D$27:$G$225,4,FALSE)</f>
        <v>Pozajmice i krediti</v>
      </c>
      <c r="C50" s="461"/>
      <c r="D50" s="461"/>
      <c r="E50" s="461"/>
      <c r="F50" s="461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60" t="str">
        <f>+VLOOKUP($A51,Master!$D$27:$G$225,4,FALSE)</f>
        <v>Rezerve</v>
      </c>
      <c r="C51" s="461"/>
      <c r="D51" s="461"/>
      <c r="E51" s="461"/>
      <c r="F51" s="461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8" t="str">
        <f>+VLOOKUP($A52,Master!$D$27:$G$225,4,FALSE)</f>
        <v>Otplata garancija</v>
      </c>
      <c r="C52" s="479"/>
      <c r="D52" s="479"/>
      <c r="E52" s="479"/>
      <c r="F52" s="479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8" t="str">
        <f>+VLOOKUP($A53,Master!$D$27:$G$225,4,TRUE)</f>
        <v>Otplata obaveza iz prethodnih godina</v>
      </c>
      <c r="C53" s="479"/>
      <c r="D53" s="479"/>
      <c r="E53" s="479"/>
      <c r="F53" s="479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24" t="str">
        <f>+VLOOKUP($A54,Master!$D$27:$G$227,4,FALSE)</f>
        <v>Neto povećanje obaveza</v>
      </c>
      <c r="C54" s="525"/>
      <c r="D54" s="525"/>
      <c r="E54" s="525"/>
      <c r="F54" s="525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84" t="str">
        <f>+VLOOKUP($A55,Master!$D$27:$G$225,4,FALSE)</f>
        <v>Suficit / deficit</v>
      </c>
      <c r="C55" s="485"/>
      <c r="D55" s="485"/>
      <c r="E55" s="485"/>
      <c r="F55" s="485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772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86" t="str">
        <f>+VLOOKUP($A57,Master!$D$27:$G$225,4,FALSE)</f>
        <v>Primarni bilans</v>
      </c>
      <c r="C57" s="487"/>
      <c r="D57" s="487"/>
      <c r="E57" s="487"/>
      <c r="F57" s="487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8" t="str">
        <f>+VLOOKUP($A58,Master!$D$27:$G$225,4,FALSE)</f>
        <v>Otplata dugova</v>
      </c>
      <c r="C58" s="489"/>
      <c r="D58" s="489"/>
      <c r="E58" s="489"/>
      <c r="F58" s="489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76" t="str">
        <f>+VLOOKUP($A59,Master!$D$27:$G$225,4,FALSE)</f>
        <v>Otplata hartija od vrijednosti i kredita rezidentima</v>
      </c>
      <c r="C59" s="477"/>
      <c r="D59" s="477"/>
      <c r="E59" s="477"/>
      <c r="F59" s="477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60" t="str">
        <f>+VLOOKUP($A60,Master!$D$27:$G$225,4,FALSE)</f>
        <v>Otplata hartija od vrijednosti i kredita nerezidentima</v>
      </c>
      <c r="C60" s="461"/>
      <c r="D60" s="461"/>
      <c r="E60" s="461"/>
      <c r="F60" s="461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80" t="str">
        <f>+VLOOKUP($A61,Master!$D$27:$G$225,4,FALSE)</f>
        <v>Nedostajuća sredstva</v>
      </c>
      <c r="C61" s="481"/>
      <c r="D61" s="481"/>
      <c r="E61" s="481"/>
      <c r="F61" s="481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82" t="str">
        <f>+VLOOKUP($A62,Master!$D$27:$G$225,4,FALSE)</f>
        <v>Finansiranje</v>
      </c>
      <c r="C62" s="483"/>
      <c r="D62" s="483"/>
      <c r="E62" s="483"/>
      <c r="F62" s="483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76" t="str">
        <f>+VLOOKUP($A63,Master!$D$27:$G$225,4,FALSE)</f>
        <v>Pozajmice i krediti od domaćih izvora</v>
      </c>
      <c r="C63" s="477"/>
      <c r="D63" s="477"/>
      <c r="E63" s="477"/>
      <c r="F63" s="477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60" t="str">
        <f>+VLOOKUP($A64,Master!$D$27:$G$225,4,FALSE)</f>
        <v>Pozajmice i krediti od inostranih izvora</v>
      </c>
      <c r="C64" s="461"/>
      <c r="D64" s="461"/>
      <c r="E64" s="461"/>
      <c r="F64" s="461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60" t="str">
        <f>+VLOOKUP($A65,Master!$D$27:$G$225,4,FALSE)</f>
        <v>Primici od prodaje imovine</v>
      </c>
      <c r="C65" s="461"/>
      <c r="D65" s="461"/>
      <c r="E65" s="461"/>
      <c r="F65" s="461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47" t="str">
        <f>+Master!G252</f>
        <v>Plan ostvarenja budžeta</v>
      </c>
      <c r="C102" s="548"/>
      <c r="D102" s="548"/>
      <c r="E102" s="548"/>
      <c r="F102" s="548"/>
      <c r="G102" s="540">
        <v>2015</v>
      </c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42"/>
      <c r="S102" s="115" t="str">
        <f>+S7</f>
        <v>BDP</v>
      </c>
      <c r="T102" s="116">
        <f>+T7</f>
        <v>3655000000</v>
      </c>
    </row>
    <row r="103" spans="1:21" ht="15.75" customHeight="1">
      <c r="B103" s="549"/>
      <c r="C103" s="550"/>
      <c r="D103" s="550"/>
      <c r="E103" s="550"/>
      <c r="F103" s="55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40" t="str">
        <f>+Master!G246</f>
        <v>Jan - Dec</v>
      </c>
      <c r="T103" s="542">
        <f>+T8</f>
        <v>0</v>
      </c>
    </row>
    <row r="104" spans="1:21" ht="13.5" thickBot="1">
      <c r="B104" s="552"/>
      <c r="C104" s="553"/>
      <c r="D104" s="553"/>
      <c r="E104" s="553"/>
      <c r="F104" s="55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43" t="str">
        <f>+VLOOKUP(LEFT($A105,LEN(A105)-1)*1,Master!$D$27:$G$225,4,FALSE)</f>
        <v>Prihodi budžeta</v>
      </c>
      <c r="C105" s="544"/>
      <c r="D105" s="544"/>
      <c r="E105" s="544"/>
      <c r="F105" s="544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45" t="str">
        <f>+VLOOKUP(LEFT($A106,LEN(A106)-1)*1,Master!$D$27:$G$225,4,FALSE)</f>
        <v>Porezi</v>
      </c>
      <c r="C106" s="546"/>
      <c r="D106" s="546"/>
      <c r="E106" s="546"/>
      <c r="F106" s="546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26" t="str">
        <f>+VLOOKUP(LEFT($A107,LEN(A107)-1)*1,Master!$D$27:$G$225,4,FALSE)</f>
        <v>Porez na dohodak fizičkih lica</v>
      </c>
      <c r="C107" s="527"/>
      <c r="D107" s="527"/>
      <c r="E107" s="527"/>
      <c r="F107" s="527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26" t="str">
        <f>+VLOOKUP(LEFT($A108,LEN(A108)-1)*1,Master!$D$27:$G$225,4,FALSE)</f>
        <v>Porez na dobit pravnih lica</v>
      </c>
      <c r="C108" s="527"/>
      <c r="D108" s="527"/>
      <c r="E108" s="527"/>
      <c r="F108" s="527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26" t="str">
        <f>+VLOOKUP(LEFT($A109,LEN(A109)-1)*1,Master!$D$27:$G$225,4,FALSE)</f>
        <v>Porez na promet nepokretnosti</v>
      </c>
      <c r="C109" s="527"/>
      <c r="D109" s="527"/>
      <c r="E109" s="527"/>
      <c r="F109" s="527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26" t="str">
        <f>+VLOOKUP(LEFT($A110,LEN(A110)-1)*1,Master!$D$27:$G$225,4,FALSE)</f>
        <v>Porez na dodatu vrijednost</v>
      </c>
      <c r="C110" s="527"/>
      <c r="D110" s="527"/>
      <c r="E110" s="527"/>
      <c r="F110" s="527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26" t="str">
        <f>+VLOOKUP(LEFT($A111,LEN(A111)-1)*1,Master!$D$27:$G$225,4,FALSE)</f>
        <v>Akcize</v>
      </c>
      <c r="C111" s="527"/>
      <c r="D111" s="527"/>
      <c r="E111" s="527"/>
      <c r="F111" s="527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26" t="str">
        <f>+VLOOKUP(LEFT($A112,LEN(A112)-1)*1,Master!$D$27:$G$225,4,FALSE)</f>
        <v>Porez na međunarodnu trgovinu i transakcije</v>
      </c>
      <c r="C112" s="527"/>
      <c r="D112" s="527"/>
      <c r="E112" s="527"/>
      <c r="F112" s="527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26" t="str">
        <f>+VLOOKUP(LEFT($A113,LEN(A113)-1)*1,Master!$D$27:$G$225,4,FALSE)</f>
        <v>Ostali državni porezi</v>
      </c>
      <c r="C113" s="527"/>
      <c r="D113" s="527"/>
      <c r="E113" s="527"/>
      <c r="F113" s="527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38" t="str">
        <f>+VLOOKUP(LEFT($A114,LEN(A114)-1)*1,Master!$D$27:$G$225,4,FALSE)</f>
        <v>Doprinosi</v>
      </c>
      <c r="C114" s="539"/>
      <c r="D114" s="539"/>
      <c r="E114" s="539"/>
      <c r="F114" s="539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26" t="str">
        <f>+VLOOKUP(LEFT($A115,LEN(A115)-1)*1,Master!$D$27:$G$225,4,FALSE)</f>
        <v>Doprinosi za penzijsko i invalidsko osiguranje</v>
      </c>
      <c r="C115" s="527"/>
      <c r="D115" s="527"/>
      <c r="E115" s="527"/>
      <c r="F115" s="527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26" t="str">
        <f>+VLOOKUP(LEFT($A116,LEN(A116)-1)*1,Master!$D$27:$G$225,4,FALSE)</f>
        <v>Doprinosi za zdravstveno osiguranje</v>
      </c>
      <c r="C116" s="527"/>
      <c r="D116" s="527"/>
      <c r="E116" s="527"/>
      <c r="F116" s="527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26" t="str">
        <f>+VLOOKUP(LEFT($A117,LEN(A117)-1)*1,Master!$D$27:$G$225,4,FALSE)</f>
        <v>Doprinosi za osiguranje od nezaposlenosti</v>
      </c>
      <c r="C117" s="527"/>
      <c r="D117" s="527"/>
      <c r="E117" s="527"/>
      <c r="F117" s="527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26" t="str">
        <f>+VLOOKUP(LEFT($A118,LEN(A118)-1)*1,Master!$D$27:$G$225,4,FALSE)</f>
        <v>Ostali doprinosi</v>
      </c>
      <c r="C118" s="527"/>
      <c r="D118" s="527"/>
      <c r="E118" s="527"/>
      <c r="F118" s="527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30" t="str">
        <f>+VLOOKUP(LEFT($A119,LEN(A119)-1)*1,Master!$D$27:$G$225,4,FALSE)</f>
        <v>Takse</v>
      </c>
      <c r="C119" s="531"/>
      <c r="D119" s="531"/>
      <c r="E119" s="531"/>
      <c r="F119" s="531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30" t="str">
        <f>+VLOOKUP(LEFT($A120,LEN(A120)-1)*1,Master!$D$27:$G$225,4,FALSE)</f>
        <v>Naknade</v>
      </c>
      <c r="C120" s="531"/>
      <c r="D120" s="531"/>
      <c r="E120" s="531"/>
      <c r="F120" s="531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30" t="str">
        <f>+VLOOKUP(LEFT($A121,LEN(A121)-1)*1,Master!$D$27:$G$225,4,FALSE)</f>
        <v>Ostali prihodi</v>
      </c>
      <c r="C121" s="531"/>
      <c r="D121" s="531"/>
      <c r="E121" s="531"/>
      <c r="F121" s="531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30" t="str">
        <f>+VLOOKUP(LEFT($A122,LEN(A122)-1)*1,Master!$D$27:$G$225,4,FALSE)</f>
        <v>Primici od otplate kredita i sredstva prenesena iz prethodne godine</v>
      </c>
      <c r="C122" s="531"/>
      <c r="D122" s="531"/>
      <c r="E122" s="531"/>
      <c r="F122" s="531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32" t="str">
        <f>+VLOOKUP(LEFT($A123,LEN(A123)-1)*1,Master!$D$27:$G$225,4,FALSE)</f>
        <v>Donacije i transferi</v>
      </c>
      <c r="C123" s="533"/>
      <c r="D123" s="533"/>
      <c r="E123" s="533"/>
      <c r="F123" s="533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16" t="str">
        <f>+VLOOKUP(LEFT($A124,LEN(A124)-1)*1,Master!$D$27:$G$225,4,FALSE)</f>
        <v>Budžetski izdaci</v>
      </c>
      <c r="C124" s="517"/>
      <c r="D124" s="517"/>
      <c r="E124" s="517"/>
      <c r="F124" s="517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34" t="str">
        <f>+VLOOKUP(LEFT($A125,LEN(A125)-1)*1,Master!$D$27:$G$225,4,FALSE)</f>
        <v>Tekući izdaci</v>
      </c>
      <c r="C125" s="535"/>
      <c r="D125" s="535"/>
      <c r="E125" s="535"/>
      <c r="F125" s="535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36" t="str">
        <f>+VLOOKUP(LEFT($A126,LEN(A126)-1)*1,Master!$D$27:$G$225,4,FALSE)</f>
        <v>Tekuća budžetska potrošnja</v>
      </c>
      <c r="C126" s="537"/>
      <c r="D126" s="537"/>
      <c r="E126" s="537"/>
      <c r="F126" s="537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26" t="str">
        <f>+VLOOKUP(LEFT($A127,LEN(A127)-1)*1,Master!$D$27:$G$225,4,FALSE)</f>
        <v>Bruto zarade i doprinosi na teret poslodavca</v>
      </c>
      <c r="C127" s="527"/>
      <c r="D127" s="527"/>
      <c r="E127" s="527"/>
      <c r="F127" s="527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26" t="str">
        <f>+VLOOKUP(LEFT($A128,LEN(A128)-1)*1,Master!$D$27:$G$225,4,FALSE)</f>
        <v>Ostala lična primanja</v>
      </c>
      <c r="C128" s="527"/>
      <c r="D128" s="527"/>
      <c r="E128" s="527"/>
      <c r="F128" s="527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26" t="str">
        <f>+VLOOKUP(LEFT($A129,LEN(A129)-1)*1,Master!$D$27:$G$225,4,FALSE)</f>
        <v>Rashodi za materijal</v>
      </c>
      <c r="C129" s="527"/>
      <c r="D129" s="527"/>
      <c r="E129" s="527"/>
      <c r="F129" s="527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26" t="str">
        <f>+VLOOKUP(LEFT($A130,LEN(A130)-1)*1,Master!$D$27:$G$225,4,FALSE)</f>
        <v>Rashodi za usluge</v>
      </c>
      <c r="C130" s="527"/>
      <c r="D130" s="527"/>
      <c r="E130" s="527"/>
      <c r="F130" s="527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26" t="str">
        <f>+VLOOKUP(LEFT($A131,LEN(A131)-1)*1,Master!$D$27:$G$225,4,FALSE)</f>
        <v>Rashodi za tekuće održavanje</v>
      </c>
      <c r="C131" s="527"/>
      <c r="D131" s="527"/>
      <c r="E131" s="527"/>
      <c r="F131" s="527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26" t="str">
        <f>+VLOOKUP(LEFT($A132,LEN(A132)-1)*1,Master!$D$27:$G$225,4,FALSE)</f>
        <v>Kamate</v>
      </c>
      <c r="C132" s="527"/>
      <c r="D132" s="527"/>
      <c r="E132" s="527"/>
      <c r="F132" s="527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26" t="str">
        <f>+VLOOKUP(LEFT($A133,LEN(A133)-1)*1,Master!$D$27:$G$225,4,FALSE)</f>
        <v>Renta</v>
      </c>
      <c r="C133" s="527"/>
      <c r="D133" s="527"/>
      <c r="E133" s="527"/>
      <c r="F133" s="527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26" t="str">
        <f>+VLOOKUP(LEFT($A134,LEN(A134)-1)*1,Master!$D$27:$G$225,4,FALSE)</f>
        <v>Subvencije</v>
      </c>
      <c r="C134" s="527"/>
      <c r="D134" s="527"/>
      <c r="E134" s="527"/>
      <c r="F134" s="527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26" t="str">
        <f>+VLOOKUP(LEFT($A135,LEN(A135)-1)*1,Master!$D$27:$G$225,4,FALSE)</f>
        <v>Ostali izdaci</v>
      </c>
      <c r="C135" s="527"/>
      <c r="D135" s="527"/>
      <c r="E135" s="527"/>
      <c r="F135" s="527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26" t="str">
        <f>+VLOOKUP(LEFT($A136,LEN(A136)-1)*1,Master!$D$27:$G$225,4,FALSE)</f>
        <v>Kapitalni izdaci u tekućem budžetu</v>
      </c>
      <c r="C136" s="527"/>
      <c r="D136" s="527"/>
      <c r="E136" s="527"/>
      <c r="F136" s="527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22" t="str">
        <f>+VLOOKUP(LEFT($A137,LEN(A137)-1)*1,Master!$D$27:$G$225,4,FALSE)</f>
        <v>Transferi za socijalnu zaštitu</v>
      </c>
      <c r="C137" s="523"/>
      <c r="D137" s="523"/>
      <c r="E137" s="523"/>
      <c r="F137" s="523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26" t="str">
        <f>+VLOOKUP(LEFT($A138,LEN(A138)-1)*1,Master!$D$27:$G$225,4,FALSE)</f>
        <v>Prava iz oblasti socijalne zaštite</v>
      </c>
      <c r="C138" s="527"/>
      <c r="D138" s="527"/>
      <c r="E138" s="527"/>
      <c r="F138" s="527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26" t="str">
        <f>+VLOOKUP(LEFT($A139,LEN(A139)-1)*1,Master!$D$27:$G$225,4,FALSE)</f>
        <v>Sredstva za tehnološke viškove</v>
      </c>
      <c r="C139" s="527"/>
      <c r="D139" s="527"/>
      <c r="E139" s="527"/>
      <c r="F139" s="527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26" t="str">
        <f>+VLOOKUP(LEFT($A140,LEN(A140)-1)*1,Master!$D$27:$G$225,4,FALSE)</f>
        <v>Prava iz oblasti penzijskog i invalidskog osiguranja</v>
      </c>
      <c r="C140" s="527"/>
      <c r="D140" s="527"/>
      <c r="E140" s="527"/>
      <c r="F140" s="527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26" t="str">
        <f>+VLOOKUP(LEFT($A141,LEN(A141)-1)*1,Master!$D$27:$G$225,4,FALSE)</f>
        <v>Ostala prava iz oblasti zdravstvene zaštite</v>
      </c>
      <c r="C141" s="527"/>
      <c r="D141" s="527"/>
      <c r="E141" s="527"/>
      <c r="F141" s="527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26" t="str">
        <f>+VLOOKUP(LEFT($A142,LEN(A142)-1)*1,Master!$D$27:$G$225,4,FALSE)</f>
        <v>Ostala prava iz zdravstvenog osiguranja</v>
      </c>
      <c r="C142" s="527"/>
      <c r="D142" s="527"/>
      <c r="E142" s="527"/>
      <c r="F142" s="527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28" t="str">
        <f>+VLOOKUP(LEFT($A143,LEN(A143)-1)*1,Master!$D$27:$G$225,4,FALSE)</f>
        <v xml:space="preserve">Transferi institucijama, pojedincima, nevladinom i javnom sektoru </v>
      </c>
      <c r="C143" s="529"/>
      <c r="D143" s="529"/>
      <c r="E143" s="529"/>
      <c r="F143" s="529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28" t="str">
        <f>+VLOOKUP(LEFT($A144,LEN(A144)-1)*1,Master!$D$27:$G$225,4,FALSE)</f>
        <v>Kapitalni budžet</v>
      </c>
      <c r="C144" s="529"/>
      <c r="D144" s="529"/>
      <c r="E144" s="529"/>
      <c r="F144" s="529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10" t="str">
        <f>+VLOOKUP(LEFT($A145,LEN(A145)-1)*1,Master!$D$27:$G$225,4,FALSE)</f>
        <v>Pozajmice i krediti</v>
      </c>
      <c r="C145" s="511"/>
      <c r="D145" s="511"/>
      <c r="E145" s="511"/>
      <c r="F145" s="511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10" t="str">
        <f>+VLOOKUP(LEFT($A146,LEN(A146)-1)*1,Master!$D$27:$G$225,4,FALSE)</f>
        <v>Rezerve</v>
      </c>
      <c r="C146" s="511"/>
      <c r="D146" s="511"/>
      <c r="E146" s="511"/>
      <c r="F146" s="511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24" t="str">
        <f>+VLOOKUP(LEFT($A147,LEN(A147)-1)*1,Master!$D$27:$G$225,4,FALSE)</f>
        <v>Otplata garancija</v>
      </c>
      <c r="C147" s="525"/>
      <c r="D147" s="525"/>
      <c r="E147" s="525"/>
      <c r="F147" s="525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8" t="str">
        <f>+VLOOKUP(LEFT($A148,LEN(A148)-1)*1,Master!$D$27:$G$225,4,FALSE)</f>
        <v>Suficit / deficit</v>
      </c>
      <c r="C148" s="519"/>
      <c r="D148" s="519"/>
      <c r="E148" s="519"/>
      <c r="F148" s="519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20" t="str">
        <f>+VLOOKUP(LEFT($A149,LEN(A149)-1)*1,Master!$D$27:$G$225,4,FALSE)</f>
        <v>Primarni bilans</v>
      </c>
      <c r="C149" s="521"/>
      <c r="D149" s="521"/>
      <c r="E149" s="521"/>
      <c r="F149" s="521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22" t="str">
        <f>+VLOOKUP(LEFT($A150,LEN(A150)-1)*1,Master!$D$27:$G$225,4,FALSE)</f>
        <v>Otplata dugova</v>
      </c>
      <c r="C150" s="523"/>
      <c r="D150" s="523"/>
      <c r="E150" s="523"/>
      <c r="F150" s="523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12" t="str">
        <f>+VLOOKUP(LEFT($A151,LEN(A151)-1)*1,Master!$D$27:$G$225,4,FALSE)</f>
        <v>Otplata hartija od vrijednosti i kredita rezidentima</v>
      </c>
      <c r="C151" s="513"/>
      <c r="D151" s="513"/>
      <c r="E151" s="513"/>
      <c r="F151" s="513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10" t="str">
        <f>+VLOOKUP(LEFT($A152,LEN(A152)-1)*1,Master!$D$27:$G$225,4,FALSE)</f>
        <v>Otplata hartija od vrijednosti i kredita nerezidentima</v>
      </c>
      <c r="C152" s="511"/>
      <c r="D152" s="511"/>
      <c r="E152" s="511"/>
      <c r="F152" s="511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24" t="str">
        <f>+VLOOKUP(LEFT($A153,LEN(A153)-1)*1,Master!$D$27:$G$225,4,FALSE)</f>
        <v>Otplata obaveza iz prethodnih godina</v>
      </c>
      <c r="C153" s="525"/>
      <c r="D153" s="525"/>
      <c r="E153" s="525"/>
      <c r="F153" s="525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14" t="str">
        <f>+VLOOKUP(LEFT($A154,LEN(A154)-1)*1,Master!$D$27:$G$225,4,FALSE)</f>
        <v>Nedostajuća sredstva</v>
      </c>
      <c r="C154" s="515"/>
      <c r="D154" s="515"/>
      <c r="E154" s="515"/>
      <c r="F154" s="515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16" t="str">
        <f>+VLOOKUP(LEFT($A155,LEN(A155)-1)*1,Master!$D$27:$G$225,4,FALSE)</f>
        <v>Finansiranje</v>
      </c>
      <c r="C155" s="517"/>
      <c r="D155" s="517"/>
      <c r="E155" s="517"/>
      <c r="F155" s="517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12" t="str">
        <f>+VLOOKUP(LEFT($A156,LEN(A156)-1)*1,Master!$D$27:$G$225,4,FALSE)</f>
        <v>Pozajmice i krediti od domaćih izvora</v>
      </c>
      <c r="C156" s="513"/>
      <c r="D156" s="513"/>
      <c r="E156" s="513"/>
      <c r="F156" s="513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10" t="str">
        <f>+VLOOKUP(LEFT($A157,LEN(A157)-1)*1,Master!$D$27:$G$225,4,FALSE)</f>
        <v>Pozajmice i krediti od inostranih izvora</v>
      </c>
      <c r="C157" s="511"/>
      <c r="D157" s="511"/>
      <c r="E157" s="511"/>
      <c r="F157" s="511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10" t="str">
        <f>+VLOOKUP(LEFT($A158,LEN(A158)-1)*1,Master!$D$27:$G$225,4,FALSE)</f>
        <v>Primici od prodaje imovine</v>
      </c>
      <c r="C158" s="511"/>
      <c r="D158" s="511"/>
      <c r="E158" s="511"/>
      <c r="F158" s="511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Sheet1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Nevena Cobeljic</cp:lastModifiedBy>
  <cp:lastPrinted>2017-03-01T13:10:49Z</cp:lastPrinted>
  <dcterms:created xsi:type="dcterms:W3CDTF">2014-09-15T13:41:17Z</dcterms:created>
  <dcterms:modified xsi:type="dcterms:W3CDTF">2019-10-31T08:22:01Z</dcterms:modified>
</cp:coreProperties>
</file>